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IP CURVES" sheetId="1" state="visible" r:id="rId3"/>
    <sheet name="TERMINAL CURVES" sheetId="2" state="visible" r:id="rId4"/>
    <sheet name="PORTS" sheetId="3" state="visible" r:id="rId5"/>
    <sheet name="ROUTES" sheetId="4" state="visible" r:id="rId6"/>
    <sheet name="SHIPS" sheetId="5" state="visible" r:id="rId7"/>
    <sheet name="FREIGHT" sheetId="6" state="visible" r:id="rId8"/>
    <sheet name="ELBA BOOK" sheetId="7" state="visible" r:id="rId9"/>
    <sheet name="ELBA INCOME" sheetId="8" state="visible" r:id="rId10"/>
    <sheet name="SUMMARY" sheetId="9" state="visible" r:id="rId11"/>
    <sheet name="SHIP POSITIONS" sheetId="10" state="visible" r:id="rId12"/>
    <sheet name="CURVELOAD" sheetId="11" state="visible" r:id="rId13"/>
    <sheet name="CURVECALC" sheetId="12" state="visible" r:id="rId14"/>
  </sheets>
  <definedNames>
    <definedName function="false" hidden="false" localSheetId="7" name="_xlnm.Print_Area" vbProcedure="false">'ELBA INCOME'!$A$1:$Q$35</definedName>
    <definedName function="false" hidden="false" localSheetId="9" name="_xlnm.Print_Area" vbProcedure="false">'SHIP POSITIONS'!$A$2:$F$34</definedName>
    <definedName function="false" hidden="false" localSheetId="8" name="_xlnm.Print_Area" vbProcedure="false">SUMMARY!$A$1:$O$34</definedName>
    <definedName function="false" hidden="false" name="ADMIN_CHARTER_COST" vbProcedure="false">#REF!</definedName>
    <definedName function="false" hidden="false" name="BookType" vbProcedure="false">CURVELOAD!$B$9</definedName>
    <definedName function="false" hidden="false" name="BUNKERFUEL_PER_CARGO" vbProcedure="false">ROUTES!$AE$3:$AK$196</definedName>
    <definedName function="false" hidden="false" name="BUNKERFUEL_ROUTES" vbProcedure="false">ROUTES!$AE$3:$AE$196</definedName>
    <definedName function="false" hidden="false" name="BUNKERFUEL_SHIPS" vbProcedure="false">ROUTES!$AE$3:$AK$3</definedName>
    <definedName function="false" hidden="false" name="bunker_cost" vbProcedure="false">ROUTES!$AE$3:$AK$197</definedName>
    <definedName function="false" hidden="false" name="bunker_cost_route" vbProcedure="false">ROUTES!$AE$3:$AE$197</definedName>
    <definedName function="false" hidden="false" name="bunker_cost_ship" vbProcedure="false">ROUTES!$AE$3:$AL$3</definedName>
    <definedName function="false" hidden="false" name="curvecalc" vbProcedure="false">CURVECALC!$C$5:$J$317</definedName>
    <definedName function="false" hidden="false" name="CurveCode" vbProcedure="false">CURVELOAD!$B$7</definedName>
    <definedName function="false" hidden="false" name="CurveDate" vbProcedure="false">CURVELOAD!$B$4</definedName>
    <definedName function="false" hidden="false" name="CurveType" vbProcedure="false">CURVELOAD!$B$8</definedName>
    <definedName function="false" hidden="false" name="dffd" vbProcedure="false">#REF!</definedName>
    <definedName function="false" hidden="false" name="FirstMonth" vbProcedure="false">CURVELOAD!$B$5</definedName>
    <definedName function="false" hidden="false" name="fixed_capacity_charge" vbProcedure="false">PORTS!$H$11:$N$317</definedName>
    <definedName function="false" hidden="false" name="FIXED_CHARTER_COST" vbProcedure="false">SHIPS!$B$24:$H$333</definedName>
    <definedName function="false" hidden="false" name="LADEN_VOYAGE_DAYS" vbProcedure="false">ROUTES!$O$3:$U$196</definedName>
    <definedName function="false" hidden="false" name="LADEN_VOYAGE_ROUTES" vbProcedure="false">ROUTES!$O$3:$O$196</definedName>
    <definedName function="false" hidden="false" name="LADEN_VOYAGE_SHIPS" vbProcedure="false">ROUTES!$O$3:$U$3</definedName>
    <definedName function="false" hidden="false" name="MILES" vbProcedure="false">ROUTES!$A$4:$E$166</definedName>
    <definedName function="false" hidden="false" name="MONTHS" vbProcedure="false">#REF!</definedName>
    <definedName function="false" hidden="false" name="NumOfCurves" vbProcedure="false">CURVELOAD!$B$2</definedName>
    <definedName function="false" hidden="false" name="OM_CHARTER_COST" vbProcedure="false">SHIPS!$B$334:$H$642</definedName>
    <definedName function="false" hidden="false" name="other_cost" vbProcedure="false">FREIGHT!$A$5:$H$23</definedName>
    <definedName function="false" hidden="false" name="PORTS" vbProcedure="false">PORTS!$A$4:$A$102</definedName>
    <definedName function="false" hidden="false" name="PORT_CHARGE" vbProcedure="false">#REF!</definedName>
    <definedName function="false" hidden="false" name="PORT_CHARGES" vbProcedure="false">PORTS!$A$4:$F$102</definedName>
    <definedName function="false" hidden="false" name="PORT_CHARGE_SHIPS" vbProcedure="false">PORTS!$A$4:$F$4</definedName>
    <definedName function="false" hidden="false" name="port_processing_fee" vbProcedure="false">PORTS!$H$626:$N$933</definedName>
    <definedName function="false" hidden="false" name="port_specs" vbProcedure="false">PORTS!$H$4:$N$10</definedName>
    <definedName function="false" hidden="false" name="PORT_TOLLING_COST" vbProcedure="false">#REF!</definedName>
    <definedName function="false" hidden="false" name="Position" vbProcedure="false">CURVELOAD!$B$11</definedName>
    <definedName function="false" hidden="false" name="PRICINGDATE" vbProcedure="false">#REF!</definedName>
    <definedName function="false" hidden="false" name="ROUNDTRIP_DAYS" vbProcedure="false">ROUTES!$W$3:$AC$196</definedName>
    <definedName function="false" hidden="false" name="ROUNDTRIP_ROUTES" vbProcedure="false">ROUTES!$W$3:$W$196</definedName>
    <definedName function="false" hidden="false" name="ROUNDTRIP_SHIPS" vbProcedure="false">ROUTES!$W$3:$AC$3</definedName>
    <definedName function="false" hidden="false" name="ROUTE_PER_DAY_BY_SHIP" vbProcedure="false">ROUTES!$G$3:$M$196</definedName>
    <definedName function="false" hidden="false" name="ROUTE_PER_DAY_ROUTES" vbProcedure="false">ROUTES!$G$3:$G$196</definedName>
    <definedName function="false" hidden="false" name="ROUTE_PER_DAY_SHIPS" vbProcedure="false">ROUTES!$G$3:$M$3</definedName>
    <definedName function="false" hidden="false" name="SHIPS" vbProcedure="false">SHIPS!$A$5:$H$23</definedName>
    <definedName function="false" hidden="false" name="ship_curves" vbProcedure="false">'SHIP CURVES'!$A$9:$AZ$316</definedName>
    <definedName function="false" hidden="false" name="ship_name" vbProcedure="false">SHIPS!$A$5:$H$5</definedName>
    <definedName function="false" hidden="false" name="SHIP_ROUTE_PER_DAY" vbProcedure="false">ROUTES!$A$3:$M$196</definedName>
    <definedName function="false" hidden="false" name="ship_specs" vbProcedure="false">SHIPS!$A$5:$A$23</definedName>
    <definedName function="false" hidden="false" name="sssq" vbProcedure="false">#REF!</definedName>
    <definedName function="false" hidden="false" name="TERMINAL_CHARGES" vbProcedure="false">PORTS!$H$4:$N$933</definedName>
    <definedName function="false" hidden="false" name="terminal_curves" vbProcedure="false">'TERMINAL CURVES'!$A$4:$N$313</definedName>
    <definedName function="false" hidden="false" name="UNLOAD_CAPACITY" vbProcedure="false">ROUTES!$AM$3:$AS$196</definedName>
    <definedName function="false" hidden="false" name="UNLOAD_CAPACITY_ROUTES" vbProcedure="false">ROUTES!$AM$3:$AM$196</definedName>
    <definedName function="false" hidden="false" name="UNLOAD_CAPACITY_SHIPS" vbProcedure="false">ROUTES!$AM$3:$AS$3</definedName>
    <definedName function="false" hidden="false" name="variable_om_charge" vbProcedure="false">PORTS!$H$318:$N$625</definedName>
    <definedName function="false" hidden="false" name="xdcf" vbProcedure="false">#REF!</definedName>
    <definedName function="false" hidden="false" name="xscff" vbProcedure="false">#REF!</definedName>
    <definedName function="false" hidden="false" name="xx" vbProcedure="false">#REF!</definedName>
    <definedName function="false" hidden="false" name="xxxxxxxxxxxx" vbProcedure="false">#REF!</definedName>
    <definedName function="false" hidden="false" name="xzxxxx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<sst xmlns="http://schemas.openxmlformats.org/spreadsheetml/2006/main" count="437" uniqueCount="177">
  <si>
    <t xml:space="preserve">SHIPPING COST PER LOADED  MMBTU</t>
  </si>
  <si>
    <t xml:space="preserve">SUPPLY</t>
  </si>
  <si>
    <t xml:space="preserve">QATAR</t>
  </si>
  <si>
    <t xml:space="preserve">VENEZUELA</t>
  </si>
  <si>
    <t xml:space="preserve">ALGERIA</t>
  </si>
  <si>
    <t xml:space="preserve">DEMAND</t>
  </si>
  <si>
    <t xml:space="preserve">ELBA</t>
  </si>
  <si>
    <t xml:space="preserve">LAKE CHARLES</t>
  </si>
  <si>
    <t xml:space="preserve">ROUTE</t>
  </si>
  <si>
    <t xml:space="preserve">SUEZ</t>
  </si>
  <si>
    <t xml:space="preserve">VESSEL</t>
  </si>
  <si>
    <t xml:space="preserve">HG</t>
  </si>
  <si>
    <t xml:space="preserve">EXMAR</t>
  </si>
  <si>
    <t xml:space="preserve">DESCRIPTION</t>
  </si>
  <si>
    <t xml:space="preserve">DESCRIPTION2</t>
  </si>
  <si>
    <t xml:space="preserve">ALL IN TERMINAL COST PER UNLOADED MMBTU</t>
  </si>
  <si>
    <t xml:space="preserve">PORT NAME</t>
  </si>
  <si>
    <t xml:space="preserve">BARCELONA</t>
  </si>
  <si>
    <t xml:space="preserve">PORT CHARGES BY SHIP</t>
  </si>
  <si>
    <t xml:space="preserve">PORT CAPACITY CHARGE AND PROCESSING FEES</t>
  </si>
  <si>
    <t xml:space="preserve">Port City</t>
  </si>
  <si>
    <t xml:space="preserve">CABOT</t>
  </si>
  <si>
    <t xml:space="preserve">COVE POINT</t>
  </si>
  <si>
    <t xml:space="preserve">Annual Capacity (mmbtu)</t>
  </si>
  <si>
    <t xml:space="preserve">Fuel and Return Gas (% of Unloaded)</t>
  </si>
  <si>
    <t xml:space="preserve">Terminalling Fee</t>
  </si>
  <si>
    <t xml:space="preserve">Terminalling Fee Inflation</t>
  </si>
  <si>
    <t xml:space="preserve">Utilization Rate</t>
  </si>
  <si>
    <t xml:space="preserve">PUERTO RICO</t>
  </si>
  <si>
    <t xml:space="preserve">Fixed Capacity Charge</t>
  </si>
  <si>
    <t xml:space="preserve">Escalating Capacity Charge</t>
  </si>
  <si>
    <t xml:space="preserve">Terminal Processing Fee</t>
  </si>
  <si>
    <t xml:space="preserve">NAUTICAL MILES</t>
  </si>
  <si>
    <t xml:space="preserve">LOADED MMBTU PER DAY</t>
  </si>
  <si>
    <t xml:space="preserve">LADEN VOYAGE (DAYS)</t>
  </si>
  <si>
    <t xml:space="preserve">ROUNDTRIP VOYAGE (DAYS)</t>
  </si>
  <si>
    <t xml:space="preserve">BUNKER FUEL COST PER CARGO</t>
  </si>
  <si>
    <t xml:space="preserve">MAX CAPACITY PER YEAR UNLOADED</t>
  </si>
  <si>
    <t xml:space="preserve">MILES</t>
  </si>
  <si>
    <t xml:space="preserve">SPAIN</t>
  </si>
  <si>
    <t xml:space="preserve">SHIP SPECIFICATIONS</t>
  </si>
  <si>
    <t xml:space="preserve">SHIP--------------------------&gt;</t>
  </si>
  <si>
    <t xml:space="preserve">SPECS</t>
  </si>
  <si>
    <t xml:space="preserve">UOM</t>
  </si>
  <si>
    <t xml:space="preserve">CAPACITY mmbtu</t>
  </si>
  <si>
    <t xml:space="preserve">MMBTU</t>
  </si>
  <si>
    <r>
      <rPr>
        <b val="true"/>
        <sz val="10"/>
        <rFont val="Arial"/>
        <family val="2"/>
      </rPr>
      <t xml:space="preserve">CAPACITY m</t>
    </r>
    <r>
      <rPr>
        <b val="true"/>
        <vertAlign val="superscript"/>
        <sz val="12"/>
        <rFont val="Arial"/>
        <family val="2"/>
      </rPr>
      <t xml:space="preserve">3</t>
    </r>
  </si>
  <si>
    <r>
      <rPr>
        <sz val="9"/>
        <rFont val="Arial"/>
        <family val="2"/>
      </rPr>
      <t xml:space="preserve">M</t>
    </r>
    <r>
      <rPr>
        <vertAlign val="superscript"/>
        <sz val="11"/>
        <rFont val="Arial"/>
        <family val="2"/>
      </rPr>
      <t xml:space="preserve">3</t>
    </r>
  </si>
  <si>
    <t xml:space="preserve">SPEED mph</t>
  </si>
  <si>
    <t xml:space="preserve">MPH</t>
  </si>
  <si>
    <t xml:space="preserve">SPEED mpd</t>
  </si>
  <si>
    <t xml:space="preserve">MPD</t>
  </si>
  <si>
    <t xml:space="preserve">BOILOFF-LADEN</t>
  </si>
  <si>
    <t xml:space="preserve">DAILY</t>
  </si>
  <si>
    <t xml:space="preserve">BOILOFF-PORTDAY</t>
  </si>
  <si>
    <t xml:space="preserve">LOADING</t>
  </si>
  <si>
    <t xml:space="preserve">DAYS</t>
  </si>
  <si>
    <t xml:space="preserve">UNLOADING</t>
  </si>
  <si>
    <t xml:space="preserve">SUEZ TRANSIT (RT)</t>
  </si>
  <si>
    <t xml:space="preserve">BUNKERS-LOADED</t>
  </si>
  <si>
    <t xml:space="preserve">Tons/Day</t>
  </si>
  <si>
    <t xml:space="preserve">BUNKERS-BALLAST</t>
  </si>
  <si>
    <t xml:space="preserve">BUNKERS-PORT</t>
  </si>
  <si>
    <t xml:space="preserve">BOILOFF AS FUEL</t>
  </si>
  <si>
    <t xml:space="preserve">YES/NO</t>
  </si>
  <si>
    <t xml:space="preserve">YES</t>
  </si>
  <si>
    <t xml:space="preserve">BOILOFF TO BUNKER</t>
  </si>
  <si>
    <t xml:space="preserve">TONNE/M3</t>
  </si>
  <si>
    <t xml:space="preserve">SHIP UTILIZATION</t>
  </si>
  <si>
    <t xml:space="preserve">RATE</t>
  </si>
  <si>
    <t xml:space="preserve">CPI ESCALATION</t>
  </si>
  <si>
    <t xml:space="preserve">FIXED CHARTER COST</t>
  </si>
  <si>
    <t xml:space="preserve">input--------------&gt;</t>
  </si>
  <si>
    <t xml:space="preserve">O&amp;M CHARTER COST</t>
  </si>
  <si>
    <t xml:space="preserve">VARIABLE SHIPPING COSTS</t>
  </si>
  <si>
    <t xml:space="preserve">COSTS</t>
  </si>
  <si>
    <t xml:space="preserve">OTHER COSTS*** per loaded mmbtu</t>
  </si>
  <si>
    <t xml:space="preserve">  *** INCLUDES:</t>
  </si>
  <si>
    <t xml:space="preserve">-Import Fees .125%xunloaded</t>
  </si>
  <si>
    <t xml:space="preserve">-LC  .25%xFOB value </t>
  </si>
  <si>
    <t xml:space="preserve">ALGERIA SUPPLY TO ELBA VIA SUEZ WITH HEOGH GALLEON</t>
  </si>
  <si>
    <t xml:space="preserve">ALGERIA SUPPLY TO ELBA WITH EXMAR</t>
  </si>
  <si>
    <t xml:space="preserve">VENEZUELA TO ELBA WITH EXMAR</t>
  </si>
  <si>
    <t xml:space="preserve">Source</t>
  </si>
  <si>
    <t xml:space="preserve">Gas Index</t>
  </si>
  <si>
    <t xml:space="preserve">IF-HEHUB</t>
  </si>
  <si>
    <t xml:space="preserve">Destination</t>
  </si>
  <si>
    <t xml:space="preserve">Basis</t>
  </si>
  <si>
    <t xml:space="preserve">Ship</t>
  </si>
  <si>
    <t xml:space="preserve">Marginal Cost</t>
  </si>
  <si>
    <t xml:space="preserve">Lake Charles</t>
  </si>
  <si>
    <t xml:space="preserve">Route</t>
  </si>
  <si>
    <t xml:space="preserve">Elba vs LC</t>
  </si>
  <si>
    <t xml:space="preserve">Start Date</t>
  </si>
  <si>
    <t xml:space="preserve">Netback Sharing %</t>
  </si>
  <si>
    <t xml:space="preserve">End Date</t>
  </si>
  <si>
    <t xml:space="preserve">VOLUMES</t>
  </si>
  <si>
    <t xml:space="preserve">DOLLARS</t>
  </si>
  <si>
    <t xml:space="preserve">PERCENT</t>
  </si>
  <si>
    <t xml:space="preserve">TOTAL</t>
  </si>
  <si>
    <t xml:space="preserve">AVAILABLE</t>
  </si>
  <si>
    <t xml:space="preserve">FOB</t>
  </si>
  <si>
    <t xml:space="preserve">OF ELBA</t>
  </si>
  <si>
    <t xml:space="preserve">OPEN</t>
  </si>
  <si>
    <t xml:space="preserve">LOADED</t>
  </si>
  <si>
    <t xml:space="preserve">FUEL &amp;</t>
  </si>
  <si>
    <t xml:space="preserve">FOR</t>
  </si>
  <si>
    <t xml:space="preserve">TERMINAL</t>
  </si>
  <si>
    <t xml:space="preserve">OPERATING</t>
  </si>
  <si>
    <t xml:space="preserve">CAPACITY</t>
  </si>
  <si>
    <t xml:space="preserve">BOILOFF</t>
  </si>
  <si>
    <t xml:space="preserve">UNLOADED</t>
  </si>
  <si>
    <t xml:space="preserve">RETURN</t>
  </si>
  <si>
    <t xml:space="preserve">SALE</t>
  </si>
  <si>
    <t xml:space="preserve">REVENUE</t>
  </si>
  <si>
    <t xml:space="preserve">SHIPPING</t>
  </si>
  <si>
    <t xml:space="preserve">CHARGE</t>
  </si>
  <si>
    <t xml:space="preserve">COST</t>
  </si>
  <si>
    <t xml:space="preserve">INCOME</t>
  </si>
  <si>
    <t xml:space="preserve">Elba Island Economics</t>
  </si>
  <si>
    <t xml:space="preserve">Based on 0% Basis Sharing with Supplier (marginal cost is Lake Charles)</t>
  </si>
  <si>
    <t xml:space="preserve">VOLUMES (MMBTU)</t>
  </si>
  <si>
    <t xml:space="preserve">INCOME SUMMARY</t>
  </si>
  <si>
    <t xml:space="preserve">NOTIONAL FUTURE DOLLARS</t>
  </si>
  <si>
    <t xml:space="preserve">PV</t>
  </si>
  <si>
    <t xml:space="preserve">NET</t>
  </si>
  <si>
    <t xml:space="preserve">FOR SALE</t>
  </si>
  <si>
    <t xml:space="preserve">FOR SPOT SALE</t>
  </si>
  <si>
    <t xml:space="preserve">Enron LNG Summary</t>
  </si>
  <si>
    <t xml:space="preserve">Based on existing Contracts w/ LNG sourcing assumptions</t>
  </si>
  <si>
    <t xml:space="preserve">Elba</t>
  </si>
  <si>
    <t xml:space="preserve">Undiscounted</t>
  </si>
  <si>
    <t xml:space="preserve">Fixed Cost</t>
  </si>
  <si>
    <t xml:space="preserve">Total</t>
  </si>
  <si>
    <t xml:space="preserve">mmbtu's</t>
  </si>
  <si>
    <t xml:space="preserve">days availability</t>
  </si>
  <si>
    <t xml:space="preserve">Expense</t>
  </si>
  <si>
    <t xml:space="preserve">Net</t>
  </si>
  <si>
    <t xml:space="preserve">Open</t>
  </si>
  <si>
    <t xml:space="preserve">Year</t>
  </si>
  <si>
    <t xml:space="preserve">Revenue</t>
  </si>
  <si>
    <t xml:space="preserve">used capacity</t>
  </si>
  <si>
    <t xml:space="preserve">Margin</t>
  </si>
  <si>
    <t xml:space="preserve">Open Capacity</t>
  </si>
  <si>
    <t xml:space="preserve">of Open Capacity</t>
  </si>
  <si>
    <t xml:space="preserve">Capacity</t>
  </si>
  <si>
    <t xml:space="preserve">Exmar</t>
  </si>
  <si>
    <t xml:space="preserve">TOTAL OPEN CAPACITY BY SHIP</t>
  </si>
  <si>
    <t xml:space="preserve">(DAYS AVAILABLE PER YEAR)</t>
  </si>
  <si>
    <t xml:space="preserve">SHIP</t>
  </si>
  <si>
    <t xml:space="preserve">SOURCE</t>
  </si>
  <si>
    <t xml:space="preserve">DEST.</t>
  </si>
  <si>
    <t xml:space="preserve">Number of Curves to Fetch:</t>
  </si>
  <si>
    <t xml:space="preserve">Curve Date</t>
  </si>
  <si>
    <t xml:space="preserve">First Month</t>
  </si>
  <si>
    <t xml:space="preserve">Curve Code</t>
  </si>
  <si>
    <t xml:space="preserve">INT</t>
  </si>
  <si>
    <t xml:space="preserve">NG</t>
  </si>
  <si>
    <t xml:space="preserve">HSNF</t>
  </si>
  <si>
    <t xml:space="preserve">Curve Type</t>
  </si>
  <si>
    <t xml:space="preserve">AA</t>
  </si>
  <si>
    <t xml:space="preserve">PR</t>
  </si>
  <si>
    <t xml:space="preserve">VO</t>
  </si>
  <si>
    <t xml:space="preserve">Book Type</t>
  </si>
  <si>
    <t xml:space="preserve">R</t>
  </si>
  <si>
    <t xml:space="preserve">P</t>
  </si>
  <si>
    <t xml:space="preserve">D</t>
  </si>
  <si>
    <t xml:space="preserve">I</t>
  </si>
  <si>
    <t xml:space="preserve">Discount Rate Override--------&gt;</t>
  </si>
  <si>
    <t xml:space="preserve">Average</t>
  </si>
  <si>
    <t xml:space="preserve">Discount</t>
  </si>
  <si>
    <t xml:space="preserve">HenryHub</t>
  </si>
  <si>
    <t xml:space="preserve">Annual</t>
  </si>
  <si>
    <t xml:space="preserve">Month</t>
  </si>
  <si>
    <t xml:space="preserve">AA LIBOR</t>
  </si>
  <si>
    <t xml:space="preserve">Percentage</t>
  </si>
  <si>
    <t xml:space="preserve">Price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</si>
</sst>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[$-409]mmm\-yy"/>
    <numFmt numFmtId="166" formatCode="\$#,##0.00_);[RED]&quot;($&quot;#,##0.00\)"/>
    <numFmt numFmtId="167" formatCode="\$#,##0.00000_);[RED]&quot;($&quot;#,##0.00000\)"/>
    <numFmt numFmtId="168" formatCode="_(* #,##0.00_);_(* \(#,##0.00\);_(* \-??_);_(@_)"/>
    <numFmt numFmtId="169" formatCode="[$-409]#,##0_);[RED]\(#,##0\)"/>
    <numFmt numFmtId="170" formatCode="\$#,##0.000_);[RED]&quot;($&quot;#,##0.000\)"/>
    <numFmt numFmtId="171" formatCode="0.00%"/>
    <numFmt numFmtId="172" formatCode="0.000%"/>
    <numFmt numFmtId="173" formatCode="\$#,##0.0000_);[RED]&quot;($&quot;#,##0.0000\)"/>
    <numFmt numFmtId="174" formatCode="_(* #,##0_);_(* \(#,##0\);_(* \-??_);_(@_)"/>
    <numFmt numFmtId="175" formatCode="0%"/>
    <numFmt numFmtId="176" formatCode="_(\$* #,##0.00_);_(\$* \(#,##0.00\);_(\$* \-??_);_(@_)"/>
    <numFmt numFmtId="177" formatCode="[$-409]#,##0.00_);[RED]\(#,##0.00\)"/>
    <numFmt numFmtId="178" formatCode="#,##0.0_);[RED]\(#,##0.0\)"/>
    <numFmt numFmtId="179" formatCode="\$#,##0_);[RED]&quot;($&quot;#,##0\)"/>
    <numFmt numFmtId="180" formatCode="#,##0.0000_);[RED]\(#,##0.0000\)"/>
    <numFmt numFmtId="181" formatCode="#,##0.00000_);[RED]\(#,##0.00000\)"/>
    <numFmt numFmtId="182" formatCode="#,##0.000_);[RED]\(#,##0.000\)"/>
    <numFmt numFmtId="183" formatCode="0.0%"/>
    <numFmt numFmtId="184" formatCode="\$#,##0.000000_);[RED]&quot;($&quot;#,##0.000000\)"/>
    <numFmt numFmtId="185" formatCode="_(* #,##0.0000_);_(* \(#,##0.0000\);_(* \-??_);_(@_)"/>
    <numFmt numFmtId="186" formatCode="_(\$* #,##0.0000000_);_(\$* \(#,##0.0000000\);_(\$* \-??_);_(@_)"/>
    <numFmt numFmtId="187" formatCode="mmmm\ d&quot;, &quot;yyyy"/>
    <numFmt numFmtId="188" formatCode="[$-409]m/d/yyyy"/>
    <numFmt numFmtId="189" formatCode="mm/dd/yy"/>
    <numFmt numFmtId="190" formatCode="0.0000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26"/>
      <name val="Arial"/>
      <family val="2"/>
    </font>
    <font>
      <b val="true"/>
      <sz val="10"/>
      <name val="Arial"/>
      <family val="2"/>
    </font>
    <font>
      <b val="true"/>
      <sz val="7"/>
      <name val="Arial"/>
      <family val="2"/>
    </font>
    <font>
      <b val="true"/>
      <sz val="10"/>
      <color rgb="FF008000"/>
      <name val="Arial"/>
      <family val="2"/>
    </font>
    <font>
      <b val="true"/>
      <sz val="10"/>
      <name val="Arial Narrow"/>
      <family val="2"/>
    </font>
    <font>
      <sz val="10"/>
      <name val="Arial Narrow"/>
      <family val="2"/>
    </font>
    <font>
      <b val="true"/>
      <sz val="10"/>
      <color rgb="FF008000"/>
      <name val="Arial Narrow"/>
      <family val="2"/>
    </font>
    <font>
      <sz val="10"/>
      <color rgb="FF008000"/>
      <name val="Arial Narrow"/>
      <family val="2"/>
    </font>
    <font>
      <b val="true"/>
      <sz val="10"/>
      <color rgb="FF0000FF"/>
      <name val="Arial Narrow"/>
      <family val="2"/>
    </font>
    <font>
      <b val="true"/>
      <u val="single"/>
      <sz val="10"/>
      <name val="Arial Narrow"/>
      <family val="2"/>
    </font>
    <font>
      <sz val="10"/>
      <name val="Arial"/>
      <family val="2"/>
    </font>
    <font>
      <sz val="9"/>
      <name val="Arial"/>
      <family val="2"/>
    </font>
    <font>
      <b val="true"/>
      <vertAlign val="superscript"/>
      <sz val="12"/>
      <name val="Arial"/>
      <family val="2"/>
    </font>
    <font>
      <vertAlign val="superscript"/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800000"/>
      <name val="Arial"/>
      <family val="2"/>
    </font>
    <font>
      <b val="true"/>
      <sz val="14"/>
      <color rgb="FF000000"/>
      <name val="Arial"/>
      <family val="2"/>
    </font>
    <font>
      <b val="true"/>
      <sz val="12"/>
      <name val="Arial"/>
      <family val="2"/>
    </font>
    <font>
      <b val="true"/>
      <sz val="20"/>
      <name val="Arial"/>
      <family val="2"/>
    </font>
    <font>
      <b val="true"/>
      <sz val="18"/>
      <name val="Arial"/>
      <family val="2"/>
    </font>
    <font>
      <b val="true"/>
      <sz val="14"/>
      <name val="Arial"/>
      <family val="2"/>
    </font>
    <font>
      <b val="true"/>
      <sz val="10"/>
      <color rgb="FFFF0000"/>
      <name val="Arial"/>
      <family val="2"/>
    </font>
    <font>
      <b val="true"/>
      <i val="true"/>
      <sz val="10"/>
      <color rgb="FF008000"/>
      <name val="Arial"/>
      <family val="2"/>
    </font>
    <font>
      <b val="true"/>
      <sz val="7.5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800000"/>
        <bgColor rgb="FF800000"/>
      </patternFill>
    </fill>
    <fill>
      <patternFill patternType="solid">
        <fgColor rgb="FFFFCC99"/>
        <bgColor rgb="FFC0C0C0"/>
      </patternFill>
    </fill>
    <fill>
      <patternFill patternType="solid">
        <fgColor rgb="FF333300"/>
        <bgColor rgb="FF333333"/>
      </patternFill>
    </fill>
    <fill>
      <patternFill patternType="solid">
        <fgColor rgb="FF000080"/>
        <bgColor rgb="FF000080"/>
      </patternFill>
    </fill>
    <fill>
      <patternFill patternType="solid">
        <fgColor rgb="FFFFFFFF"/>
        <bgColor rgb="FFFFFFCC"/>
      </patternFill>
    </fill>
    <fill>
      <patternFill patternType="solid">
        <fgColor rgb="FFCC99FF"/>
        <bgColor rgb="FF9999FF"/>
      </patternFill>
    </fill>
    <fill>
      <patternFill patternType="solid">
        <fgColor rgb="FF000000"/>
        <bgColor rgb="FF003300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</fills>
  <borders count="3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 style="thin">
        <color rgb="FFC0C0C0"/>
      </bottom>
      <diagonal/>
    </border>
    <border diagonalUp="false" diagonalDown="false">
      <left/>
      <right style="thin">
        <color rgb="FFC0C0C0"/>
      </right>
      <top style="thin"/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/>
      <bottom style="thin">
        <color rgb="FFC0C0C0"/>
      </bottom>
      <diagonal/>
    </border>
    <border diagonalUp="false" diagonalDown="false">
      <left style="thin">
        <color rgb="FFC0C0C0"/>
      </left>
      <right style="thin"/>
      <top style="thin"/>
      <bottom style="thin">
        <color rgb="FFC0C0C0"/>
      </bottom>
      <diagonal/>
    </border>
    <border diagonalUp="false" diagonalDown="false">
      <left style="thin"/>
      <right style="thin"/>
      <top style="thin">
        <color rgb="FFC0C0C0"/>
      </top>
      <bottom style="thin">
        <color rgb="FFC0C0C0"/>
      </bottom>
      <diagonal/>
    </border>
    <border diagonalUp="false" diagonalDown="false">
      <left/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/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/>
      <top style="thin">
        <color rgb="FFC0C0C0"/>
      </top>
      <bottom style="thin"/>
      <diagonal/>
    </border>
    <border diagonalUp="false" diagonalDown="false">
      <left/>
      <right style="thin">
        <color rgb="FFC0C0C0"/>
      </right>
      <top style="thin">
        <color rgb="FFC0C0C0"/>
      </top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/>
      <diagonal/>
    </border>
    <border diagonalUp="false" diagonalDown="false">
      <left style="thin">
        <color rgb="FFC0C0C0"/>
      </left>
      <right style="thin"/>
      <top style="thin">
        <color rgb="FFC0C0C0"/>
      </top>
      <bottom style="thin"/>
      <diagonal/>
    </border>
    <border diagonalUp="false" diagonalDown="false">
      <left style="thin"/>
      <right/>
      <top style="thin"/>
      <bottom style="thin">
        <color rgb="FFC0C0C0"/>
      </bottom>
      <diagonal/>
    </border>
    <border diagonalUp="false" diagonalDown="false">
      <left style="thin"/>
      <right style="thin">
        <color rgb="FFC0C0C0"/>
      </right>
      <top style="thin"/>
      <bottom style="thin">
        <color rgb="FFC0C0C0"/>
      </bottom>
      <diagonal/>
    </border>
    <border diagonalUp="false" diagonalDown="false">
      <left style="thin"/>
      <right/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/>
      <right/>
      <top style="thin">
        <color rgb="FFC0C0C0"/>
      </top>
      <bottom style="thin"/>
      <diagonal/>
    </border>
    <border diagonalUp="false" diagonalDown="false">
      <left style="thin"/>
      <right style="thin">
        <color rgb="FFC0C0C0"/>
      </right>
      <top style="thin">
        <color rgb="FFC0C0C0"/>
      </top>
      <bottom style="thin"/>
      <diagonal/>
    </border>
    <border diagonalUp="false" diagonalDown="false">
      <left/>
      <right style="thin"/>
      <top style="thin">
        <color rgb="FFC0C0C0"/>
      </top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8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6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3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4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3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1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4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4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8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9" fillId="4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9" fillId="4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1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9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9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9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6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3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8" fillId="0" borderId="2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8" fillId="0" borderId="2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8" fillId="0" borderId="2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3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8" fillId="0" borderId="2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8" fillId="0" borderId="2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9" borderId="3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8" fillId="0" borderId="3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8" fillId="0" borderId="2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8" fillId="0" borderId="3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9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1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8" fillId="1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8" fillId="1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8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" fillId="0" borderId="2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11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1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1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1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6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6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2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6" fillId="1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12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4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2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11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4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2" fillId="0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13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13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12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1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2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5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5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1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2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5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5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5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0" fillId="13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5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5" fillId="5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1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1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2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5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13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5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1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6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6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6" fillId="1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6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14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4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1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1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14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5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14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14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4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1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12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14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5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14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4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1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1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14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5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6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6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6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1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1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1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1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6" fillId="15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1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BTUProposal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100440</xdr:colOff>
          <xdr:row>1</xdr:row>
          <xdr:rowOff>19080</xdr:rowOff>
        </xdr:from>
        <xdr:to>
          <xdr:col>4</xdr:col>
          <xdr:colOff>20880</xdr:colOff>
          <xdr:row>4</xdr:row>
          <xdr:rowOff>123840</xdr:rowOff>
        </xdr:to>
        <xdr:sp>
          <xdr:nvSpPr>
            <xdr:cNvPr id="1001" name="Button 1" descr="Fetc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Curves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2" min="2" style="0" width="24.41"/>
    <col collapsed="false" customWidth="true" hidden="false" outlineLevel="0" max="3" min="3" style="0" width="25.85"/>
    <col collapsed="false" customWidth="true" hidden="false" outlineLevel="0" max="4" min="4" style="0" width="23.28"/>
    <col collapsed="false" customWidth="true" hidden="false" outlineLevel="0" max="5" min="5" style="0" width="30.85"/>
    <col collapsed="false" customWidth="true" hidden="false" outlineLevel="0" max="6" min="6" style="0" width="24.41"/>
    <col collapsed="false" customWidth="true" hidden="false" outlineLevel="0" max="7" min="7" style="0" width="28.85"/>
    <col collapsed="false" customWidth="true" hidden="false" outlineLevel="0" max="8" min="8" style="0" width="18.41"/>
    <col collapsed="false" customWidth="true" hidden="false" outlineLevel="0" max="9" min="9" style="0" width="26.42"/>
    <col collapsed="false" customWidth="true" hidden="false" outlineLevel="0" max="22" min="10" style="0" width="7.28"/>
  </cols>
  <sheetData>
    <row r="1" customFormat="false" ht="33.75" hidden="false" customHeight="false" outlineLevel="0" collapsed="false">
      <c r="A1" s="1" t="s">
        <v>0</v>
      </c>
    </row>
    <row r="4" customFormat="false" ht="12.75" hidden="false" customHeight="false" outlineLevel="0" collapsed="false">
      <c r="A4" s="2" t="s">
        <v>1</v>
      </c>
      <c r="B4" s="3" t="s">
        <v>2</v>
      </c>
      <c r="C4" s="3" t="s">
        <v>2</v>
      </c>
      <c r="D4" s="3" t="s">
        <v>3</v>
      </c>
      <c r="E4" s="3" t="s">
        <v>3</v>
      </c>
      <c r="F4" s="3" t="s">
        <v>4</v>
      </c>
      <c r="G4" s="3" t="s">
        <v>4</v>
      </c>
      <c r="H4" s="3" t="s">
        <v>4</v>
      </c>
      <c r="I4" s="3" t="s">
        <v>4</v>
      </c>
      <c r="J4" s="4"/>
      <c r="K4" s="4"/>
      <c r="L4" s="4"/>
      <c r="M4" s="4"/>
      <c r="N4" s="5"/>
    </row>
    <row r="5" customFormat="false" ht="12.75" hidden="false" customHeight="false" outlineLevel="0" collapsed="false">
      <c r="A5" s="6" t="s">
        <v>5</v>
      </c>
      <c r="B5" s="7" t="s">
        <v>6</v>
      </c>
      <c r="C5" s="7" t="s">
        <v>7</v>
      </c>
      <c r="D5" s="7" t="s">
        <v>6</v>
      </c>
      <c r="E5" s="7" t="s">
        <v>7</v>
      </c>
      <c r="F5" s="7" t="s">
        <v>6</v>
      </c>
      <c r="G5" s="7" t="s">
        <v>7</v>
      </c>
      <c r="H5" s="7" t="s">
        <v>6</v>
      </c>
      <c r="I5" s="7" t="s">
        <v>7</v>
      </c>
      <c r="J5" s="8"/>
      <c r="K5" s="8"/>
      <c r="L5" s="8"/>
      <c r="M5" s="8"/>
      <c r="N5" s="9"/>
    </row>
    <row r="6" customFormat="false" ht="12.75" hidden="false" customHeight="false" outlineLevel="0" collapsed="false">
      <c r="A6" s="10" t="s">
        <v>8</v>
      </c>
      <c r="B6" s="11" t="s">
        <v>9</v>
      </c>
      <c r="C6" s="11" t="s">
        <v>9</v>
      </c>
      <c r="D6" s="11"/>
      <c r="E6" s="11"/>
      <c r="F6" s="11"/>
      <c r="G6" s="11"/>
      <c r="H6" s="11"/>
      <c r="I6" s="11"/>
      <c r="J6" s="12"/>
      <c r="K6" s="12"/>
      <c r="L6" s="12"/>
      <c r="M6" s="12"/>
      <c r="N6" s="13"/>
    </row>
    <row r="7" customFormat="false" ht="12.75" hidden="false" customHeight="false" outlineLevel="0" collapsed="false">
      <c r="A7" s="14" t="s">
        <v>10</v>
      </c>
      <c r="B7" s="15" t="s">
        <v>11</v>
      </c>
      <c r="C7" s="15" t="s">
        <v>11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11</v>
      </c>
      <c r="I7" s="15" t="s">
        <v>11</v>
      </c>
      <c r="J7" s="16"/>
      <c r="K7" s="16"/>
      <c r="L7" s="16"/>
      <c r="M7" s="16"/>
      <c r="N7" s="17"/>
    </row>
    <row r="8" customFormat="false" ht="12.75" hidden="false" customHeight="false" outlineLevel="0" collapsed="false">
      <c r="A8" s="18" t="s">
        <v>13</v>
      </c>
      <c r="B8" s="19" t="str">
        <f aca="false">+CONCATENATE(B4,B5,B6)</f>
        <v>QATARELBASUEZ</v>
      </c>
      <c r="C8" s="19" t="str">
        <f aca="false">+CONCATENATE(C4,C5,C6)</f>
        <v>QATARLAKE CHARLESSUEZ</v>
      </c>
      <c r="D8" s="19" t="str">
        <f aca="false">+CONCATENATE(D4,D5,D6)</f>
        <v>VENEZUELAELBA</v>
      </c>
      <c r="E8" s="19" t="str">
        <f aca="false">+CONCATENATE(E4,E5,E6)</f>
        <v>VENEZUELALAKE CHARLES</v>
      </c>
      <c r="F8" s="19" t="str">
        <f aca="false">+CONCATENATE(F4,F5,F6)</f>
        <v>ALGERIAELBA</v>
      </c>
      <c r="G8" s="19" t="str">
        <f aca="false">+CONCATENATE(G4,G5,G6)</f>
        <v>ALGERIALAKE CHARLES</v>
      </c>
      <c r="H8" s="19" t="str">
        <f aca="false">+CONCATENATE(H4,H5,H6)</f>
        <v>ALGERIAELBA</v>
      </c>
      <c r="I8" s="19" t="str">
        <f aca="false">+CONCATENATE(I4,I5,I6)</f>
        <v>ALGERIALAKE CHARLES</v>
      </c>
      <c r="J8" s="20"/>
      <c r="K8" s="20"/>
      <c r="L8" s="20"/>
      <c r="M8" s="20"/>
      <c r="N8" s="21"/>
    </row>
    <row r="9" customFormat="false" ht="12.75" hidden="false" customHeight="false" outlineLevel="0" collapsed="false">
      <c r="A9" s="18" t="s">
        <v>14</v>
      </c>
      <c r="B9" s="19" t="str">
        <f aca="false">+CONCATENATE(B4,B5,B6,B7)</f>
        <v>QATARELBASUEZHG</v>
      </c>
      <c r="C9" s="19" t="str">
        <f aca="false">+CONCATENATE(C4,C5,C6,C7)</f>
        <v>QATARLAKE CHARLESSUEZHG</v>
      </c>
      <c r="D9" s="19" t="str">
        <f aca="false">+CONCATENATE(D4,D5,D6,D7)</f>
        <v>VENEZUELAELBAEXMAR</v>
      </c>
      <c r="E9" s="19" t="str">
        <f aca="false">+CONCATENATE(E4,E5,E6,E7)</f>
        <v>VENEZUELALAKE CHARLESEXMAR</v>
      </c>
      <c r="F9" s="19" t="str">
        <f aca="false">+CONCATENATE(F4,F5,F6,F7)</f>
        <v>ALGERIAELBAEXMAR</v>
      </c>
      <c r="G9" s="19" t="str">
        <f aca="false">+CONCATENATE(G4,G5,G6,G7)</f>
        <v>ALGERIALAKE CHARLESEXMAR</v>
      </c>
      <c r="H9" s="19" t="str">
        <f aca="false">+CONCATENATE(H4,H5,H6,H7)</f>
        <v>ALGERIAELBAHG</v>
      </c>
      <c r="I9" s="19" t="str">
        <f aca="false">+CONCATENATE(I4,I5,I6,I7)</f>
        <v>ALGERIALAKE CHARLESHG</v>
      </c>
      <c r="J9" s="20"/>
      <c r="K9" s="20"/>
      <c r="L9" s="20"/>
      <c r="M9" s="20"/>
      <c r="N9" s="21"/>
    </row>
    <row r="10" customFormat="false" ht="12.75" hidden="false" customHeight="false" outlineLevel="0" collapsed="false">
      <c r="A10" s="22" t="n">
        <f aca="false">+SHIPS!B26</f>
        <v>36708</v>
      </c>
      <c r="B10" s="23" t="n">
        <f aca="false">(+VLOOKUP($A10,FIXED_CHARTER_COST,HLOOKUP(B$7,FIXED_CHARTER_COST,2,0)+1,0)+VLOOKUP($A10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10" s="23" t="n">
        <f aca="false">(+VLOOKUP($A10,FIXED_CHARTER_COST,HLOOKUP(C$7,FIXED_CHARTER_COST,2,0)+1,0)+VLOOKUP($A10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10" s="23" t="n">
        <f aca="false">(+VLOOKUP($A10,FIXED_CHARTER_COST,HLOOKUP(D$7,FIXED_CHARTER_COST,2,0)+1,0)+VLOOKUP($A10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0.0907775766961173</v>
      </c>
      <c r="E10" s="23" t="n">
        <f aca="false">(+VLOOKUP($A10,FIXED_CHARTER_COST,HLOOKUP(E$7,FIXED_CHARTER_COST,2,0)+1,0)+VLOOKUP($A10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0.101044382874806</v>
      </c>
      <c r="F10" s="23" t="n">
        <f aca="false">(+VLOOKUP($A10,FIXED_CHARTER_COST,HLOOKUP(F$7,FIXED_CHARTER_COST,2,0)+1,0)+VLOOKUP($A10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0.186682214718704</v>
      </c>
      <c r="G10" s="23" t="n">
        <f aca="false">(+VLOOKUP($A10,FIXED_CHARTER_COST,HLOOKUP(G$7,FIXED_CHARTER_COST,2,0)+1,0)+VLOOKUP($A10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0.217305000087892</v>
      </c>
      <c r="H10" s="23" t="n">
        <f aca="false">(+VLOOKUP($A10,FIXED_CHARTER_COST,HLOOKUP(H$7,FIXED_CHARTER_COST,2,0)+1,0)+VLOOKUP($A10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10" s="23" t="n">
        <f aca="false">(+VLOOKUP($A10,FIXED_CHARTER_COST,HLOOKUP(I$7,FIXED_CHARTER_COST,2,0)+1,0)+VLOOKUP($A10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11" customFormat="false" ht="12.75" hidden="false" customHeight="false" outlineLevel="0" collapsed="false">
      <c r="A11" s="22" t="n">
        <f aca="false">+SHIPS!B27</f>
        <v>36739</v>
      </c>
      <c r="B11" s="23" t="n">
        <f aca="false">(+VLOOKUP($A11,FIXED_CHARTER_COST,HLOOKUP(B$7,FIXED_CHARTER_COST,2,0)+1,0)+VLOOKUP($A11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11" s="23" t="n">
        <f aca="false">(+VLOOKUP($A11,FIXED_CHARTER_COST,HLOOKUP(C$7,FIXED_CHARTER_COST,2,0)+1,0)+VLOOKUP($A11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11" s="23" t="n">
        <f aca="false">(+VLOOKUP($A11,FIXED_CHARTER_COST,HLOOKUP(D$7,FIXED_CHARTER_COST,2,0)+1,0)+VLOOKUP($A11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0.0907775766961173</v>
      </c>
      <c r="E11" s="23" t="n">
        <f aca="false">(+VLOOKUP($A11,FIXED_CHARTER_COST,HLOOKUP(E$7,FIXED_CHARTER_COST,2,0)+1,0)+VLOOKUP($A11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0.101044382874806</v>
      </c>
      <c r="F11" s="23" t="n">
        <f aca="false">(+VLOOKUP($A11,FIXED_CHARTER_COST,HLOOKUP(F$7,FIXED_CHARTER_COST,2,0)+1,0)+VLOOKUP($A11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0.186682214718704</v>
      </c>
      <c r="G11" s="23" t="n">
        <f aca="false">(+VLOOKUP($A11,FIXED_CHARTER_COST,HLOOKUP(G$7,FIXED_CHARTER_COST,2,0)+1,0)+VLOOKUP($A11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0.217305000087892</v>
      </c>
      <c r="H11" s="23" t="n">
        <f aca="false">(+VLOOKUP($A11,FIXED_CHARTER_COST,HLOOKUP(H$7,FIXED_CHARTER_COST,2,0)+1,0)+VLOOKUP($A11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11" s="23" t="n">
        <f aca="false">(+VLOOKUP($A11,FIXED_CHARTER_COST,HLOOKUP(I$7,FIXED_CHARTER_COST,2,0)+1,0)+VLOOKUP($A11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12" customFormat="false" ht="12.75" hidden="false" customHeight="false" outlineLevel="0" collapsed="false">
      <c r="A12" s="22" t="n">
        <f aca="false">+SHIPS!B28</f>
        <v>36770</v>
      </c>
      <c r="B12" s="23" t="n">
        <f aca="false">(+VLOOKUP($A12,FIXED_CHARTER_COST,HLOOKUP(B$7,FIXED_CHARTER_COST,2,0)+1,0)+VLOOKUP($A12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12" s="23" t="n">
        <f aca="false">(+VLOOKUP($A12,FIXED_CHARTER_COST,HLOOKUP(C$7,FIXED_CHARTER_COST,2,0)+1,0)+VLOOKUP($A12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12" s="23" t="n">
        <f aca="false">(+VLOOKUP($A12,FIXED_CHARTER_COST,HLOOKUP(D$7,FIXED_CHARTER_COST,2,0)+1,0)+VLOOKUP($A12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0.0907775766961173</v>
      </c>
      <c r="E12" s="23" t="n">
        <f aca="false">(+VLOOKUP($A12,FIXED_CHARTER_COST,HLOOKUP(E$7,FIXED_CHARTER_COST,2,0)+1,0)+VLOOKUP($A12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0.101044382874806</v>
      </c>
      <c r="F12" s="23" t="n">
        <f aca="false">(+VLOOKUP($A12,FIXED_CHARTER_COST,HLOOKUP(F$7,FIXED_CHARTER_COST,2,0)+1,0)+VLOOKUP($A12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0.186682214718704</v>
      </c>
      <c r="G12" s="23" t="n">
        <f aca="false">(+VLOOKUP($A12,FIXED_CHARTER_COST,HLOOKUP(G$7,FIXED_CHARTER_COST,2,0)+1,0)+VLOOKUP($A12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0.217305000087892</v>
      </c>
      <c r="H12" s="23" t="n">
        <f aca="false">(+VLOOKUP($A12,FIXED_CHARTER_COST,HLOOKUP(H$7,FIXED_CHARTER_COST,2,0)+1,0)+VLOOKUP($A12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12" s="23" t="n">
        <f aca="false">(+VLOOKUP($A12,FIXED_CHARTER_COST,HLOOKUP(I$7,FIXED_CHARTER_COST,2,0)+1,0)+VLOOKUP($A12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13" customFormat="false" ht="12.75" hidden="false" customHeight="false" outlineLevel="0" collapsed="false">
      <c r="A13" s="22" t="n">
        <f aca="false">+SHIPS!B29</f>
        <v>36800</v>
      </c>
      <c r="B13" s="23" t="n">
        <f aca="false">(+VLOOKUP($A13,FIXED_CHARTER_COST,HLOOKUP(B$7,FIXED_CHARTER_COST,2,0)+1,0)+VLOOKUP($A13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13" s="23" t="n">
        <f aca="false">(+VLOOKUP($A13,FIXED_CHARTER_COST,HLOOKUP(C$7,FIXED_CHARTER_COST,2,0)+1,0)+VLOOKUP($A13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13" s="23" t="n">
        <f aca="false">(+VLOOKUP($A13,FIXED_CHARTER_COST,HLOOKUP(D$7,FIXED_CHARTER_COST,2,0)+1,0)+VLOOKUP($A13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0.0907775766961173</v>
      </c>
      <c r="E13" s="23" t="n">
        <f aca="false">(+VLOOKUP($A13,FIXED_CHARTER_COST,HLOOKUP(E$7,FIXED_CHARTER_COST,2,0)+1,0)+VLOOKUP($A13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0.101044382874806</v>
      </c>
      <c r="F13" s="23" t="n">
        <f aca="false">(+VLOOKUP($A13,FIXED_CHARTER_COST,HLOOKUP(F$7,FIXED_CHARTER_COST,2,0)+1,0)+VLOOKUP($A13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0.186682214718704</v>
      </c>
      <c r="G13" s="23" t="n">
        <f aca="false">(+VLOOKUP($A13,FIXED_CHARTER_COST,HLOOKUP(G$7,FIXED_CHARTER_COST,2,0)+1,0)+VLOOKUP($A13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0.217305000087892</v>
      </c>
      <c r="H13" s="23" t="n">
        <f aca="false">(+VLOOKUP($A13,FIXED_CHARTER_COST,HLOOKUP(H$7,FIXED_CHARTER_COST,2,0)+1,0)+VLOOKUP($A13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13" s="23" t="n">
        <f aca="false">(+VLOOKUP($A13,FIXED_CHARTER_COST,HLOOKUP(I$7,FIXED_CHARTER_COST,2,0)+1,0)+VLOOKUP($A13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14" customFormat="false" ht="12.75" hidden="false" customHeight="false" outlineLevel="0" collapsed="false">
      <c r="A14" s="22" t="n">
        <f aca="false">+SHIPS!B30</f>
        <v>36831</v>
      </c>
      <c r="B14" s="23" t="n">
        <f aca="false">(+VLOOKUP($A14,FIXED_CHARTER_COST,HLOOKUP(B$7,FIXED_CHARTER_COST,2,0)+1,0)+VLOOKUP($A14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1.17969450141344</v>
      </c>
      <c r="C14" s="23" t="n">
        <f aca="false">(+VLOOKUP($A14,FIXED_CHARTER_COST,HLOOKUP(C$7,FIXED_CHARTER_COST,2,0)+1,0)+VLOOKUP($A14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1.28128370358715</v>
      </c>
      <c r="D14" s="23" t="n">
        <f aca="false">(+VLOOKUP($A14,FIXED_CHARTER_COST,HLOOKUP(D$7,FIXED_CHARTER_COST,2,0)+1,0)+VLOOKUP($A14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0.0907775766961173</v>
      </c>
      <c r="E14" s="23" t="n">
        <f aca="false">(+VLOOKUP($A14,FIXED_CHARTER_COST,HLOOKUP(E$7,FIXED_CHARTER_COST,2,0)+1,0)+VLOOKUP($A14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0.101044382874806</v>
      </c>
      <c r="F14" s="23" t="n">
        <f aca="false">(+VLOOKUP($A14,FIXED_CHARTER_COST,HLOOKUP(F$7,FIXED_CHARTER_COST,2,0)+1,0)+VLOOKUP($A14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0.186682214718704</v>
      </c>
      <c r="G14" s="23" t="n">
        <f aca="false">(+VLOOKUP($A14,FIXED_CHARTER_COST,HLOOKUP(G$7,FIXED_CHARTER_COST,2,0)+1,0)+VLOOKUP($A14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0.217305000087892</v>
      </c>
      <c r="H14" s="23" t="n">
        <f aca="false">(+VLOOKUP($A14,FIXED_CHARTER_COST,HLOOKUP(H$7,FIXED_CHARTER_COST,2,0)+1,0)+VLOOKUP($A14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0.519092031789677</v>
      </c>
      <c r="I14" s="23" t="n">
        <f aca="false">(+VLOOKUP($A14,FIXED_CHARTER_COST,HLOOKUP(I$7,FIXED_CHARTER_COST,2,0)+1,0)+VLOOKUP($A14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0.620681233963387</v>
      </c>
    </row>
    <row r="15" customFormat="false" ht="12.75" hidden="false" customHeight="false" outlineLevel="0" collapsed="false">
      <c r="A15" s="22" t="n">
        <f aca="false">+SHIPS!B31</f>
        <v>36861</v>
      </c>
      <c r="B15" s="23" t="n">
        <f aca="false">(+VLOOKUP($A15,FIXED_CHARTER_COST,HLOOKUP(B$7,FIXED_CHARTER_COST,2,0)+1,0)+VLOOKUP($A15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1.17969450141344</v>
      </c>
      <c r="C15" s="23" t="n">
        <f aca="false">(+VLOOKUP($A15,FIXED_CHARTER_COST,HLOOKUP(C$7,FIXED_CHARTER_COST,2,0)+1,0)+VLOOKUP($A15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1.28128370358715</v>
      </c>
      <c r="D15" s="23" t="n">
        <f aca="false">(+VLOOKUP($A15,FIXED_CHARTER_COST,HLOOKUP(D$7,FIXED_CHARTER_COST,2,0)+1,0)+VLOOKUP($A15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0.0907775766961173</v>
      </c>
      <c r="E15" s="23" t="n">
        <f aca="false">(+VLOOKUP($A15,FIXED_CHARTER_COST,HLOOKUP(E$7,FIXED_CHARTER_COST,2,0)+1,0)+VLOOKUP($A15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0.101044382874806</v>
      </c>
      <c r="F15" s="23" t="n">
        <f aca="false">(+VLOOKUP($A15,FIXED_CHARTER_COST,HLOOKUP(F$7,FIXED_CHARTER_COST,2,0)+1,0)+VLOOKUP($A15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0.186682214718704</v>
      </c>
      <c r="G15" s="23" t="n">
        <f aca="false">(+VLOOKUP($A15,FIXED_CHARTER_COST,HLOOKUP(G$7,FIXED_CHARTER_COST,2,0)+1,0)+VLOOKUP($A15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0.217305000087892</v>
      </c>
      <c r="H15" s="23" t="n">
        <f aca="false">(+VLOOKUP($A15,FIXED_CHARTER_COST,HLOOKUP(H$7,FIXED_CHARTER_COST,2,0)+1,0)+VLOOKUP($A15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0.519092031789677</v>
      </c>
      <c r="I15" s="23" t="n">
        <f aca="false">(+VLOOKUP($A15,FIXED_CHARTER_COST,HLOOKUP(I$7,FIXED_CHARTER_COST,2,0)+1,0)+VLOOKUP($A15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0.620681233963387</v>
      </c>
    </row>
    <row r="16" customFormat="false" ht="12.75" hidden="false" customHeight="false" outlineLevel="0" collapsed="false">
      <c r="A16" s="24" t="n">
        <f aca="false">+SHIPS!B32</f>
        <v>36892</v>
      </c>
      <c r="B16" s="23" t="n">
        <f aca="false">(+VLOOKUP($A16,FIXED_CHARTER_COST,HLOOKUP(B$7,FIXED_CHARTER_COST,2,0)+1,0)+VLOOKUP($A16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1.17969450141344</v>
      </c>
      <c r="C16" s="23" t="n">
        <f aca="false">(+VLOOKUP($A16,FIXED_CHARTER_COST,HLOOKUP(C$7,FIXED_CHARTER_COST,2,0)+1,0)+VLOOKUP($A16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1.28128370358715</v>
      </c>
      <c r="D16" s="23" t="n">
        <f aca="false">(+VLOOKUP($A16,FIXED_CHARTER_COST,HLOOKUP(D$7,FIXED_CHARTER_COST,2,0)+1,0)+VLOOKUP($A16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0.0907775766961173</v>
      </c>
      <c r="E16" s="23" t="n">
        <f aca="false">(+VLOOKUP($A16,FIXED_CHARTER_COST,HLOOKUP(E$7,FIXED_CHARTER_COST,2,0)+1,0)+VLOOKUP($A16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0.101044382874806</v>
      </c>
      <c r="F16" s="23" t="n">
        <f aca="false">(+VLOOKUP($A16,FIXED_CHARTER_COST,HLOOKUP(F$7,FIXED_CHARTER_COST,2,0)+1,0)+VLOOKUP($A16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0.186682214718704</v>
      </c>
      <c r="G16" s="23" t="n">
        <f aca="false">(+VLOOKUP($A16,FIXED_CHARTER_COST,HLOOKUP(G$7,FIXED_CHARTER_COST,2,0)+1,0)+VLOOKUP($A16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0.217305000087892</v>
      </c>
      <c r="H16" s="23" t="n">
        <f aca="false">(+VLOOKUP($A16,FIXED_CHARTER_COST,HLOOKUP(H$7,FIXED_CHARTER_COST,2,0)+1,0)+VLOOKUP($A16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0.519092031789677</v>
      </c>
      <c r="I16" s="23" t="n">
        <f aca="false">(+VLOOKUP($A16,FIXED_CHARTER_COST,HLOOKUP(I$7,FIXED_CHARTER_COST,2,0)+1,0)+VLOOKUP($A16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0.620681233963387</v>
      </c>
    </row>
    <row r="17" customFormat="false" ht="12.75" hidden="false" customHeight="false" outlineLevel="0" collapsed="false">
      <c r="A17" s="22" t="n">
        <f aca="false">+SHIPS!B33</f>
        <v>36923</v>
      </c>
      <c r="B17" s="23" t="n">
        <f aca="false">(+VLOOKUP($A17,FIXED_CHARTER_COST,HLOOKUP(B$7,FIXED_CHARTER_COST,2,0)+1,0)+VLOOKUP($A17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1.17969450141344</v>
      </c>
      <c r="C17" s="23" t="n">
        <f aca="false">(+VLOOKUP($A17,FIXED_CHARTER_COST,HLOOKUP(C$7,FIXED_CHARTER_COST,2,0)+1,0)+VLOOKUP($A17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1.28128370358715</v>
      </c>
      <c r="D17" s="23" t="n">
        <f aca="false">(+VLOOKUP($A17,FIXED_CHARTER_COST,HLOOKUP(D$7,FIXED_CHARTER_COST,2,0)+1,0)+VLOOKUP($A17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0.0907775766961173</v>
      </c>
      <c r="E17" s="23" t="n">
        <f aca="false">(+VLOOKUP($A17,FIXED_CHARTER_COST,HLOOKUP(E$7,FIXED_CHARTER_COST,2,0)+1,0)+VLOOKUP($A17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0.101044382874806</v>
      </c>
      <c r="F17" s="23" t="n">
        <f aca="false">(+VLOOKUP($A17,FIXED_CHARTER_COST,HLOOKUP(F$7,FIXED_CHARTER_COST,2,0)+1,0)+VLOOKUP($A17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0.186682214718704</v>
      </c>
      <c r="G17" s="23" t="n">
        <f aca="false">(+VLOOKUP($A17,FIXED_CHARTER_COST,HLOOKUP(G$7,FIXED_CHARTER_COST,2,0)+1,0)+VLOOKUP($A17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0.217305000087892</v>
      </c>
      <c r="H17" s="23" t="n">
        <f aca="false">(+VLOOKUP($A17,FIXED_CHARTER_COST,HLOOKUP(H$7,FIXED_CHARTER_COST,2,0)+1,0)+VLOOKUP($A17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0.519092031789677</v>
      </c>
      <c r="I17" s="23" t="n">
        <f aca="false">(+VLOOKUP($A17,FIXED_CHARTER_COST,HLOOKUP(I$7,FIXED_CHARTER_COST,2,0)+1,0)+VLOOKUP($A17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0.620681233963387</v>
      </c>
    </row>
    <row r="18" customFormat="false" ht="12.75" hidden="false" customHeight="false" outlineLevel="0" collapsed="false">
      <c r="A18" s="22" t="n">
        <f aca="false">+SHIPS!B34</f>
        <v>36951</v>
      </c>
      <c r="B18" s="23" t="n">
        <f aca="false">(+VLOOKUP($A18,FIXED_CHARTER_COST,HLOOKUP(B$7,FIXED_CHARTER_COST,2,0)+1,0)+VLOOKUP($A18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1.1803803501591</v>
      </c>
      <c r="C18" s="23" t="n">
        <f aca="false">(+VLOOKUP($A18,FIXED_CHARTER_COST,HLOOKUP(C$7,FIXED_CHARTER_COST,2,0)+1,0)+VLOOKUP($A18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1.28204099491048</v>
      </c>
      <c r="D18" s="23" t="n">
        <f aca="false">(+VLOOKUP($A18,FIXED_CHARTER_COST,HLOOKUP(D$7,FIXED_CHARTER_COST,2,0)+1,0)+VLOOKUP($A18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0.0907775766961173</v>
      </c>
      <c r="E18" s="23" t="n">
        <f aca="false">(+VLOOKUP($A18,FIXED_CHARTER_COST,HLOOKUP(E$7,FIXED_CHARTER_COST,2,0)+1,0)+VLOOKUP($A18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0.101044382874806</v>
      </c>
      <c r="F18" s="23" t="n">
        <f aca="false">(+VLOOKUP($A18,FIXED_CHARTER_COST,HLOOKUP(F$7,FIXED_CHARTER_COST,2,0)+1,0)+VLOOKUP($A18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0.186682214718704</v>
      </c>
      <c r="G18" s="23" t="n">
        <f aca="false">(+VLOOKUP($A18,FIXED_CHARTER_COST,HLOOKUP(G$7,FIXED_CHARTER_COST,2,0)+1,0)+VLOOKUP($A18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0.217305000087892</v>
      </c>
      <c r="H18" s="23" t="n">
        <f aca="false">(+VLOOKUP($A18,FIXED_CHARTER_COST,HLOOKUP(H$7,FIXED_CHARTER_COST,2,0)+1,0)+VLOOKUP($A18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0.519406379131438</v>
      </c>
      <c r="I18" s="23" t="n">
        <f aca="false">(+VLOOKUP($A18,FIXED_CHARTER_COST,HLOOKUP(I$7,FIXED_CHARTER_COST,2,0)+1,0)+VLOOKUP($A18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0.621067023882821</v>
      </c>
    </row>
    <row r="19" customFormat="false" ht="12.75" hidden="false" customHeight="false" outlineLevel="0" collapsed="false">
      <c r="A19" s="22" t="n">
        <f aca="false">+SHIPS!B35</f>
        <v>36982</v>
      </c>
      <c r="B19" s="23" t="n">
        <f aca="false">(+VLOOKUP($A19,FIXED_CHARTER_COST,HLOOKUP(B$7,FIXED_CHARTER_COST,2,0)+1,0)+VLOOKUP($A19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1.18106762775631</v>
      </c>
      <c r="C19" s="23" t="n">
        <f aca="false">(+VLOOKUP($A19,FIXED_CHARTER_COST,HLOOKUP(C$7,FIXED_CHARTER_COST,2,0)+1,0)+VLOOKUP($A19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1.28279986392407</v>
      </c>
      <c r="D19" s="23" t="n">
        <f aca="false">(+VLOOKUP($A19,FIXED_CHARTER_COST,HLOOKUP(D$7,FIXED_CHARTER_COST,2,0)+1,0)+VLOOKUP($A19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0.0907775766961173</v>
      </c>
      <c r="E19" s="23" t="n">
        <f aca="false">(+VLOOKUP($A19,FIXED_CHARTER_COST,HLOOKUP(E$7,FIXED_CHARTER_COST,2,0)+1,0)+VLOOKUP($A19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0.101044382874806</v>
      </c>
      <c r="F19" s="23" t="n">
        <f aca="false">(+VLOOKUP($A19,FIXED_CHARTER_COST,HLOOKUP(F$7,FIXED_CHARTER_COST,2,0)+1,0)+VLOOKUP($A19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0.186682214718704</v>
      </c>
      <c r="G19" s="23" t="n">
        <f aca="false">(+VLOOKUP($A19,FIXED_CHARTER_COST,HLOOKUP(G$7,FIXED_CHARTER_COST,2,0)+1,0)+VLOOKUP($A19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0.217305000087892</v>
      </c>
      <c r="H19" s="23" t="n">
        <f aca="false">(+VLOOKUP($A19,FIXED_CHARTER_COST,HLOOKUP(H$7,FIXED_CHARTER_COST,2,0)+1,0)+VLOOKUP($A19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0.519721381363495</v>
      </c>
      <c r="I19" s="23" t="n">
        <f aca="false">(+VLOOKUP($A19,FIXED_CHARTER_COST,HLOOKUP(I$7,FIXED_CHARTER_COST,2,0)+1,0)+VLOOKUP($A19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0.621453617531254</v>
      </c>
    </row>
    <row r="20" customFormat="false" ht="12.75" hidden="false" customHeight="false" outlineLevel="0" collapsed="false">
      <c r="A20" s="22" t="n">
        <f aca="false">+SHIPS!B36</f>
        <v>37012</v>
      </c>
      <c r="B20" s="23" t="n">
        <f aca="false">(+VLOOKUP($A20,FIXED_CHARTER_COST,HLOOKUP(B$7,FIXED_CHARTER_COST,2,0)+1,0)+VLOOKUP($A20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1.18175633718185</v>
      </c>
      <c r="C20" s="23" t="n">
        <f aca="false">(+VLOOKUP($A20,FIXED_CHARTER_COST,HLOOKUP(C$7,FIXED_CHARTER_COST,2,0)+1,0)+VLOOKUP($A20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1.28356031391477</v>
      </c>
      <c r="D20" s="23" t="n">
        <f aca="false">(+VLOOKUP($A20,FIXED_CHARTER_COST,HLOOKUP(D$7,FIXED_CHARTER_COST,2,0)+1,0)+VLOOKUP($A20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0.0907775766961173</v>
      </c>
      <c r="E20" s="23" t="n">
        <f aca="false">(+VLOOKUP($A20,FIXED_CHARTER_COST,HLOOKUP(E$7,FIXED_CHARTER_COST,2,0)+1,0)+VLOOKUP($A20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0.101044382874806</v>
      </c>
      <c r="F20" s="23" t="n">
        <f aca="false">(+VLOOKUP($A20,FIXED_CHARTER_COST,HLOOKUP(F$7,FIXED_CHARTER_COST,2,0)+1,0)+VLOOKUP($A20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0.186682214718704</v>
      </c>
      <c r="G20" s="23" t="n">
        <f aca="false">(+VLOOKUP($A20,FIXED_CHARTER_COST,HLOOKUP(G$7,FIXED_CHARTER_COST,2,0)+1,0)+VLOOKUP($A20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0.217305000087892</v>
      </c>
      <c r="H20" s="23" t="n">
        <f aca="false">(+VLOOKUP($A20,FIXED_CHARTER_COST,HLOOKUP(H$7,FIXED_CHARTER_COST,2,0)+1,0)+VLOOKUP($A20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0.520037039850202</v>
      </c>
      <c r="I20" s="23" t="n">
        <f aca="false">(+VLOOKUP($A20,FIXED_CHARTER_COST,HLOOKUP(I$7,FIXED_CHARTER_COST,2,0)+1,0)+VLOOKUP($A20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0.621841016583121</v>
      </c>
    </row>
    <row r="21" customFormat="false" ht="12.75" hidden="false" customHeight="false" outlineLevel="0" collapsed="false">
      <c r="A21" s="22" t="n">
        <f aca="false">+SHIPS!B37</f>
        <v>37043</v>
      </c>
      <c r="B21" s="23" t="n">
        <f aca="false">(+VLOOKUP($A21,FIXED_CHARTER_COST,HLOOKUP(B$7,FIXED_CHARTER_COST,2,0)+1,0)+VLOOKUP($A21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1.1824464814187</v>
      </c>
      <c r="C21" s="23" t="n">
        <f aca="false">(+VLOOKUP($A21,FIXED_CHARTER_COST,HLOOKUP(C$7,FIXED_CHARTER_COST,2,0)+1,0)+VLOOKUP($A21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1.28432234817629</v>
      </c>
      <c r="D21" s="23" t="n">
        <f aca="false">(+VLOOKUP($A21,FIXED_CHARTER_COST,HLOOKUP(D$7,FIXED_CHARTER_COST,2,0)+1,0)+VLOOKUP($A21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0.0907775766961173</v>
      </c>
      <c r="E21" s="23" t="n">
        <f aca="false">(+VLOOKUP($A21,FIXED_CHARTER_COST,HLOOKUP(E$7,FIXED_CHARTER_COST,2,0)+1,0)+VLOOKUP($A21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0.101044382874806</v>
      </c>
      <c r="F21" s="23" t="n">
        <f aca="false">(+VLOOKUP($A21,FIXED_CHARTER_COST,HLOOKUP(F$7,FIXED_CHARTER_COST,2,0)+1,0)+VLOOKUP($A21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0.186682214718704</v>
      </c>
      <c r="G21" s="23" t="n">
        <f aca="false">(+VLOOKUP($A21,FIXED_CHARTER_COST,HLOOKUP(G$7,FIXED_CHARTER_COST,2,0)+1,0)+VLOOKUP($A21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0.217305000087892</v>
      </c>
      <c r="H21" s="23" t="n">
        <f aca="false">(+VLOOKUP($A21,FIXED_CHARTER_COST,HLOOKUP(H$7,FIXED_CHARTER_COST,2,0)+1,0)+VLOOKUP($A21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0.520353355958756</v>
      </c>
      <c r="I21" s="23" t="n">
        <f aca="false">(+VLOOKUP($A21,FIXED_CHARTER_COST,HLOOKUP(I$7,FIXED_CHARTER_COST,2,0)+1,0)+VLOOKUP($A21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0.622229222716347</v>
      </c>
    </row>
    <row r="22" customFormat="false" ht="12.75" hidden="false" customHeight="false" outlineLevel="0" collapsed="false">
      <c r="A22" s="22" t="n">
        <f aca="false">+SHIPS!B38</f>
        <v>37073</v>
      </c>
      <c r="B22" s="23" t="n">
        <f aca="false">(+VLOOKUP($A22,FIXED_CHARTER_COST,HLOOKUP(B$7,FIXED_CHARTER_COST,2,0)+1,0)+VLOOKUP($A22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1.18313806345604</v>
      </c>
      <c r="C22" s="23" t="n">
        <f aca="false">(+VLOOKUP($A22,FIXED_CHARTER_COST,HLOOKUP(C$7,FIXED_CHARTER_COST,2,0)+1,0)+VLOOKUP($A22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1.28508597000918</v>
      </c>
      <c r="D22" s="23" t="n">
        <f aca="false">(+VLOOKUP($A22,FIXED_CHARTER_COST,HLOOKUP(D$7,FIXED_CHARTER_COST,2,0)+1,0)+VLOOKUP($A22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0.0907775766961173</v>
      </c>
      <c r="E22" s="23" t="n">
        <f aca="false">(+VLOOKUP($A22,FIXED_CHARTER_COST,HLOOKUP(E$7,FIXED_CHARTER_COST,2,0)+1,0)+VLOOKUP($A22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0.101044382874806</v>
      </c>
      <c r="F22" s="23" t="n">
        <f aca="false">(+VLOOKUP($A22,FIXED_CHARTER_COST,HLOOKUP(F$7,FIXED_CHARTER_COST,2,0)+1,0)+VLOOKUP($A22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0.186682214718704</v>
      </c>
      <c r="G22" s="23" t="n">
        <f aca="false">(+VLOOKUP($A22,FIXED_CHARTER_COST,HLOOKUP(G$7,FIXED_CHARTER_COST,2,0)+1,0)+VLOOKUP($A22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0.217305000087892</v>
      </c>
      <c r="H22" s="23" t="n">
        <f aca="false">(+VLOOKUP($A22,FIXED_CHARTER_COST,HLOOKUP(H$7,FIXED_CHARTER_COST,2,0)+1,0)+VLOOKUP($A22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0.520670331059203</v>
      </c>
      <c r="I22" s="23" t="n">
        <f aca="false">(+VLOOKUP($A22,FIXED_CHARTER_COST,HLOOKUP(I$7,FIXED_CHARTER_COST,2,0)+1,0)+VLOOKUP($A22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0.62261823761235</v>
      </c>
    </row>
    <row r="23" customFormat="false" ht="12.75" hidden="false" customHeight="false" outlineLevel="0" collapsed="false">
      <c r="A23" s="22" t="n">
        <f aca="false">+SHIPS!B39</f>
        <v>37104</v>
      </c>
      <c r="B23" s="23" t="n">
        <f aca="false">(+VLOOKUP($A23,FIXED_CHARTER_COST,HLOOKUP(B$7,FIXED_CHARTER_COST,2,0)+1,0)+VLOOKUP($A23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1.18383108628929</v>
      </c>
      <c r="C23" s="23" t="n">
        <f aca="false">(+VLOOKUP($A23,FIXED_CHARTER_COST,HLOOKUP(C$7,FIXED_CHARTER_COST,2,0)+1,0)+VLOOKUP($A23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1.2858511827209</v>
      </c>
      <c r="D23" s="23" t="n">
        <f aca="false">(+VLOOKUP($A23,FIXED_CHARTER_COST,HLOOKUP(D$7,FIXED_CHARTER_COST,2,0)+1,0)+VLOOKUP($A23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0.0907775766961173</v>
      </c>
      <c r="E23" s="23" t="n">
        <f aca="false">(+VLOOKUP($A23,FIXED_CHARTER_COST,HLOOKUP(E$7,FIXED_CHARTER_COST,2,0)+1,0)+VLOOKUP($A23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0.101044382874806</v>
      </c>
      <c r="F23" s="23" t="n">
        <f aca="false">(+VLOOKUP($A23,FIXED_CHARTER_COST,HLOOKUP(F$7,FIXED_CHARTER_COST,2,0)+1,0)+VLOOKUP($A23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0.186682214718704</v>
      </c>
      <c r="G23" s="23" t="n">
        <f aca="false">(+VLOOKUP($A23,FIXED_CHARTER_COST,HLOOKUP(G$7,FIXED_CHARTER_COST,2,0)+1,0)+VLOOKUP($A23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0.217305000087892</v>
      </c>
      <c r="H23" s="23" t="n">
        <f aca="false">(+VLOOKUP($A23,FIXED_CHARTER_COST,HLOOKUP(H$7,FIXED_CHARTER_COST,2,0)+1,0)+VLOOKUP($A23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0.520987966524442</v>
      </c>
      <c r="I23" s="23" t="n">
        <f aca="false">(+VLOOKUP($A23,FIXED_CHARTER_COST,HLOOKUP(I$7,FIXED_CHARTER_COST,2,0)+1,0)+VLOOKUP($A23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0.623008062956053</v>
      </c>
    </row>
    <row r="24" customFormat="false" ht="12.75" hidden="false" customHeight="false" outlineLevel="0" collapsed="false">
      <c r="A24" s="22" t="n">
        <f aca="false">+SHIPS!B40</f>
        <v>37135</v>
      </c>
      <c r="B24" s="23" t="n">
        <f aca="false">(+VLOOKUP($A24,FIXED_CHARTER_COST,HLOOKUP(B$7,FIXED_CHARTER_COST,2,0)+1,0)+VLOOKUP($A24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1.18452555292011</v>
      </c>
      <c r="C24" s="23" t="n">
        <f aca="false">(+VLOOKUP($A24,FIXED_CHARTER_COST,HLOOKUP(C$7,FIXED_CHARTER_COST,2,0)+1,0)+VLOOKUP($A24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1.28661798962576</v>
      </c>
      <c r="D24" s="23" t="n">
        <f aca="false">(+VLOOKUP($A24,FIXED_CHARTER_COST,HLOOKUP(D$7,FIXED_CHARTER_COST,2,0)+1,0)+VLOOKUP($A24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0.0907775766961173</v>
      </c>
      <c r="E24" s="23" t="n">
        <f aca="false">(+VLOOKUP($A24,FIXED_CHARTER_COST,HLOOKUP(E$7,FIXED_CHARTER_COST,2,0)+1,0)+VLOOKUP($A24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0.101044382874806</v>
      </c>
      <c r="F24" s="23" t="n">
        <f aca="false">(+VLOOKUP($A24,FIXED_CHARTER_COST,HLOOKUP(F$7,FIXED_CHARTER_COST,2,0)+1,0)+VLOOKUP($A24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0.186682214718704</v>
      </c>
      <c r="G24" s="23" t="n">
        <f aca="false">(+VLOOKUP($A24,FIXED_CHARTER_COST,HLOOKUP(G$7,FIXED_CHARTER_COST,2,0)+1,0)+VLOOKUP($A24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0.217305000087892</v>
      </c>
      <c r="H24" s="23" t="n">
        <f aca="false">(+VLOOKUP($A24,FIXED_CHARTER_COST,HLOOKUP(H$7,FIXED_CHARTER_COST,2,0)+1,0)+VLOOKUP($A24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0.521306263730234</v>
      </c>
      <c r="I24" s="23" t="n">
        <f aca="false">(+VLOOKUP($A24,FIXED_CHARTER_COST,HLOOKUP(I$7,FIXED_CHARTER_COST,2,0)+1,0)+VLOOKUP($A24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0.623398700435889</v>
      </c>
    </row>
    <row r="25" customFormat="false" ht="12.75" hidden="false" customHeight="false" outlineLevel="0" collapsed="false">
      <c r="A25" s="22" t="n">
        <f aca="false">+SHIPS!B41</f>
        <v>37165</v>
      </c>
      <c r="B25" s="23" t="n">
        <f aca="false">(+VLOOKUP($A25,FIXED_CHARTER_COST,HLOOKUP(B$7,FIXED_CHARTER_COST,2,0)+1,0)+VLOOKUP($A25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1.18522146635641</v>
      </c>
      <c r="C25" s="23" t="n">
        <f aca="false">(+VLOOKUP($A25,FIXED_CHARTER_COST,HLOOKUP(C$7,FIXED_CHARTER_COST,2,0)+1,0)+VLOOKUP($A25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1.28738639404501</v>
      </c>
      <c r="D25" s="23" t="n">
        <f aca="false">(+VLOOKUP($A25,FIXED_CHARTER_COST,HLOOKUP(D$7,FIXED_CHARTER_COST,2,0)+1,0)+VLOOKUP($A25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0.0907775766961173</v>
      </c>
      <c r="E25" s="23" t="n">
        <f aca="false">(+VLOOKUP($A25,FIXED_CHARTER_COST,HLOOKUP(E$7,FIXED_CHARTER_COST,2,0)+1,0)+VLOOKUP($A25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0.101044382874806</v>
      </c>
      <c r="F25" s="23" t="n">
        <f aca="false">(+VLOOKUP($A25,FIXED_CHARTER_COST,HLOOKUP(F$7,FIXED_CHARTER_COST,2,0)+1,0)+VLOOKUP($A25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0.186682214718704</v>
      </c>
      <c r="G25" s="23" t="n">
        <f aca="false">(+VLOOKUP($A25,FIXED_CHARTER_COST,HLOOKUP(G$7,FIXED_CHARTER_COST,2,0)+1,0)+VLOOKUP($A25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0.217305000087892</v>
      </c>
      <c r="H25" s="23" t="n">
        <f aca="false">(+VLOOKUP($A25,FIXED_CHARTER_COST,HLOOKUP(H$7,FIXED_CHARTER_COST,2,0)+1,0)+VLOOKUP($A25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0.521625224055205</v>
      </c>
      <c r="I25" s="23" t="n">
        <f aca="false">(+VLOOKUP($A25,FIXED_CHARTER_COST,HLOOKUP(I$7,FIXED_CHARTER_COST,2,0)+1,0)+VLOOKUP($A25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0.623790151743807</v>
      </c>
    </row>
    <row r="26" customFormat="false" ht="12.75" hidden="false" customHeight="false" outlineLevel="0" collapsed="false">
      <c r="A26" s="22" t="n">
        <f aca="false">+SHIPS!B42</f>
        <v>37196</v>
      </c>
      <c r="B26" s="23" t="n">
        <f aca="false">(+VLOOKUP($A26,FIXED_CHARTER_COST,HLOOKUP(B$7,FIXED_CHARTER_COST,2,0)+1,0)+VLOOKUP($A26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1.18591882961237</v>
      </c>
      <c r="C26" s="23" t="n">
        <f aca="false">(+VLOOKUP($A26,FIXED_CHARTER_COST,HLOOKUP(C$7,FIXED_CHARTER_COST,2,0)+1,0)+VLOOKUP($A26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1.2881563993068</v>
      </c>
      <c r="D26" s="23" t="n">
        <f aca="false">(+VLOOKUP($A26,FIXED_CHARTER_COST,HLOOKUP(D$7,FIXED_CHARTER_COST,2,0)+1,0)+VLOOKUP($A26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0.0907775766961173</v>
      </c>
      <c r="E26" s="23" t="n">
        <f aca="false">(+VLOOKUP($A26,FIXED_CHARTER_COST,HLOOKUP(E$7,FIXED_CHARTER_COST,2,0)+1,0)+VLOOKUP($A26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0.101044382874806</v>
      </c>
      <c r="F26" s="23" t="n">
        <f aca="false">(+VLOOKUP($A26,FIXED_CHARTER_COST,HLOOKUP(F$7,FIXED_CHARTER_COST,2,0)+1,0)+VLOOKUP($A26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0.186682214718704</v>
      </c>
      <c r="G26" s="23" t="n">
        <f aca="false">(+VLOOKUP($A26,FIXED_CHARTER_COST,HLOOKUP(G$7,FIXED_CHARTER_COST,2,0)+1,0)+VLOOKUP($A26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0.217305000087892</v>
      </c>
      <c r="H26" s="23" t="n">
        <f aca="false">(+VLOOKUP($A26,FIXED_CHARTER_COST,HLOOKUP(H$7,FIXED_CHARTER_COST,2,0)+1,0)+VLOOKUP($A26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0.521944848880853</v>
      </c>
      <c r="I26" s="23" t="n">
        <f aca="false">(+VLOOKUP($A26,FIXED_CHARTER_COST,HLOOKUP(I$7,FIXED_CHARTER_COST,2,0)+1,0)+VLOOKUP($A26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0.624182418575284</v>
      </c>
    </row>
    <row r="27" customFormat="false" ht="12.75" hidden="false" customHeight="false" outlineLevel="0" collapsed="false">
      <c r="A27" s="22" t="n">
        <f aca="false">+SHIPS!B43</f>
        <v>37226</v>
      </c>
      <c r="B27" s="23" t="n">
        <f aca="false">(+VLOOKUP($A27,FIXED_CHARTER_COST,HLOOKUP(B$7,FIXED_CHARTER_COST,2,0)+1,0)+VLOOKUP($A27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1.18661764570844</v>
      </c>
      <c r="C27" s="23" t="n">
        <f aca="false">(+VLOOKUP($A27,FIXED_CHARTER_COST,HLOOKUP(C$7,FIXED_CHARTER_COST,2,0)+1,0)+VLOOKUP($A27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1.28892800874621</v>
      </c>
      <c r="D27" s="23" t="n">
        <f aca="false">(+VLOOKUP($A27,FIXED_CHARTER_COST,HLOOKUP(D$7,FIXED_CHARTER_COST,2,0)+1,0)+VLOOKUP($A27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0.0907775766961173</v>
      </c>
      <c r="E27" s="23" t="n">
        <f aca="false">(+VLOOKUP($A27,FIXED_CHARTER_COST,HLOOKUP(E$7,FIXED_CHARTER_COST,2,0)+1,0)+VLOOKUP($A27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0.101044382874806</v>
      </c>
      <c r="F27" s="23" t="n">
        <f aca="false">(+VLOOKUP($A27,FIXED_CHARTER_COST,HLOOKUP(F$7,FIXED_CHARTER_COST,2,0)+1,0)+VLOOKUP($A27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0.186682214718704</v>
      </c>
      <c r="G27" s="23" t="n">
        <f aca="false">(+VLOOKUP($A27,FIXED_CHARTER_COST,HLOOKUP(G$7,FIXED_CHARTER_COST,2,0)+1,0)+VLOOKUP($A27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0.217305000087892</v>
      </c>
      <c r="H27" s="23" t="n">
        <f aca="false">(+VLOOKUP($A27,FIXED_CHARTER_COST,HLOOKUP(H$7,FIXED_CHARTER_COST,2,0)+1,0)+VLOOKUP($A27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0.522265139591554</v>
      </c>
      <c r="I27" s="23" t="n">
        <f aca="false">(+VLOOKUP($A27,FIXED_CHARTER_COST,HLOOKUP(I$7,FIXED_CHARTER_COST,2,0)+1,0)+VLOOKUP($A27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0.624575502629327</v>
      </c>
    </row>
    <row r="28" customFormat="false" ht="12.75" hidden="false" customHeight="false" outlineLevel="0" collapsed="false">
      <c r="A28" s="24" t="n">
        <f aca="false">+SHIPS!B44</f>
        <v>37257</v>
      </c>
      <c r="B28" s="23" t="n">
        <f aca="false">(+VLOOKUP($A28,FIXED_CHARTER_COST,HLOOKUP(B$7,FIXED_CHARTER_COST,2,0)+1,0)+VLOOKUP($A28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1.18731791767138</v>
      </c>
      <c r="C28" s="23" t="n">
        <f aca="false">(+VLOOKUP($A28,FIXED_CHARTER_COST,HLOOKUP(C$7,FIXED_CHARTER_COST,2,0)+1,0)+VLOOKUP($A28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1.2897012257053</v>
      </c>
      <c r="D28" s="23" t="n">
        <f aca="false">(+VLOOKUP($A28,FIXED_CHARTER_COST,HLOOKUP(D$7,FIXED_CHARTER_COST,2,0)+1,0)+VLOOKUP($A28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0.0907775766961173</v>
      </c>
      <c r="E28" s="23" t="n">
        <f aca="false">(+VLOOKUP($A28,FIXED_CHARTER_COST,HLOOKUP(E$7,FIXED_CHARTER_COST,2,0)+1,0)+VLOOKUP($A28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0.101044382874806</v>
      </c>
      <c r="F28" s="23" t="n">
        <f aca="false">(+VLOOKUP($A28,FIXED_CHARTER_COST,HLOOKUP(F$7,FIXED_CHARTER_COST,2,0)+1,0)+VLOOKUP($A28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0.186682214718704</v>
      </c>
      <c r="G28" s="23" t="n">
        <f aca="false">(+VLOOKUP($A28,FIXED_CHARTER_COST,HLOOKUP(G$7,FIXED_CHARTER_COST,2,0)+1,0)+VLOOKUP($A28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0.217305000087892</v>
      </c>
      <c r="H28" s="23" t="n">
        <f aca="false">(+VLOOKUP($A28,FIXED_CHARTER_COST,HLOOKUP(H$7,FIXED_CHARTER_COST,2,0)+1,0)+VLOOKUP($A28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0.52258609757457</v>
      </c>
      <c r="I28" s="23" t="n">
        <f aca="false">(+VLOOKUP($A28,FIXED_CHARTER_COST,HLOOKUP(I$7,FIXED_CHARTER_COST,2,0)+1,0)+VLOOKUP($A28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0.624969405608482</v>
      </c>
    </row>
    <row r="29" customFormat="false" ht="12.75" hidden="false" customHeight="false" outlineLevel="0" collapsed="false">
      <c r="A29" s="22" t="n">
        <f aca="false">+SHIPS!B45</f>
        <v>37288</v>
      </c>
      <c r="B29" s="23" t="n">
        <f aca="false">(+VLOOKUP($A29,FIXED_CHARTER_COST,HLOOKUP(B$7,FIXED_CHARTER_COST,2,0)+1,0)+VLOOKUP($A29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1.18801964853425</v>
      </c>
      <c r="C29" s="23" t="n">
        <f aca="false">(+VLOOKUP($A29,FIXED_CHARTER_COST,HLOOKUP(C$7,FIXED_CHARTER_COST,2,0)+1,0)+VLOOKUP($A29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1.29047605353304</v>
      </c>
      <c r="D29" s="23" t="n">
        <f aca="false">(+VLOOKUP($A29,FIXED_CHARTER_COST,HLOOKUP(D$7,FIXED_CHARTER_COST,2,0)+1,0)+VLOOKUP($A29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0.0907775766961173</v>
      </c>
      <c r="E29" s="23" t="n">
        <f aca="false">(+VLOOKUP($A29,FIXED_CHARTER_COST,HLOOKUP(E$7,FIXED_CHARTER_COST,2,0)+1,0)+VLOOKUP($A29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0.101044382874806</v>
      </c>
      <c r="F29" s="23" t="n">
        <f aca="false">(+VLOOKUP($A29,FIXED_CHARTER_COST,HLOOKUP(F$7,FIXED_CHARTER_COST,2,0)+1,0)+VLOOKUP($A29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0.186682214718704</v>
      </c>
      <c r="G29" s="23" t="n">
        <f aca="false">(+VLOOKUP($A29,FIXED_CHARTER_COST,HLOOKUP(G$7,FIXED_CHARTER_COST,2,0)+1,0)+VLOOKUP($A29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0.217305000087892</v>
      </c>
      <c r="H29" s="23" t="n">
        <f aca="false">(+VLOOKUP($A29,FIXED_CHARTER_COST,HLOOKUP(H$7,FIXED_CHARTER_COST,2,0)+1,0)+VLOOKUP($A29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0.522907724220049</v>
      </c>
      <c r="I29" s="23" t="n">
        <f aca="false">(+VLOOKUP($A29,FIXED_CHARTER_COST,HLOOKUP(I$7,FIXED_CHARTER_COST,2,0)+1,0)+VLOOKUP($A29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0.625364129218843</v>
      </c>
    </row>
    <row r="30" customFormat="false" ht="12.75" hidden="false" customHeight="false" outlineLevel="0" collapsed="false">
      <c r="A30" s="22" t="n">
        <f aca="false">+SHIPS!B46</f>
        <v>37316</v>
      </c>
      <c r="B30" s="23" t="n">
        <f aca="false">(+VLOOKUP($A30,FIXED_CHARTER_COST,HLOOKUP(B$7,FIXED_CHARTER_COST,2,0)+1,0)+VLOOKUP($A30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1.18872284133641</v>
      </c>
      <c r="C30" s="23" t="n">
        <f aca="false">(+VLOOKUP($A30,FIXED_CHARTER_COST,HLOOKUP(C$7,FIXED_CHARTER_COST,2,0)+1,0)+VLOOKUP($A30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1.29125249558543</v>
      </c>
      <c r="D30" s="23" t="n">
        <f aca="false">(+VLOOKUP($A30,FIXED_CHARTER_COST,HLOOKUP(D$7,FIXED_CHARTER_COST,2,0)+1,0)+VLOOKUP($A30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0.0907775766961173</v>
      </c>
      <c r="E30" s="23" t="n">
        <f aca="false">(+VLOOKUP($A30,FIXED_CHARTER_COST,HLOOKUP(E$7,FIXED_CHARTER_COST,2,0)+1,0)+VLOOKUP($A30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0.101044382874806</v>
      </c>
      <c r="F30" s="23" t="n">
        <f aca="false">(+VLOOKUP($A30,FIXED_CHARTER_COST,HLOOKUP(F$7,FIXED_CHARTER_COST,2,0)+1,0)+VLOOKUP($A30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0.186682214718704</v>
      </c>
      <c r="G30" s="23" t="n">
        <f aca="false">(+VLOOKUP($A30,FIXED_CHARTER_COST,HLOOKUP(G$7,FIXED_CHARTER_COST,2,0)+1,0)+VLOOKUP($A30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0.217305000087892</v>
      </c>
      <c r="H30" s="23" t="n">
        <f aca="false">(+VLOOKUP($A30,FIXED_CHARTER_COST,HLOOKUP(H$7,FIXED_CHARTER_COST,2,0)+1,0)+VLOOKUP($A30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0.523230020921041</v>
      </c>
      <c r="I30" s="23" t="n">
        <f aca="false">(+VLOOKUP($A30,FIXED_CHARTER_COST,HLOOKUP(I$7,FIXED_CHARTER_COST,2,0)+1,0)+VLOOKUP($A30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0.62575967517006</v>
      </c>
    </row>
    <row r="31" customFormat="false" ht="12.75" hidden="false" customHeight="false" outlineLevel="0" collapsed="false">
      <c r="A31" s="22" t="n">
        <f aca="false">+SHIPS!B47</f>
        <v>37347</v>
      </c>
      <c r="B31" s="23" t="n">
        <f aca="false">(+VLOOKUP($A31,FIXED_CHARTER_COST,HLOOKUP(B$7,FIXED_CHARTER_COST,2,0)+1,0)+VLOOKUP($A31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1.18942749912358</v>
      </c>
      <c r="C31" s="23" t="n">
        <f aca="false">(+VLOOKUP($A31,FIXED_CHARTER_COST,HLOOKUP(C$7,FIXED_CHARTER_COST,2,0)+1,0)+VLOOKUP($A31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1.29203055522543</v>
      </c>
      <c r="D31" s="23" t="n">
        <f aca="false">(+VLOOKUP($A31,FIXED_CHARTER_COST,HLOOKUP(D$7,FIXED_CHARTER_COST,2,0)+1,0)+VLOOKUP($A31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0.0907775766961173</v>
      </c>
      <c r="E31" s="23" t="n">
        <f aca="false">(+VLOOKUP($A31,FIXED_CHARTER_COST,HLOOKUP(E$7,FIXED_CHARTER_COST,2,0)+1,0)+VLOOKUP($A31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0.101044382874806</v>
      </c>
      <c r="F31" s="23" t="n">
        <f aca="false">(+VLOOKUP($A31,FIXED_CHARTER_COST,HLOOKUP(F$7,FIXED_CHARTER_COST,2,0)+1,0)+VLOOKUP($A31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0.186682214718704</v>
      </c>
      <c r="G31" s="23" t="n">
        <f aca="false">(+VLOOKUP($A31,FIXED_CHARTER_COST,HLOOKUP(G$7,FIXED_CHARTER_COST,2,0)+1,0)+VLOOKUP($A31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0.217305000087892</v>
      </c>
      <c r="H31" s="23" t="n">
        <f aca="false">(+VLOOKUP($A31,FIXED_CHARTER_COST,HLOOKUP(H$7,FIXED_CHARTER_COST,2,0)+1,0)+VLOOKUP($A31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0.523552989073492</v>
      </c>
      <c r="I31" s="23" t="n">
        <f aca="false">(+VLOOKUP($A31,FIXED_CHARTER_COST,HLOOKUP(I$7,FIXED_CHARTER_COST,2,0)+1,0)+VLOOKUP($A31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0.626156045175342</v>
      </c>
    </row>
    <row r="32" customFormat="false" ht="12.75" hidden="false" customHeight="false" outlineLevel="0" collapsed="false">
      <c r="A32" s="22" t="n">
        <f aca="false">+SHIPS!B48</f>
        <v>37377</v>
      </c>
      <c r="B32" s="23" t="n">
        <f aca="false">(+VLOOKUP($A32,FIXED_CHARTER_COST,HLOOKUP(B$7,FIXED_CHARTER_COST,2,0)+1,0)+VLOOKUP($A32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1.1901336249478</v>
      </c>
      <c r="C32" s="23" t="n">
        <f aca="false">(+VLOOKUP($A32,FIXED_CHARTER_COST,HLOOKUP(C$7,FIXED_CHARTER_COST,2,0)+1,0)+VLOOKUP($A32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1.29281023582301</v>
      </c>
      <c r="D32" s="23" t="n">
        <f aca="false">(+VLOOKUP($A32,FIXED_CHARTER_COST,HLOOKUP(D$7,FIXED_CHARTER_COST,2,0)+1,0)+VLOOKUP($A32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0.0907775766961173</v>
      </c>
      <c r="E32" s="23" t="n">
        <f aca="false">(+VLOOKUP($A32,FIXED_CHARTER_COST,HLOOKUP(E$7,FIXED_CHARTER_COST,2,0)+1,0)+VLOOKUP($A32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0.101044382874806</v>
      </c>
      <c r="F32" s="23" t="n">
        <f aca="false">(+VLOOKUP($A32,FIXED_CHARTER_COST,HLOOKUP(F$7,FIXED_CHARTER_COST,2,0)+1,0)+VLOOKUP($A32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0.186682214718704</v>
      </c>
      <c r="G32" s="23" t="n">
        <f aca="false">(+VLOOKUP($A32,FIXED_CHARTER_COST,HLOOKUP(G$7,FIXED_CHARTER_COST,2,0)+1,0)+VLOOKUP($A32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0.217305000087892</v>
      </c>
      <c r="H32" s="23" t="n">
        <f aca="false">(+VLOOKUP($A32,FIXED_CHARTER_COST,HLOOKUP(H$7,FIXED_CHARTER_COST,2,0)+1,0)+VLOOKUP($A32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0.523876630076262</v>
      </c>
      <c r="I32" s="23" t="n">
        <f aca="false">(+VLOOKUP($A32,FIXED_CHARTER_COST,HLOOKUP(I$7,FIXED_CHARTER_COST,2,0)+1,0)+VLOOKUP($A32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0.626553240951468</v>
      </c>
    </row>
    <row r="33" customFormat="false" ht="12.75" hidden="false" customHeight="false" outlineLevel="0" collapsed="false">
      <c r="A33" s="22" t="n">
        <f aca="false">+SHIPS!B49</f>
        <v>37408</v>
      </c>
      <c r="B33" s="23" t="n">
        <f aca="false">(+VLOOKUP($A33,FIXED_CHARTER_COST,HLOOKUP(B$7,FIXED_CHARTER_COST,2,0)+1,0)+VLOOKUP($A33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1.19084122186749</v>
      </c>
      <c r="C33" s="23" t="n">
        <f aca="false">(+VLOOKUP($A33,FIXED_CHARTER_COST,HLOOKUP(C$7,FIXED_CHARTER_COST,2,0)+1,0)+VLOOKUP($A33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1.29359154075517</v>
      </c>
      <c r="D33" s="23" t="n">
        <f aca="false">(+VLOOKUP($A33,FIXED_CHARTER_COST,HLOOKUP(D$7,FIXED_CHARTER_COST,2,0)+1,0)+VLOOKUP($A33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0.0907775766961173</v>
      </c>
      <c r="E33" s="23" t="n">
        <f aca="false">(+VLOOKUP($A33,FIXED_CHARTER_COST,HLOOKUP(E$7,FIXED_CHARTER_COST,2,0)+1,0)+VLOOKUP($A33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0.101044382874806</v>
      </c>
      <c r="F33" s="23" t="n">
        <f aca="false">(+VLOOKUP($A33,FIXED_CHARTER_COST,HLOOKUP(F$7,FIXED_CHARTER_COST,2,0)+1,0)+VLOOKUP($A33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0.186682214718704</v>
      </c>
      <c r="G33" s="23" t="n">
        <f aca="false">(+VLOOKUP($A33,FIXED_CHARTER_COST,HLOOKUP(G$7,FIXED_CHARTER_COST,2,0)+1,0)+VLOOKUP($A33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0.217305000087892</v>
      </c>
      <c r="H33" s="23" t="n">
        <f aca="false">(+VLOOKUP($A33,FIXED_CHARTER_COST,HLOOKUP(H$7,FIXED_CHARTER_COST,2,0)+1,0)+VLOOKUP($A33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0.52420094533112</v>
      </c>
      <c r="I33" s="23" t="n">
        <f aca="false">(+VLOOKUP($A33,FIXED_CHARTER_COST,HLOOKUP(I$7,FIXED_CHARTER_COST,2,0)+1,0)+VLOOKUP($A33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0.626951264218794</v>
      </c>
    </row>
    <row r="34" customFormat="false" ht="12.75" hidden="false" customHeight="false" outlineLevel="0" collapsed="false">
      <c r="A34" s="22" t="n">
        <f aca="false">+SHIPS!B50</f>
        <v>37438</v>
      </c>
      <c r="B34" s="23" t="n">
        <f aca="false">(+VLOOKUP($A34,FIXED_CHARTER_COST,HLOOKUP(B$7,FIXED_CHARTER_COST,2,0)+1,0)+VLOOKUP($A34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1.19155029294743</v>
      </c>
      <c r="C34" s="23" t="n">
        <f aca="false">(+VLOOKUP($A34,FIXED_CHARTER_COST,HLOOKUP(C$7,FIXED_CHARTER_COST,2,0)+1,0)+VLOOKUP($A34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1.29437447340593</v>
      </c>
      <c r="D34" s="23" t="n">
        <f aca="false">(+VLOOKUP($A34,FIXED_CHARTER_COST,HLOOKUP(D$7,FIXED_CHARTER_COST,2,0)+1,0)+VLOOKUP($A34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0.0907775766961173</v>
      </c>
      <c r="E34" s="23" t="n">
        <f aca="false">(+VLOOKUP($A34,FIXED_CHARTER_COST,HLOOKUP(E$7,FIXED_CHARTER_COST,2,0)+1,0)+VLOOKUP($A34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0.101044382874806</v>
      </c>
      <c r="F34" s="23" t="n">
        <f aca="false">(+VLOOKUP($A34,FIXED_CHARTER_COST,HLOOKUP(F$7,FIXED_CHARTER_COST,2,0)+1,0)+VLOOKUP($A34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0.186682214718704</v>
      </c>
      <c r="G34" s="23" t="n">
        <f aca="false">(+VLOOKUP($A34,FIXED_CHARTER_COST,HLOOKUP(G$7,FIXED_CHARTER_COST,2,0)+1,0)+VLOOKUP($A34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0.217305000087892</v>
      </c>
      <c r="H34" s="23" t="n">
        <f aca="false">(+VLOOKUP($A34,FIXED_CHARTER_COST,HLOOKUP(H$7,FIXED_CHARTER_COST,2,0)+1,0)+VLOOKUP($A34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0.524525936242759</v>
      </c>
      <c r="I34" s="23" t="n">
        <f aca="false">(+VLOOKUP($A34,FIXED_CHARTER_COST,HLOOKUP(I$7,FIXED_CHARTER_COST,2,0)+1,0)+VLOOKUP($A34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0.62735011670126</v>
      </c>
    </row>
    <row r="35" customFormat="false" ht="12.75" hidden="false" customHeight="false" outlineLevel="0" collapsed="false">
      <c r="A35" s="22" t="n">
        <f aca="false">+SHIPS!B51</f>
        <v>37469</v>
      </c>
      <c r="B35" s="23" t="n">
        <f aca="false">(+VLOOKUP($A35,FIXED_CHARTER_COST,HLOOKUP(B$7,FIXED_CHARTER_COST,2,0)+1,0)+VLOOKUP($A35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1.19226084125879</v>
      </c>
      <c r="C35" s="23" t="n">
        <f aca="false">(+VLOOKUP($A35,FIXED_CHARTER_COST,HLOOKUP(C$7,FIXED_CHARTER_COST,2,0)+1,0)+VLOOKUP($A35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1.29515903716639</v>
      </c>
      <c r="D35" s="23" t="n">
        <f aca="false">(+VLOOKUP($A35,FIXED_CHARTER_COST,HLOOKUP(D$7,FIXED_CHARTER_COST,2,0)+1,0)+VLOOKUP($A35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0.0907775766961173</v>
      </c>
      <c r="E35" s="23" t="n">
        <f aca="false">(+VLOOKUP($A35,FIXED_CHARTER_COST,HLOOKUP(E$7,FIXED_CHARTER_COST,2,0)+1,0)+VLOOKUP($A35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0.101044382874806</v>
      </c>
      <c r="F35" s="23" t="n">
        <f aca="false">(+VLOOKUP($A35,FIXED_CHARTER_COST,HLOOKUP(F$7,FIXED_CHARTER_COST,2,0)+1,0)+VLOOKUP($A35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0.186682214718704</v>
      </c>
      <c r="G35" s="23" t="n">
        <f aca="false">(+VLOOKUP($A35,FIXED_CHARTER_COST,HLOOKUP(G$7,FIXED_CHARTER_COST,2,0)+1,0)+VLOOKUP($A35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0.217305000087892</v>
      </c>
      <c r="H35" s="23" t="n">
        <f aca="false">(+VLOOKUP($A35,FIXED_CHARTER_COST,HLOOKUP(H$7,FIXED_CHARTER_COST,2,0)+1,0)+VLOOKUP($A35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0.524851604218798</v>
      </c>
      <c r="I35" s="23" t="n">
        <f aca="false">(+VLOOKUP($A35,FIXED_CHARTER_COST,HLOOKUP(I$7,FIXED_CHARTER_COST,2,0)+1,0)+VLOOKUP($A35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0.627749800126398</v>
      </c>
    </row>
    <row r="36" customFormat="false" ht="12.75" hidden="false" customHeight="false" outlineLevel="0" collapsed="false">
      <c r="A36" s="22" t="n">
        <f aca="false">+SHIPS!B52</f>
        <v>37500</v>
      </c>
      <c r="B36" s="23" t="n">
        <f aca="false">(+VLOOKUP($A36,FIXED_CHARTER_COST,HLOOKUP(B$7,FIXED_CHARTER_COST,2,0)+1,0)+VLOOKUP($A36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1.19297286987913</v>
      </c>
      <c r="C36" s="23" t="n">
        <f aca="false">(+VLOOKUP($A36,FIXED_CHARTER_COST,HLOOKUP(C$7,FIXED_CHARTER_COST,2,0)+1,0)+VLOOKUP($A36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1.29594523543468</v>
      </c>
      <c r="D36" s="23" t="n">
        <f aca="false">(+VLOOKUP($A36,FIXED_CHARTER_COST,HLOOKUP(D$7,FIXED_CHARTER_COST,2,0)+1,0)+VLOOKUP($A36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0.0907775766961173</v>
      </c>
      <c r="E36" s="23" t="n">
        <f aca="false">(+VLOOKUP($A36,FIXED_CHARTER_COST,HLOOKUP(E$7,FIXED_CHARTER_COST,2,0)+1,0)+VLOOKUP($A36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0.101044382874806</v>
      </c>
      <c r="F36" s="23" t="n">
        <f aca="false">(+VLOOKUP($A36,FIXED_CHARTER_COST,HLOOKUP(F$7,FIXED_CHARTER_COST,2,0)+1,0)+VLOOKUP($A36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0.186682214718704</v>
      </c>
      <c r="G36" s="23" t="n">
        <f aca="false">(+VLOOKUP($A36,FIXED_CHARTER_COST,HLOOKUP(G$7,FIXED_CHARTER_COST,2,0)+1,0)+VLOOKUP($A36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0.217305000087892</v>
      </c>
      <c r="H36" s="23" t="n">
        <f aca="false">(+VLOOKUP($A36,FIXED_CHARTER_COST,HLOOKUP(H$7,FIXED_CHARTER_COST,2,0)+1,0)+VLOOKUP($A36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0.525177950669787</v>
      </c>
      <c r="I36" s="23" t="n">
        <f aca="false">(+VLOOKUP($A36,FIXED_CHARTER_COST,HLOOKUP(I$7,FIXED_CHARTER_COST,2,0)+1,0)+VLOOKUP($A36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0.628150316225339</v>
      </c>
    </row>
    <row r="37" customFormat="false" ht="12.75" hidden="false" customHeight="false" outlineLevel="0" collapsed="false">
      <c r="A37" s="22" t="n">
        <f aca="false">+SHIPS!B53</f>
        <v>37530</v>
      </c>
      <c r="B37" s="23" t="n">
        <f aca="false">(+VLOOKUP($A37,FIXED_CHARTER_COST,HLOOKUP(B$7,FIXED_CHARTER_COST,2,0)+1,0)+VLOOKUP($A37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1.19368638189243</v>
      </c>
      <c r="C37" s="23" t="n">
        <f aca="false">(+VLOOKUP($A37,FIXED_CHARTER_COST,HLOOKUP(C$7,FIXED_CHARTER_COST,2,0)+1,0)+VLOOKUP($A37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1.29673307161603</v>
      </c>
      <c r="D37" s="23" t="n">
        <f aca="false">(+VLOOKUP($A37,FIXED_CHARTER_COST,HLOOKUP(D$7,FIXED_CHARTER_COST,2,0)+1,0)+VLOOKUP($A37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0.0907775766961173</v>
      </c>
      <c r="E37" s="23" t="n">
        <f aca="false">(+VLOOKUP($A37,FIXED_CHARTER_COST,HLOOKUP(E$7,FIXED_CHARTER_COST,2,0)+1,0)+VLOOKUP($A37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0.101044382874806</v>
      </c>
      <c r="F37" s="23" t="n">
        <f aca="false">(+VLOOKUP($A37,FIXED_CHARTER_COST,HLOOKUP(F$7,FIXED_CHARTER_COST,2,0)+1,0)+VLOOKUP($A37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0.186682214718704</v>
      </c>
      <c r="G37" s="23" t="n">
        <f aca="false">(+VLOOKUP($A37,FIXED_CHARTER_COST,HLOOKUP(G$7,FIXED_CHARTER_COST,2,0)+1,0)+VLOOKUP($A37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0.217305000087892</v>
      </c>
      <c r="H37" s="23" t="n">
        <f aca="false">(+VLOOKUP($A37,FIXED_CHARTER_COST,HLOOKUP(H$7,FIXED_CHARTER_COST,2,0)+1,0)+VLOOKUP($A37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0.525504977009215</v>
      </c>
      <c r="I37" s="23" t="n">
        <f aca="false">(+VLOOKUP($A37,FIXED_CHARTER_COST,HLOOKUP(I$7,FIXED_CHARTER_COST,2,0)+1,0)+VLOOKUP($A37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0.628551666732819</v>
      </c>
    </row>
    <row r="38" customFormat="false" ht="12.75" hidden="false" customHeight="false" outlineLevel="0" collapsed="false">
      <c r="A38" s="22" t="n">
        <f aca="false">+SHIPS!B54</f>
        <v>37561</v>
      </c>
      <c r="B38" s="23" t="n">
        <f aca="false">(+VLOOKUP($A38,FIXED_CHARTER_COST,HLOOKUP(B$7,FIXED_CHARTER_COST,2,0)+1,0)+VLOOKUP($A38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1.19440138038909</v>
      </c>
      <c r="C38" s="23" t="n">
        <f aca="false">(+VLOOKUP($A38,FIXED_CHARTER_COST,HLOOKUP(C$7,FIXED_CHARTER_COST,2,0)+1,0)+VLOOKUP($A38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1.29752254912276</v>
      </c>
      <c r="D38" s="23" t="n">
        <f aca="false">(+VLOOKUP($A38,FIXED_CHARTER_COST,HLOOKUP(D$7,FIXED_CHARTER_COST,2,0)+1,0)+VLOOKUP($A38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0.0907775766961173</v>
      </c>
      <c r="E38" s="23" t="n">
        <f aca="false">(+VLOOKUP($A38,FIXED_CHARTER_COST,HLOOKUP(E$7,FIXED_CHARTER_COST,2,0)+1,0)+VLOOKUP($A38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0.101044382874806</v>
      </c>
      <c r="F38" s="23" t="n">
        <f aca="false">(+VLOOKUP($A38,FIXED_CHARTER_COST,HLOOKUP(F$7,FIXED_CHARTER_COST,2,0)+1,0)+VLOOKUP($A38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0.186682214718704</v>
      </c>
      <c r="G38" s="23" t="n">
        <f aca="false">(+VLOOKUP($A38,FIXED_CHARTER_COST,HLOOKUP(G$7,FIXED_CHARTER_COST,2,0)+1,0)+VLOOKUP($A38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0.217305000087892</v>
      </c>
      <c r="H38" s="23" t="n">
        <f aca="false">(+VLOOKUP($A38,FIXED_CHARTER_COST,HLOOKUP(H$7,FIXED_CHARTER_COST,2,0)+1,0)+VLOOKUP($A38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0.525832684653517</v>
      </c>
      <c r="I38" s="23" t="n">
        <f aca="false">(+VLOOKUP($A38,FIXED_CHARTER_COST,HLOOKUP(I$7,FIXED_CHARTER_COST,2,0)+1,0)+VLOOKUP($A38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0.62895385338719</v>
      </c>
    </row>
    <row r="39" customFormat="false" ht="12.75" hidden="false" customHeight="false" outlineLevel="0" collapsed="false">
      <c r="A39" s="22" t="n">
        <f aca="false">+SHIPS!B55</f>
        <v>37591</v>
      </c>
      <c r="B39" s="23" t="n">
        <f aca="false">(+VLOOKUP($A39,FIXED_CHARTER_COST,HLOOKUP(B$7,FIXED_CHARTER_COST,2,0)+1,0)+VLOOKUP($A39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1.19511786846595</v>
      </c>
      <c r="C39" s="23" t="n">
        <f aca="false">(+VLOOKUP($A39,FIXED_CHARTER_COST,HLOOKUP(C$7,FIXED_CHARTER_COST,2,0)+1,0)+VLOOKUP($A39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1.29831367137429</v>
      </c>
      <c r="D39" s="23" t="n">
        <f aca="false">(+VLOOKUP($A39,FIXED_CHARTER_COST,HLOOKUP(D$7,FIXED_CHARTER_COST,2,0)+1,0)+VLOOKUP($A39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0.0907775766961173</v>
      </c>
      <c r="E39" s="23" t="n">
        <f aca="false">(+VLOOKUP($A39,FIXED_CHARTER_COST,HLOOKUP(E$7,FIXED_CHARTER_COST,2,0)+1,0)+VLOOKUP($A39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0.101044382874806</v>
      </c>
      <c r="F39" s="23" t="n">
        <f aca="false">(+VLOOKUP($A39,FIXED_CHARTER_COST,HLOOKUP(F$7,FIXED_CHARTER_COST,2,0)+1,0)+VLOOKUP($A39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0.186682214718704</v>
      </c>
      <c r="G39" s="23" t="n">
        <f aca="false">(+VLOOKUP($A39,FIXED_CHARTER_COST,HLOOKUP(G$7,FIXED_CHARTER_COST,2,0)+1,0)+VLOOKUP($A39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0.217305000087892</v>
      </c>
      <c r="H39" s="23" t="n">
        <f aca="false">(+VLOOKUP($A39,FIXED_CHARTER_COST,HLOOKUP(H$7,FIXED_CHARTER_COST,2,0)+1,0)+VLOOKUP($A39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0.526161075022078</v>
      </c>
      <c r="I39" s="23" t="n">
        <f aca="false">(+VLOOKUP($A39,FIXED_CHARTER_COST,HLOOKUP(I$7,FIXED_CHARTER_COST,2,0)+1,0)+VLOOKUP($A39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0.629356877930424</v>
      </c>
    </row>
    <row r="40" customFormat="false" ht="12.75" hidden="false" customHeight="false" outlineLevel="0" collapsed="false">
      <c r="A40" s="24" t="n">
        <f aca="false">+SHIPS!B56</f>
        <v>37622</v>
      </c>
      <c r="B40" s="23" t="n">
        <f aca="false">(+VLOOKUP($A40,FIXED_CHARTER_COST,HLOOKUP(B$7,FIXED_CHARTER_COST,2,0)+1,0)+VLOOKUP($A40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1.34868214111647</v>
      </c>
      <c r="C40" s="23" t="n">
        <f aca="false">(+VLOOKUP($A40,FIXED_CHARTER_COST,HLOOKUP(C$7,FIXED_CHARTER_COST,2,0)+1,0)+VLOOKUP($A40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1.46787422242591</v>
      </c>
      <c r="D40" s="23" t="n">
        <f aca="false">(+VLOOKUP($A40,FIXED_CHARTER_COST,HLOOKUP(D$7,FIXED_CHARTER_COST,2,0)+1,0)+VLOOKUP($A40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0.324552534710672</v>
      </c>
      <c r="E40" s="23" t="n">
        <f aca="false">(+VLOOKUP($A40,FIXED_CHARTER_COST,HLOOKUP(E$7,FIXED_CHARTER_COST,2,0)+1,0)+VLOOKUP($A40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0.354300587390574</v>
      </c>
      <c r="F40" s="23" t="n">
        <f aca="false">(+VLOOKUP($A40,FIXED_CHARTER_COST,HLOOKUP(F$7,FIXED_CHARTER_COST,2,0)+1,0)+VLOOKUP($A40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0.595788391244176</v>
      </c>
      <c r="G40" s="23" t="n">
        <f aca="false">(+VLOOKUP($A40,FIXED_CHARTER_COST,HLOOKUP(G$7,FIXED_CHARTER_COST,2,0)+1,0)+VLOOKUP($A40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0.723817409119428</v>
      </c>
      <c r="H40" s="23" t="n">
        <f aca="false">(+VLOOKUP($A40,FIXED_CHARTER_COST,HLOOKUP(H$7,FIXED_CHARTER_COST,2,0)+1,0)+VLOOKUP($A40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0.596544699986902</v>
      </c>
      <c r="I40" s="23" t="n">
        <f aca="false">(+VLOOKUP($A40,FIXED_CHARTER_COST,HLOOKUP(I$7,FIXED_CHARTER_COST,2,0)+1,0)+VLOOKUP($A40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0.715736781296344</v>
      </c>
    </row>
    <row r="41" customFormat="false" ht="12.75" hidden="false" customHeight="false" outlineLevel="0" collapsed="false">
      <c r="A41" s="22" t="n">
        <f aca="false">+SHIPS!B57</f>
        <v>37653</v>
      </c>
      <c r="B41" s="23" t="n">
        <f aca="false">(+VLOOKUP($A41,FIXED_CHARTER_COST,HLOOKUP(B$7,FIXED_CHARTER_COST,2,0)+1,0)+VLOOKUP($A41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1.34940161767008</v>
      </c>
      <c r="C41" s="23" t="n">
        <f aca="false">(+VLOOKUP($A41,FIXED_CHARTER_COST,HLOOKUP(C$7,FIXED_CHARTER_COST,2,0)+1,0)+VLOOKUP($A41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1.46866864445385</v>
      </c>
      <c r="D41" s="23" t="n">
        <f aca="false">(+VLOOKUP($A41,FIXED_CHARTER_COST,HLOOKUP(D$7,FIXED_CHARTER_COST,2,0)+1,0)+VLOOKUP($A41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0.32463642784994</v>
      </c>
      <c r="E41" s="23" t="n">
        <f aca="false">(+VLOOKUP($A41,FIXED_CHARTER_COST,HLOOKUP(E$7,FIXED_CHARTER_COST,2,0)+1,0)+VLOOKUP($A41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0.35439147162478</v>
      </c>
      <c r="F41" s="23" t="n">
        <f aca="false">(+VLOOKUP($A41,FIXED_CHARTER_COST,HLOOKUP(F$7,FIXED_CHARTER_COST,2,0)+1,0)+VLOOKUP($A41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0.595935204237893</v>
      </c>
      <c r="G41" s="23" t="n">
        <f aca="false">(+VLOOKUP($A41,FIXED_CHARTER_COST,HLOOKUP(G$7,FIXED_CHARTER_COST,2,0)+1,0)+VLOOKUP($A41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0.723999177587841</v>
      </c>
      <c r="H41" s="23" t="n">
        <f aca="false">(+VLOOKUP($A41,FIXED_CHARTER_COST,HLOOKUP(H$7,FIXED_CHARTER_COST,2,0)+1,0)+VLOOKUP($A41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0.596874460073971</v>
      </c>
      <c r="I41" s="23" t="n">
        <f aca="false">(+VLOOKUP($A41,FIXED_CHARTER_COST,HLOOKUP(I$7,FIXED_CHARTER_COST,2,0)+1,0)+VLOOKUP($A41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0.716141486857747</v>
      </c>
    </row>
    <row r="42" customFormat="false" ht="12.75" hidden="false" customHeight="false" outlineLevel="0" collapsed="false">
      <c r="A42" s="22" t="n">
        <f aca="false">+SHIPS!B58</f>
        <v>37681</v>
      </c>
      <c r="B42" s="23" t="n">
        <f aca="false">(+VLOOKUP($A42,FIXED_CHARTER_COST,HLOOKUP(B$7,FIXED_CHARTER_COST,2,0)+1,0)+VLOOKUP($A42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1.35012259313317</v>
      </c>
      <c r="C42" s="23" t="n">
        <f aca="false">(+VLOOKUP($A42,FIXED_CHARTER_COST,HLOOKUP(C$7,FIXED_CHARTER_COST,2,0)+1,0)+VLOOKUP($A42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1.46946472152768</v>
      </c>
      <c r="D42" s="23" t="n">
        <f aca="false">(+VLOOKUP($A42,FIXED_CHARTER_COST,HLOOKUP(D$7,FIXED_CHARTER_COST,2,0)+1,0)+VLOOKUP($A42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0.32472049576658</v>
      </c>
      <c r="E42" s="23" t="n">
        <f aca="false">(+VLOOKUP($A42,FIXED_CHARTER_COST,HLOOKUP(E$7,FIXED_CHARTER_COST,2,0)+1,0)+VLOOKUP($A42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0.354482545201141</v>
      </c>
      <c r="F42" s="23" t="n">
        <f aca="false">(+VLOOKUP($A42,FIXED_CHARTER_COST,HLOOKUP(F$7,FIXED_CHARTER_COST,2,0)+1,0)+VLOOKUP($A42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0.596082323092015</v>
      </c>
      <c r="G42" s="23" t="n">
        <f aca="false">(+VLOOKUP($A42,FIXED_CHARTER_COST,HLOOKUP(G$7,FIXED_CHARTER_COST,2,0)+1,0)+VLOOKUP($A42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0.724181324740562</v>
      </c>
      <c r="H42" s="23" t="n">
        <f aca="false">(+VLOOKUP($A42,FIXED_CHARTER_COST,HLOOKUP(H$7,FIXED_CHARTER_COST,2,0)+1,0)+VLOOKUP($A42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0.597204907161221</v>
      </c>
      <c r="I42" s="23" t="n">
        <f aca="false">(+VLOOKUP($A42,FIXED_CHARTER_COST,HLOOKUP(I$7,FIXED_CHARTER_COST,2,0)+1,0)+VLOOKUP($A42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0.716547035555736</v>
      </c>
    </row>
    <row r="43" customFormat="false" ht="12.75" hidden="false" customHeight="false" outlineLevel="0" collapsed="false">
      <c r="A43" s="22" t="n">
        <f aca="false">+SHIPS!B59</f>
        <v>37712</v>
      </c>
      <c r="B43" s="23" t="n">
        <f aca="false">(+VLOOKUP($A43,FIXED_CHARTER_COST,HLOOKUP(B$7,FIXED_CHARTER_COST,2,0)+1,0)+VLOOKUP($A43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1.35084507062847</v>
      </c>
      <c r="C43" s="23" t="n">
        <f aca="false">(+VLOOKUP($A43,FIXED_CHARTER_COST,HLOOKUP(C$7,FIXED_CHARTER_COST,2,0)+1,0)+VLOOKUP($A43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1.47026245709542</v>
      </c>
      <c r="D43" s="23" t="n">
        <f aca="false">(+VLOOKUP($A43,FIXED_CHARTER_COST,HLOOKUP(D$7,FIXED_CHARTER_COST,2,0)+1,0)+VLOOKUP($A43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0.324804738824714</v>
      </c>
      <c r="E43" s="23" t="n">
        <f aca="false">(+VLOOKUP($A43,FIXED_CHARTER_COST,HLOOKUP(E$7,FIXED_CHARTER_COST,2,0)+1,0)+VLOOKUP($A43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0.354573808514119</v>
      </c>
      <c r="F43" s="23" t="n">
        <f aca="false">(+VLOOKUP($A43,FIXED_CHARTER_COST,HLOOKUP(F$7,FIXED_CHARTER_COST,2,0)+1,0)+VLOOKUP($A43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0.596229748443749</v>
      </c>
      <c r="G43" s="23" t="n">
        <f aca="false">(+VLOOKUP($A43,FIXED_CHARTER_COST,HLOOKUP(G$7,FIXED_CHARTER_COST,2,0)+1,0)+VLOOKUP($A43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0.724363851366519</v>
      </c>
      <c r="H43" s="23" t="n">
        <f aca="false">(+VLOOKUP($A43,FIXED_CHARTER_COST,HLOOKUP(H$7,FIXED_CHARTER_COST,2,0)+1,0)+VLOOKUP($A43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0.597536042679903</v>
      </c>
      <c r="I43" s="23" t="n">
        <f aca="false">(+VLOOKUP($A43,FIXED_CHARTER_COST,HLOOKUP(I$7,FIXED_CHARTER_COST,2,0)+1,0)+VLOOKUP($A43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0.716953429146845</v>
      </c>
    </row>
    <row r="44" customFormat="false" ht="12.75" hidden="false" customHeight="false" outlineLevel="0" collapsed="false">
      <c r="A44" s="22" t="n">
        <f aca="false">+SHIPS!B60</f>
        <v>37742</v>
      </c>
      <c r="B44" s="23" t="n">
        <f aca="false">(+VLOOKUP($A44,FIXED_CHARTER_COST,HLOOKUP(B$7,FIXED_CHARTER_COST,2,0)+1,0)+VLOOKUP($A44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1.35156905328523</v>
      </c>
      <c r="C44" s="23" t="n">
        <f aca="false">(+VLOOKUP($A44,FIXED_CHARTER_COST,HLOOKUP(C$7,FIXED_CHARTER_COST,2,0)+1,0)+VLOOKUP($A44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1.47106185461225</v>
      </c>
      <c r="D44" s="23" t="n">
        <f aca="false">(+VLOOKUP($A44,FIXED_CHARTER_COST,HLOOKUP(D$7,FIXED_CHARTER_COST,2,0)+1,0)+VLOOKUP($A44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0.324889157389219</v>
      </c>
      <c r="E44" s="23" t="n">
        <f aca="false">(+VLOOKUP($A44,FIXED_CHARTER_COST,HLOOKUP(E$7,FIXED_CHARTER_COST,2,0)+1,0)+VLOOKUP($A44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0.354665261959</v>
      </c>
      <c r="F44" s="23" t="n">
        <f aca="false">(+VLOOKUP($A44,FIXED_CHARTER_COST,HLOOKUP(F$7,FIXED_CHARTER_COST,2,0)+1,0)+VLOOKUP($A44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0.596377480931632</v>
      </c>
      <c r="G44" s="23" t="n">
        <f aca="false">(+VLOOKUP($A44,FIXED_CHARTER_COST,HLOOKUP(G$7,FIXED_CHARTER_COST,2,0)+1,0)+VLOOKUP($A44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0.724546758256279</v>
      </c>
      <c r="H44" s="23" t="n">
        <f aca="false">(+VLOOKUP($A44,FIXED_CHARTER_COST,HLOOKUP(H$7,FIXED_CHARTER_COST,2,0)+1,0)+VLOOKUP($A44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0.597867868064249</v>
      </c>
      <c r="I44" s="23" t="n">
        <f aca="false">(+VLOOKUP($A44,FIXED_CHARTER_COST,HLOOKUP(I$7,FIXED_CHARTER_COST,2,0)+1,0)+VLOOKUP($A44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0.71736066939127</v>
      </c>
    </row>
    <row r="45" customFormat="false" ht="12.75" hidden="false" customHeight="false" outlineLevel="0" collapsed="false">
      <c r="A45" s="22" t="n">
        <f aca="false">+SHIPS!B61</f>
        <v>37773</v>
      </c>
      <c r="B45" s="23" t="n">
        <f aca="false">(+VLOOKUP($A45,FIXED_CHARTER_COST,HLOOKUP(B$7,FIXED_CHARTER_COST,2,0)+1,0)+VLOOKUP($A45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1.35229454423918</v>
      </c>
      <c r="C45" s="23" t="n">
        <f aca="false">(+VLOOKUP($A45,FIXED_CHARTER_COST,HLOOKUP(C$7,FIXED_CHARTER_COST,2,0)+1,0)+VLOOKUP($A45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1.47186291754058</v>
      </c>
      <c r="D45" s="23" t="n">
        <f aca="false">(+VLOOKUP($A45,FIXED_CHARTER_COST,HLOOKUP(D$7,FIXED_CHARTER_COST,2,0)+1,0)+VLOOKUP($A45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0.324973751825733</v>
      </c>
      <c r="E45" s="23" t="n">
        <f aca="false">(+VLOOKUP($A45,FIXED_CHARTER_COST,HLOOKUP(E$7,FIXED_CHARTER_COST,2,0)+1,0)+VLOOKUP($A45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0.35475690593189</v>
      </c>
      <c r="F45" s="23" t="n">
        <f aca="false">(+VLOOKUP($A45,FIXED_CHARTER_COST,HLOOKUP(F$7,FIXED_CHARTER_COST,2,0)+1,0)+VLOOKUP($A45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0.596525521195532</v>
      </c>
      <c r="G45" s="23" t="n">
        <f aca="false">(+VLOOKUP($A45,FIXED_CHARTER_COST,HLOOKUP(G$7,FIXED_CHARTER_COST,2,0)+1,0)+VLOOKUP($A45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0.72473004620206</v>
      </c>
      <c r="H45" s="23" t="n">
        <f aca="false">(+VLOOKUP($A45,FIXED_CHARTER_COST,HLOOKUP(H$7,FIXED_CHARTER_COST,2,0)+1,0)+VLOOKUP($A45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0.598200384751478</v>
      </c>
      <c r="I45" s="23" t="n">
        <f aca="false">(+VLOOKUP($A45,FIXED_CHARTER_COST,HLOOKUP(I$7,FIXED_CHARTER_COST,2,0)+1,0)+VLOOKUP($A45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0.71776875805287</v>
      </c>
    </row>
    <row r="46" customFormat="false" ht="12.75" hidden="false" customHeight="false" outlineLevel="0" collapsed="false">
      <c r="A46" s="22" t="n">
        <f aca="false">+SHIPS!B62</f>
        <v>37803</v>
      </c>
      <c r="B46" s="23" t="n">
        <f aca="false">(+VLOOKUP($A46,FIXED_CHARTER_COST,HLOOKUP(B$7,FIXED_CHARTER_COST,2,0)+1,0)+VLOOKUP($A46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1.35302154663263</v>
      </c>
      <c r="C46" s="23" t="n">
        <f aca="false">(+VLOOKUP($A46,FIXED_CHARTER_COST,HLOOKUP(C$7,FIXED_CHARTER_COST,2,0)+1,0)+VLOOKUP($A46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1.47266564935</v>
      </c>
      <c r="D46" s="23" t="n">
        <f aca="false">(+VLOOKUP($A46,FIXED_CHARTER_COST,HLOOKUP(D$7,FIXED_CHARTER_COST,2,0)+1,0)+VLOOKUP($A46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0.325058522500657</v>
      </c>
      <c r="E46" s="23" t="n">
        <f aca="false">(+VLOOKUP($A46,FIXED_CHARTER_COST,HLOOKUP(E$7,FIXED_CHARTER_COST,2,0)+1,0)+VLOOKUP($A46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0.354848740829724</v>
      </c>
      <c r="F46" s="23" t="n">
        <f aca="false">(+VLOOKUP($A46,FIXED_CHARTER_COST,HLOOKUP(F$7,FIXED_CHARTER_COST,2,0)+1,0)+VLOOKUP($A46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0.596673869876649</v>
      </c>
      <c r="G46" s="23" t="n">
        <f aca="false">(+VLOOKUP($A46,FIXED_CHARTER_COST,HLOOKUP(G$7,FIXED_CHARTER_COST,2,0)+1,0)+VLOOKUP($A46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0.724913715997728</v>
      </c>
      <c r="H46" s="23" t="n">
        <f aca="false">(+VLOOKUP($A46,FIXED_CHARTER_COST,HLOOKUP(H$7,FIXED_CHARTER_COST,2,0)+1,0)+VLOOKUP($A46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0.598533594181807</v>
      </c>
      <c r="I46" s="23" t="n">
        <f aca="false">(+VLOOKUP($A46,FIXED_CHARTER_COST,HLOOKUP(I$7,FIXED_CHARTER_COST,2,0)+1,0)+VLOOKUP($A46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0.718177696899182</v>
      </c>
    </row>
    <row r="47" customFormat="false" ht="12.75" hidden="false" customHeight="false" outlineLevel="0" collapsed="false">
      <c r="A47" s="22" t="n">
        <f aca="false">+SHIPS!B63</f>
        <v>37834</v>
      </c>
      <c r="B47" s="23" t="n">
        <f aca="false">(+VLOOKUP($A47,FIXED_CHARTER_COST,HLOOKUP(B$7,FIXED_CHARTER_COST,2,0)+1,0)+VLOOKUP($A47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1.35375006361439</v>
      </c>
      <c r="C47" s="23" t="n">
        <f aca="false">(+VLOOKUP($A47,FIXED_CHARTER_COST,HLOOKUP(C$7,FIXED_CHARTER_COST,2,0)+1,0)+VLOOKUP($A47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1.47347005351737</v>
      </c>
      <c r="D47" s="23" t="n">
        <f aca="false">(+VLOOKUP($A47,FIXED_CHARTER_COST,HLOOKUP(D$7,FIXED_CHARTER_COST,2,0)+1,0)+VLOOKUP($A47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0.325143469781153</v>
      </c>
      <c r="E47" s="23" t="n">
        <f aca="false">(+VLOOKUP($A47,FIXED_CHARTER_COST,HLOOKUP(E$7,FIXED_CHARTER_COST,2,0)+1,0)+VLOOKUP($A47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0.354940767050262</v>
      </c>
      <c r="F47" s="23" t="n">
        <f aca="false">(+VLOOKUP($A47,FIXED_CHARTER_COST,HLOOKUP(F$7,FIXED_CHARTER_COST,2,0)+1,0)+VLOOKUP($A47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0.596822527617517</v>
      </c>
      <c r="G47" s="23" t="n">
        <f aca="false">(+VLOOKUP($A47,FIXED_CHARTER_COST,HLOOKUP(G$7,FIXED_CHARTER_COST,2,0)+1,0)+VLOOKUP($A47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0.725097768438804</v>
      </c>
      <c r="H47" s="23" t="n">
        <f aca="false">(+VLOOKUP($A47,FIXED_CHARTER_COST,HLOOKUP(H$7,FIXED_CHARTER_COST,2,0)+1,0)+VLOOKUP($A47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0.598867497798448</v>
      </c>
      <c r="I47" s="23" t="n">
        <f aca="false">(+VLOOKUP($A47,FIXED_CHARTER_COST,HLOOKUP(I$7,FIXED_CHARTER_COST,2,0)+1,0)+VLOOKUP($A47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0.718587487701424</v>
      </c>
    </row>
    <row r="48" customFormat="false" ht="12.75" hidden="false" customHeight="false" outlineLevel="0" collapsed="false">
      <c r="A48" s="22" t="n">
        <f aca="false">+SHIPS!B64</f>
        <v>37865</v>
      </c>
      <c r="B48" s="23" t="n">
        <f aca="false">(+VLOOKUP($A48,FIXED_CHARTER_COST,HLOOKUP(B$7,FIXED_CHARTER_COST,2,0)+1,0)+VLOOKUP($A48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1.35448009833987</v>
      </c>
      <c r="C48" s="23" t="n">
        <f aca="false">(+VLOOKUP($A48,FIXED_CHARTER_COST,HLOOKUP(C$7,FIXED_CHARTER_COST,2,0)+1,0)+VLOOKUP($A48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1.47427613352675</v>
      </c>
      <c r="D48" s="23" t="n">
        <f aca="false">(+VLOOKUP($A48,FIXED_CHARTER_COST,HLOOKUP(D$7,FIXED_CHARTER_COST,2,0)+1,0)+VLOOKUP($A48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0.325228594035151</v>
      </c>
      <c r="E48" s="23" t="n">
        <f aca="false">(+VLOOKUP($A48,FIXED_CHARTER_COST,HLOOKUP(E$7,FIXED_CHARTER_COST,2,0)+1,0)+VLOOKUP($A48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0.355032984992093</v>
      </c>
      <c r="F48" s="23" t="n">
        <f aca="false">(+VLOOKUP($A48,FIXED_CHARTER_COST,HLOOKUP(F$7,FIXED_CHARTER_COST,2,0)+1,0)+VLOOKUP($A48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0.596971495062013</v>
      </c>
      <c r="G48" s="23" t="n">
        <f aca="false">(+VLOOKUP($A48,FIXED_CHARTER_COST,HLOOKUP(G$7,FIXED_CHARTER_COST,2,0)+1,0)+VLOOKUP($A48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0.725282204322465</v>
      </c>
      <c r="H48" s="23" t="n">
        <f aca="false">(+VLOOKUP($A48,FIXED_CHARTER_COST,HLOOKUP(H$7,FIXED_CHARTER_COST,2,0)+1,0)+VLOOKUP($A48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0.599202097047624</v>
      </c>
      <c r="I48" s="23" t="n">
        <f aca="false">(+VLOOKUP($A48,FIXED_CHARTER_COST,HLOOKUP(I$7,FIXED_CHARTER_COST,2,0)+1,0)+VLOOKUP($A48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0.718998132234504</v>
      </c>
    </row>
    <row r="49" customFormat="false" ht="12.75" hidden="false" customHeight="false" outlineLevel="0" collapsed="false">
      <c r="A49" s="22" t="n">
        <f aca="false">+SHIPS!B65</f>
        <v>37895</v>
      </c>
      <c r="B49" s="23" t="n">
        <f aca="false">(+VLOOKUP($A49,FIXED_CHARTER_COST,HLOOKUP(B$7,FIXED_CHARTER_COST,2,0)+1,0)+VLOOKUP($A49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1.35521165397102</v>
      </c>
      <c r="C49" s="23" t="n">
        <f aca="false">(+VLOOKUP($A49,FIXED_CHARTER_COST,HLOOKUP(C$7,FIXED_CHARTER_COST,2,0)+1,0)+VLOOKUP($A49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1.47508389286948</v>
      </c>
      <c r="D49" s="23" t="n">
        <f aca="false">(+VLOOKUP($A49,FIXED_CHARTER_COST,HLOOKUP(D$7,FIXED_CHARTER_COST,2,0)+1,0)+VLOOKUP($A49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0.325313895631344</v>
      </c>
      <c r="E49" s="23" t="n">
        <f aca="false">(+VLOOKUP($A49,FIXED_CHARTER_COST,HLOOKUP(E$7,FIXED_CHARTER_COST,2,0)+1,0)+VLOOKUP($A49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0.355125395054635</v>
      </c>
      <c r="F49" s="23" t="n">
        <f aca="false">(+VLOOKUP($A49,FIXED_CHARTER_COST,HLOOKUP(F$7,FIXED_CHARTER_COST,2,0)+1,0)+VLOOKUP($A49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0.597120772855351</v>
      </c>
      <c r="G49" s="23" t="n">
        <f aca="false">(+VLOOKUP($A49,FIXED_CHARTER_COST,HLOOKUP(G$7,FIXED_CHARTER_COST,2,0)+1,0)+VLOOKUP($A49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0.72546702444755</v>
      </c>
      <c r="H49" s="23" t="n">
        <f aca="false">(+VLOOKUP($A49,FIXED_CHARTER_COST,HLOOKUP(H$7,FIXED_CHARTER_COST,2,0)+1,0)+VLOOKUP($A49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0.59953739337857</v>
      </c>
      <c r="I49" s="23" t="n">
        <f aca="false">(+VLOOKUP($A49,FIXED_CHARTER_COST,HLOOKUP(I$7,FIXED_CHARTER_COST,2,0)+1,0)+VLOOKUP($A49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0.719409632277027</v>
      </c>
    </row>
    <row r="50" customFormat="false" ht="12.75" hidden="false" customHeight="false" outlineLevel="0" collapsed="false">
      <c r="A50" s="22" t="n">
        <f aca="false">+SHIPS!B66</f>
        <v>37926</v>
      </c>
      <c r="B50" s="23" t="n">
        <f aca="false">(+VLOOKUP($A50,FIXED_CHARTER_COST,HLOOKUP(B$7,FIXED_CHARTER_COST,2,0)+1,0)+VLOOKUP($A50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1.3559447336764</v>
      </c>
      <c r="C50" s="23" t="n">
        <f aca="false">(+VLOOKUP($A50,FIXED_CHARTER_COST,HLOOKUP(C$7,FIXED_CHARTER_COST,2,0)+1,0)+VLOOKUP($A50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1.47589333504417</v>
      </c>
      <c r="D50" s="23" t="n">
        <f aca="false">(+VLOOKUP($A50,FIXED_CHARTER_COST,HLOOKUP(D$7,FIXED_CHARTER_COST,2,0)+1,0)+VLOOKUP($A50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0.325399374939196</v>
      </c>
      <c r="E50" s="23" t="n">
        <f aca="false">(+VLOOKUP($A50,FIXED_CHARTER_COST,HLOOKUP(E$7,FIXED_CHARTER_COST,2,0)+1,0)+VLOOKUP($A50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0.355217997638142</v>
      </c>
      <c r="F50" s="23" t="n">
        <f aca="false">(+VLOOKUP($A50,FIXED_CHARTER_COST,HLOOKUP(F$7,FIXED_CHARTER_COST,2,0)+1,0)+VLOOKUP($A50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0.597270361644092</v>
      </c>
      <c r="G50" s="23" t="n">
        <f aca="false">(+VLOOKUP($A50,FIXED_CHARTER_COST,HLOOKUP(G$7,FIXED_CHARTER_COST,2,0)+1,0)+VLOOKUP($A50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0.725652229614563</v>
      </c>
      <c r="H50" s="23" t="n">
        <f aca="false">(+VLOOKUP($A50,FIXED_CHARTER_COST,HLOOKUP(H$7,FIXED_CHARTER_COST,2,0)+1,0)+VLOOKUP($A50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0.599873388243538</v>
      </c>
      <c r="I50" s="23" t="n">
        <f aca="false">(+VLOOKUP($A50,FIXED_CHARTER_COST,HLOOKUP(I$7,FIXED_CHARTER_COST,2,0)+1,0)+VLOOKUP($A50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0.719821989611306</v>
      </c>
    </row>
    <row r="51" customFormat="false" ht="12.75" hidden="false" customHeight="false" outlineLevel="0" collapsed="false">
      <c r="A51" s="22" t="n">
        <f aca="false">+SHIPS!B67</f>
        <v>37956</v>
      </c>
      <c r="B51" s="23" t="n">
        <f aca="false">(+VLOOKUP($A51,FIXED_CHARTER_COST,HLOOKUP(B$7,FIXED_CHARTER_COST,2,0)+1,0)+VLOOKUP($A51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1.35667934063118</v>
      </c>
      <c r="C51" s="23" t="n">
        <f aca="false">(+VLOOKUP($A51,FIXED_CHARTER_COST,HLOOKUP(C$7,FIXED_CHARTER_COST,2,0)+1,0)+VLOOKUP($A51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1.47670446355673</v>
      </c>
      <c r="D51" s="23" t="n">
        <f aca="false">(+VLOOKUP($A51,FIXED_CHARTER_COST,HLOOKUP(D$7,FIXED_CHARTER_COST,2,0)+1,0)+VLOOKUP($A51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0.325485032328939</v>
      </c>
      <c r="E51" s="23" t="n">
        <f aca="false">(+VLOOKUP($A51,FIXED_CHARTER_COST,HLOOKUP(E$7,FIXED_CHARTER_COST,2,0)+1,0)+VLOOKUP($A51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0.355310793143697</v>
      </c>
      <c r="F51" s="23" t="n">
        <f aca="false">(+VLOOKUP($A51,FIXED_CHARTER_COST,HLOOKUP(F$7,FIXED_CHARTER_COST,2,0)+1,0)+VLOOKUP($A51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0.597420262076143</v>
      </c>
      <c r="G51" s="23" t="n">
        <f aca="false">(+VLOOKUP($A51,FIXED_CHARTER_COST,HLOOKUP(G$7,FIXED_CHARTER_COST,2,0)+1,0)+VLOOKUP($A51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0.725837820625673</v>
      </c>
      <c r="H51" s="23" t="n">
        <f aca="false">(+VLOOKUP($A51,FIXED_CHARTER_COST,HLOOKUP(H$7,FIXED_CHARTER_COST,2,0)+1,0)+VLOOKUP($A51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0.600210083097808</v>
      </c>
      <c r="I51" s="23" t="n">
        <f aca="false">(+VLOOKUP($A51,FIXED_CHARTER_COST,HLOOKUP(I$7,FIXED_CHARTER_COST,2,0)+1,0)+VLOOKUP($A51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0.720235206023365</v>
      </c>
    </row>
    <row r="52" customFormat="false" ht="12.75" hidden="false" customHeight="false" outlineLevel="0" collapsed="false">
      <c r="A52" s="24" t="n">
        <f aca="false">+SHIPS!B68</f>
        <v>37987</v>
      </c>
      <c r="B52" s="23" t="n">
        <f aca="false">(+VLOOKUP($A52,FIXED_CHARTER_COST,HLOOKUP(B$7,FIXED_CHARTER_COST,2,0)+1,0)+VLOOKUP($A52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1.3574154780171</v>
      </c>
      <c r="C52" s="23" t="n">
        <f aca="false">(+VLOOKUP($A52,FIXED_CHARTER_COST,HLOOKUP(C$7,FIXED_CHARTER_COST,2,0)+1,0)+VLOOKUP($A52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1.47751728192036</v>
      </c>
      <c r="D52" s="23" t="n">
        <f aca="false">(+VLOOKUP($A52,FIXED_CHARTER_COST,HLOOKUP(D$7,FIXED_CHARTER_COST,2,0)+1,0)+VLOOKUP($A52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0.325570868171578</v>
      </c>
      <c r="E52" s="23" t="n">
        <f aca="false">(+VLOOKUP($A52,FIXED_CHARTER_COST,HLOOKUP(E$7,FIXED_CHARTER_COST,2,0)+1,0)+VLOOKUP($A52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0.355403781973222</v>
      </c>
      <c r="F52" s="23" t="n">
        <f aca="false">(+VLOOKUP($A52,FIXED_CHARTER_COST,HLOOKUP(F$7,FIXED_CHARTER_COST,2,0)+1,0)+VLOOKUP($A52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0.597570474800761</v>
      </c>
      <c r="G52" s="23" t="n">
        <f aca="false">(+VLOOKUP($A52,FIXED_CHARTER_COST,HLOOKUP(G$7,FIXED_CHARTER_COST,2,0)+1,0)+VLOOKUP($A52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0.726023798284724</v>
      </c>
      <c r="H52" s="23" t="n">
        <f aca="false">(+VLOOKUP($A52,FIXED_CHARTER_COST,HLOOKUP(H$7,FIXED_CHARTER_COST,2,0)+1,0)+VLOOKUP($A52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0.600547479399691</v>
      </c>
      <c r="I52" s="23" t="n">
        <f aca="false">(+VLOOKUP($A52,FIXED_CHARTER_COST,HLOOKUP(I$7,FIXED_CHARTER_COST,2,0)+1,0)+VLOOKUP($A52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0.720649283302949</v>
      </c>
    </row>
    <row r="53" customFormat="false" ht="12.75" hidden="false" customHeight="false" outlineLevel="0" collapsed="false">
      <c r="A53" s="22" t="n">
        <f aca="false">+SHIPS!B69</f>
        <v>38018</v>
      </c>
      <c r="B53" s="23" t="n">
        <f aca="false">(+VLOOKUP($A53,FIXED_CHARTER_COST,HLOOKUP(B$7,FIXED_CHARTER_COST,2,0)+1,0)+VLOOKUP($A53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1.35815314902258</v>
      </c>
      <c r="C53" s="23" t="n">
        <f aca="false">(+VLOOKUP($A53,FIXED_CHARTER_COST,HLOOKUP(C$7,FIXED_CHARTER_COST,2,0)+1,0)+VLOOKUP($A53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1.47833179365558</v>
      </c>
      <c r="D53" s="23" t="n">
        <f aca="false">(+VLOOKUP($A53,FIXED_CHARTER_COST,HLOOKUP(D$7,FIXED_CHARTER_COST,2,0)+1,0)+VLOOKUP($A53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0.325656882838889</v>
      </c>
      <c r="E53" s="23" t="n">
        <f aca="false">(+VLOOKUP($A53,FIXED_CHARTER_COST,HLOOKUP(E$7,FIXED_CHARTER_COST,2,0)+1,0)+VLOOKUP($A53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0.355496964529476</v>
      </c>
      <c r="F53" s="23" t="n">
        <f aca="false">(+VLOOKUP($A53,FIXED_CHARTER_COST,HLOOKUP(F$7,FIXED_CHARTER_COST,2,0)+1,0)+VLOOKUP($A53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0.597721000468555</v>
      </c>
      <c r="G53" s="23" t="n">
        <f aca="false">(+VLOOKUP($A53,FIXED_CHARTER_COST,HLOOKUP(G$7,FIXED_CHARTER_COST,2,0)+1,0)+VLOOKUP($A53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0.726210163397231</v>
      </c>
      <c r="H53" s="23" t="n">
        <f aca="false">(+VLOOKUP($A53,FIXED_CHARTER_COST,HLOOKUP(H$7,FIXED_CHARTER_COST,2,0)+1,0)+VLOOKUP($A53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0.600885578610536</v>
      </c>
      <c r="I53" s="23" t="n">
        <f aca="false">(+VLOOKUP($A53,FIXED_CHARTER_COST,HLOOKUP(I$7,FIXED_CHARTER_COST,2,0)+1,0)+VLOOKUP($A53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0.721064223243532</v>
      </c>
    </row>
    <row r="54" customFormat="false" ht="12.75" hidden="false" customHeight="false" outlineLevel="0" collapsed="false">
      <c r="A54" s="22" t="n">
        <f aca="false">+SHIPS!B70</f>
        <v>38047</v>
      </c>
      <c r="B54" s="23" t="n">
        <f aca="false">(+VLOOKUP($A54,FIXED_CHARTER_COST,HLOOKUP(B$7,FIXED_CHARTER_COST,2,0)+1,0)+VLOOKUP($A54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1.35889235684266</v>
      </c>
      <c r="C54" s="23" t="n">
        <f aca="false">(+VLOOKUP($A54,FIXED_CHARTER_COST,HLOOKUP(C$7,FIXED_CHARTER_COST,2,0)+1,0)+VLOOKUP($A54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1.47914800229025</v>
      </c>
      <c r="D54" s="23" t="n">
        <f aca="false">(+VLOOKUP($A54,FIXED_CHARTER_COST,HLOOKUP(D$7,FIXED_CHARTER_COST,2,0)+1,0)+VLOOKUP($A54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0.325743076703423</v>
      </c>
      <c r="E54" s="23" t="n">
        <f aca="false">(+VLOOKUP($A54,FIXED_CHARTER_COST,HLOOKUP(E$7,FIXED_CHARTER_COST,2,0)+1,0)+VLOOKUP($A54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0.355590341216054</v>
      </c>
      <c r="F54" s="23" t="n">
        <f aca="false">(+VLOOKUP($A54,FIXED_CHARTER_COST,HLOOKUP(F$7,FIXED_CHARTER_COST,2,0)+1,0)+VLOOKUP($A54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0.59787183973149</v>
      </c>
      <c r="G54" s="23" t="n">
        <f aca="false">(+VLOOKUP($A54,FIXED_CHARTER_COST,HLOOKUP(G$7,FIXED_CHARTER_COST,2,0)+1,0)+VLOOKUP($A54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0.726396916770388</v>
      </c>
      <c r="H54" s="23" t="n">
        <f aca="false">(+VLOOKUP($A54,FIXED_CHARTER_COST,HLOOKUP(H$7,FIXED_CHARTER_COST,2,0)+1,0)+VLOOKUP($A54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0.601224382194738</v>
      </c>
      <c r="I54" s="23" t="n">
        <f aca="false">(+VLOOKUP($A54,FIXED_CHARTER_COST,HLOOKUP(I$7,FIXED_CHARTER_COST,2,0)+1,0)+VLOOKUP($A54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0.721480027642324</v>
      </c>
    </row>
    <row r="55" customFormat="false" ht="12.75" hidden="false" customHeight="false" outlineLevel="0" collapsed="false">
      <c r="A55" s="22" t="n">
        <f aca="false">+SHIPS!B71</f>
        <v>38078</v>
      </c>
      <c r="B55" s="23" t="n">
        <f aca="false">(+VLOOKUP($A55,FIXED_CHARTER_COST,HLOOKUP(B$7,FIXED_CHARTER_COST,2,0)+1,0)+VLOOKUP($A55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1.35963310467903</v>
      </c>
      <c r="C55" s="23" t="n">
        <f aca="false">(+VLOOKUP($A55,FIXED_CHARTER_COST,HLOOKUP(C$7,FIXED_CHARTER_COST,2,0)+1,0)+VLOOKUP($A55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1.47996591135957</v>
      </c>
      <c r="D55" s="23" t="n">
        <f aca="false">(+VLOOKUP($A55,FIXED_CHARTER_COST,HLOOKUP(D$7,FIXED_CHARTER_COST,2,0)+1,0)+VLOOKUP($A55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0.325829450138509</v>
      </c>
      <c r="E55" s="23" t="n">
        <f aca="false">(+VLOOKUP($A55,FIXED_CHARTER_COST,HLOOKUP(E$7,FIXED_CHARTER_COST,2,0)+1,0)+VLOOKUP($A55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0.355683912437397</v>
      </c>
      <c r="F55" s="23" t="n">
        <f aca="false">(+VLOOKUP($A55,FIXED_CHARTER_COST,HLOOKUP(F$7,FIXED_CHARTER_COST,2,0)+1,0)+VLOOKUP($A55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0.598022993242889</v>
      </c>
      <c r="G55" s="23" t="n">
        <f aca="false">(+VLOOKUP($A55,FIXED_CHARTER_COST,HLOOKUP(G$7,FIXED_CHARTER_COST,2,0)+1,0)+VLOOKUP($A55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0.726584059213074</v>
      </c>
      <c r="H55" s="23" t="n">
        <f aca="false">(+VLOOKUP($A55,FIXED_CHARTER_COST,HLOOKUP(H$7,FIXED_CHARTER_COST,2,0)+1,0)+VLOOKUP($A55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0.601563891619739</v>
      </c>
      <c r="I55" s="23" t="n">
        <f aca="false">(+VLOOKUP($A55,FIXED_CHARTER_COST,HLOOKUP(I$7,FIXED_CHARTER_COST,2,0)+1,0)+VLOOKUP($A55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0.721896698300281</v>
      </c>
    </row>
    <row r="56" customFormat="false" ht="12.75" hidden="false" customHeight="false" outlineLevel="0" collapsed="false">
      <c r="A56" s="22" t="n">
        <f aca="false">+SHIPS!B72</f>
        <v>38108</v>
      </c>
      <c r="B56" s="23" t="n">
        <f aca="false">(+VLOOKUP($A56,FIXED_CHARTER_COST,HLOOKUP(B$7,FIXED_CHARTER_COST,2,0)+1,0)+VLOOKUP($A56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1.36037539574005</v>
      </c>
      <c r="C56" s="23" t="n">
        <f aca="false">(+VLOOKUP($A56,FIXED_CHARTER_COST,HLOOKUP(C$7,FIXED_CHARTER_COST,2,0)+1,0)+VLOOKUP($A56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1.48078552440612</v>
      </c>
      <c r="D56" s="23" t="n">
        <f aca="false">(+VLOOKUP($A56,FIXED_CHARTER_COST,HLOOKUP(D$7,FIXED_CHARTER_COST,2,0)+1,0)+VLOOKUP($A56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0.325916003518251</v>
      </c>
      <c r="E56" s="23" t="n">
        <f aca="false">(+VLOOKUP($A56,FIXED_CHARTER_COST,HLOOKUP(E$7,FIXED_CHARTER_COST,2,0)+1,0)+VLOOKUP($A56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0.355777678598784</v>
      </c>
      <c r="F56" s="23" t="n">
        <f aca="false">(+VLOOKUP($A56,FIXED_CHARTER_COST,HLOOKUP(F$7,FIXED_CHARTER_COST,2,0)+1,0)+VLOOKUP($A56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0.598174461657438</v>
      </c>
      <c r="G56" s="23" t="n">
        <f aca="false">(+VLOOKUP($A56,FIXED_CHARTER_COST,HLOOKUP(G$7,FIXED_CHARTER_COST,2,0)+1,0)+VLOOKUP($A56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0.726771591535848</v>
      </c>
      <c r="H56" s="23" t="n">
        <f aca="false">(+VLOOKUP($A56,FIXED_CHARTER_COST,HLOOKUP(H$7,FIXED_CHARTER_COST,2,0)+1,0)+VLOOKUP($A56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0.601904108356043</v>
      </c>
      <c r="I56" s="23" t="n">
        <f aca="false">(+VLOOKUP($A56,FIXED_CHARTER_COST,HLOOKUP(I$7,FIXED_CHARTER_COST,2,0)+1,0)+VLOOKUP($A56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0.722314237022108</v>
      </c>
    </row>
    <row r="57" customFormat="false" ht="12.75" hidden="false" customHeight="false" outlineLevel="0" collapsed="false">
      <c r="A57" s="22" t="n">
        <f aca="false">+SHIPS!B73</f>
        <v>38139</v>
      </c>
      <c r="B57" s="23" t="n">
        <f aca="false">(+VLOOKUP($A57,FIXED_CHARTER_COST,HLOOKUP(B$7,FIXED_CHARTER_COST,2,0)+1,0)+VLOOKUP($A57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1.36111923324079</v>
      </c>
      <c r="C57" s="23" t="n">
        <f aca="false">(+VLOOKUP($A57,FIXED_CHARTER_COST,HLOOKUP(C$7,FIXED_CHARTER_COST,2,0)+1,0)+VLOOKUP($A57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1.48160684497985</v>
      </c>
      <c r="D57" s="23" t="n">
        <f aca="false">(+VLOOKUP($A57,FIXED_CHARTER_COST,HLOOKUP(D$7,FIXED_CHARTER_COST,2,0)+1,0)+VLOOKUP($A57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0.326002737217534</v>
      </c>
      <c r="E57" s="23" t="n">
        <f aca="false">(+VLOOKUP($A57,FIXED_CHARTER_COST,HLOOKUP(E$7,FIXED_CHARTER_COST,2,0)+1,0)+VLOOKUP($A57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0.355871640106341</v>
      </c>
      <c r="F57" s="23" t="n">
        <f aca="false">(+VLOOKUP($A57,FIXED_CHARTER_COST,HLOOKUP(F$7,FIXED_CHARTER_COST,2,0)+1,0)+VLOOKUP($A57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0.598326245631183</v>
      </c>
      <c r="G57" s="23" t="n">
        <f aca="false">(+VLOOKUP($A57,FIXED_CHARTER_COST,HLOOKUP(G$7,FIXED_CHARTER_COST,2,0)+1,0)+VLOOKUP($A57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0.726959514550961</v>
      </c>
      <c r="H57" s="23" t="n">
        <f aca="false">(+VLOOKUP($A57,FIXED_CHARTER_COST,HLOOKUP(H$7,FIXED_CHARTER_COST,2,0)+1,0)+VLOOKUP($A57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0.602245033877214</v>
      </c>
      <c r="I57" s="23" t="n">
        <f aca="false">(+VLOOKUP($A57,FIXED_CHARTER_COST,HLOOKUP(I$7,FIXED_CHARTER_COST,2,0)+1,0)+VLOOKUP($A57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0.722732645616273</v>
      </c>
    </row>
    <row r="58" customFormat="false" ht="12.75" hidden="false" customHeight="false" outlineLevel="0" collapsed="false">
      <c r="A58" s="22" t="n">
        <f aca="false">+SHIPS!B74</f>
        <v>38169</v>
      </c>
      <c r="B58" s="23" t="n">
        <f aca="false">(+VLOOKUP($A58,FIXED_CHARTER_COST,HLOOKUP(B$7,FIXED_CHARTER_COST,2,0)+1,0)+VLOOKUP($A58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1.36186462040299</v>
      </c>
      <c r="C58" s="23" t="n">
        <f aca="false">(+VLOOKUP($A58,FIXED_CHARTER_COST,HLOOKUP(C$7,FIXED_CHARTER_COST,2,0)+1,0)+VLOOKUP($A58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1.48242987663811</v>
      </c>
      <c r="D58" s="23" t="n">
        <f aca="false">(+VLOOKUP($A58,FIXED_CHARTER_COST,HLOOKUP(D$7,FIXED_CHARTER_COST,2,0)+1,0)+VLOOKUP($A58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0.326089651612024</v>
      </c>
      <c r="E58" s="23" t="n">
        <f aca="false">(+VLOOKUP($A58,FIXED_CHARTER_COST,HLOOKUP(E$7,FIXED_CHARTER_COST,2,0)+1,0)+VLOOKUP($A58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0.355965797367038</v>
      </c>
      <c r="F58" s="23" t="n">
        <f aca="false">(+VLOOKUP($A58,FIXED_CHARTER_COST,HLOOKUP(F$7,FIXED_CHARTER_COST,2,0)+1,0)+VLOOKUP($A58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0.598478345821541</v>
      </c>
      <c r="G58" s="23" t="n">
        <f aca="false">(+VLOOKUP($A58,FIXED_CHARTER_COST,HLOOKUP(G$7,FIXED_CHARTER_COST,2,0)+1,0)+VLOOKUP($A58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0.727147829072356</v>
      </c>
      <c r="H58" s="23" t="n">
        <f aca="false">(+VLOOKUP($A58,FIXED_CHARTER_COST,HLOOKUP(H$7,FIXED_CHARTER_COST,2,0)+1,0)+VLOOKUP($A58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0.602586669659888</v>
      </c>
      <c r="I58" s="23" t="n">
        <f aca="false">(+VLOOKUP($A58,FIXED_CHARTER_COST,HLOOKUP(I$7,FIXED_CHARTER_COST,2,0)+1,0)+VLOOKUP($A58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0.723151925895009</v>
      </c>
    </row>
    <row r="59" customFormat="false" ht="12.75" hidden="false" customHeight="false" outlineLevel="0" collapsed="false">
      <c r="A59" s="22" t="n">
        <f aca="false">+SHIPS!B75</f>
        <v>38200</v>
      </c>
      <c r="B59" s="23" t="n">
        <f aca="false">(+VLOOKUP($A59,FIXED_CHARTER_COST,HLOOKUP(B$7,FIXED_CHARTER_COST,2,0)+1,0)+VLOOKUP($A59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1.3626115604551</v>
      </c>
      <c r="C59" s="23" t="n">
        <f aca="false">(+VLOOKUP($A59,FIXED_CHARTER_COST,HLOOKUP(C$7,FIXED_CHARTER_COST,2,0)+1,0)+VLOOKUP($A59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1.48325462294565</v>
      </c>
      <c r="D59" s="23" t="n">
        <f aca="false">(+VLOOKUP($A59,FIXED_CHARTER_COST,HLOOKUP(D$7,FIXED_CHARTER_COST,2,0)+1,0)+VLOOKUP($A59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0.326176747078169</v>
      </c>
      <c r="E59" s="23" t="n">
        <f aca="false">(+VLOOKUP($A59,FIXED_CHARTER_COST,HLOOKUP(E$7,FIXED_CHARTER_COST,2,0)+1,0)+VLOOKUP($A59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0.356060150788695</v>
      </c>
      <c r="F59" s="23" t="n">
        <f aca="false">(+VLOOKUP($A59,FIXED_CHARTER_COST,HLOOKUP(F$7,FIXED_CHARTER_COST,2,0)+1,0)+VLOOKUP($A59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0.598630762887294</v>
      </c>
      <c r="G59" s="23" t="n">
        <f aca="false">(+VLOOKUP($A59,FIXED_CHARTER_COST,HLOOKUP(G$7,FIXED_CHARTER_COST,2,0)+1,0)+VLOOKUP($A59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0.72733653591567</v>
      </c>
      <c r="H59" s="23" t="n">
        <f aca="false">(+VLOOKUP($A59,FIXED_CHARTER_COST,HLOOKUP(H$7,FIXED_CHARTER_COST,2,0)+1,0)+VLOOKUP($A59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0.602929017183775</v>
      </c>
      <c r="I59" s="23" t="n">
        <f aca="false">(+VLOOKUP($A59,FIXED_CHARTER_COST,HLOOKUP(I$7,FIXED_CHARTER_COST,2,0)+1,0)+VLOOKUP($A59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0.723572079674325</v>
      </c>
    </row>
    <row r="60" customFormat="false" ht="12.75" hidden="false" customHeight="false" outlineLevel="0" collapsed="false">
      <c r="A60" s="22" t="n">
        <f aca="false">+SHIPS!B76</f>
        <v>38231</v>
      </c>
      <c r="B60" s="23" t="n">
        <f aca="false">(+VLOOKUP($A60,FIXED_CHARTER_COST,HLOOKUP(B$7,FIXED_CHARTER_COST,2,0)+1,0)+VLOOKUP($A60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1.36336005663233</v>
      </c>
      <c r="C60" s="23" t="n">
        <f aca="false">(+VLOOKUP($A60,FIXED_CHARTER_COST,HLOOKUP(C$7,FIXED_CHARTER_COST,2,0)+1,0)+VLOOKUP($A60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1.48408108747468</v>
      </c>
      <c r="D60" s="23" t="n">
        <f aca="false">(+VLOOKUP($A60,FIXED_CHARTER_COST,HLOOKUP(D$7,FIXED_CHARTER_COST,2,0)+1,0)+VLOOKUP($A60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0.326264023993202</v>
      </c>
      <c r="E60" s="23" t="n">
        <f aca="false">(+VLOOKUP($A60,FIXED_CHARTER_COST,HLOOKUP(E$7,FIXED_CHARTER_COST,2,0)+1,0)+VLOOKUP($A60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0.356154700779981</v>
      </c>
      <c r="F60" s="23" t="n">
        <f aca="false">(+VLOOKUP($A60,FIXED_CHARTER_COST,HLOOKUP(F$7,FIXED_CHARTER_COST,2,0)+1,0)+VLOOKUP($A60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0.598783497488602</v>
      </c>
      <c r="G60" s="23" t="n">
        <f aca="false">(+VLOOKUP($A60,FIXED_CHARTER_COST,HLOOKUP(G$7,FIXED_CHARTER_COST,2,0)+1,0)+VLOOKUP($A60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0.727525635898242</v>
      </c>
      <c r="H60" s="23" t="n">
        <f aca="false">(+VLOOKUP($A60,FIXED_CHARTER_COST,HLOOKUP(H$7,FIXED_CHARTER_COST,2,0)+1,0)+VLOOKUP($A60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0.603272077931671</v>
      </c>
      <c r="I60" s="23" t="n">
        <f aca="false">(+VLOOKUP($A60,FIXED_CHARTER_COST,HLOOKUP(I$7,FIXED_CHARTER_COST,2,0)+1,0)+VLOOKUP($A60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0.723993108774015</v>
      </c>
    </row>
    <row r="61" customFormat="false" ht="12.75" hidden="false" customHeight="false" outlineLevel="0" collapsed="false">
      <c r="A61" s="22" t="n">
        <f aca="false">+SHIPS!B77</f>
        <v>38261</v>
      </c>
      <c r="B61" s="23" t="n">
        <f aca="false">(+VLOOKUP($A61,FIXED_CHARTER_COST,HLOOKUP(B$7,FIXED_CHARTER_COST,2,0)+1,0)+VLOOKUP($A61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1.36411011217659</v>
      </c>
      <c r="C61" s="23" t="n">
        <f aca="false">(+VLOOKUP($A61,FIXED_CHARTER_COST,HLOOKUP(C$7,FIXED_CHARTER_COST,2,0)+1,0)+VLOOKUP($A61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1.4849092738048</v>
      </c>
      <c r="D61" s="23" t="n">
        <f aca="false">(+VLOOKUP($A61,FIXED_CHARTER_COST,HLOOKUP(D$7,FIXED_CHARTER_COST,2,0)+1,0)+VLOOKUP($A61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0.326351482735141</v>
      </c>
      <c r="E61" s="23" t="n">
        <f aca="false">(+VLOOKUP($A61,FIXED_CHARTER_COST,HLOOKUP(E$7,FIXED_CHARTER_COST,2,0)+1,0)+VLOOKUP($A61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0.356249447750415</v>
      </c>
      <c r="F61" s="23" t="n">
        <f aca="false">(+VLOOKUP($A61,FIXED_CHARTER_COST,HLOOKUP(F$7,FIXED_CHARTER_COST,2,0)+1,0)+VLOOKUP($A61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0.598936550286996</v>
      </c>
      <c r="G61" s="23" t="n">
        <f aca="false">(+VLOOKUP($A61,FIXED_CHARTER_COST,HLOOKUP(G$7,FIXED_CHARTER_COST,2,0)+1,0)+VLOOKUP($A61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0.72771512983911</v>
      </c>
      <c r="H61" s="23" t="n">
        <f aca="false">(+VLOOKUP($A61,FIXED_CHARTER_COST,HLOOKUP(H$7,FIXED_CHARTER_COST,2,0)+1,0)+VLOOKUP($A61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0.603615853389458</v>
      </c>
      <c r="I61" s="23" t="n">
        <f aca="false">(+VLOOKUP($A61,FIXED_CHARTER_COST,HLOOKUP(I$7,FIXED_CHARTER_COST,2,0)+1,0)+VLOOKUP($A61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0.724415015017663</v>
      </c>
    </row>
    <row r="62" customFormat="false" ht="12.75" hidden="false" customHeight="false" outlineLevel="0" collapsed="false">
      <c r="A62" s="22" t="n">
        <f aca="false">+SHIPS!B78</f>
        <v>38292</v>
      </c>
      <c r="B62" s="23" t="n">
        <f aca="false">(+VLOOKUP($A62,FIXED_CHARTER_COST,HLOOKUP(B$7,FIXED_CHARTER_COST,2,0)+1,0)+VLOOKUP($A62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1.36486173033657</v>
      </c>
      <c r="C62" s="23" t="n">
        <f aca="false">(+VLOOKUP($A62,FIXED_CHARTER_COST,HLOOKUP(C$7,FIXED_CHARTER_COST,2,0)+1,0)+VLOOKUP($A62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1.48573918552311</v>
      </c>
      <c r="D62" s="23" t="n">
        <f aca="false">(+VLOOKUP($A62,FIXED_CHARTER_COST,HLOOKUP(D$7,FIXED_CHARTER_COST,2,0)+1,0)+VLOOKUP($A62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0.326439123682793</v>
      </c>
      <c r="E62" s="23" t="n">
        <f aca="false">(+VLOOKUP($A62,FIXED_CHARTER_COST,HLOOKUP(E$7,FIXED_CHARTER_COST,2,0)+1,0)+VLOOKUP($A62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0.356344392110371</v>
      </c>
      <c r="F62" s="23" t="n">
        <f aca="false">(+VLOOKUP($A62,FIXED_CHARTER_COST,HLOOKUP(F$7,FIXED_CHARTER_COST,2,0)+1,0)+VLOOKUP($A62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0.599089921945386</v>
      </c>
      <c r="G62" s="23" t="n">
        <f aca="false">(+VLOOKUP($A62,FIXED_CHARTER_COST,HLOOKUP(G$7,FIXED_CHARTER_COST,2,0)+1,0)+VLOOKUP($A62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0.727905018559022</v>
      </c>
      <c r="H62" s="23" t="n">
        <f aca="false">(+VLOOKUP($A62,FIXED_CHARTER_COST,HLOOKUP(H$7,FIXED_CHARTER_COST,2,0)+1,0)+VLOOKUP($A62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0.603960345046115</v>
      </c>
      <c r="I62" s="23" t="n">
        <f aca="false">(+VLOOKUP($A62,FIXED_CHARTER_COST,HLOOKUP(I$7,FIXED_CHARTER_COST,2,0)+1,0)+VLOOKUP($A62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0.724837800232651</v>
      </c>
    </row>
    <row r="63" customFormat="false" ht="12.75" hidden="false" customHeight="false" outlineLevel="0" collapsed="false">
      <c r="A63" s="22" t="n">
        <f aca="false">+SHIPS!B79</f>
        <v>38322</v>
      </c>
      <c r="B63" s="23" t="n">
        <f aca="false">(+VLOOKUP($A63,FIXED_CHARTER_COST,HLOOKUP(B$7,FIXED_CHARTER_COST,2,0)+1,0)+VLOOKUP($A63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1.36561491436772</v>
      </c>
      <c r="C63" s="23" t="n">
        <f aca="false">(+VLOOKUP($A63,FIXED_CHARTER_COST,HLOOKUP(C$7,FIXED_CHARTER_COST,2,0)+1,0)+VLOOKUP($A63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1.48657082622417</v>
      </c>
      <c r="D63" s="23" t="n">
        <f aca="false">(+VLOOKUP($A63,FIXED_CHARTER_COST,HLOOKUP(D$7,FIXED_CHARTER_COST,2,0)+1,0)+VLOOKUP($A63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0.326526947215752</v>
      </c>
      <c r="E63" s="23" t="n">
        <f aca="false">(+VLOOKUP($A63,FIXED_CHARTER_COST,HLOOKUP(E$7,FIXED_CHARTER_COST,2,0)+1,0)+VLOOKUP($A63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0.356439534271077</v>
      </c>
      <c r="F63" s="23" t="n">
        <f aca="false">(+VLOOKUP($A63,FIXED_CHARTER_COST,HLOOKUP(F$7,FIXED_CHARTER_COST,2,0)+1,0)+VLOOKUP($A63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0.599243613128065</v>
      </c>
      <c r="G63" s="23" t="n">
        <f aca="false">(+VLOOKUP($A63,FIXED_CHARTER_COST,HLOOKUP(G$7,FIXED_CHARTER_COST,2,0)+1,0)+VLOOKUP($A63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0.728095302880433</v>
      </c>
      <c r="H63" s="23" t="n">
        <f aca="false">(+VLOOKUP($A63,FIXED_CHARTER_COST,HLOOKUP(H$7,FIXED_CHARTER_COST,2,0)+1,0)+VLOOKUP($A63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0.604305554393724</v>
      </c>
      <c r="I63" s="23" t="n">
        <f aca="false">(+VLOOKUP($A63,FIXED_CHARTER_COST,HLOOKUP(I$7,FIXED_CHARTER_COST,2,0)+1,0)+VLOOKUP($A63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0.725261466250171</v>
      </c>
    </row>
    <row r="64" customFormat="false" ht="12.75" hidden="false" customHeight="false" outlineLevel="0" collapsed="false">
      <c r="A64" s="24" t="n">
        <f aca="false">+SHIPS!B80</f>
        <v>38353</v>
      </c>
      <c r="B64" s="23" t="n">
        <f aca="false">(+VLOOKUP($A64,FIXED_CHARTER_COST,HLOOKUP(B$7,FIXED_CHARTER_COST,2,0)+1,0)+VLOOKUP($A64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1.36636966753226</v>
      </c>
      <c r="C64" s="23" t="n">
        <f aca="false">(+VLOOKUP($A64,FIXED_CHARTER_COST,HLOOKUP(C$7,FIXED_CHARTER_COST,2,0)+1,0)+VLOOKUP($A64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1.48740419951002</v>
      </c>
      <c r="D64" s="23" t="n">
        <f aca="false">(+VLOOKUP($A64,FIXED_CHARTER_COST,HLOOKUP(D$7,FIXED_CHARTER_COST,2,0)+1,0)+VLOOKUP($A64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0.326614953714405</v>
      </c>
      <c r="E64" s="23" t="n">
        <f aca="false">(+VLOOKUP($A64,FIXED_CHARTER_COST,HLOOKUP(E$7,FIXED_CHARTER_COST,2,0)+1,0)+VLOOKUP($A64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0.356534874644617</v>
      </c>
      <c r="F64" s="23" t="n">
        <f aca="false">(+VLOOKUP($A64,FIXED_CHARTER_COST,HLOOKUP(F$7,FIXED_CHARTER_COST,2,0)+1,0)+VLOOKUP($A64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0.599397624500707</v>
      </c>
      <c r="G64" s="23" t="n">
        <f aca="false">(+VLOOKUP($A64,FIXED_CHARTER_COST,HLOOKUP(G$7,FIXED_CHARTER_COST,2,0)+1,0)+VLOOKUP($A64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0.728285983627515</v>
      </c>
      <c r="H64" s="23" t="n">
        <f aca="false">(+VLOOKUP($A64,FIXED_CHARTER_COST,HLOOKUP(H$7,FIXED_CHARTER_COST,2,0)+1,0)+VLOOKUP($A64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0.604651482927474</v>
      </c>
      <c r="I64" s="23" t="n">
        <f aca="false">(+VLOOKUP($A64,FIXED_CHARTER_COST,HLOOKUP(I$7,FIXED_CHARTER_COST,2,0)+1,0)+VLOOKUP($A64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0.725686014905228</v>
      </c>
    </row>
    <row r="65" customFormat="false" ht="12.75" hidden="false" customHeight="false" outlineLevel="0" collapsed="false">
      <c r="A65" s="22" t="n">
        <f aca="false">+SHIPS!B81</f>
        <v>38384</v>
      </c>
      <c r="B65" s="23" t="n">
        <f aca="false">(+VLOOKUP($A65,FIXED_CHARTER_COST,HLOOKUP(B$7,FIXED_CHARTER_COST,2,0)+1,0)+VLOOKUP($A65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1.36712599309924</v>
      </c>
      <c r="C65" s="23" t="n">
        <f aca="false">(+VLOOKUP($A65,FIXED_CHARTER_COST,HLOOKUP(C$7,FIXED_CHARTER_COST,2,0)+1,0)+VLOOKUP($A65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1.48823930899022</v>
      </c>
      <c r="D65" s="23" t="n">
        <f aca="false">(+VLOOKUP($A65,FIXED_CHARTER_COST,HLOOKUP(D$7,FIXED_CHARTER_COST,2,0)+1,0)+VLOOKUP($A65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0.32670314355993</v>
      </c>
      <c r="E65" s="23" t="n">
        <f aca="false">(+VLOOKUP($A65,FIXED_CHARTER_COST,HLOOKUP(E$7,FIXED_CHARTER_COST,2,0)+1,0)+VLOOKUP($A65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0.356630413643936</v>
      </c>
      <c r="F65" s="23" t="n">
        <f aca="false">(+VLOOKUP($A65,FIXED_CHARTER_COST,HLOOKUP(F$7,FIXED_CHARTER_COST,2,0)+1,0)+VLOOKUP($A65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0.599551956730376</v>
      </c>
      <c r="G65" s="23" t="n">
        <f aca="false">(+VLOOKUP($A65,FIXED_CHARTER_COST,HLOOKUP(G$7,FIXED_CHARTER_COST,2,0)+1,0)+VLOOKUP($A65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0.728477061626152</v>
      </c>
      <c r="H65" s="23" t="n">
        <f aca="false">(+VLOOKUP($A65,FIXED_CHARTER_COST,HLOOKUP(H$7,FIXED_CHARTER_COST,2,0)+1,0)+VLOOKUP($A65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0.604998132145668</v>
      </c>
      <c r="I65" s="23" t="n">
        <f aca="false">(+VLOOKUP($A65,FIXED_CHARTER_COST,HLOOKUP(I$7,FIXED_CHARTER_COST,2,0)+1,0)+VLOOKUP($A65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0.726111448036649</v>
      </c>
    </row>
    <row r="66" customFormat="false" ht="12.75" hidden="false" customHeight="false" outlineLevel="0" collapsed="false">
      <c r="A66" s="22" t="n">
        <f aca="false">+SHIPS!B82</f>
        <v>38412</v>
      </c>
      <c r="B66" s="23" t="n">
        <f aca="false">(+VLOOKUP($A66,FIXED_CHARTER_COST,HLOOKUP(B$7,FIXED_CHARTER_COST,2,0)+1,0)+VLOOKUP($A66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1.36788389434447</v>
      </c>
      <c r="C66" s="23" t="n">
        <f aca="false">(+VLOOKUP($A66,FIXED_CHARTER_COST,HLOOKUP(C$7,FIXED_CHARTER_COST,2,0)+1,0)+VLOOKUP($A66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1.48907615828183</v>
      </c>
      <c r="D66" s="23" t="n">
        <f aca="false">(+VLOOKUP($A66,FIXED_CHARTER_COST,HLOOKUP(D$7,FIXED_CHARTER_COST,2,0)+1,0)+VLOOKUP($A66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0.3267915171343</v>
      </c>
      <c r="E66" s="23" t="n">
        <f aca="false">(+VLOOKUP($A66,FIXED_CHARTER_COST,HLOOKUP(E$7,FIXED_CHARTER_COST,2,0)+1,0)+VLOOKUP($A66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0.356726151682837</v>
      </c>
      <c r="F66" s="23" t="n">
        <f aca="false">(+VLOOKUP($A66,FIXED_CHARTER_COST,HLOOKUP(F$7,FIXED_CHARTER_COST,2,0)+1,0)+VLOOKUP($A66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0.599706610485523</v>
      </c>
      <c r="G66" s="23" t="n">
        <f aca="false">(+VLOOKUP($A66,FIXED_CHARTER_COST,HLOOKUP(G$7,FIXED_CHARTER_COST,2,0)+1,0)+VLOOKUP($A66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0.728668537703954</v>
      </c>
      <c r="H66" s="23" t="n">
        <f aca="false">(+VLOOKUP($A66,FIXED_CHARTER_COST,HLOOKUP(H$7,FIXED_CHARTER_COST,2,0)+1,0)+VLOOKUP($A66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0.605345503549735</v>
      </c>
      <c r="I66" s="23" t="n">
        <f aca="false">(+VLOOKUP($A66,FIXED_CHARTER_COST,HLOOKUP(I$7,FIXED_CHARTER_COST,2,0)+1,0)+VLOOKUP($A66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0.726537767487094</v>
      </c>
    </row>
    <row r="67" customFormat="false" ht="12.75" hidden="false" customHeight="false" outlineLevel="0" collapsed="false">
      <c r="A67" s="22" t="n">
        <f aca="false">+SHIPS!B83</f>
        <v>38443</v>
      </c>
      <c r="B67" s="23" t="n">
        <f aca="false">(+VLOOKUP($A67,FIXED_CHARTER_COST,HLOOKUP(B$7,FIXED_CHARTER_COST,2,0)+1,0)+VLOOKUP($A67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1.36864337455063</v>
      </c>
      <c r="C67" s="23" t="n">
        <f aca="false">(+VLOOKUP($A67,FIXED_CHARTER_COST,HLOOKUP(C$7,FIXED_CHARTER_COST,2,0)+1,0)+VLOOKUP($A67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1.48991475100947</v>
      </c>
      <c r="D67" s="23" t="n">
        <f aca="false">(+VLOOKUP($A67,FIXED_CHARTER_COST,HLOOKUP(D$7,FIXED_CHARTER_COST,2,0)+1,0)+VLOOKUP($A67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0.326880074820283</v>
      </c>
      <c r="E67" s="23" t="n">
        <f aca="false">(+VLOOKUP($A67,FIXED_CHARTER_COST,HLOOKUP(E$7,FIXED_CHARTER_COST,2,0)+1,0)+VLOOKUP($A67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0.356822089175986</v>
      </c>
      <c r="F67" s="23" t="n">
        <f aca="false">(+VLOOKUP($A67,FIXED_CHARTER_COST,HLOOKUP(F$7,FIXED_CHARTER_COST,2,0)+1,0)+VLOOKUP($A67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0.599861586435994</v>
      </c>
      <c r="G67" s="23" t="n">
        <f aca="false">(+VLOOKUP($A67,FIXED_CHARTER_COST,HLOOKUP(G$7,FIXED_CHARTER_COST,2,0)+1,0)+VLOOKUP($A67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0.728860412690251</v>
      </c>
      <c r="H67" s="23" t="n">
        <f aca="false">(+VLOOKUP($A67,FIXED_CHARTER_COST,HLOOKUP(H$7,FIXED_CHARTER_COST,2,0)+1,0)+VLOOKUP($A67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0.605693598644226</v>
      </c>
      <c r="I67" s="23" t="n">
        <f aca="false">(+VLOOKUP($A67,FIXED_CHARTER_COST,HLOOKUP(I$7,FIXED_CHARTER_COST,2,0)+1,0)+VLOOKUP($A67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0.72696497510306</v>
      </c>
    </row>
    <row r="68" customFormat="false" ht="12.75" hidden="false" customHeight="false" outlineLevel="0" collapsed="false">
      <c r="A68" s="22" t="n">
        <f aca="false">+SHIPS!B84</f>
        <v>38473</v>
      </c>
      <c r="B68" s="23" t="n">
        <f aca="false">(+VLOOKUP($A68,FIXED_CHARTER_COST,HLOOKUP(B$7,FIXED_CHARTER_COST,2,0)+1,0)+VLOOKUP($A68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1.36940443700723</v>
      </c>
      <c r="C68" s="23" t="n">
        <f aca="false">(+VLOOKUP($A68,FIXED_CHARTER_COST,HLOOKUP(C$7,FIXED_CHARTER_COST,2,0)+1,0)+VLOOKUP($A68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1.49075509080529</v>
      </c>
      <c r="D68" s="23" t="n">
        <f aca="false">(+VLOOKUP($A68,FIXED_CHARTER_COST,HLOOKUP(D$7,FIXED_CHARTER_COST,2,0)+1,0)+VLOOKUP($A68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0.326968817001445</v>
      </c>
      <c r="E68" s="23" t="n">
        <f aca="false">(+VLOOKUP($A68,FIXED_CHARTER_COST,HLOOKUP(E$7,FIXED_CHARTER_COST,2,0)+1,0)+VLOOKUP($A68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0.356918226538911</v>
      </c>
      <c r="F68" s="23" t="n">
        <f aca="false">(+VLOOKUP($A68,FIXED_CHARTER_COST,HLOOKUP(F$7,FIXED_CHARTER_COST,2,0)+1,0)+VLOOKUP($A68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0.600016885253028</v>
      </c>
      <c r="G68" s="23" t="n">
        <f aca="false">(+VLOOKUP($A68,FIXED_CHARTER_COST,HLOOKUP(G$7,FIXED_CHARTER_COST,2,0)+1,0)+VLOOKUP($A68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0.729052687416102</v>
      </c>
      <c r="H68" s="23" t="n">
        <f aca="false">(+VLOOKUP($A68,FIXED_CHARTER_COST,HLOOKUP(H$7,FIXED_CHARTER_COST,2,0)+1,0)+VLOOKUP($A68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0.606042418936831</v>
      </c>
      <c r="I68" s="23" t="n">
        <f aca="false">(+VLOOKUP($A68,FIXED_CHARTER_COST,HLOOKUP(I$7,FIXED_CHARTER_COST,2,0)+1,0)+VLOOKUP($A68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0.727393072734893</v>
      </c>
    </row>
    <row r="69" customFormat="false" ht="12.75" hidden="false" customHeight="false" outlineLevel="0" collapsed="false">
      <c r="A69" s="22" t="n">
        <f aca="false">+SHIPS!B85</f>
        <v>38504</v>
      </c>
      <c r="B69" s="23" t="n">
        <f aca="false">(+VLOOKUP($A69,FIXED_CHARTER_COST,HLOOKUP(B$7,FIXED_CHARTER_COST,2,0)+1,0)+VLOOKUP($A69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1.3701670850106</v>
      </c>
      <c r="C69" s="23" t="n">
        <f aca="false">(+VLOOKUP($A69,FIXED_CHARTER_COST,HLOOKUP(C$7,FIXED_CHARTER_COST,2,0)+1,0)+VLOOKUP($A69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1.49159718130902</v>
      </c>
      <c r="D69" s="23" t="n">
        <f aca="false">(+VLOOKUP($A69,FIXED_CHARTER_COST,HLOOKUP(D$7,FIXED_CHARTER_COST,2,0)+1,0)+VLOOKUP($A69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0.327057744062151</v>
      </c>
      <c r="E69" s="23" t="n">
        <f aca="false">(+VLOOKUP($A69,FIXED_CHARTER_COST,HLOOKUP(E$7,FIXED_CHARTER_COST,2,0)+1,0)+VLOOKUP($A69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0.35701456418801</v>
      </c>
      <c r="F69" s="23" t="n">
        <f aca="false">(+VLOOKUP($A69,FIXED_CHARTER_COST,HLOOKUP(F$7,FIXED_CHARTER_COST,2,0)+1,0)+VLOOKUP($A69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0.600172507609264</v>
      </c>
      <c r="G69" s="23" t="n">
        <f aca="false">(+VLOOKUP($A69,FIXED_CHARTER_COST,HLOOKUP(G$7,FIXED_CHARTER_COST,2,0)+1,0)+VLOOKUP($A69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0.729245362714299</v>
      </c>
      <c r="H69" s="23" t="n">
        <f aca="false">(+VLOOKUP($A69,FIXED_CHARTER_COST,HLOOKUP(H$7,FIXED_CHARTER_COST,2,0)+1,0)+VLOOKUP($A69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0.606391965938379</v>
      </c>
      <c r="I69" s="23" t="n">
        <f aca="false">(+VLOOKUP($A69,FIXED_CHARTER_COST,HLOOKUP(I$7,FIXED_CHARTER_COST,2,0)+1,0)+VLOOKUP($A69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0.727822062236793</v>
      </c>
    </row>
    <row r="70" customFormat="false" ht="12.75" hidden="false" customHeight="false" outlineLevel="0" collapsed="false">
      <c r="A70" s="22" t="n">
        <f aca="false">+SHIPS!B86</f>
        <v>38534</v>
      </c>
      <c r="B70" s="23" t="n">
        <f aca="false">(+VLOOKUP($A70,FIXED_CHARTER_COST,HLOOKUP(B$7,FIXED_CHARTER_COST,2,0)+1,0)+VLOOKUP($A70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1.37093132186399</v>
      </c>
      <c r="C70" s="23" t="n">
        <f aca="false">(+VLOOKUP($A70,FIXED_CHARTER_COST,HLOOKUP(C$7,FIXED_CHARTER_COST,2,0)+1,0)+VLOOKUP($A70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1.49244102616796</v>
      </c>
      <c r="D70" s="23" t="n">
        <f aca="false">(+VLOOKUP($A70,FIXED_CHARTER_COST,HLOOKUP(D$7,FIXED_CHARTER_COST,2,0)+1,0)+VLOOKUP($A70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0.327146856387568</v>
      </c>
      <c r="E70" s="23" t="n">
        <f aca="false">(+VLOOKUP($A70,FIXED_CHARTER_COST,HLOOKUP(E$7,FIXED_CHARTER_COST,2,0)+1,0)+VLOOKUP($A70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0.357111102540544</v>
      </c>
      <c r="F70" s="23" t="n">
        <f aca="false">(+VLOOKUP($A70,FIXED_CHARTER_COST,HLOOKUP(F$7,FIXED_CHARTER_COST,2,0)+1,0)+VLOOKUP($A70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0.600328454178742</v>
      </c>
      <c r="G70" s="23" t="n">
        <f aca="false">(+VLOOKUP($A70,FIXED_CHARTER_COST,HLOOKUP(G$7,FIXED_CHARTER_COST,2,0)+1,0)+VLOOKUP($A70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0.729438439419368</v>
      </c>
      <c r="H70" s="23" t="n">
        <f aca="false">(+VLOOKUP($A70,FIXED_CHARTER_COST,HLOOKUP(H$7,FIXED_CHARTER_COST,2,0)+1,0)+VLOOKUP($A70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0.606742241162846</v>
      </c>
      <c r="I70" s="23" t="n">
        <f aca="false">(+VLOOKUP($A70,FIXED_CHARTER_COST,HLOOKUP(I$7,FIXED_CHARTER_COST,2,0)+1,0)+VLOOKUP($A70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0.728251945466821</v>
      </c>
    </row>
    <row r="71" customFormat="false" ht="12.75" hidden="false" customHeight="false" outlineLevel="0" collapsed="false">
      <c r="A71" s="22" t="n">
        <f aca="false">+SHIPS!B87</f>
        <v>38565</v>
      </c>
      <c r="B71" s="23" t="n">
        <f aca="false">(+VLOOKUP($A71,FIXED_CHARTER_COST,HLOOKUP(B$7,FIXED_CHARTER_COST,2,0)+1,0)+VLOOKUP($A71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1.37169715087748</v>
      </c>
      <c r="C71" s="23" t="n">
        <f aca="false">(+VLOOKUP($A71,FIXED_CHARTER_COST,HLOOKUP(C$7,FIXED_CHARTER_COST,2,0)+1,0)+VLOOKUP($A71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1.49328662903703</v>
      </c>
      <c r="D71" s="23" t="n">
        <f aca="false">(+VLOOKUP($A71,FIXED_CHARTER_COST,HLOOKUP(D$7,FIXED_CHARTER_COST,2,0)+1,0)+VLOOKUP($A71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0.327236154363662</v>
      </c>
      <c r="E71" s="23" t="n">
        <f aca="false">(+VLOOKUP($A71,FIXED_CHARTER_COST,HLOOKUP(E$7,FIXED_CHARTER_COST,2,0)+1,0)+VLOOKUP($A71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0.357207842014646</v>
      </c>
      <c r="F71" s="23" t="n">
        <f aca="false">(+VLOOKUP($A71,FIXED_CHARTER_COST,HLOOKUP(F$7,FIXED_CHARTER_COST,2,0)+1,0)+VLOOKUP($A71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0.600484725636907</v>
      </c>
      <c r="G71" s="23" t="n">
        <f aca="false">(+VLOOKUP($A71,FIXED_CHARTER_COST,HLOOKUP(G$7,FIXED_CHARTER_COST,2,0)+1,0)+VLOOKUP($A71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0.729631918367572</v>
      </c>
      <c r="H71" s="23" t="n">
        <f aca="false">(+VLOOKUP($A71,FIXED_CHARTER_COST,HLOOKUP(H$7,FIXED_CHARTER_COST,2,0)+1,0)+VLOOKUP($A71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0.607093246127365</v>
      </c>
      <c r="I71" s="23" t="n">
        <f aca="false">(+VLOOKUP($A71,FIXED_CHARTER_COST,HLOOKUP(I$7,FIXED_CHARTER_COST,2,0)+1,0)+VLOOKUP($A71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0.728682724286912</v>
      </c>
    </row>
    <row r="72" customFormat="false" ht="12.75" hidden="false" customHeight="false" outlineLevel="0" collapsed="false">
      <c r="A72" s="22" t="n">
        <f aca="false">+SHIPS!B88</f>
        <v>38596</v>
      </c>
      <c r="B72" s="23" t="n">
        <f aca="false">(+VLOOKUP($A72,FIXED_CHARTER_COST,HLOOKUP(B$7,FIXED_CHARTER_COST,2,0)+1,0)+VLOOKUP($A72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1.37246457536809</v>
      </c>
      <c r="C72" s="23" t="n">
        <f aca="false">(+VLOOKUP($A72,FIXED_CHARTER_COST,HLOOKUP(C$7,FIXED_CHARTER_COST,2,0)+1,0)+VLOOKUP($A72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1.49413399357874</v>
      </c>
      <c r="D72" s="23" t="n">
        <f aca="false">(+VLOOKUP($A72,FIXED_CHARTER_COST,HLOOKUP(D$7,FIXED_CHARTER_COST,2,0)+1,0)+VLOOKUP($A72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0.327325638377206</v>
      </c>
      <c r="E72" s="23" t="n">
        <f aca="false">(+VLOOKUP($A72,FIXED_CHARTER_COST,HLOOKUP(E$7,FIXED_CHARTER_COST,2,0)+1,0)+VLOOKUP($A72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0.357304783029319</v>
      </c>
      <c r="F72" s="23" t="n">
        <f aca="false">(+VLOOKUP($A72,FIXED_CHARTER_COST,HLOOKUP(F$7,FIXED_CHARTER_COST,2,0)+1,0)+VLOOKUP($A72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0.60064132266061</v>
      </c>
      <c r="G72" s="23" t="n">
        <f aca="false">(+VLOOKUP($A72,FIXED_CHARTER_COST,HLOOKUP(G$7,FIXED_CHARTER_COST,2,0)+1,0)+VLOOKUP($A72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0.729825800396918</v>
      </c>
      <c r="H72" s="23" t="n">
        <f aca="false">(+VLOOKUP($A72,FIXED_CHARTER_COST,HLOOKUP(H$7,FIXED_CHARTER_COST,2,0)+1,0)+VLOOKUP($A72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0.607444982352226</v>
      </c>
      <c r="I72" s="23" t="n">
        <f aca="false">(+VLOOKUP($A72,FIXED_CHARTER_COST,HLOOKUP(I$7,FIXED_CHARTER_COST,2,0)+1,0)+VLOOKUP($A72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0.729114400562879</v>
      </c>
    </row>
    <row r="73" customFormat="false" ht="12.75" hidden="false" customHeight="false" outlineLevel="0" collapsed="false">
      <c r="A73" s="22" t="n">
        <f aca="false">+SHIPS!B89</f>
        <v>38626</v>
      </c>
      <c r="B73" s="23" t="n">
        <f aca="false">(+VLOOKUP($A73,FIXED_CHARTER_COST,HLOOKUP(B$7,FIXED_CHARTER_COST,2,0)+1,0)+VLOOKUP($A73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1.37323359865972</v>
      </c>
      <c r="C73" s="23" t="n">
        <f aca="false">(+VLOOKUP($A73,FIXED_CHARTER_COST,HLOOKUP(C$7,FIXED_CHARTER_COST,2,0)+1,0)+VLOOKUP($A73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1.49498312346325</v>
      </c>
      <c r="D73" s="23" t="n">
        <f aca="false">(+VLOOKUP($A73,FIXED_CHARTER_COST,HLOOKUP(D$7,FIXED_CHARTER_COST,2,0)+1,0)+VLOOKUP($A73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0.327415308815779</v>
      </c>
      <c r="E73" s="23" t="n">
        <f aca="false">(+VLOOKUP($A73,FIXED_CHARTER_COST,HLOOKUP(E$7,FIXED_CHARTER_COST,2,0)+1,0)+VLOOKUP($A73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0.357401926004439</v>
      </c>
      <c r="F73" s="23" t="n">
        <f aca="false">(+VLOOKUP($A73,FIXED_CHARTER_COST,HLOOKUP(F$7,FIXED_CHARTER_COST,2,0)+1,0)+VLOOKUP($A73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0.600798245928112</v>
      </c>
      <c r="G73" s="23" t="n">
        <f aca="false">(+VLOOKUP($A73,FIXED_CHARTER_COST,HLOOKUP(G$7,FIXED_CHARTER_COST,2,0)+1,0)+VLOOKUP($A73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0.730020086347158</v>
      </c>
      <c r="H73" s="23" t="n">
        <f aca="false">(+VLOOKUP($A73,FIXED_CHARTER_COST,HLOOKUP(H$7,FIXED_CHARTER_COST,2,0)+1,0)+VLOOKUP($A73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0.607797451360889</v>
      </c>
      <c r="I73" s="23" t="n">
        <f aca="false">(+VLOOKUP($A73,FIXED_CHARTER_COST,HLOOKUP(I$7,FIXED_CHARTER_COST,2,0)+1,0)+VLOOKUP($A73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0.72954697616442</v>
      </c>
    </row>
    <row r="74" customFormat="false" ht="12.75" hidden="false" customHeight="false" outlineLevel="0" collapsed="false">
      <c r="A74" s="22" t="n">
        <f aca="false">+SHIPS!B90</f>
        <v>38657</v>
      </c>
      <c r="B74" s="23" t="n">
        <f aca="false">(+VLOOKUP($A74,FIXED_CHARTER_COST,HLOOKUP(B$7,FIXED_CHARTER_COST,2,0)+1,0)+VLOOKUP($A74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1.3740042240832</v>
      </c>
      <c r="C74" s="23" t="n">
        <f aca="false">(+VLOOKUP($A74,FIXED_CHARTER_COST,HLOOKUP(C$7,FIXED_CHARTER_COST,2,0)+1,0)+VLOOKUP($A74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1.49583402236835</v>
      </c>
      <c r="D74" s="23" t="n">
        <f aca="false">(+VLOOKUP($A74,FIXED_CHARTER_COST,HLOOKUP(D$7,FIXED_CHARTER_COST,2,0)+1,0)+VLOOKUP($A74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0.327505166067765</v>
      </c>
      <c r="E74" s="23" t="n">
        <f aca="false">(+VLOOKUP($A74,FIXED_CHARTER_COST,HLOOKUP(E$7,FIXED_CHARTER_COST,2,0)+1,0)+VLOOKUP($A74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0.357499271360758</v>
      </c>
      <c r="F74" s="23" t="n">
        <f aca="false">(+VLOOKUP($A74,FIXED_CHARTER_COST,HLOOKUP(F$7,FIXED_CHARTER_COST,2,0)+1,0)+VLOOKUP($A74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0.600955496119088</v>
      </c>
      <c r="G74" s="23" t="n">
        <f aca="false">(+VLOOKUP($A74,FIXED_CHARTER_COST,HLOOKUP(G$7,FIXED_CHARTER_COST,2,0)+1,0)+VLOOKUP($A74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0.730214777059795</v>
      </c>
      <c r="H74" s="23" t="n">
        <f aca="false">(+VLOOKUP($A74,FIXED_CHARTER_COST,HLOOKUP(H$7,FIXED_CHARTER_COST,2,0)+1,0)+VLOOKUP($A74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0.608150654679987</v>
      </c>
      <c r="I74" s="23" t="n">
        <f aca="false">(+VLOOKUP($A74,FIXED_CHARTER_COST,HLOOKUP(I$7,FIXED_CHARTER_COST,2,0)+1,0)+VLOOKUP($A74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0.729980452965131</v>
      </c>
    </row>
    <row r="75" customFormat="false" ht="12.75" hidden="false" customHeight="false" outlineLevel="0" collapsed="false">
      <c r="A75" s="22" t="n">
        <f aca="false">+SHIPS!B91</f>
        <v>38687</v>
      </c>
      <c r="B75" s="23" t="n">
        <f aca="false">(+VLOOKUP($A75,FIXED_CHARTER_COST,HLOOKUP(B$7,FIXED_CHARTER_COST,2,0)+1,0)+VLOOKUP($A75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1.37477645497632</v>
      </c>
      <c r="C75" s="23" t="n">
        <f aca="false">(+VLOOKUP($A75,FIXED_CHARTER_COST,HLOOKUP(C$7,FIXED_CHARTER_COST,2,0)+1,0)+VLOOKUP($A75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1.4966866939795</v>
      </c>
      <c r="D75" s="23" t="n">
        <f aca="false">(+VLOOKUP($A75,FIXED_CHARTER_COST,HLOOKUP(D$7,FIXED_CHARTER_COST,2,0)+1,0)+VLOOKUP($A75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0.327595210522359</v>
      </c>
      <c r="E75" s="23" t="n">
        <f aca="false">(+VLOOKUP($A75,FIXED_CHARTER_COST,HLOOKUP(E$7,FIXED_CHARTER_COST,2,0)+1,0)+VLOOKUP($A75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0.357596819519902</v>
      </c>
      <c r="F75" s="23" t="n">
        <f aca="false">(+VLOOKUP($A75,FIXED_CHARTER_COST,HLOOKUP(F$7,FIXED_CHARTER_COST,2,0)+1,0)+VLOOKUP($A75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0.601113073914628</v>
      </c>
      <c r="G75" s="23" t="n">
        <f aca="false">(+VLOOKUP($A75,FIXED_CHARTER_COST,HLOOKUP(G$7,FIXED_CHARTER_COST,2,0)+1,0)+VLOOKUP($A75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0.730409873378084</v>
      </c>
      <c r="H75" s="23" t="n">
        <f aca="false">(+VLOOKUP($A75,FIXED_CHARTER_COST,HLOOKUP(H$7,FIXED_CHARTER_COST,2,0)+1,0)+VLOOKUP($A75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0.608504593839333</v>
      </c>
      <c r="I75" s="23" t="n">
        <f aca="false">(+VLOOKUP($A75,FIXED_CHARTER_COST,HLOOKUP(I$7,FIXED_CHARTER_COST,2,0)+1,0)+VLOOKUP($A75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0.73041483284251</v>
      </c>
    </row>
    <row r="76" customFormat="false" ht="12.75" hidden="false" customHeight="false" outlineLevel="0" collapsed="false">
      <c r="A76" s="24" t="n">
        <f aca="false">+SHIPS!B92</f>
        <v>38718</v>
      </c>
      <c r="B76" s="23" t="n">
        <f aca="false">(+VLOOKUP($A76,FIXED_CHARTER_COST,HLOOKUP(B$7,FIXED_CHARTER_COST,2,0)+1,0)+VLOOKUP($A76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1.3755502946838</v>
      </c>
      <c r="C76" s="23" t="n">
        <f aca="false">(+VLOOKUP($A76,FIXED_CHARTER_COST,HLOOKUP(C$7,FIXED_CHARTER_COST,2,0)+1,0)+VLOOKUP($A76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1.49754114198984</v>
      </c>
      <c r="D76" s="23" t="n">
        <f aca="false">(+VLOOKUP($A76,FIXED_CHARTER_COST,HLOOKUP(D$7,FIXED_CHARTER_COST,2,0)+1,0)+VLOOKUP($A76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0.327685442569568</v>
      </c>
      <c r="E76" s="23" t="n">
        <f aca="false">(+VLOOKUP($A76,FIXED_CHARTER_COST,HLOOKUP(E$7,FIXED_CHARTER_COST,2,0)+1,0)+VLOOKUP($A76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0.357694570904378</v>
      </c>
      <c r="F76" s="23" t="n">
        <f aca="false">(+VLOOKUP($A76,FIXED_CHARTER_COST,HLOOKUP(F$7,FIXED_CHARTER_COST,2,0)+1,0)+VLOOKUP($A76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0.601270979997243</v>
      </c>
      <c r="G76" s="23" t="n">
        <f aca="false">(+VLOOKUP($A76,FIXED_CHARTER_COST,HLOOKUP(G$7,FIXED_CHARTER_COST,2,0)+1,0)+VLOOKUP($A76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0.730605376147035</v>
      </c>
      <c r="H76" s="23" t="n">
        <f aca="false">(+VLOOKUP($A76,FIXED_CHARTER_COST,HLOOKUP(H$7,FIXED_CHARTER_COST,2,0)+1,0)+VLOOKUP($A76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0.608859270371928</v>
      </c>
      <c r="I76" s="23" t="n">
        <f aca="false">(+VLOOKUP($A76,FIXED_CHARTER_COST,HLOOKUP(I$7,FIXED_CHARTER_COST,2,0)+1,0)+VLOOKUP($A76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0.730850117677967</v>
      </c>
    </row>
    <row r="77" customFormat="false" ht="12.75" hidden="false" customHeight="false" outlineLevel="0" collapsed="false">
      <c r="A77" s="22" t="n">
        <f aca="false">+SHIPS!B93</f>
        <v>38749</v>
      </c>
      <c r="B77" s="23" t="n">
        <f aca="false">(+VLOOKUP($A77,FIXED_CHARTER_COST,HLOOKUP(B$7,FIXED_CHARTER_COST,2,0)+1,0)+VLOOKUP($A77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1.37632574655734</v>
      </c>
      <c r="C77" s="23" t="n">
        <f aca="false">(+VLOOKUP($A77,FIXED_CHARTER_COST,HLOOKUP(C$7,FIXED_CHARTER_COST,2,0)+1,0)+VLOOKUP($A77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1.4983973701002</v>
      </c>
      <c r="D77" s="23" t="n">
        <f aca="false">(+VLOOKUP($A77,FIXED_CHARTER_COST,HLOOKUP(D$7,FIXED_CHARTER_COST,2,0)+1,0)+VLOOKUP($A77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0.327775862600208</v>
      </c>
      <c r="E77" s="23" t="n">
        <f aca="false">(+VLOOKUP($A77,FIXED_CHARTER_COST,HLOOKUP(E$7,FIXED_CHARTER_COST,2,0)+1,0)+VLOOKUP($A77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0.357792525937571</v>
      </c>
      <c r="F77" s="23" t="n">
        <f aca="false">(+VLOOKUP($A77,FIXED_CHARTER_COST,HLOOKUP(F$7,FIXED_CHARTER_COST,2,0)+1,0)+VLOOKUP($A77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0.601429215050863</v>
      </c>
      <c r="G77" s="23" t="n">
        <f aca="false">(+VLOOKUP($A77,FIXED_CHARTER_COST,HLOOKUP(G$7,FIXED_CHARTER_COST,2,0)+1,0)+VLOOKUP($A77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0.730801286213421</v>
      </c>
      <c r="H77" s="23" t="n">
        <f aca="false">(+VLOOKUP($A77,FIXED_CHARTER_COST,HLOOKUP(H$7,FIXED_CHARTER_COST,2,0)+1,0)+VLOOKUP($A77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0.609214685813965</v>
      </c>
      <c r="I77" s="23" t="n">
        <f aca="false">(+VLOOKUP($A77,FIXED_CHARTER_COST,HLOOKUP(I$7,FIXED_CHARTER_COST,2,0)+1,0)+VLOOKUP($A77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0.731286309356831</v>
      </c>
    </row>
    <row r="78" customFormat="false" ht="12.75" hidden="false" customHeight="false" outlineLevel="0" collapsed="false">
      <c r="A78" s="22" t="n">
        <f aca="false">+SHIPS!B94</f>
        <v>38777</v>
      </c>
      <c r="B78" s="23" t="n">
        <f aca="false">(+VLOOKUP($A78,FIXED_CHARTER_COST,HLOOKUP(B$7,FIXED_CHARTER_COST,2,0)+1,0)+VLOOKUP($A78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1.37710281395561</v>
      </c>
      <c r="C78" s="23" t="n">
        <f aca="false">(+VLOOKUP($A78,FIXED_CHARTER_COST,HLOOKUP(C$7,FIXED_CHARTER_COST,2,0)+1,0)+VLOOKUP($A78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1.49925538201913</v>
      </c>
      <c r="D78" s="23" t="n">
        <f aca="false">(+VLOOKUP($A78,FIXED_CHARTER_COST,HLOOKUP(D$7,FIXED_CHARTER_COST,2,0)+1,0)+VLOOKUP($A78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0.327866471005912</v>
      </c>
      <c r="E78" s="23" t="n">
        <f aca="false">(+VLOOKUP($A78,FIXED_CHARTER_COST,HLOOKUP(E$7,FIXED_CHARTER_COST,2,0)+1,0)+VLOOKUP($A78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0.35789068504375</v>
      </c>
      <c r="F78" s="23" t="n">
        <f aca="false">(+VLOOKUP($A78,FIXED_CHARTER_COST,HLOOKUP(F$7,FIXED_CHARTER_COST,2,0)+1,0)+VLOOKUP($A78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0.601587779760844</v>
      </c>
      <c r="G78" s="23" t="n">
        <f aca="false">(+VLOOKUP($A78,FIXED_CHARTER_COST,HLOOKUP(G$7,FIXED_CHARTER_COST,2,0)+1,0)+VLOOKUP($A78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0.73099760442578</v>
      </c>
      <c r="H78" s="23" t="n">
        <f aca="false">(+VLOOKUP($A78,FIXED_CHARTER_COST,HLOOKUP(H$7,FIXED_CHARTER_COST,2,0)+1,0)+VLOOKUP($A78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0.609570841704841</v>
      </c>
      <c r="I78" s="23" t="n">
        <f aca="false">(+VLOOKUP($A78,FIXED_CHARTER_COST,HLOOKUP(I$7,FIXED_CHARTER_COST,2,0)+1,0)+VLOOKUP($A78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0.73172340976836</v>
      </c>
    </row>
    <row r="79" customFormat="false" ht="12.75" hidden="false" customHeight="false" outlineLevel="0" collapsed="false">
      <c r="A79" s="22" t="n">
        <f aca="false">+SHIPS!B95</f>
        <v>38808</v>
      </c>
      <c r="B79" s="23" t="n">
        <f aca="false">(+VLOOKUP($A79,FIXED_CHARTER_COST,HLOOKUP(B$7,FIXED_CHARTER_COST,2,0)+1,0)+VLOOKUP($A79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1.3778815002443</v>
      </c>
      <c r="C79" s="23" t="n">
        <f aca="false">(+VLOOKUP($A79,FIXED_CHARTER_COST,HLOOKUP(C$7,FIXED_CHARTER_COST,2,0)+1,0)+VLOOKUP($A79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1.50011518146289</v>
      </c>
      <c r="D79" s="23" t="n">
        <f aca="false">(+VLOOKUP($A79,FIXED_CHARTER_COST,HLOOKUP(D$7,FIXED_CHARTER_COST,2,0)+1,0)+VLOOKUP($A79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0.327957268179127</v>
      </c>
      <c r="E79" s="23" t="n">
        <f aca="false">(+VLOOKUP($A79,FIXED_CHARTER_COST,HLOOKUP(E$7,FIXED_CHARTER_COST,2,0)+1,0)+VLOOKUP($A79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0.357989048648067</v>
      </c>
      <c r="F79" s="23" t="n">
        <f aca="false">(+VLOOKUP($A79,FIXED_CHARTER_COST,HLOOKUP(F$7,FIXED_CHARTER_COST,2,0)+1,0)+VLOOKUP($A79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0.601746674813972</v>
      </c>
      <c r="G79" s="23" t="n">
        <f aca="false">(+VLOOKUP($A79,FIXED_CHARTER_COST,HLOOKUP(G$7,FIXED_CHARTER_COST,2,0)+1,0)+VLOOKUP($A79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0.731194331634414</v>
      </c>
      <c r="H79" s="23" t="n">
        <f aca="false">(+VLOOKUP($A79,FIXED_CHARTER_COST,HLOOKUP(H$7,FIXED_CHARTER_COST,2,0)+1,0)+VLOOKUP($A79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0.609927739587155</v>
      </c>
      <c r="I79" s="23" t="n">
        <f aca="false">(+VLOOKUP($A79,FIXED_CHARTER_COST,HLOOKUP(I$7,FIXED_CHARTER_COST,2,0)+1,0)+VLOOKUP($A79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0.732161420805746</v>
      </c>
    </row>
    <row r="80" customFormat="false" ht="12.75" hidden="false" customHeight="false" outlineLevel="0" collapsed="false">
      <c r="A80" s="22" t="n">
        <f aca="false">+SHIPS!B96</f>
        <v>38838</v>
      </c>
      <c r="B80" s="23" t="n">
        <f aca="false">(+VLOOKUP($A80,FIXED_CHARTER_COST,HLOOKUP(B$7,FIXED_CHARTER_COST,2,0)+1,0)+VLOOKUP($A80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1.37866180879608</v>
      </c>
      <c r="C80" s="23" t="n">
        <f aca="false">(+VLOOKUP($A80,FIXED_CHARTER_COST,HLOOKUP(C$7,FIXED_CHARTER_COST,2,0)+1,0)+VLOOKUP($A80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1.50097677215549</v>
      </c>
      <c r="D80" s="23" t="n">
        <f aca="false">(+VLOOKUP($A80,FIXED_CHARTER_COST,HLOOKUP(D$7,FIXED_CHARTER_COST,2,0)+1,0)+VLOOKUP($A80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0.328048254513121</v>
      </c>
      <c r="E80" s="23" t="n">
        <f aca="false">(+VLOOKUP($A80,FIXED_CHARTER_COST,HLOOKUP(E$7,FIXED_CHARTER_COST,2,0)+1,0)+VLOOKUP($A80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0.35808761717656</v>
      </c>
      <c r="F80" s="23" t="n">
        <f aca="false">(+VLOOKUP($A80,FIXED_CHARTER_COST,HLOOKUP(F$7,FIXED_CHARTER_COST,2,0)+1,0)+VLOOKUP($A80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0.60190590089846</v>
      </c>
      <c r="G80" s="23" t="n">
        <f aca="false">(+VLOOKUP($A80,FIXED_CHARTER_COST,HLOOKUP(G$7,FIXED_CHARTER_COST,2,0)+1,0)+VLOOKUP($A80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0.731391468691399</v>
      </c>
      <c r="H80" s="23" t="n">
        <f aca="false">(+VLOOKUP($A80,FIXED_CHARTER_COST,HLOOKUP(H$7,FIXED_CHARTER_COST,2,0)+1,0)+VLOOKUP($A80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0.610285381006724</v>
      </c>
      <c r="I80" s="23" t="n">
        <f aca="false">(+VLOOKUP($A80,FIXED_CHARTER_COST,HLOOKUP(I$7,FIXED_CHARTER_COST,2,0)+1,0)+VLOOKUP($A80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0.732600344366126</v>
      </c>
    </row>
    <row r="81" customFormat="false" ht="12.75" hidden="false" customHeight="false" outlineLevel="0" collapsed="false">
      <c r="A81" s="22" t="n">
        <f aca="false">+SHIPS!B97</f>
        <v>38869</v>
      </c>
      <c r="B81" s="23" t="n">
        <f aca="false">(+VLOOKUP($A81,FIXED_CHARTER_COST,HLOOKUP(B$7,FIXED_CHARTER_COST,2,0)+1,0)+VLOOKUP($A81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1.37944374299069</v>
      </c>
      <c r="C81" s="23" t="n">
        <f aca="false">(+VLOOKUP($A81,FIXED_CHARTER_COST,HLOOKUP(C$7,FIXED_CHARTER_COST,2,0)+1,0)+VLOOKUP($A81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1.50184015782869</v>
      </c>
      <c r="D81" s="23" t="n">
        <f aca="false">(+VLOOKUP($A81,FIXED_CHARTER_COST,HLOOKUP(D$7,FIXED_CHARTER_COST,2,0)+1,0)+VLOOKUP($A81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0.328139430401976</v>
      </c>
      <c r="E81" s="23" t="n">
        <f aca="false">(+VLOOKUP($A81,FIXED_CHARTER_COST,HLOOKUP(E$7,FIXED_CHARTER_COST,2,0)+1,0)+VLOOKUP($A81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0.358186391056153</v>
      </c>
      <c r="F81" s="23" t="n">
        <f aca="false">(+VLOOKUP($A81,FIXED_CHARTER_COST,HLOOKUP(F$7,FIXED_CHARTER_COST,2,0)+1,0)+VLOOKUP($A81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0.602065458703957</v>
      </c>
      <c r="G81" s="23" t="n">
        <f aca="false">(+VLOOKUP($A81,FIXED_CHARTER_COST,HLOOKUP(G$7,FIXED_CHARTER_COST,2,0)+1,0)+VLOOKUP($A81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0.731589016450586</v>
      </c>
      <c r="H81" s="23" t="n">
        <f aca="false">(+VLOOKUP($A81,FIXED_CHARTER_COST,HLOOKUP(H$7,FIXED_CHARTER_COST,2,0)+1,0)+VLOOKUP($A81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0.610643767512584</v>
      </c>
      <c r="I81" s="23" t="n">
        <f aca="false">(+VLOOKUP($A81,FIXED_CHARTER_COST,HLOOKUP(I$7,FIXED_CHARTER_COST,2,0)+1,0)+VLOOKUP($A81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0.733040182350591</v>
      </c>
    </row>
    <row r="82" customFormat="false" ht="12.75" hidden="false" customHeight="false" outlineLevel="0" collapsed="false">
      <c r="A82" s="22" t="n">
        <f aca="false">+SHIPS!B98</f>
        <v>38899</v>
      </c>
      <c r="B82" s="23" t="n">
        <f aca="false">(+VLOOKUP($A82,FIXED_CHARTER_COST,HLOOKUP(B$7,FIXED_CHARTER_COST,2,0)+1,0)+VLOOKUP($A82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1.38022730621486</v>
      </c>
      <c r="C82" s="23" t="n">
        <f aca="false">(+VLOOKUP($A82,FIXED_CHARTER_COST,HLOOKUP(C$7,FIXED_CHARTER_COST,2,0)+1,0)+VLOOKUP($A82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1.50270534222206</v>
      </c>
      <c r="D82" s="23" t="n">
        <f aca="false">(+VLOOKUP($A82,FIXED_CHARTER_COST,HLOOKUP(D$7,FIXED_CHARTER_COST,2,0)+1,0)+VLOOKUP($A82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0.3282307962406</v>
      </c>
      <c r="E82" s="23" t="n">
        <f aca="false">(+VLOOKUP($A82,FIXED_CHARTER_COST,HLOOKUP(E$7,FIXED_CHARTER_COST,2,0)+1,0)+VLOOKUP($A82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0.358285370714663</v>
      </c>
      <c r="F82" s="23" t="n">
        <f aca="false">(+VLOOKUP($A82,FIXED_CHARTER_COST,HLOOKUP(F$7,FIXED_CHARTER_COST,2,0)+1,0)+VLOOKUP($A82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0.60222534892155</v>
      </c>
      <c r="G82" s="23" t="n">
        <f aca="false">(+VLOOKUP($A82,FIXED_CHARTER_COST,HLOOKUP(G$7,FIXED_CHARTER_COST,2,0)+1,0)+VLOOKUP($A82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0.731786975767605</v>
      </c>
      <c r="H82" s="23" t="n">
        <f aca="false">(+VLOOKUP($A82,FIXED_CHARTER_COST,HLOOKUP(H$7,FIXED_CHARTER_COST,2,0)+1,0)+VLOOKUP($A82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0.611002900656998</v>
      </c>
      <c r="I82" s="23" t="n">
        <f aca="false">(+VLOOKUP($A82,FIXED_CHARTER_COST,HLOOKUP(I$7,FIXED_CHARTER_COST,2,0)+1,0)+VLOOKUP($A82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0.73348093666419</v>
      </c>
    </row>
    <row r="83" customFormat="false" ht="12.75" hidden="false" customHeight="false" outlineLevel="0" collapsed="false">
      <c r="A83" s="22" t="n">
        <f aca="false">+SHIPS!B99</f>
        <v>38930</v>
      </c>
      <c r="B83" s="23" t="n">
        <f aca="false">(+VLOOKUP($A83,FIXED_CHARTER_COST,HLOOKUP(B$7,FIXED_CHARTER_COST,2,0)+1,0)+VLOOKUP($A83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1.38101250186242</v>
      </c>
      <c r="C83" s="23" t="n">
        <f aca="false">(+VLOOKUP($A83,FIXED_CHARTER_COST,HLOOKUP(C$7,FIXED_CHARTER_COST,2,0)+1,0)+VLOOKUP($A83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1.5035723290829</v>
      </c>
      <c r="D83" s="23" t="n">
        <f aca="false">(+VLOOKUP($A83,FIXED_CHARTER_COST,HLOOKUP(D$7,FIXED_CHARTER_COST,2,0)+1,0)+VLOOKUP($A83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0.328322352424722</v>
      </c>
      <c r="E83" s="23" t="n">
        <f aca="false">(+VLOOKUP($A83,FIXED_CHARTER_COST,HLOOKUP(E$7,FIXED_CHARTER_COST,2,0)+1,0)+VLOOKUP($A83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0.358384556580794</v>
      </c>
      <c r="F83" s="23" t="n">
        <f aca="false">(+VLOOKUP($A83,FIXED_CHARTER_COST,HLOOKUP(F$7,FIXED_CHARTER_COST,2,0)+1,0)+VLOOKUP($A83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0.602385572243762</v>
      </c>
      <c r="G83" s="23" t="n">
        <f aca="false">(+VLOOKUP($A83,FIXED_CHARTER_COST,HLOOKUP(G$7,FIXED_CHARTER_COST,2,0)+1,0)+VLOOKUP($A83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0.731985347499868</v>
      </c>
      <c r="H83" s="23" t="n">
        <f aca="false">(+VLOOKUP($A83,FIXED_CHARTER_COST,HLOOKUP(H$7,FIXED_CHARTER_COST,2,0)+1,0)+VLOOKUP($A83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0.611362781995463</v>
      </c>
      <c r="I83" s="23" t="n">
        <f aca="false">(+VLOOKUP($A83,FIXED_CHARTER_COST,HLOOKUP(I$7,FIXED_CHARTER_COST,2,0)+1,0)+VLOOKUP($A83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0.733922609215942</v>
      </c>
    </row>
    <row r="84" customFormat="false" ht="12.75" hidden="false" customHeight="false" outlineLevel="0" collapsed="false">
      <c r="A84" s="22" t="n">
        <f aca="false">+SHIPS!B100</f>
        <v>38961</v>
      </c>
      <c r="B84" s="23" t="n">
        <f aca="false">(+VLOOKUP($A84,FIXED_CHARTER_COST,HLOOKUP(B$7,FIXED_CHARTER_COST,2,0)+1,0)+VLOOKUP($A84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1.38179933333425</v>
      </c>
      <c r="C84" s="23" t="n">
        <f aca="false">(+VLOOKUP($A84,FIXED_CHARTER_COST,HLOOKUP(C$7,FIXED_CHARTER_COST,2,0)+1,0)+VLOOKUP($A84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1.50444112216638</v>
      </c>
      <c r="D84" s="23" t="n">
        <f aca="false">(+VLOOKUP($A84,FIXED_CHARTER_COST,HLOOKUP(D$7,FIXED_CHARTER_COST,2,0)+1,0)+VLOOKUP($A84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0.328414099350893</v>
      </c>
      <c r="E84" s="23" t="n">
        <f aca="false">(+VLOOKUP($A84,FIXED_CHARTER_COST,HLOOKUP(E$7,FIXED_CHARTER_COST,2,0)+1,0)+VLOOKUP($A84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0.358483949084147</v>
      </c>
      <c r="F84" s="23" t="n">
        <f aca="false">(+VLOOKUP($A84,FIXED_CHARTER_COST,HLOOKUP(F$7,FIXED_CHARTER_COST,2,0)+1,0)+VLOOKUP($A84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0.602546129364562</v>
      </c>
      <c r="G84" s="23" t="n">
        <f aca="false">(+VLOOKUP($A84,FIXED_CHARTER_COST,HLOOKUP(G$7,FIXED_CHARTER_COST,2,0)+1,0)+VLOOKUP($A84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0.732184132506573</v>
      </c>
      <c r="H84" s="23" t="n">
        <f aca="false">(+VLOOKUP($A84,FIXED_CHARTER_COST,HLOOKUP(H$7,FIXED_CHARTER_COST,2,0)+1,0)+VLOOKUP($A84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0.611723413086716</v>
      </c>
      <c r="I84" s="23" t="n">
        <f aca="false">(+VLOOKUP($A84,FIXED_CHARTER_COST,HLOOKUP(I$7,FIXED_CHARTER_COST,2,0)+1,0)+VLOOKUP($A84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0.734365201918844</v>
      </c>
    </row>
    <row r="85" customFormat="false" ht="12.75" hidden="false" customHeight="false" outlineLevel="0" collapsed="false">
      <c r="A85" s="22" t="n">
        <f aca="false">+SHIPS!B101</f>
        <v>38991</v>
      </c>
      <c r="B85" s="23" t="n">
        <f aca="false">(+VLOOKUP($A85,FIXED_CHARTER_COST,HLOOKUP(B$7,FIXED_CHARTER_COST,2,0)+1,0)+VLOOKUP($A85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1.38258780403831</v>
      </c>
      <c r="C85" s="23" t="n">
        <f aca="false">(+VLOOKUP($A85,FIXED_CHARTER_COST,HLOOKUP(C$7,FIXED_CHARTER_COST,2,0)+1,0)+VLOOKUP($A85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1.50531172523544</v>
      </c>
      <c r="D85" s="23" t="n">
        <f aca="false">(+VLOOKUP($A85,FIXED_CHARTER_COST,HLOOKUP(D$7,FIXED_CHARTER_COST,2,0)+1,0)+VLOOKUP($A85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0.328506037416494</v>
      </c>
      <c r="E85" s="23" t="n">
        <f aca="false">(+VLOOKUP($A85,FIXED_CHARTER_COST,HLOOKUP(E$7,FIXED_CHARTER_COST,2,0)+1,0)+VLOOKUP($A85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0.358583548655215</v>
      </c>
      <c r="F85" s="23" t="n">
        <f aca="false">(+VLOOKUP($A85,FIXED_CHARTER_COST,HLOOKUP(F$7,FIXED_CHARTER_COST,2,0)+1,0)+VLOOKUP($A85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0.602707020979364</v>
      </c>
      <c r="G85" s="23" t="n">
        <f aca="false">(+VLOOKUP($A85,FIXED_CHARTER_COST,HLOOKUP(G$7,FIXED_CHARTER_COST,2,0)+1,0)+VLOOKUP($A85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0.732383331648709</v>
      </c>
      <c r="H85" s="23" t="n">
        <f aca="false">(+VLOOKUP($A85,FIXED_CHARTER_COST,HLOOKUP(H$7,FIXED_CHARTER_COST,2,0)+1,0)+VLOOKUP($A85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0.612084795492743</v>
      </c>
      <c r="I85" s="23" t="n">
        <f aca="false">(+VLOOKUP($A85,FIXED_CHARTER_COST,HLOOKUP(I$7,FIXED_CHARTER_COST,2,0)+1,0)+VLOOKUP($A85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0.734808716689877</v>
      </c>
    </row>
    <row r="86" customFormat="false" ht="12.75" hidden="false" customHeight="false" outlineLevel="0" collapsed="false">
      <c r="A86" s="22" t="n">
        <f aca="false">+SHIPS!B102</f>
        <v>39022</v>
      </c>
      <c r="B86" s="23" t="n">
        <f aca="false">(+VLOOKUP($A86,FIXED_CHARTER_COST,HLOOKUP(B$7,FIXED_CHARTER_COST,2,0)+1,0)+VLOOKUP($A86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1.38337791738967</v>
      </c>
      <c r="C86" s="23" t="n">
        <f aca="false">(+VLOOKUP($A86,FIXED_CHARTER_COST,HLOOKUP(C$7,FIXED_CHARTER_COST,2,0)+1,0)+VLOOKUP($A86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1.5061841420609</v>
      </c>
      <c r="D86" s="23" t="n">
        <f aca="false">(+VLOOKUP($A86,FIXED_CHARTER_COST,HLOOKUP(D$7,FIXED_CHARTER_COST,2,0)+1,0)+VLOOKUP($A86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0.328598167019732</v>
      </c>
      <c r="E86" s="23" t="n">
        <f aca="false">(+VLOOKUP($A86,FIXED_CHARTER_COST,HLOOKUP(E$7,FIXED_CHARTER_COST,2,0)+1,0)+VLOOKUP($A86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0.358683355725389</v>
      </c>
      <c r="F86" s="23" t="n">
        <f aca="false">(+VLOOKUP($A86,FIXED_CHARTER_COST,HLOOKUP(F$7,FIXED_CHARTER_COST,2,0)+1,0)+VLOOKUP($A86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0.60286824778503</v>
      </c>
      <c r="G86" s="23" t="n">
        <f aca="false">(+VLOOKUP($A86,FIXED_CHARTER_COST,HLOOKUP(G$7,FIXED_CHARTER_COST,2,0)+1,0)+VLOOKUP($A86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0.732582945789057</v>
      </c>
      <c r="H86" s="23" t="n">
        <f aca="false">(+VLOOKUP($A86,FIXED_CHARTER_COST,HLOOKUP(H$7,FIXED_CHARTER_COST,2,0)+1,0)+VLOOKUP($A86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0.612446930778782</v>
      </c>
      <c r="I86" s="23" t="n">
        <f aca="false">(+VLOOKUP($A86,FIXED_CHARTER_COST,HLOOKUP(I$7,FIXED_CHARTER_COST,2,0)+1,0)+VLOOKUP($A86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0.735253155450016</v>
      </c>
    </row>
    <row r="87" customFormat="false" ht="12.75" hidden="false" customHeight="false" outlineLevel="0" collapsed="false">
      <c r="A87" s="22" t="n">
        <f aca="false">+SHIPS!B103</f>
        <v>39052</v>
      </c>
      <c r="B87" s="23" t="n">
        <f aca="false">(+VLOOKUP($A87,FIXED_CHARTER_COST,HLOOKUP(B$7,FIXED_CHARTER_COST,2,0)+1,0)+VLOOKUP($A87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1.38416967681051</v>
      </c>
      <c r="C87" s="23" t="n">
        <f aca="false">(+VLOOKUP($A87,FIXED_CHARTER_COST,HLOOKUP(C$7,FIXED_CHARTER_COST,2,0)+1,0)+VLOOKUP($A87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1.50705837642141</v>
      </c>
      <c r="D87" s="23" t="n">
        <f aca="false">(+VLOOKUP($A87,FIXED_CHARTER_COST,HLOOKUP(D$7,FIXED_CHARTER_COST,2,0)+1,0)+VLOOKUP($A87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0.328690488559643</v>
      </c>
      <c r="E87" s="23" t="n">
        <f aca="false">(+VLOOKUP($A87,FIXED_CHARTER_COST,HLOOKUP(E$7,FIXED_CHARTER_COST,2,0)+1,0)+VLOOKUP($A87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0.358783370726959</v>
      </c>
      <c r="F87" s="23" t="n">
        <f aca="false">(+VLOOKUP($A87,FIXED_CHARTER_COST,HLOOKUP(F$7,FIXED_CHARTER_COST,2,0)+1,0)+VLOOKUP($A87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0.603029810479875</v>
      </c>
      <c r="G87" s="23" t="n">
        <f aca="false">(+VLOOKUP($A87,FIXED_CHARTER_COST,HLOOKUP(G$7,FIXED_CHARTER_COST,2,0)+1,0)+VLOOKUP($A87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0.732782975792198</v>
      </c>
      <c r="H87" s="23" t="n">
        <f aca="false">(+VLOOKUP($A87,FIXED_CHARTER_COST,HLOOKUP(H$7,FIXED_CHARTER_COST,2,0)+1,0)+VLOOKUP($A87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0.612809820513334</v>
      </c>
      <c r="I87" s="23" t="n">
        <f aca="false">(+VLOOKUP($A87,FIXED_CHARTER_COST,HLOOKUP(I$7,FIXED_CHARTER_COST,2,0)+1,0)+VLOOKUP($A87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0.735698520124238</v>
      </c>
    </row>
    <row r="88" customFormat="false" ht="12.75" hidden="false" customHeight="false" outlineLevel="0" collapsed="false">
      <c r="A88" s="24" t="n">
        <f aca="false">+SHIPS!B104</f>
        <v>39083</v>
      </c>
      <c r="B88" s="23" t="n">
        <f aca="false">(+VLOOKUP($A88,FIXED_CHARTER_COST,HLOOKUP(B$7,FIXED_CHARTER_COST,2,0)+1,0)+VLOOKUP($A88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1.38496308573014</v>
      </c>
      <c r="C88" s="23" t="n">
        <f aca="false">(+VLOOKUP($A88,FIXED_CHARTER_COST,HLOOKUP(C$7,FIXED_CHARTER_COST,2,0)+1,0)+VLOOKUP($A88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1.50793443210351</v>
      </c>
      <c r="D88" s="23" t="n">
        <f aca="false">(+VLOOKUP($A88,FIXED_CHARTER_COST,HLOOKUP(D$7,FIXED_CHARTER_COST,2,0)+1,0)+VLOOKUP($A88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0.328783002436096</v>
      </c>
      <c r="E88" s="23" t="n">
        <f aca="false">(+VLOOKUP($A88,FIXED_CHARTER_COST,HLOOKUP(E$7,FIXED_CHARTER_COST,2,0)+1,0)+VLOOKUP($A88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0.358883594093116</v>
      </c>
      <c r="F88" s="23" t="n">
        <f aca="false">(+VLOOKUP($A88,FIXED_CHARTER_COST,HLOOKUP(F$7,FIXED_CHARTER_COST,2,0)+1,0)+VLOOKUP($A88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0.603191709763667</v>
      </c>
      <c r="G88" s="23" t="n">
        <f aca="false">(+VLOOKUP($A88,FIXED_CHARTER_COST,HLOOKUP(G$7,FIXED_CHARTER_COST,2,0)+1,0)+VLOOKUP($A88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0.732983422524512</v>
      </c>
      <c r="H88" s="23" t="n">
        <f aca="false">(+VLOOKUP($A88,FIXED_CHARTER_COST,HLOOKUP(H$7,FIXED_CHARTER_COST,2,0)+1,0)+VLOOKUP($A88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0.613173466268166</v>
      </c>
      <c r="I88" s="23" t="n">
        <f aca="false">(+VLOOKUP($A88,FIXED_CHARTER_COST,HLOOKUP(I$7,FIXED_CHARTER_COST,2,0)+1,0)+VLOOKUP($A88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0.736144812641532</v>
      </c>
    </row>
    <row r="89" customFormat="false" ht="12.75" hidden="false" customHeight="false" outlineLevel="0" collapsed="false">
      <c r="A89" s="22" t="n">
        <f aca="false">+SHIPS!B105</f>
        <v>39114</v>
      </c>
      <c r="B89" s="23" t="n">
        <f aca="false">(+VLOOKUP($A89,FIXED_CHARTER_COST,HLOOKUP(B$7,FIXED_CHARTER_COST,2,0)+1,0)+VLOOKUP($A89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1.38575814758502</v>
      </c>
      <c r="C89" s="23" t="n">
        <f aca="false">(+VLOOKUP($A89,FIXED_CHARTER_COST,HLOOKUP(C$7,FIXED_CHARTER_COST,2,0)+1,0)+VLOOKUP($A89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1.50881231290161</v>
      </c>
      <c r="D89" s="23" t="n">
        <f aca="false">(+VLOOKUP($A89,FIXED_CHARTER_COST,HLOOKUP(D$7,FIXED_CHARTER_COST,2,0)+1,0)+VLOOKUP($A89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0.328875709049791</v>
      </c>
      <c r="E89" s="23" t="n">
        <f aca="false">(+VLOOKUP($A89,FIXED_CHARTER_COST,HLOOKUP(E$7,FIXED_CHARTER_COST,2,0)+1,0)+VLOOKUP($A89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0.358984026257953</v>
      </c>
      <c r="F89" s="23" t="n">
        <f aca="false">(+VLOOKUP($A89,FIXED_CHARTER_COST,HLOOKUP(F$7,FIXED_CHARTER_COST,2,0)+1,0)+VLOOKUP($A89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0.603353946337633</v>
      </c>
      <c r="G89" s="23" t="n">
        <f aca="false">(+VLOOKUP($A89,FIXED_CHARTER_COST,HLOOKUP(G$7,FIXED_CHARTER_COST,2,0)+1,0)+VLOOKUP($A89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0.733184286854185</v>
      </c>
      <c r="H89" s="23" t="n">
        <f aca="false">(+VLOOKUP($A89,FIXED_CHARTER_COST,HLOOKUP(H$7,FIXED_CHARTER_COST,2,0)+1,0)+VLOOKUP($A89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0.613537869618321</v>
      </c>
      <c r="I89" s="23" t="n">
        <f aca="false">(+VLOOKUP($A89,FIXED_CHARTER_COST,HLOOKUP(I$7,FIXED_CHARTER_COST,2,0)+1,0)+VLOOKUP($A89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0.736592034934904</v>
      </c>
    </row>
    <row r="90" customFormat="false" ht="12.75" hidden="false" customHeight="false" outlineLevel="0" collapsed="false">
      <c r="A90" s="22" t="n">
        <f aca="false">+SHIPS!B106</f>
        <v>39142</v>
      </c>
      <c r="B90" s="23" t="n">
        <f aca="false">(+VLOOKUP($A90,FIXED_CHARTER_COST,HLOOKUP(B$7,FIXED_CHARTER_COST,2,0)+1,0)+VLOOKUP($A90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1.38655486581877</v>
      </c>
      <c r="C90" s="23" t="n">
        <f aca="false">(+VLOOKUP($A90,FIXED_CHARTER_COST,HLOOKUP(C$7,FIXED_CHARTER_COST,2,0)+1,0)+VLOOKUP($A90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1.50969202261804</v>
      </c>
      <c r="D90" s="23" t="n">
        <f aca="false">(+VLOOKUP($A90,FIXED_CHARTER_COST,HLOOKUP(D$7,FIXED_CHARTER_COST,2,0)+1,0)+VLOOKUP($A90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0.328968608802265</v>
      </c>
      <c r="E90" s="23" t="n">
        <f aca="false">(+VLOOKUP($A90,FIXED_CHARTER_COST,HLOOKUP(E$7,FIXED_CHARTER_COST,2,0)+1,0)+VLOOKUP($A90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0.359084667656466</v>
      </c>
      <c r="F90" s="23" t="n">
        <f aca="false">(+VLOOKUP($A90,FIXED_CHARTER_COST,HLOOKUP(F$7,FIXED_CHARTER_COST,2,0)+1,0)+VLOOKUP($A90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0.603516520904462</v>
      </c>
      <c r="G90" s="23" t="n">
        <f aca="false">(+VLOOKUP($A90,FIXED_CHARTER_COST,HLOOKUP(G$7,FIXED_CHARTER_COST,2,0)+1,0)+VLOOKUP($A90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0.733385569651212</v>
      </c>
      <c r="H90" s="23" t="n">
        <f aca="false">(+VLOOKUP($A90,FIXED_CHARTER_COST,HLOOKUP(H$7,FIXED_CHARTER_COST,2,0)+1,0)+VLOOKUP($A90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0.613903032142122</v>
      </c>
      <c r="I90" s="23" t="n">
        <f aca="false">(+VLOOKUP($A90,FIXED_CHARTER_COST,HLOOKUP(I$7,FIXED_CHARTER_COST,2,0)+1,0)+VLOOKUP($A90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0.737040188941387</v>
      </c>
    </row>
    <row r="91" customFormat="false" ht="12.75" hidden="false" customHeight="false" outlineLevel="0" collapsed="false">
      <c r="A91" s="22" t="n">
        <f aca="false">+SHIPS!B107</f>
        <v>39173</v>
      </c>
      <c r="B91" s="23" t="n">
        <f aca="false">(+VLOOKUP($A91,FIXED_CHARTER_COST,HLOOKUP(B$7,FIXED_CHARTER_COST,2,0)+1,0)+VLOOKUP($A91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1.38735324388217</v>
      </c>
      <c r="C91" s="23" t="n">
        <f aca="false">(+VLOOKUP($A91,FIXED_CHARTER_COST,HLOOKUP(C$7,FIXED_CHARTER_COST,2,0)+1,0)+VLOOKUP($A91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1.51057356506304</v>
      </c>
      <c r="D91" s="23" t="n">
        <f aca="false">(+VLOOKUP($A91,FIXED_CHARTER_COST,HLOOKUP(D$7,FIXED_CHARTER_COST,2,0)+1,0)+VLOOKUP($A91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0.32906170209589</v>
      </c>
      <c r="E91" s="23" t="n">
        <f aca="false">(+VLOOKUP($A91,FIXED_CHARTER_COST,HLOOKUP(E$7,FIXED_CHARTER_COST,2,0)+1,0)+VLOOKUP($A91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0.35918551872456</v>
      </c>
      <c r="F91" s="23" t="n">
        <f aca="false">(+VLOOKUP($A91,FIXED_CHARTER_COST,HLOOKUP(F$7,FIXED_CHARTER_COST,2,0)+1,0)+VLOOKUP($A91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0.603679434168306</v>
      </c>
      <c r="G91" s="23" t="n">
        <f aca="false">(+VLOOKUP($A91,FIXED_CHARTER_COST,HLOOKUP(G$7,FIXED_CHARTER_COST,2,0)+1,0)+VLOOKUP($A91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0.733587271787399</v>
      </c>
      <c r="H91" s="23" t="n">
        <f aca="false">(+VLOOKUP($A91,FIXED_CHARTER_COST,HLOOKUP(H$7,FIXED_CHARTER_COST,2,0)+1,0)+VLOOKUP($A91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0.614268955421181</v>
      </c>
      <c r="I91" s="23" t="n">
        <f aca="false">(+VLOOKUP($A91,FIXED_CHARTER_COST,HLOOKUP(I$7,FIXED_CHARTER_COST,2,0)+1,0)+VLOOKUP($A91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0.73748927660205</v>
      </c>
    </row>
    <row r="92" customFormat="false" ht="12.75" hidden="false" customHeight="false" outlineLevel="0" collapsed="false">
      <c r="A92" s="22" t="n">
        <f aca="false">+SHIPS!B108</f>
        <v>39203</v>
      </c>
      <c r="B92" s="23" t="n">
        <f aca="false">(+VLOOKUP($A92,FIXED_CHARTER_COST,HLOOKUP(B$7,FIXED_CHARTER_COST,2,0)+1,0)+VLOOKUP($A92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1.3881532852332</v>
      </c>
      <c r="C92" s="23" t="n">
        <f aca="false">(+VLOOKUP($A92,FIXED_CHARTER_COST,HLOOKUP(C$7,FIXED_CHARTER_COST,2,0)+1,0)+VLOOKUP($A92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1.51145694405481</v>
      </c>
      <c r="D92" s="23" t="n">
        <f aca="false">(+VLOOKUP($A92,FIXED_CHARTER_COST,HLOOKUP(D$7,FIXED_CHARTER_COST,2,0)+1,0)+VLOOKUP($A92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0.329154989333876</v>
      </c>
      <c r="E92" s="23" t="n">
        <f aca="false">(+VLOOKUP($A92,FIXED_CHARTER_COST,HLOOKUP(E$7,FIXED_CHARTER_COST,2,0)+1,0)+VLOOKUP($A92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0.359286579899045</v>
      </c>
      <c r="F92" s="23" t="n">
        <f aca="false">(+VLOOKUP($A92,FIXED_CHARTER_COST,HLOOKUP(F$7,FIXED_CHARTER_COST,2,0)+1,0)+VLOOKUP($A92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0.603842686834782</v>
      </c>
      <c r="G92" s="23" t="n">
        <f aca="false">(+VLOOKUP($A92,FIXED_CHARTER_COST,HLOOKUP(G$7,FIXED_CHARTER_COST,2,0)+1,0)+VLOOKUP($A92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0.73378939413637</v>
      </c>
      <c r="H92" s="23" t="n">
        <f aca="false">(+VLOOKUP($A92,FIXED_CHARTER_COST,HLOOKUP(H$7,FIXED_CHARTER_COST,2,0)+1,0)+VLOOKUP($A92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0.614635641040404</v>
      </c>
      <c r="I92" s="23" t="n">
        <f aca="false">(+VLOOKUP($A92,FIXED_CHARTER_COST,HLOOKUP(I$7,FIXED_CHARTER_COST,2,0)+1,0)+VLOOKUP($A92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0.737939299862006</v>
      </c>
    </row>
    <row r="93" customFormat="false" ht="12.75" hidden="false" customHeight="false" outlineLevel="0" collapsed="false">
      <c r="A93" s="22" t="n">
        <f aca="false">+SHIPS!B109</f>
        <v>39234</v>
      </c>
      <c r="B93" s="23" t="n">
        <f aca="false">(+VLOOKUP($A93,FIXED_CHARTER_COST,HLOOKUP(B$7,FIXED_CHARTER_COST,2,0)+1,0)+VLOOKUP($A93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1.38895499333705</v>
      </c>
      <c r="C93" s="23" t="n">
        <f aca="false">(+VLOOKUP($A93,FIXED_CHARTER_COST,HLOOKUP(C$7,FIXED_CHARTER_COST,2,0)+1,0)+VLOOKUP($A93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1.51234216341947</v>
      </c>
      <c r="D93" s="23" t="n">
        <f aca="false">(+VLOOKUP($A93,FIXED_CHARTER_COST,HLOOKUP(D$7,FIXED_CHARTER_COST,2,0)+1,0)+VLOOKUP($A93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0.329248470920275</v>
      </c>
      <c r="E93" s="23" t="n">
        <f aca="false">(+VLOOKUP($A93,FIXED_CHARTER_COST,HLOOKUP(E$7,FIXED_CHARTER_COST,2,0)+1,0)+VLOOKUP($A93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0.359387851617644</v>
      </c>
      <c r="F93" s="23" t="n">
        <f aca="false">(+VLOOKUP($A93,FIXED_CHARTER_COST,HLOOKUP(F$7,FIXED_CHARTER_COST,2,0)+1,0)+VLOOKUP($A93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0.60400627961098</v>
      </c>
      <c r="G93" s="23" t="n">
        <f aca="false">(+VLOOKUP($A93,FIXED_CHARTER_COST,HLOOKUP(G$7,FIXED_CHARTER_COST,2,0)+1,0)+VLOOKUP($A93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0.733991937573567</v>
      </c>
      <c r="H93" s="23" t="n">
        <f aca="false">(+VLOOKUP($A93,FIXED_CHARTER_COST,HLOOKUP(H$7,FIXED_CHARTER_COST,2,0)+1,0)+VLOOKUP($A93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0.615003090588001</v>
      </c>
      <c r="I93" s="23" t="n">
        <f aca="false">(+VLOOKUP($A93,FIXED_CHARTER_COST,HLOOKUP(I$7,FIXED_CHARTER_COST,2,0)+1,0)+VLOOKUP($A93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0.73839026067042</v>
      </c>
    </row>
    <row r="94" customFormat="false" ht="12.75" hidden="false" customHeight="false" outlineLevel="0" collapsed="false">
      <c r="A94" s="22" t="n">
        <f aca="false">+SHIPS!B110</f>
        <v>39264</v>
      </c>
      <c r="B94" s="23" t="n">
        <f aca="false">(+VLOOKUP($A94,FIXED_CHARTER_COST,HLOOKUP(B$7,FIXED_CHARTER_COST,2,0)+1,0)+VLOOKUP($A94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1.38975837166612</v>
      </c>
      <c r="C94" s="23" t="n">
        <f aca="false">(+VLOOKUP($A94,FIXED_CHARTER_COST,HLOOKUP(C$7,FIXED_CHARTER_COST,2,0)+1,0)+VLOOKUP($A94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1.51322922699115</v>
      </c>
      <c r="D94" s="23" t="n">
        <f aca="false">(+VLOOKUP($A94,FIXED_CHARTER_COST,HLOOKUP(D$7,FIXED_CHARTER_COST,2,0)+1,0)+VLOOKUP($A94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0.329342147259979</v>
      </c>
      <c r="E94" s="23" t="n">
        <f aca="false">(+VLOOKUP($A94,FIXED_CHARTER_COST,HLOOKUP(E$7,FIXED_CHARTER_COST,2,0)+1,0)+VLOOKUP($A94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0.35948933431899</v>
      </c>
      <c r="F94" s="23" t="n">
        <f aca="false">(+VLOOKUP($A94,FIXED_CHARTER_COST,HLOOKUP(F$7,FIXED_CHARTER_COST,2,0)+1,0)+VLOOKUP($A94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0.604170213205462</v>
      </c>
      <c r="G94" s="23" t="n">
        <f aca="false">(+VLOOKUP($A94,FIXED_CHARTER_COST,HLOOKUP(G$7,FIXED_CHARTER_COST,2,0)+1,0)+VLOOKUP($A94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0.734194902976259</v>
      </c>
      <c r="H94" s="23" t="n">
        <f aca="false">(+VLOOKUP($A94,FIXED_CHARTER_COST,HLOOKUP(H$7,FIXED_CHARTER_COST,2,0)+1,0)+VLOOKUP($A94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0.615371305655489</v>
      </c>
      <c r="I94" s="23" t="n">
        <f aca="false">(+VLOOKUP($A94,FIXED_CHARTER_COST,HLOOKUP(I$7,FIXED_CHARTER_COST,2,0)+1,0)+VLOOKUP($A94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0.738842160980519</v>
      </c>
    </row>
    <row r="95" customFormat="false" ht="12.75" hidden="false" customHeight="false" outlineLevel="0" collapsed="false">
      <c r="A95" s="22" t="n">
        <f aca="false">+SHIPS!B111</f>
        <v>39295</v>
      </c>
      <c r="B95" s="23" t="n">
        <f aca="false">(+VLOOKUP($A95,FIXED_CHARTER_COST,HLOOKUP(B$7,FIXED_CHARTER_COST,2,0)+1,0)+VLOOKUP($A95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1.39056342370003</v>
      </c>
      <c r="C95" s="23" t="n">
        <f aca="false">(+VLOOKUP($A95,FIXED_CHARTER_COST,HLOOKUP(C$7,FIXED_CHARTER_COST,2,0)+1,0)+VLOOKUP($A95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1.51411813861193</v>
      </c>
      <c r="D95" s="23" t="n">
        <f aca="false">(+VLOOKUP($A95,FIXED_CHARTER_COST,HLOOKUP(D$7,FIXED_CHARTER_COST,2,0)+1,0)+VLOOKUP($A95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0.329436018758724</v>
      </c>
      <c r="E95" s="23" t="n">
        <f aca="false">(+VLOOKUP($A95,FIXED_CHARTER_COST,HLOOKUP(E$7,FIXED_CHARTER_COST,2,0)+1,0)+VLOOKUP($A95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0.35959102844263</v>
      </c>
      <c r="F95" s="23" t="n">
        <f aca="false">(+VLOOKUP($A95,FIXED_CHARTER_COST,HLOOKUP(F$7,FIXED_CHARTER_COST,2,0)+1,0)+VLOOKUP($A95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0.604334488328266</v>
      </c>
      <c r="G95" s="23" t="n">
        <f aca="false">(+VLOOKUP($A95,FIXED_CHARTER_COST,HLOOKUP(G$7,FIXED_CHARTER_COST,2,0)+1,0)+VLOOKUP($A95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0.73439829122354</v>
      </c>
      <c r="H95" s="23" t="n">
        <f aca="false">(+VLOOKUP($A95,FIXED_CHARTER_COST,HLOOKUP(H$7,FIXED_CHARTER_COST,2,0)+1,0)+VLOOKUP($A95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0.6157402878377</v>
      </c>
      <c r="I95" s="23" t="n">
        <f aca="false">(+VLOOKUP($A95,FIXED_CHARTER_COST,HLOOKUP(I$7,FIXED_CHARTER_COST,2,0)+1,0)+VLOOKUP($A95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0.739295002749597</v>
      </c>
    </row>
    <row r="96" customFormat="false" ht="12.75" hidden="false" customHeight="false" outlineLevel="0" collapsed="false">
      <c r="A96" s="22" t="n">
        <f aca="false">+SHIPS!B112</f>
        <v>39326</v>
      </c>
      <c r="B96" s="23" t="n">
        <f aca="false">(+VLOOKUP($A96,FIXED_CHARTER_COST,HLOOKUP(B$7,FIXED_CHARTER_COST,2,0)+1,0)+VLOOKUP($A96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1.39137015292569</v>
      </c>
      <c r="C96" s="23" t="n">
        <f aca="false">(+VLOOKUP($A96,FIXED_CHARTER_COST,HLOOKUP(C$7,FIXED_CHARTER_COST,2,0)+1,0)+VLOOKUP($A96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1.51500890213192</v>
      </c>
      <c r="D96" s="23" t="n">
        <f aca="false">(+VLOOKUP($A96,FIXED_CHARTER_COST,HLOOKUP(D$7,FIXED_CHARTER_COST,2,0)+1,0)+VLOOKUP($A96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0.329530085823091</v>
      </c>
      <c r="E96" s="23" t="n">
        <f aca="false">(+VLOOKUP($A96,FIXED_CHARTER_COST,HLOOKUP(E$7,FIXED_CHARTER_COST,2,0)+1,0)+VLOOKUP($A96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0.359692934429028</v>
      </c>
      <c r="F96" s="23" t="n">
        <f aca="false">(+VLOOKUP($A96,FIXED_CHARTER_COST,HLOOKUP(F$7,FIXED_CHARTER_COST,2,0)+1,0)+VLOOKUP($A96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0.604499105690909</v>
      </c>
      <c r="G96" s="23" t="n">
        <f aca="false">(+VLOOKUP($A96,FIXED_CHARTER_COST,HLOOKUP(G$7,FIXED_CHARTER_COST,2,0)+1,0)+VLOOKUP($A96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0.734602103196336</v>
      </c>
      <c r="H96" s="23" t="n">
        <f aca="false">(+VLOOKUP($A96,FIXED_CHARTER_COST,HLOOKUP(H$7,FIXED_CHARTER_COST,2,0)+1,0)+VLOOKUP($A96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0.616110038732792</v>
      </c>
      <c r="I96" s="23" t="n">
        <f aca="false">(+VLOOKUP($A96,FIXED_CHARTER_COST,HLOOKUP(I$7,FIXED_CHARTER_COST,2,0)+1,0)+VLOOKUP($A96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0.739748787939027</v>
      </c>
    </row>
    <row r="97" customFormat="false" ht="12.75" hidden="false" customHeight="false" outlineLevel="0" collapsed="false">
      <c r="A97" s="22" t="n">
        <f aca="false">+SHIPS!B113</f>
        <v>39356</v>
      </c>
      <c r="B97" s="23" t="n">
        <f aca="false">(+VLOOKUP($A97,FIXED_CHARTER_COST,HLOOKUP(B$7,FIXED_CHARTER_COST,2,0)+1,0)+VLOOKUP($A97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1.39217856283723</v>
      </c>
      <c r="C97" s="23" t="n">
        <f aca="false">(+VLOOKUP($A97,FIXED_CHARTER_COST,HLOOKUP(C$7,FIXED_CHARTER_COST,2,0)+1,0)+VLOOKUP($A97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1.51590152140925</v>
      </c>
      <c r="D97" s="23" t="n">
        <f aca="false">(+VLOOKUP($A97,FIXED_CHARTER_COST,HLOOKUP(D$7,FIXED_CHARTER_COST,2,0)+1,0)+VLOOKUP($A97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0.32962434886051</v>
      </c>
      <c r="E97" s="23" t="n">
        <f aca="false">(+VLOOKUP($A97,FIXED_CHARTER_COST,HLOOKUP(E$7,FIXED_CHARTER_COST,2,0)+1,0)+VLOOKUP($A97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0.359795052719565</v>
      </c>
      <c r="F97" s="23" t="n">
        <f aca="false">(+VLOOKUP($A97,FIXED_CHARTER_COST,HLOOKUP(F$7,FIXED_CHARTER_COST,2,0)+1,0)+VLOOKUP($A97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0.604664066006391</v>
      </c>
      <c r="G97" s="23" t="n">
        <f aca="false">(+VLOOKUP($A97,FIXED_CHARTER_COST,HLOOKUP(G$7,FIXED_CHARTER_COST,2,0)+1,0)+VLOOKUP($A97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0.734806339777409</v>
      </c>
      <c r="H97" s="23" t="n">
        <f aca="false">(+VLOOKUP($A97,FIXED_CHARTER_COST,HLOOKUP(H$7,FIXED_CHARTER_COST,2,0)+1,0)+VLOOKUP($A97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0.616480559942248</v>
      </c>
      <c r="I97" s="23" t="n">
        <f aca="false">(+VLOOKUP($A97,FIXED_CHARTER_COST,HLOOKUP(I$7,FIXED_CHARTER_COST,2,0)+1,0)+VLOOKUP($A97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0.740203518514268</v>
      </c>
    </row>
    <row r="98" customFormat="false" ht="12.75" hidden="false" customHeight="false" outlineLevel="0" collapsed="false">
      <c r="A98" s="22" t="n">
        <f aca="false">+SHIPS!B114</f>
        <v>39387</v>
      </c>
      <c r="B98" s="23" t="n">
        <f aca="false">(+VLOOKUP($A98,FIXED_CHARTER_COST,HLOOKUP(B$7,FIXED_CHARTER_COST,2,0)+1,0)+VLOOKUP($A98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1.39298865693608</v>
      </c>
      <c r="C98" s="23" t="n">
        <f aca="false">(+VLOOKUP($A98,FIXED_CHARTER_COST,HLOOKUP(C$7,FIXED_CHARTER_COST,2,0)+1,0)+VLOOKUP($A98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1.51679600031007</v>
      </c>
      <c r="D98" s="23" t="n">
        <f aca="false">(+VLOOKUP($A98,FIXED_CHARTER_COST,HLOOKUP(D$7,FIXED_CHARTER_COST,2,0)+1,0)+VLOOKUP($A98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0.329718808279256</v>
      </c>
      <c r="E98" s="23" t="n">
        <f aca="false">(+VLOOKUP($A98,FIXED_CHARTER_COST,HLOOKUP(E$7,FIXED_CHARTER_COST,2,0)+1,0)+VLOOKUP($A98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0.35989738375654</v>
      </c>
      <c r="F98" s="23" t="n">
        <f aca="false">(+VLOOKUP($A98,FIXED_CHARTER_COST,HLOOKUP(F$7,FIXED_CHARTER_COST,2,0)+1,0)+VLOOKUP($A98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0.604829369989196</v>
      </c>
      <c r="G98" s="23" t="n">
        <f aca="false">(+VLOOKUP($A98,FIXED_CHARTER_COST,HLOOKUP(G$7,FIXED_CHARTER_COST,2,0)+1,0)+VLOOKUP($A98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0.735011001851359</v>
      </c>
      <c r="H98" s="23" t="n">
        <f aca="false">(+VLOOKUP($A98,FIXED_CHARTER_COST,HLOOKUP(H$7,FIXED_CHARTER_COST,2,0)+1,0)+VLOOKUP($A98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0.61685185307089</v>
      </c>
      <c r="I98" s="23" t="n">
        <f aca="false">(+VLOOKUP($A98,FIXED_CHARTER_COST,HLOOKUP(I$7,FIXED_CHARTER_COST,2,0)+1,0)+VLOOKUP($A98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0.740659196444875</v>
      </c>
    </row>
    <row r="99" customFormat="false" ht="12.75" hidden="false" customHeight="false" outlineLevel="0" collapsed="false">
      <c r="A99" s="22" t="n">
        <f aca="false">+SHIPS!B115</f>
        <v>39417</v>
      </c>
      <c r="B99" s="23" t="n">
        <f aca="false">(+VLOOKUP($A99,FIXED_CHARTER_COST,HLOOKUP(B$7,FIXED_CHARTER_COST,2,0)+1,0)+VLOOKUP($A99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1.39380043873098</v>
      </c>
      <c r="C99" s="23" t="n">
        <f aca="false">(+VLOOKUP($A99,FIXED_CHARTER_COST,HLOOKUP(C$7,FIXED_CHARTER_COST,2,0)+1,0)+VLOOKUP($A99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1.5176923427086</v>
      </c>
      <c r="D99" s="23" t="n">
        <f aca="false">(+VLOOKUP($A99,FIXED_CHARTER_COST,HLOOKUP(D$7,FIXED_CHARTER_COST,2,0)+1,0)+VLOOKUP($A99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0.329813464488457</v>
      </c>
      <c r="E99" s="23" t="n">
        <f aca="false">(+VLOOKUP($A99,FIXED_CHARTER_COST,HLOOKUP(E$7,FIXED_CHARTER_COST,2,0)+1,0)+VLOOKUP($A99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0.359999927983175</v>
      </c>
      <c r="F99" s="23" t="n">
        <f aca="false">(+VLOOKUP($A99,FIXED_CHARTER_COST,HLOOKUP(F$7,FIXED_CHARTER_COST,2,0)+1,0)+VLOOKUP($A99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0.6049950183553</v>
      </c>
      <c r="G99" s="23" t="n">
        <f aca="false">(+VLOOKUP($A99,FIXED_CHARTER_COST,HLOOKUP(G$7,FIXED_CHARTER_COST,2,0)+1,0)+VLOOKUP($A99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0.735216090304629</v>
      </c>
      <c r="H99" s="23" t="n">
        <f aca="false">(+VLOOKUP($A99,FIXED_CHARTER_COST,HLOOKUP(H$7,FIXED_CHARTER_COST,2,0)+1,0)+VLOOKUP($A99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0.617223919726884</v>
      </c>
      <c r="I99" s="23" t="n">
        <f aca="false">(+VLOOKUP($A99,FIXED_CHARTER_COST,HLOOKUP(I$7,FIXED_CHARTER_COST,2,0)+1,0)+VLOOKUP($A99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0.741115823704504</v>
      </c>
    </row>
    <row r="100" customFormat="false" ht="12.75" hidden="false" customHeight="false" outlineLevel="0" collapsed="false">
      <c r="A100" s="24" t="n">
        <f aca="false">+SHIPS!B116</f>
        <v>39448</v>
      </c>
      <c r="B100" s="23" t="n">
        <f aca="false">(+VLOOKUP($A100,FIXED_CHARTER_COST,HLOOKUP(B$7,FIXED_CHARTER_COST,2,0)+1,0)+VLOOKUP($A100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1.39461391173795</v>
      </c>
      <c r="C100" s="23" t="n">
        <f aca="false">(+VLOOKUP($A100,FIXED_CHARTER_COST,HLOOKUP(C$7,FIXED_CHARTER_COST,2,0)+1,0)+VLOOKUP($A100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1.51859055248712</v>
      </c>
      <c r="D100" s="23" t="n">
        <f aca="false">(+VLOOKUP($A100,FIXED_CHARTER_COST,HLOOKUP(D$7,FIXED_CHARTER_COST,2,0)+1,0)+VLOOKUP($A100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0.329908317898095</v>
      </c>
      <c r="E100" s="23" t="n">
        <f aca="false">(+VLOOKUP($A100,FIXED_CHARTER_COST,HLOOKUP(E$7,FIXED_CHARTER_COST,2,0)+1,0)+VLOOKUP($A100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0.360102685843616</v>
      </c>
      <c r="F100" s="23" t="n">
        <f aca="false">(+VLOOKUP($A100,FIXED_CHARTER_COST,HLOOKUP(F$7,FIXED_CHARTER_COST,2,0)+1,0)+VLOOKUP($A100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0.605161011822165</v>
      </c>
      <c r="G100" s="23" t="n">
        <f aca="false">(+VLOOKUP($A100,FIXED_CHARTER_COST,HLOOKUP(G$7,FIXED_CHARTER_COST,2,0)+1,0)+VLOOKUP($A100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0.735421606025511</v>
      </c>
      <c r="H100" s="23" t="n">
        <f aca="false">(+VLOOKUP($A100,FIXED_CHARTER_COST,HLOOKUP(H$7,FIXED_CHARTER_COST,2,0)+1,0)+VLOOKUP($A100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0.617596761521744</v>
      </c>
      <c r="I100" s="23" t="n">
        <f aca="false">(+VLOOKUP($A100,FIXED_CHARTER_COST,HLOOKUP(I$7,FIXED_CHARTER_COST,2,0)+1,0)+VLOOKUP($A100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0.741573402270923</v>
      </c>
    </row>
    <row r="101" customFormat="false" ht="12.75" hidden="false" customHeight="false" outlineLevel="0" collapsed="false">
      <c r="A101" s="22" t="n">
        <f aca="false">+SHIPS!B117</f>
        <v>39479</v>
      </c>
      <c r="B101" s="23" t="n">
        <f aca="false">(+VLOOKUP($A101,FIXED_CHARTER_COST,HLOOKUP(B$7,FIXED_CHARTER_COST,2,0)+1,0)+VLOOKUP($A101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1.39542907948035</v>
      </c>
      <c r="C101" s="23" t="n">
        <f aca="false">(+VLOOKUP($A101,FIXED_CHARTER_COST,HLOOKUP(C$7,FIXED_CHARTER_COST,2,0)+1,0)+VLOOKUP($A101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1.51949063353602</v>
      </c>
      <c r="D101" s="23" t="n">
        <f aca="false">(+VLOOKUP($A101,FIXED_CHARTER_COST,HLOOKUP(D$7,FIXED_CHARTER_COST,2,0)+1,0)+VLOOKUP($A101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0.330003368919003</v>
      </c>
      <c r="E101" s="23" t="n">
        <f aca="false">(+VLOOKUP($A101,FIXED_CHARTER_COST,HLOOKUP(E$7,FIXED_CHARTER_COST,2,0)+1,0)+VLOOKUP($A101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0.360205657782932</v>
      </c>
      <c r="F101" s="23" t="n">
        <f aca="false">(+VLOOKUP($A101,FIXED_CHARTER_COST,HLOOKUP(F$7,FIXED_CHARTER_COST,2,0)+1,0)+VLOOKUP($A101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0.605327351108754</v>
      </c>
      <c r="G101" s="23" t="n">
        <f aca="false">(+VLOOKUP($A101,FIXED_CHARTER_COST,HLOOKUP(G$7,FIXED_CHARTER_COST,2,0)+1,0)+VLOOKUP($A101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0.735627549904144</v>
      </c>
      <c r="H101" s="23" t="n">
        <f aca="false">(+VLOOKUP($A101,FIXED_CHARTER_COST,HLOOKUP(H$7,FIXED_CHARTER_COST,2,0)+1,0)+VLOOKUP($A101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0.617970380070344</v>
      </c>
      <c r="I101" s="23" t="n">
        <f aca="false">(+VLOOKUP($A101,FIXED_CHARTER_COST,HLOOKUP(I$7,FIXED_CHARTER_COST,2,0)+1,0)+VLOOKUP($A101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0.742031934126023</v>
      </c>
    </row>
    <row r="102" customFormat="false" ht="12.75" hidden="false" customHeight="false" outlineLevel="0" collapsed="false">
      <c r="A102" s="22" t="n">
        <f aca="false">+SHIPS!B118</f>
        <v>39508</v>
      </c>
      <c r="B102" s="23" t="n">
        <f aca="false">(+VLOOKUP($A102,FIXED_CHARTER_COST,HLOOKUP(B$7,FIXED_CHARTER_COST,2,0)+1,0)+VLOOKUP($A102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1.39624594548887</v>
      </c>
      <c r="C102" s="23" t="n">
        <f aca="false">(+VLOOKUP($A102,FIXED_CHARTER_COST,HLOOKUP(C$7,FIXED_CHARTER_COST,2,0)+1,0)+VLOOKUP($A102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1.52039258975378</v>
      </c>
      <c r="D102" s="23" t="n">
        <f aca="false">(+VLOOKUP($A102,FIXED_CHARTER_COST,HLOOKUP(D$7,FIXED_CHARTER_COST,2,0)+1,0)+VLOOKUP($A102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0.330098617962871</v>
      </c>
      <c r="E102" s="23" t="n">
        <f aca="false">(+VLOOKUP($A102,FIXED_CHARTER_COST,HLOOKUP(E$7,FIXED_CHARTER_COST,2,0)+1,0)+VLOOKUP($A102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0.360308844247123</v>
      </c>
      <c r="F102" s="23" t="n">
        <f aca="false">(+VLOOKUP($A102,FIXED_CHARTER_COST,HLOOKUP(F$7,FIXED_CHARTER_COST,2,0)+1,0)+VLOOKUP($A102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0.605494036935523</v>
      </c>
      <c r="G102" s="23" t="n">
        <f aca="false">(+VLOOKUP($A102,FIXED_CHARTER_COST,HLOOKUP(G$7,FIXED_CHARTER_COST,2,0)+1,0)+VLOOKUP($A102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0.735833922832525</v>
      </c>
      <c r="H102" s="23" t="n">
        <f aca="false">(+VLOOKUP($A102,FIXED_CHARTER_COST,HLOOKUP(H$7,FIXED_CHARTER_COST,2,0)+1,0)+VLOOKUP($A102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0.61834477699092</v>
      </c>
      <c r="I102" s="23" t="n">
        <f aca="false">(+VLOOKUP($A102,FIXED_CHARTER_COST,HLOOKUP(I$7,FIXED_CHARTER_COST,2,0)+1,0)+VLOOKUP($A102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0.742491421255821</v>
      </c>
    </row>
    <row r="103" customFormat="false" ht="12.75" hidden="false" customHeight="false" outlineLevel="0" collapsed="false">
      <c r="A103" s="22" t="n">
        <f aca="false">+SHIPS!B119</f>
        <v>39539</v>
      </c>
      <c r="B103" s="23" t="n">
        <f aca="false">(+VLOOKUP($A103,FIXED_CHARTER_COST,HLOOKUP(B$7,FIXED_CHARTER_COST,2,0)+1,0)+VLOOKUP($A103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1.39706451330159</v>
      </c>
      <c r="C103" s="23" t="n">
        <f aca="false">(+VLOOKUP($A103,FIXED_CHARTER_COST,HLOOKUP(C$7,FIXED_CHARTER_COST,2,0)+1,0)+VLOOKUP($A103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1.52129642504698</v>
      </c>
      <c r="D103" s="23" t="n">
        <f aca="false">(+VLOOKUP($A103,FIXED_CHARTER_COST,HLOOKUP(D$7,FIXED_CHARTER_COST,2,0)+1,0)+VLOOKUP($A103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0.330194065442247</v>
      </c>
      <c r="E103" s="23" t="n">
        <f aca="false">(+VLOOKUP($A103,FIXED_CHARTER_COST,HLOOKUP(E$7,FIXED_CHARTER_COST,2,0)+1,0)+VLOOKUP($A103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0.360412245683113</v>
      </c>
      <c r="F103" s="23" t="n">
        <f aca="false">(+VLOOKUP($A103,FIXED_CHARTER_COST,HLOOKUP(F$7,FIXED_CHARTER_COST,2,0)+1,0)+VLOOKUP($A103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0.605661070024431</v>
      </c>
      <c r="G103" s="23" t="n">
        <f aca="false">(+VLOOKUP($A103,FIXED_CHARTER_COST,HLOOKUP(G$7,FIXED_CHARTER_COST,2,0)+1,0)+VLOOKUP($A103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0.736040725704506</v>
      </c>
      <c r="H103" s="23" t="n">
        <f aca="false">(+VLOOKUP($A103,FIXED_CHARTER_COST,HLOOKUP(H$7,FIXED_CHARTER_COST,2,0)+1,0)+VLOOKUP($A103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0.61871995390508</v>
      </c>
      <c r="I103" s="23" t="n">
        <f aca="false">(+VLOOKUP($A103,FIXED_CHARTER_COST,HLOOKUP(I$7,FIXED_CHARTER_COST,2,0)+1,0)+VLOOKUP($A103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0.742951865650472</v>
      </c>
    </row>
    <row r="104" customFormat="false" ht="12.75" hidden="false" customHeight="false" outlineLevel="0" collapsed="false">
      <c r="A104" s="22" t="n">
        <f aca="false">+SHIPS!B120</f>
        <v>39569</v>
      </c>
      <c r="B104" s="23" t="n">
        <f aca="false">(+VLOOKUP($A104,FIXED_CHARTER_COST,HLOOKUP(B$7,FIXED_CHARTER_COST,2,0)+1,0)+VLOOKUP($A104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1.39788478646391</v>
      </c>
      <c r="C104" s="23" t="n">
        <f aca="false">(+VLOOKUP($A104,FIXED_CHARTER_COST,HLOOKUP(C$7,FIXED_CHARTER_COST,2,0)+1,0)+VLOOKUP($A104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1.52220214333038</v>
      </c>
      <c r="D104" s="23" t="n">
        <f aca="false">(+VLOOKUP($A104,FIXED_CHARTER_COST,HLOOKUP(D$7,FIXED_CHARTER_COST,2,0)+1,0)+VLOOKUP($A104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0.330289711770538</v>
      </c>
      <c r="E104" s="23" t="n">
        <f aca="false">(+VLOOKUP($A104,FIXED_CHARTER_COST,HLOOKUP(E$7,FIXED_CHARTER_COST,2,0)+1,0)+VLOOKUP($A104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0.360515862538762</v>
      </c>
      <c r="F104" s="23" t="n">
        <f aca="false">(+VLOOKUP($A104,FIXED_CHARTER_COST,HLOOKUP(F$7,FIXED_CHARTER_COST,2,0)+1,0)+VLOOKUP($A104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0.605828451098941</v>
      </c>
      <c r="G104" s="23" t="n">
        <f aca="false">(+VLOOKUP($A104,FIXED_CHARTER_COST,HLOOKUP(G$7,FIXED_CHARTER_COST,2,0)+1,0)+VLOOKUP($A104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0.736247959415804</v>
      </c>
      <c r="H104" s="23" t="n">
        <f aca="false">(+VLOOKUP($A104,FIXED_CHARTER_COST,HLOOKUP(H$7,FIXED_CHARTER_COST,2,0)+1,0)+VLOOKUP($A104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0.619095912437812</v>
      </c>
      <c r="I104" s="23" t="n">
        <f aca="false">(+VLOOKUP($A104,FIXED_CHARTER_COST,HLOOKUP(I$7,FIXED_CHARTER_COST,2,0)+1,0)+VLOOKUP($A104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0.743413269304279</v>
      </c>
    </row>
    <row r="105" customFormat="false" ht="12.75" hidden="false" customHeight="false" outlineLevel="0" collapsed="false">
      <c r="A105" s="22" t="n">
        <f aca="false">+SHIPS!B121</f>
        <v>39600</v>
      </c>
      <c r="B105" s="23" t="n">
        <f aca="false">(+VLOOKUP($A105,FIXED_CHARTER_COST,HLOOKUP(B$7,FIXED_CHARTER_COST,2,0)+1,0)+VLOOKUP($A105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1.39870676852866</v>
      </c>
      <c r="C105" s="23" t="n">
        <f aca="false">(+VLOOKUP($A105,FIXED_CHARTER_COST,HLOOKUP(C$7,FIXED_CHARTER_COST,2,0)+1,0)+VLOOKUP($A105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1.52310974852687</v>
      </c>
      <c r="D105" s="23" t="n">
        <f aca="false">(+VLOOKUP($A105,FIXED_CHARTER_COST,HLOOKUP(D$7,FIXED_CHARTER_COST,2,0)+1,0)+VLOOKUP($A105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0.330385557362014</v>
      </c>
      <c r="E105" s="23" t="n">
        <f aca="false">(+VLOOKUP($A105,FIXED_CHARTER_COST,HLOOKUP(E$7,FIXED_CHARTER_COST,2,0)+1,0)+VLOOKUP($A105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0.360619695262861</v>
      </c>
      <c r="F105" s="23" t="n">
        <f aca="false">(+VLOOKUP($A105,FIXED_CHARTER_COST,HLOOKUP(F$7,FIXED_CHARTER_COST,2,0)+1,0)+VLOOKUP($A105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0.605996180884023</v>
      </c>
      <c r="G105" s="23" t="n">
        <f aca="false">(+VLOOKUP($A105,FIXED_CHARTER_COST,HLOOKUP(G$7,FIXED_CHARTER_COST,2,0)+1,0)+VLOOKUP($A105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0.736455624864001</v>
      </c>
      <c r="H105" s="23" t="n">
        <f aca="false">(+VLOOKUP($A105,FIXED_CHARTER_COST,HLOOKUP(H$7,FIXED_CHARTER_COST,2,0)+1,0)+VLOOKUP($A105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0.619472654217486</v>
      </c>
      <c r="I105" s="23" t="n">
        <f aca="false">(+VLOOKUP($A105,FIXED_CHARTER_COST,HLOOKUP(I$7,FIXED_CHARTER_COST,2,0)+1,0)+VLOOKUP($A105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0.743875634215698</v>
      </c>
    </row>
    <row r="106" customFormat="false" ht="12.75" hidden="false" customHeight="false" outlineLevel="0" collapsed="false">
      <c r="A106" s="22" t="n">
        <f aca="false">+SHIPS!B122</f>
        <v>39630</v>
      </c>
      <c r="B106" s="23" t="n">
        <f aca="false">(+VLOOKUP($A106,FIXED_CHARTER_COST,HLOOKUP(B$7,FIXED_CHARTER_COST,2,0)+1,0)+VLOOKUP($A106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1.39953046305604</v>
      </c>
      <c r="C106" s="23" t="n">
        <f aca="false">(+VLOOKUP($A106,FIXED_CHARTER_COST,HLOOKUP(C$7,FIXED_CHARTER_COST,2,0)+1,0)+VLOOKUP($A106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1.52401924456752</v>
      </c>
      <c r="D106" s="23" t="n">
        <f aca="false">(+VLOOKUP($A106,FIXED_CHARTER_COST,HLOOKUP(D$7,FIXED_CHARTER_COST,2,0)+1,0)+VLOOKUP($A106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0.330481602631805</v>
      </c>
      <c r="E106" s="23" t="n">
        <f aca="false">(+VLOOKUP($A106,FIXED_CHARTER_COST,HLOOKUP(E$7,FIXED_CHARTER_COST,2,0)+1,0)+VLOOKUP($A106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0.360723744305134</v>
      </c>
      <c r="F106" s="23" t="n">
        <f aca="false">(+VLOOKUP($A106,FIXED_CHARTER_COST,HLOOKUP(F$7,FIXED_CHARTER_COST,2,0)+1,0)+VLOOKUP($A106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0.606164260106157</v>
      </c>
      <c r="G106" s="23" t="n">
        <f aca="false">(+VLOOKUP($A106,FIXED_CHARTER_COST,HLOOKUP(G$7,FIXED_CHARTER_COST,2,0)+1,0)+VLOOKUP($A106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0.736663722948548</v>
      </c>
      <c r="H106" s="23" t="n">
        <f aca="false">(+VLOOKUP($A106,FIXED_CHARTER_COST,HLOOKUP(H$7,FIXED_CHARTER_COST,2,0)+1,0)+VLOOKUP($A106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0.619850180875869</v>
      </c>
      <c r="I106" s="23" t="n">
        <f aca="false">(+VLOOKUP($A106,FIXED_CHARTER_COST,HLOOKUP(I$7,FIXED_CHARTER_COST,2,0)+1,0)+VLOOKUP($A106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0.744338962387349</v>
      </c>
    </row>
    <row r="107" customFormat="false" ht="12.75" hidden="false" customHeight="false" outlineLevel="0" collapsed="false">
      <c r="A107" s="22" t="n">
        <f aca="false">+SHIPS!B123</f>
        <v>39661</v>
      </c>
      <c r="B107" s="23" t="n">
        <f aca="false">(+VLOOKUP($A107,FIXED_CHARTER_COST,HLOOKUP(B$7,FIXED_CHARTER_COST,2,0)+1,0)+VLOOKUP($A107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1.40035587361368</v>
      </c>
      <c r="C107" s="23" t="n">
        <f aca="false">(+VLOOKUP($A107,FIXED_CHARTER_COST,HLOOKUP(C$7,FIXED_CHARTER_COST,2,0)+1,0)+VLOOKUP($A107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1.52493063539158</v>
      </c>
      <c r="D107" s="23" t="n">
        <f aca="false">(+VLOOKUP($A107,FIXED_CHARTER_COST,HLOOKUP(D$7,FIXED_CHARTER_COST,2,0)+1,0)+VLOOKUP($A107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0.330577847995907</v>
      </c>
      <c r="E107" s="23" t="n">
        <f aca="false">(+VLOOKUP($A107,FIXED_CHARTER_COST,HLOOKUP(E$7,FIXED_CHARTER_COST,2,0)+1,0)+VLOOKUP($A107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0.360828010116246</v>
      </c>
      <c r="F107" s="23" t="n">
        <f aca="false">(+VLOOKUP($A107,FIXED_CHARTER_COST,HLOOKUP(F$7,FIXED_CHARTER_COST,2,0)+1,0)+VLOOKUP($A107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0.606332689493337</v>
      </c>
      <c r="G107" s="23" t="n">
        <f aca="false">(+VLOOKUP($A107,FIXED_CHARTER_COST,HLOOKUP(G$7,FIXED_CHARTER_COST,2,0)+1,0)+VLOOKUP($A107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0.736872254570771</v>
      </c>
      <c r="H107" s="23" t="n">
        <f aca="false">(+VLOOKUP($A107,FIXED_CHARTER_COST,HLOOKUP(H$7,FIXED_CHARTER_COST,2,0)+1,0)+VLOOKUP($A107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0.620228494048123</v>
      </c>
      <c r="I107" s="23" t="n">
        <f aca="false">(+VLOOKUP($A107,FIXED_CHARTER_COST,HLOOKUP(I$7,FIXED_CHARTER_COST,2,0)+1,0)+VLOOKUP($A107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0.744803255826025</v>
      </c>
    </row>
    <row r="108" customFormat="false" ht="12.75" hidden="false" customHeight="false" outlineLevel="0" collapsed="false">
      <c r="A108" s="22" t="n">
        <f aca="false">+SHIPS!B124</f>
        <v>39692</v>
      </c>
      <c r="B108" s="23" t="n">
        <f aca="false">(+VLOOKUP($A108,FIXED_CHARTER_COST,HLOOKUP(B$7,FIXED_CHARTER_COST,2,0)+1,0)+VLOOKUP($A108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1.40118300377666</v>
      </c>
      <c r="C108" s="23" t="n">
        <f aca="false">(+VLOOKUP($A108,FIXED_CHARTER_COST,HLOOKUP(C$7,FIXED_CHARTER_COST,2,0)+1,0)+VLOOKUP($A108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1.52584392494653</v>
      </c>
      <c r="D108" s="23" t="n">
        <f aca="false">(+VLOOKUP($A108,FIXED_CHARTER_COST,HLOOKUP(D$7,FIXED_CHARTER_COST,2,0)+1,0)+VLOOKUP($A108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0.330674293871186</v>
      </c>
      <c r="E108" s="23" t="n">
        <f aca="false">(+VLOOKUP($A108,FIXED_CHARTER_COST,HLOOKUP(E$7,FIXED_CHARTER_COST,2,0)+1,0)+VLOOKUP($A108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0.360932493147797</v>
      </c>
      <c r="F108" s="23" t="n">
        <f aca="false">(+VLOOKUP($A108,FIXED_CHARTER_COST,HLOOKUP(F$7,FIXED_CHARTER_COST,2,0)+1,0)+VLOOKUP($A108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0.606501469775074</v>
      </c>
      <c r="G108" s="23" t="n">
        <f aca="false">(+VLOOKUP($A108,FIXED_CHARTER_COST,HLOOKUP(G$7,FIXED_CHARTER_COST,2,0)+1,0)+VLOOKUP($A108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0.737081220633874</v>
      </c>
      <c r="H108" s="23" t="n">
        <f aca="false">(+VLOOKUP($A108,FIXED_CHARTER_COST,HLOOKUP(H$7,FIXED_CHARTER_COST,2,0)+1,0)+VLOOKUP($A108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0.620607595372819</v>
      </c>
      <c r="I108" s="23" t="n">
        <f aca="false">(+VLOOKUP($A108,FIXED_CHARTER_COST,HLOOKUP(I$7,FIXED_CHARTER_COST,2,0)+1,0)+VLOOKUP($A108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0.745268516542697</v>
      </c>
    </row>
    <row r="109" customFormat="false" ht="12.75" hidden="false" customHeight="false" outlineLevel="0" collapsed="false">
      <c r="A109" s="22" t="n">
        <f aca="false">+SHIPS!B125</f>
        <v>39722</v>
      </c>
      <c r="B109" s="23" t="n">
        <f aca="false">(+VLOOKUP($A109,FIXED_CHARTER_COST,HLOOKUP(B$7,FIXED_CHARTER_COST,2,0)+1,0)+VLOOKUP($A109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1.40201185712747</v>
      </c>
      <c r="C109" s="23" t="n">
        <f aca="false">(+VLOOKUP($A109,FIXED_CHARTER_COST,HLOOKUP(C$7,FIXED_CHARTER_COST,2,0)+1,0)+VLOOKUP($A109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1.52675911718806</v>
      </c>
      <c r="D109" s="23" t="n">
        <f aca="false">(+VLOOKUP($A109,FIXED_CHARTER_COST,HLOOKUP(D$7,FIXED_CHARTER_COST,2,0)+1,0)+VLOOKUP($A109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0.330770940675371</v>
      </c>
      <c r="E109" s="23" t="n">
        <f aca="false">(+VLOOKUP($A109,FIXED_CHARTER_COST,HLOOKUP(E$7,FIXED_CHARTER_COST,2,0)+1,0)+VLOOKUP($A109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0.361037193852331</v>
      </c>
      <c r="F109" s="23" t="n">
        <f aca="false">(+VLOOKUP($A109,FIXED_CHARTER_COST,HLOOKUP(F$7,FIXED_CHARTER_COST,2,0)+1,0)+VLOOKUP($A109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0.606670601682398</v>
      </c>
      <c r="G109" s="23" t="n">
        <f aca="false">(+VLOOKUP($A109,FIXED_CHARTER_COST,HLOOKUP(G$7,FIXED_CHARTER_COST,2,0)+1,0)+VLOOKUP($A109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0.737290622042941</v>
      </c>
      <c r="H109" s="23" t="n">
        <f aca="false">(+VLOOKUP($A109,FIXED_CHARTER_COST,HLOOKUP(H$7,FIXED_CHARTER_COST,2,0)+1,0)+VLOOKUP($A109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0.620987486491942</v>
      </c>
      <c r="I109" s="23" t="n">
        <f aca="false">(+VLOOKUP($A109,FIXED_CHARTER_COST,HLOOKUP(I$7,FIXED_CHARTER_COST,2,0)+1,0)+VLOOKUP($A109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0.74573474655253</v>
      </c>
    </row>
    <row r="110" customFormat="false" ht="12.75" hidden="false" customHeight="false" outlineLevel="0" collapsed="false">
      <c r="A110" s="22" t="n">
        <f aca="false">+SHIPS!B126</f>
        <v>39753</v>
      </c>
      <c r="B110" s="23" t="n">
        <f aca="false">(+VLOOKUP($A110,FIXED_CHARTER_COST,HLOOKUP(B$7,FIXED_CHARTER_COST,2,0)+1,0)+VLOOKUP($A110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1.4028424372561</v>
      </c>
      <c r="C110" s="23" t="n">
        <f aca="false">(+VLOOKUP($A110,FIXED_CHARTER_COST,HLOOKUP(C$7,FIXED_CHARTER_COST,2,0)+1,0)+VLOOKUP($A110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1.52767621608008</v>
      </c>
      <c r="D110" s="23" t="n">
        <f aca="false">(+VLOOKUP($A110,FIXED_CHARTER_COST,HLOOKUP(D$7,FIXED_CHARTER_COST,2,0)+1,0)+VLOOKUP($A110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0.330867788827064</v>
      </c>
      <c r="E110" s="23" t="n">
        <f aca="false">(+VLOOKUP($A110,FIXED_CHARTER_COST,HLOOKUP(E$7,FIXED_CHARTER_COST,2,0)+1,0)+VLOOKUP($A110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0.361142112683332</v>
      </c>
      <c r="F110" s="23" t="n">
        <f aca="false">(+VLOOKUP($A110,FIXED_CHARTER_COST,HLOOKUP(F$7,FIXED_CHARTER_COST,2,0)+1,0)+VLOOKUP($A110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0.606840085947862</v>
      </c>
      <c r="G110" s="23" t="n">
        <f aca="false">(+VLOOKUP($A110,FIXED_CHARTER_COST,HLOOKUP(G$7,FIXED_CHARTER_COST,2,0)+1,0)+VLOOKUP($A110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0.737500459704944</v>
      </c>
      <c r="H110" s="23" t="n">
        <f aca="false">(+VLOOKUP($A110,FIXED_CHARTER_COST,HLOOKUP(H$7,FIXED_CHARTER_COST,2,0)+1,0)+VLOOKUP($A110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0.621368169050896</v>
      </c>
      <c r="I110" s="23" t="n">
        <f aca="false">(+VLOOKUP($A110,FIXED_CHARTER_COST,HLOOKUP(I$7,FIXED_CHARTER_COST,2,0)+1,0)+VLOOKUP($A110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0.746201947874883</v>
      </c>
    </row>
    <row r="111" customFormat="false" ht="12.75" hidden="false" customHeight="false" outlineLevel="0" collapsed="false">
      <c r="A111" s="22" t="n">
        <f aca="false">+SHIPS!B127</f>
        <v>39783</v>
      </c>
      <c r="B111" s="23" t="n">
        <f aca="false">(+VLOOKUP($A111,FIXED_CHARTER_COST,HLOOKUP(B$7,FIXED_CHARTER_COST,2,0)+1,0)+VLOOKUP($A111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1.40367474775999</v>
      </c>
      <c r="C111" s="23" t="n">
        <f aca="false">(+VLOOKUP($A111,FIXED_CHARTER_COST,HLOOKUP(C$7,FIXED_CHARTER_COST,2,0)+1,0)+VLOOKUP($A111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1.5285952255948</v>
      </c>
      <c r="D111" s="23" t="n">
        <f aca="false">(+VLOOKUP($A111,FIXED_CHARTER_COST,HLOOKUP(D$7,FIXED_CHARTER_COST,2,0)+1,0)+VLOOKUP($A111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0.330964838745741</v>
      </c>
      <c r="E111" s="23" t="n">
        <f aca="false">(+VLOOKUP($A111,FIXED_CHARTER_COST,HLOOKUP(E$7,FIXED_CHARTER_COST,2,0)+1,0)+VLOOKUP($A111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0.361247250095232</v>
      </c>
      <c r="F111" s="23" t="n">
        <f aca="false">(+VLOOKUP($A111,FIXED_CHARTER_COST,HLOOKUP(F$7,FIXED_CHARTER_COST,2,0)+1,0)+VLOOKUP($A111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0.607009923305546</v>
      </c>
      <c r="G111" s="23" t="n">
        <f aca="false">(+VLOOKUP($A111,FIXED_CHARTER_COST,HLOOKUP(G$7,FIXED_CHARTER_COST,2,0)+1,0)+VLOOKUP($A111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0.737710734528743</v>
      </c>
      <c r="H111" s="23" t="n">
        <f aca="false">(+VLOOKUP($A111,FIXED_CHARTER_COST,HLOOKUP(H$7,FIXED_CHARTER_COST,2,0)+1,0)+VLOOKUP($A111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0.621749644698515</v>
      </c>
      <c r="I111" s="23" t="n">
        <f aca="false">(+VLOOKUP($A111,FIXED_CHARTER_COST,HLOOKUP(I$7,FIXED_CHARTER_COST,2,0)+1,0)+VLOOKUP($A111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0.746670122533324</v>
      </c>
    </row>
    <row r="112" customFormat="false" ht="12.75" hidden="false" customHeight="false" outlineLevel="0" collapsed="false">
      <c r="A112" s="24" t="n">
        <f aca="false">+SHIPS!B128</f>
        <v>39814</v>
      </c>
      <c r="B112" s="23" t="n">
        <f aca="false">(+VLOOKUP($A112,FIXED_CHARTER_COST,HLOOKUP(B$7,FIXED_CHARTER_COST,2,0)+1,0)+VLOOKUP($A112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1.4045087922441</v>
      </c>
      <c r="C112" s="23" t="n">
        <f aca="false">(+VLOOKUP($A112,FIXED_CHARTER_COST,HLOOKUP(C$7,FIXED_CHARTER_COST,2,0)+1,0)+VLOOKUP($A112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1.52951614971267</v>
      </c>
      <c r="D112" s="23" t="n">
        <f aca="false">(+VLOOKUP($A112,FIXED_CHARTER_COST,HLOOKUP(D$7,FIXED_CHARTER_COST,2,0)+1,0)+VLOOKUP($A112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0.331062090851748</v>
      </c>
      <c r="E112" s="23" t="n">
        <f aca="false">(+VLOOKUP($A112,FIXED_CHARTER_COST,HLOOKUP(E$7,FIXED_CHARTER_COST,2,0)+1,0)+VLOOKUP($A112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0.361352606543406</v>
      </c>
      <c r="F112" s="23" t="n">
        <f aca="false">(+VLOOKUP($A112,FIXED_CHARTER_COST,HLOOKUP(F$7,FIXED_CHARTER_COST,2,0)+1,0)+VLOOKUP($A112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0.607180114491058</v>
      </c>
      <c r="G112" s="23" t="n">
        <f aca="false">(+VLOOKUP($A112,FIXED_CHARTER_COST,HLOOKUP(G$7,FIXED_CHARTER_COST,2,0)+1,0)+VLOOKUP($A112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0.737921447425092</v>
      </c>
      <c r="H112" s="23" t="n">
        <f aca="false">(+VLOOKUP($A112,FIXED_CHARTER_COST,HLOOKUP(H$7,FIXED_CHARTER_COST,2,0)+1,0)+VLOOKUP($A112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0.622131915087066</v>
      </c>
      <c r="I112" s="23" t="n">
        <f aca="false">(+VLOOKUP($A112,FIXED_CHARTER_COST,HLOOKUP(I$7,FIXED_CHARTER_COST,2,0)+1,0)+VLOOKUP($A112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0.747139272555637</v>
      </c>
    </row>
    <row r="113" customFormat="false" ht="12.75" hidden="false" customHeight="false" outlineLevel="0" collapsed="false">
      <c r="A113" s="22" t="n">
        <f aca="false">+SHIPS!B129</f>
        <v>39845</v>
      </c>
      <c r="B113" s="23" t="n">
        <f aca="false">(+VLOOKUP($A113,FIXED_CHARTER_COST,HLOOKUP(B$7,FIXED_CHARTER_COST,2,0)+1,0)+VLOOKUP($A113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1.40534457432089</v>
      </c>
      <c r="C113" s="23" t="n">
        <f aca="false">(+VLOOKUP($A113,FIXED_CHARTER_COST,HLOOKUP(C$7,FIXED_CHARTER_COST,2,0)+1,0)+VLOOKUP($A113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1.53043899242246</v>
      </c>
      <c r="D113" s="23" t="n">
        <f aca="false">(+VLOOKUP($A113,FIXED_CHARTER_COST,HLOOKUP(D$7,FIXED_CHARTER_COST,2,0)+1,0)+VLOOKUP($A113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0.331159545566309</v>
      </c>
      <c r="E113" s="23" t="n">
        <f aca="false">(+VLOOKUP($A113,FIXED_CHARTER_COST,HLOOKUP(E$7,FIXED_CHARTER_COST,2,0)+1,0)+VLOOKUP($A113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0.361458182484181</v>
      </c>
      <c r="F113" s="23" t="n">
        <f aca="false">(+VLOOKUP($A113,FIXED_CHARTER_COST,HLOOKUP(F$7,FIXED_CHARTER_COST,2,0)+1,0)+VLOOKUP($A113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0.60735066024154</v>
      </c>
      <c r="G113" s="23" t="n">
        <f aca="false">(+VLOOKUP($A113,FIXED_CHARTER_COST,HLOOKUP(G$7,FIXED_CHARTER_COST,2,0)+1,0)+VLOOKUP($A113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0.738132599306641</v>
      </c>
      <c r="H113" s="23" t="n">
        <f aca="false">(+VLOOKUP($A113,FIXED_CHARTER_COST,HLOOKUP(H$7,FIXED_CHARTER_COST,2,0)+1,0)+VLOOKUP($A113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0.62251498187226</v>
      </c>
      <c r="I113" s="23" t="n">
        <f aca="false">(+VLOOKUP($A113,FIXED_CHARTER_COST,HLOOKUP(I$7,FIXED_CHARTER_COST,2,0)+1,0)+VLOOKUP($A113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0.74760939997383</v>
      </c>
    </row>
    <row r="114" customFormat="false" ht="12.75" hidden="false" customHeight="false" outlineLevel="0" collapsed="false">
      <c r="A114" s="22" t="n">
        <f aca="false">+SHIPS!B130</f>
        <v>39873</v>
      </c>
      <c r="B114" s="23" t="n">
        <f aca="false">(+VLOOKUP($A114,FIXED_CHARTER_COST,HLOOKUP(B$7,FIXED_CHARTER_COST,2,0)+1,0)+VLOOKUP($A114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1.40618209761034</v>
      </c>
      <c r="C114" s="23" t="n">
        <f aca="false">(+VLOOKUP($A114,FIXED_CHARTER_COST,HLOOKUP(C$7,FIXED_CHARTER_COST,2,0)+1,0)+VLOOKUP($A114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1.53136375772122</v>
      </c>
      <c r="D114" s="23" t="n">
        <f aca="false">(+VLOOKUP($A114,FIXED_CHARTER_COST,HLOOKUP(D$7,FIXED_CHARTER_COST,2,0)+1,0)+VLOOKUP($A114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0.331257203311526</v>
      </c>
      <c r="E114" s="23" t="n">
        <f aca="false">(+VLOOKUP($A114,FIXED_CHARTER_COST,HLOOKUP(E$7,FIXED_CHARTER_COST,2,0)+1,0)+VLOOKUP($A114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0.361563978374832</v>
      </c>
      <c r="F114" s="23" t="n">
        <f aca="false">(+VLOOKUP($A114,FIXED_CHARTER_COST,HLOOKUP(F$7,FIXED_CHARTER_COST,2,0)+1,0)+VLOOKUP($A114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0.607521561295669</v>
      </c>
      <c r="G114" s="23" t="n">
        <f aca="false">(+VLOOKUP($A114,FIXED_CHARTER_COST,HLOOKUP(G$7,FIXED_CHARTER_COST,2,0)+1,0)+VLOOKUP($A114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0.738344191087944</v>
      </c>
      <c r="H114" s="23" t="n">
        <f aca="false">(+VLOOKUP($A114,FIXED_CHARTER_COST,HLOOKUP(H$7,FIXED_CHARTER_COST,2,0)+1,0)+VLOOKUP($A114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0.622898846713257</v>
      </c>
      <c r="I114" s="23" t="n">
        <f aca="false">(+VLOOKUP($A114,FIXED_CHARTER_COST,HLOOKUP(I$7,FIXED_CHARTER_COST,2,0)+1,0)+VLOOKUP($A114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0.748080506824144</v>
      </c>
    </row>
    <row r="115" customFormat="false" ht="12.75" hidden="false" customHeight="false" outlineLevel="0" collapsed="false">
      <c r="A115" s="22" t="n">
        <f aca="false">+SHIPS!B131</f>
        <v>39904</v>
      </c>
      <c r="B115" s="23" t="n">
        <f aca="false">(+VLOOKUP($A115,FIXED_CHARTER_COST,HLOOKUP(B$7,FIXED_CHARTER_COST,2,0)+1,0)+VLOOKUP($A115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1.40702136573997</v>
      </c>
      <c r="C115" s="23" t="n">
        <f aca="false">(+VLOOKUP($A115,FIXED_CHARTER_COST,HLOOKUP(C$7,FIXED_CHARTER_COST,2,0)+1,0)+VLOOKUP($A115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1.53229044961436</v>
      </c>
      <c r="D115" s="23" t="n">
        <f aca="false">(+VLOOKUP($A115,FIXED_CHARTER_COST,HLOOKUP(D$7,FIXED_CHARTER_COST,2,0)+1,0)+VLOOKUP($A115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0.331355064510378</v>
      </c>
      <c r="E115" s="23" t="n">
        <f aca="false">(+VLOOKUP($A115,FIXED_CHARTER_COST,HLOOKUP(E$7,FIXED_CHARTER_COST,2,0)+1,0)+VLOOKUP($A115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0.361669994673589</v>
      </c>
      <c r="F115" s="23" t="n">
        <f aca="false">(+VLOOKUP($A115,FIXED_CHARTER_COST,HLOOKUP(F$7,FIXED_CHARTER_COST,2,0)+1,0)+VLOOKUP($A115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0.60769281839366</v>
      </c>
      <c r="G115" s="23" t="n">
        <f aca="false">(+VLOOKUP($A115,FIXED_CHARTER_COST,HLOOKUP(G$7,FIXED_CHARTER_COST,2,0)+1,0)+VLOOKUP($A115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0.738556223685457</v>
      </c>
      <c r="H115" s="23" t="n">
        <f aca="false">(+VLOOKUP($A115,FIXED_CHARTER_COST,HLOOKUP(H$7,FIXED_CHARTER_COST,2,0)+1,0)+VLOOKUP($A115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0.623283511272672</v>
      </c>
      <c r="I115" s="23" t="n">
        <f aca="false">(+VLOOKUP($A115,FIXED_CHARTER_COST,HLOOKUP(I$7,FIXED_CHARTER_COST,2,0)+1,0)+VLOOKUP($A115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0.748552595147062</v>
      </c>
    </row>
    <row r="116" customFormat="false" ht="12.75" hidden="false" customHeight="false" outlineLevel="0" collapsed="false">
      <c r="A116" s="22" t="n">
        <f aca="false">+SHIPS!B132</f>
        <v>39934</v>
      </c>
      <c r="B116" s="23" t="n">
        <f aca="false">(+VLOOKUP($A116,FIXED_CHARTER_COST,HLOOKUP(B$7,FIXED_CHARTER_COST,2,0)+1,0)+VLOOKUP($A116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1.40786238234487</v>
      </c>
      <c r="C116" s="23" t="n">
        <f aca="false">(+VLOOKUP($A116,FIXED_CHARTER_COST,HLOOKUP(C$7,FIXED_CHARTER_COST,2,0)+1,0)+VLOOKUP($A116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1.53321907211561</v>
      </c>
      <c r="D116" s="23" t="n">
        <f aca="false">(+VLOOKUP($A116,FIXED_CHARTER_COST,HLOOKUP(D$7,FIXED_CHARTER_COST,2,0)+1,0)+VLOOKUP($A116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0.331453129586728</v>
      </c>
      <c r="E116" s="23" t="n">
        <f aca="false">(+VLOOKUP($A116,FIXED_CHARTER_COST,HLOOKUP(E$7,FIXED_CHARTER_COST,2,0)+1,0)+VLOOKUP($A116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0.361776231839635</v>
      </c>
      <c r="F116" s="23" t="n">
        <f aca="false">(+VLOOKUP($A116,FIXED_CHARTER_COST,HLOOKUP(F$7,FIXED_CHARTER_COST,2,0)+1,0)+VLOOKUP($A116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0.607864432277273</v>
      </c>
      <c r="G116" s="23" t="n">
        <f aca="false">(+VLOOKUP($A116,FIXED_CHARTER_COST,HLOOKUP(G$7,FIXED_CHARTER_COST,2,0)+1,0)+VLOOKUP($A116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0.738768698017549</v>
      </c>
      <c r="H116" s="23" t="n">
        <f aca="false">(+VLOOKUP($A116,FIXED_CHARTER_COST,HLOOKUP(H$7,FIXED_CHARTER_COST,2,0)+1,0)+VLOOKUP($A116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0.623668977216586</v>
      </c>
      <c r="I116" s="23" t="n">
        <f aca="false">(+VLOOKUP($A116,FIXED_CHARTER_COST,HLOOKUP(I$7,FIXED_CHARTER_COST,2,0)+1,0)+VLOOKUP($A116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0.749025666987321</v>
      </c>
    </row>
    <row r="117" customFormat="false" ht="12.75" hidden="false" customHeight="false" outlineLevel="0" collapsed="false">
      <c r="A117" s="22" t="n">
        <f aca="false">+SHIPS!B133</f>
        <v>39965</v>
      </c>
      <c r="B117" s="23" t="n">
        <f aca="false">(+VLOOKUP($A117,FIXED_CHARTER_COST,HLOOKUP(B$7,FIXED_CHARTER_COST,2,0)+1,0)+VLOOKUP($A117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1.40870515106771</v>
      </c>
      <c r="C117" s="23" t="n">
        <f aca="false">(+VLOOKUP($A117,FIXED_CHARTER_COST,HLOOKUP(C$7,FIXED_CHARTER_COST,2,0)+1,0)+VLOOKUP($A117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1.53414962924707</v>
      </c>
      <c r="D117" s="23" t="n">
        <f aca="false">(+VLOOKUP($A117,FIXED_CHARTER_COST,HLOOKUP(D$7,FIXED_CHARTER_COST,2,0)+1,0)+VLOOKUP($A117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0.33155139896532</v>
      </c>
      <c r="E117" s="23" t="n">
        <f aca="false">(+VLOOKUP($A117,FIXED_CHARTER_COST,HLOOKUP(E$7,FIXED_CHARTER_COST,2,0)+1,0)+VLOOKUP($A117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0.36188269033311</v>
      </c>
      <c r="F117" s="23" t="n">
        <f aca="false">(+VLOOKUP($A117,FIXED_CHARTER_COST,HLOOKUP(F$7,FIXED_CHARTER_COST,2,0)+1,0)+VLOOKUP($A117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0.60803640368981</v>
      </c>
      <c r="G117" s="23" t="n">
        <f aca="false">(+VLOOKUP($A117,FIXED_CHARTER_COST,HLOOKUP(G$7,FIXED_CHARTER_COST,2,0)+1,0)+VLOOKUP($A117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0.738981615004499</v>
      </c>
      <c r="H117" s="23" t="n">
        <f aca="false">(+VLOOKUP($A117,FIXED_CHARTER_COST,HLOOKUP(H$7,FIXED_CHARTER_COST,2,0)+1,0)+VLOOKUP($A117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0.62405524621455</v>
      </c>
      <c r="I117" s="23" t="n">
        <f aca="false">(+VLOOKUP($A117,FIXED_CHARTER_COST,HLOOKUP(I$7,FIXED_CHARTER_COST,2,0)+1,0)+VLOOKUP($A117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0.749499724393913</v>
      </c>
    </row>
    <row r="118" customFormat="false" ht="12.75" hidden="false" customHeight="false" outlineLevel="0" collapsed="false">
      <c r="A118" s="22" t="n">
        <f aca="false">+SHIPS!B134</f>
        <v>39995</v>
      </c>
      <c r="B118" s="23" t="n">
        <f aca="false">(+VLOOKUP($A118,FIXED_CHARTER_COST,HLOOKUP(B$7,FIXED_CHARTER_COST,2,0)+1,0)+VLOOKUP($A118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1.40954967555871</v>
      </c>
      <c r="C118" s="23" t="n">
        <f aca="false">(+VLOOKUP($A118,FIXED_CHARTER_COST,HLOOKUP(C$7,FIXED_CHARTER_COST,2,0)+1,0)+VLOOKUP($A118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1.53508212503922</v>
      </c>
      <c r="D118" s="23" t="n">
        <f aca="false">(+VLOOKUP($A118,FIXED_CHARTER_COST,HLOOKUP(D$7,FIXED_CHARTER_COST,2,0)+1,0)+VLOOKUP($A118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0.331649873071785</v>
      </c>
      <c r="E118" s="23" t="n">
        <f aca="false">(+VLOOKUP($A118,FIXED_CHARTER_COST,HLOOKUP(E$7,FIXED_CHARTER_COST,2,0)+1,0)+VLOOKUP($A118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0.361989370615113</v>
      </c>
      <c r="F118" s="23" t="n">
        <f aca="false">(+VLOOKUP($A118,FIXED_CHARTER_COST,HLOOKUP(F$7,FIXED_CHARTER_COST,2,0)+1,0)+VLOOKUP($A118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0.608208733376123</v>
      </c>
      <c r="G118" s="23" t="n">
        <f aca="false">(+VLOOKUP($A118,FIXED_CHARTER_COST,HLOOKUP(G$7,FIXED_CHARTER_COST,2,0)+1,0)+VLOOKUP($A118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0.739194975568505</v>
      </c>
      <c r="H118" s="23" t="n">
        <f aca="false">(+VLOOKUP($A118,FIXED_CHARTER_COST,HLOOKUP(H$7,FIXED_CHARTER_COST,2,0)+1,0)+VLOOKUP($A118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0.624442319939593</v>
      </c>
      <c r="I118" s="23" t="n">
        <f aca="false">(+VLOOKUP($A118,FIXED_CHARTER_COST,HLOOKUP(I$7,FIXED_CHARTER_COST,2,0)+1,0)+VLOOKUP($A118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0.749974769420102</v>
      </c>
    </row>
    <row r="119" customFormat="false" ht="12.75" hidden="false" customHeight="false" outlineLevel="0" collapsed="false">
      <c r="A119" s="22" t="n">
        <f aca="false">+SHIPS!B135</f>
        <v>40026</v>
      </c>
      <c r="B119" s="23" t="n">
        <f aca="false">(+VLOOKUP($A119,FIXED_CHARTER_COST,HLOOKUP(B$7,FIXED_CHARTER_COST,2,0)+1,0)+VLOOKUP($A119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1.41039595947573</v>
      </c>
      <c r="C119" s="23" t="n">
        <f aca="false">(+VLOOKUP($A119,FIXED_CHARTER_COST,HLOOKUP(C$7,FIXED_CHARTER_COST,2,0)+1,0)+VLOOKUP($A119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1.53601656353093</v>
      </c>
      <c r="D119" s="23" t="n">
        <f aca="false">(+VLOOKUP($A119,FIXED_CHARTER_COST,HLOOKUP(D$7,FIXED_CHARTER_COST,2,0)+1,0)+VLOOKUP($A119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0.331748552332638</v>
      </c>
      <c r="E119" s="23" t="n">
        <f aca="false">(+VLOOKUP($A119,FIXED_CHARTER_COST,HLOOKUP(E$7,FIXED_CHARTER_COST,2,0)+1,0)+VLOOKUP($A119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0.362096273147704</v>
      </c>
      <c r="F119" s="23" t="n">
        <f aca="false">(+VLOOKUP($A119,FIXED_CHARTER_COST,HLOOKUP(F$7,FIXED_CHARTER_COST,2,0)+1,0)+VLOOKUP($A119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0.608381422082615</v>
      </c>
      <c r="G119" s="23" t="n">
        <f aca="false">(+VLOOKUP($A119,FIXED_CHARTER_COST,HLOOKUP(G$7,FIXED_CHARTER_COST,2,0)+1,0)+VLOOKUP($A119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0.739408780633687</v>
      </c>
      <c r="H119" s="23" t="n">
        <f aca="false">(+VLOOKUP($A119,FIXED_CHARTER_COST,HLOOKUP(H$7,FIXED_CHARTER_COST,2,0)+1,0)+VLOOKUP($A119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0.62483020006823</v>
      </c>
      <c r="I119" s="23" t="n">
        <f aca="false">(+VLOOKUP($A119,FIXED_CHARTER_COST,HLOOKUP(I$7,FIXED_CHARTER_COST,2,0)+1,0)+VLOOKUP($A119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0.750450804123429</v>
      </c>
    </row>
    <row r="120" customFormat="false" ht="12.75" hidden="false" customHeight="false" outlineLevel="0" collapsed="false">
      <c r="A120" s="22" t="n">
        <f aca="false">+SHIPS!B136</f>
        <v>40057</v>
      </c>
      <c r="B120" s="23" t="n">
        <f aca="false">(+VLOOKUP($A120,FIXED_CHARTER_COST,HLOOKUP(B$7,FIXED_CHARTER_COST,2,0)+1,0)+VLOOKUP($A120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1.41124400648425</v>
      </c>
      <c r="C120" s="23" t="n">
        <f aca="false">(+VLOOKUP($A120,FIXED_CHARTER_COST,HLOOKUP(C$7,FIXED_CHARTER_COST,2,0)+1,0)+VLOOKUP($A120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1.53695294876951</v>
      </c>
      <c r="D120" s="23" t="n">
        <f aca="false">(+VLOOKUP($A120,FIXED_CHARTER_COST,HLOOKUP(D$7,FIXED_CHARTER_COST,2,0)+1,0)+VLOOKUP($A120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0.331847437175284</v>
      </c>
      <c r="E120" s="23" t="n">
        <f aca="false">(+VLOOKUP($A120,FIXED_CHARTER_COST,HLOOKUP(E$7,FIXED_CHARTER_COST,2,0)+1,0)+VLOOKUP($A120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0.362203398393904</v>
      </c>
      <c r="F120" s="23" t="n">
        <f aca="false">(+VLOOKUP($A120,FIXED_CHARTER_COST,HLOOKUP(F$7,FIXED_CHARTER_COST,2,0)+1,0)+VLOOKUP($A120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0.608554470557246</v>
      </c>
      <c r="G120" s="23" t="n">
        <f aca="false">(+VLOOKUP($A120,FIXED_CHARTER_COST,HLOOKUP(G$7,FIXED_CHARTER_COST,2,0)+1,0)+VLOOKUP($A120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0.739623031126087</v>
      </c>
      <c r="H120" s="23" t="n">
        <f aca="false">(+VLOOKUP($A120,FIXED_CHARTER_COST,HLOOKUP(H$7,FIXED_CHARTER_COST,2,0)+1,0)+VLOOKUP($A120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0.625218888280468</v>
      </c>
      <c r="I120" s="23" t="n">
        <f aca="false">(+VLOOKUP($A120,FIXED_CHARTER_COST,HLOOKUP(I$7,FIXED_CHARTER_COST,2,0)+1,0)+VLOOKUP($A120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0.750927830565721</v>
      </c>
    </row>
    <row r="121" customFormat="false" ht="12.75" hidden="false" customHeight="false" outlineLevel="0" collapsed="false">
      <c r="A121" s="22" t="n">
        <f aca="false">+SHIPS!B137</f>
        <v>40087</v>
      </c>
      <c r="B121" s="23" t="n">
        <f aca="false">(+VLOOKUP($A121,FIXED_CHARTER_COST,HLOOKUP(B$7,FIXED_CHARTER_COST,2,0)+1,0)+VLOOKUP($A121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1.41209382025737</v>
      </c>
      <c r="C121" s="23" t="n">
        <f aca="false">(+VLOOKUP($A121,FIXED_CHARTER_COST,HLOOKUP(C$7,FIXED_CHARTER_COST,2,0)+1,0)+VLOOKUP($A121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1.53789128481066</v>
      </c>
      <c r="D121" s="23" t="n">
        <f aca="false">(+VLOOKUP($A121,FIXED_CHARTER_COST,HLOOKUP(D$7,FIXED_CHARTER_COST,2,0)+1,0)+VLOOKUP($A121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0.331946528028019</v>
      </c>
      <c r="E121" s="23" t="n">
        <f aca="false">(+VLOOKUP($A121,FIXED_CHARTER_COST,HLOOKUP(E$7,FIXED_CHARTER_COST,2,0)+1,0)+VLOOKUP($A121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0.3623107468177</v>
      </c>
      <c r="F121" s="23" t="n">
        <f aca="false">(+VLOOKUP($A121,FIXED_CHARTER_COST,HLOOKUP(F$7,FIXED_CHARTER_COST,2,0)+1,0)+VLOOKUP($A121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0.608727879549533</v>
      </c>
      <c r="G121" s="23" t="n">
        <f aca="false">(+VLOOKUP($A121,FIXED_CHARTER_COST,HLOOKUP(G$7,FIXED_CHARTER_COST,2,0)+1,0)+VLOOKUP($A121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0.73983772797368</v>
      </c>
      <c r="H121" s="23" t="n">
        <f aca="false">(+VLOOKUP($A121,FIXED_CHARTER_COST,HLOOKUP(H$7,FIXED_CHARTER_COST,2,0)+1,0)+VLOOKUP($A121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0.625608386259815</v>
      </c>
      <c r="I121" s="23" t="n">
        <f aca="false">(+VLOOKUP($A121,FIXED_CHARTER_COST,HLOOKUP(I$7,FIXED_CHARTER_COST,2,0)+1,0)+VLOOKUP($A121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0.751405850813102</v>
      </c>
    </row>
    <row r="122" customFormat="false" ht="12.75" hidden="false" customHeight="false" outlineLevel="0" collapsed="false">
      <c r="A122" s="22" t="n">
        <f aca="false">+SHIPS!B138</f>
        <v>40118</v>
      </c>
      <c r="B122" s="23" t="n">
        <f aca="false">(+VLOOKUP($A122,FIXED_CHARTER_COST,HLOOKUP(B$7,FIXED_CHARTER_COST,2,0)+1,0)+VLOOKUP($A122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1.41294540447586</v>
      </c>
      <c r="C122" s="23" t="n">
        <f aca="false">(+VLOOKUP($A122,FIXED_CHARTER_COST,HLOOKUP(C$7,FIXED_CHARTER_COST,2,0)+1,0)+VLOOKUP($A122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1.53883157571857</v>
      </c>
      <c r="D122" s="23" t="n">
        <f aca="false">(+VLOOKUP($A122,FIXED_CHARTER_COST,HLOOKUP(D$7,FIXED_CHARTER_COST,2,0)+1,0)+VLOOKUP($A122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0.332045825320031</v>
      </c>
      <c r="E122" s="23" t="n">
        <f aca="false">(+VLOOKUP($A122,FIXED_CHARTER_COST,HLOOKUP(E$7,FIXED_CHARTER_COST,2,0)+1,0)+VLOOKUP($A122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0.362418318884046</v>
      </c>
      <c r="F122" s="23" t="n">
        <f aca="false">(+VLOOKUP($A122,FIXED_CHARTER_COST,HLOOKUP(F$7,FIXED_CHARTER_COST,2,0)+1,0)+VLOOKUP($A122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0.608901649810554</v>
      </c>
      <c r="G122" s="23" t="n">
        <f aca="false">(+VLOOKUP($A122,FIXED_CHARTER_COST,HLOOKUP(G$7,FIXED_CHARTER_COST,2,0)+1,0)+VLOOKUP($A122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0.740052872106372</v>
      </c>
      <c r="H122" s="23" t="n">
        <f aca="false">(+VLOOKUP($A122,FIXED_CHARTER_COST,HLOOKUP(H$7,FIXED_CHARTER_COST,2,0)+1,0)+VLOOKUP($A122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0.625998695693286</v>
      </c>
      <c r="I122" s="23" t="n">
        <f aca="false">(+VLOOKUP($A122,FIXED_CHARTER_COST,HLOOKUP(I$7,FIXED_CHARTER_COST,2,0)+1,0)+VLOOKUP($A122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0.751884866935998</v>
      </c>
    </row>
    <row r="123" customFormat="false" ht="12.75" hidden="false" customHeight="false" outlineLevel="0" collapsed="false">
      <c r="A123" s="22" t="n">
        <f aca="false">+SHIPS!B139</f>
        <v>40148</v>
      </c>
      <c r="B123" s="23" t="n">
        <f aca="false">(+VLOOKUP($A123,FIXED_CHARTER_COST,HLOOKUP(B$7,FIXED_CHARTER_COST,2,0)+1,0)+VLOOKUP($A123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1.41379876282813</v>
      </c>
      <c r="C123" s="23" t="n">
        <f aca="false">(+VLOOKUP($A123,FIXED_CHARTER_COST,HLOOKUP(C$7,FIXED_CHARTER_COST,2,0)+1,0)+VLOOKUP($A123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1.53977382556587</v>
      </c>
      <c r="D123" s="23" t="n">
        <f aca="false">(+VLOOKUP($A123,FIXED_CHARTER_COST,HLOOKUP(D$7,FIXED_CHARTER_COST,2,0)+1,0)+VLOOKUP($A123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0.332145329481401</v>
      </c>
      <c r="E123" s="23" t="n">
        <f aca="false">(+VLOOKUP($A123,FIXED_CHARTER_COST,HLOOKUP(E$7,FIXED_CHARTER_COST,2,0)+1,0)+VLOOKUP($A123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0.362526115058864</v>
      </c>
      <c r="F123" s="23" t="n">
        <f aca="false">(+VLOOKUP($A123,FIXED_CHARTER_COST,HLOOKUP(F$7,FIXED_CHARTER_COST,2,0)+1,0)+VLOOKUP($A123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0.609075782092951</v>
      </c>
      <c r="G123" s="23" t="n">
        <f aca="false">(+VLOOKUP($A123,FIXED_CHARTER_COST,HLOOKUP(G$7,FIXED_CHARTER_COST,2,0)+1,0)+VLOOKUP($A123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0.740268464456007</v>
      </c>
      <c r="H123" s="23" t="n">
        <f aca="false">(+VLOOKUP($A123,FIXED_CHARTER_COST,HLOOKUP(H$7,FIXED_CHARTER_COST,2,0)+1,0)+VLOOKUP($A123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0.62638981827141</v>
      </c>
      <c r="I123" s="23" t="n">
        <f aca="false">(+VLOOKUP($A123,FIXED_CHARTER_COST,HLOOKUP(I$7,FIXED_CHARTER_COST,2,0)+1,0)+VLOOKUP($A123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0.752364881009149</v>
      </c>
    </row>
    <row r="124" customFormat="false" ht="12.75" hidden="false" customHeight="false" outlineLevel="0" collapsed="false">
      <c r="A124" s="24" t="n">
        <f aca="false">+SHIPS!B140</f>
        <v>40179</v>
      </c>
      <c r="B124" s="23" t="n">
        <f aca="false">(+VLOOKUP($A124,FIXED_CHARTER_COST,HLOOKUP(B$7,FIXED_CHARTER_COST,2,0)+1,0)+VLOOKUP($A124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1.4146538990103</v>
      </c>
      <c r="C124" s="23" t="n">
        <f aca="false">(+VLOOKUP($A124,FIXED_CHARTER_COST,HLOOKUP(C$7,FIXED_CHARTER_COST,2,0)+1,0)+VLOOKUP($A124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1.54071803843368</v>
      </c>
      <c r="D124" s="23" t="n">
        <f aca="false">(+VLOOKUP($A124,FIXED_CHARTER_COST,HLOOKUP(D$7,FIXED_CHARTER_COST,2,0)+1,0)+VLOOKUP($A124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0.332245040943108</v>
      </c>
      <c r="E124" s="23" t="n">
        <f aca="false">(+VLOOKUP($A124,FIXED_CHARTER_COST,HLOOKUP(E$7,FIXED_CHARTER_COST,2,0)+1,0)+VLOOKUP($A124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0.362634135809046</v>
      </c>
      <c r="F124" s="23" t="n">
        <f aca="false">(+VLOOKUP($A124,FIXED_CHARTER_COST,HLOOKUP(F$7,FIXED_CHARTER_COST,2,0)+1,0)+VLOOKUP($A124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0.609250277150937</v>
      </c>
      <c r="G124" s="23" t="n">
        <f aca="false">(+VLOOKUP($A124,FIXED_CHARTER_COST,HLOOKUP(G$7,FIXED_CHARTER_COST,2,0)+1,0)+VLOOKUP($A124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0.740484505956371</v>
      </c>
      <c r="H124" s="23" t="n">
        <f aca="false">(+VLOOKUP($A124,FIXED_CHARTER_COST,HLOOKUP(H$7,FIXED_CHARTER_COST,2,0)+1,0)+VLOOKUP($A124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0.626781755688238</v>
      </c>
      <c r="I124" s="23" t="n">
        <f aca="false">(+VLOOKUP($A124,FIXED_CHARTER_COST,HLOOKUP(I$7,FIXED_CHARTER_COST,2,0)+1,0)+VLOOKUP($A124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0.75284589511162</v>
      </c>
    </row>
    <row r="125" customFormat="false" ht="12.75" hidden="false" customHeight="false" outlineLevel="0" collapsed="false">
      <c r="A125" s="22" t="n">
        <f aca="false">+SHIPS!B141</f>
        <v>40210</v>
      </c>
      <c r="B125" s="23" t="n">
        <f aca="false">(+VLOOKUP($A125,FIXED_CHARTER_COST,HLOOKUP(B$7,FIXED_CHARTER_COST,2,0)+1,0)+VLOOKUP($A125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1.41551081672618</v>
      </c>
      <c r="C125" s="23" t="n">
        <f aca="false">(+VLOOKUP($A125,FIXED_CHARTER_COST,HLOOKUP(C$7,FIXED_CHARTER_COST,2,0)+1,0)+VLOOKUP($A125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1.54166421841163</v>
      </c>
      <c r="D125" s="23" t="n">
        <f aca="false">(+VLOOKUP($A125,FIXED_CHARTER_COST,HLOOKUP(D$7,FIXED_CHARTER_COST,2,0)+1,0)+VLOOKUP($A125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0.332344960137026</v>
      </c>
      <c r="E125" s="23" t="n">
        <f aca="false">(+VLOOKUP($A125,FIXED_CHARTER_COST,HLOOKUP(E$7,FIXED_CHARTER_COST,2,0)+1,0)+VLOOKUP($A125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0.362742381602457</v>
      </c>
      <c r="F125" s="23" t="n">
        <f aca="false">(+VLOOKUP($A125,FIXED_CHARTER_COST,HLOOKUP(F$7,FIXED_CHARTER_COST,2,0)+1,0)+VLOOKUP($A125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0.609425135740294</v>
      </c>
      <c r="G125" s="23" t="n">
        <f aca="false">(+VLOOKUP($A125,FIXED_CHARTER_COST,HLOOKUP(G$7,FIXED_CHARTER_COST,2,0)+1,0)+VLOOKUP($A125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0.740700997543194</v>
      </c>
      <c r="H125" s="23" t="n">
        <f aca="false">(+VLOOKUP($A125,FIXED_CHARTER_COST,HLOOKUP(H$7,FIXED_CHARTER_COST,2,0)+1,0)+VLOOKUP($A125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0.627174509641351</v>
      </c>
      <c r="I125" s="23" t="n">
        <f aca="false">(+VLOOKUP($A125,FIXED_CHARTER_COST,HLOOKUP(I$7,FIXED_CHARTER_COST,2,0)+1,0)+VLOOKUP($A125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0.753327911326805</v>
      </c>
    </row>
    <row r="126" customFormat="false" ht="12.75" hidden="false" customHeight="false" outlineLevel="0" collapsed="false">
      <c r="A126" s="22" t="n">
        <f aca="false">+SHIPS!B142</f>
        <v>40238</v>
      </c>
      <c r="B126" s="23" t="n">
        <f aca="false">(+VLOOKUP($A126,FIXED_CHARTER_COST,HLOOKUP(B$7,FIXED_CHARTER_COST,2,0)+1,0)+VLOOKUP($A126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1.4163695196873</v>
      </c>
      <c r="C126" s="23" t="n">
        <f aca="false">(+VLOOKUP($A126,FIXED_CHARTER_COST,HLOOKUP(C$7,FIXED_CHARTER_COST,2,0)+1,0)+VLOOKUP($A126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1.54261236959787</v>
      </c>
      <c r="D126" s="23" t="n">
        <f aca="false">(+VLOOKUP($A126,FIXED_CHARTER_COST,HLOOKUP(D$7,FIXED_CHARTER_COST,2,0)+1,0)+VLOOKUP($A126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0.332445087495931</v>
      </c>
      <c r="E126" s="23" t="n">
        <f aca="false">(+VLOOKUP($A126,FIXED_CHARTER_COST,HLOOKUP(E$7,FIXED_CHARTER_COST,2,0)+1,0)+VLOOKUP($A126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0.362850852907938</v>
      </c>
      <c r="F126" s="23" t="n">
        <f aca="false">(+VLOOKUP($A126,FIXED_CHARTER_COST,HLOOKUP(F$7,FIXED_CHARTER_COST,2,0)+1,0)+VLOOKUP($A126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0.609600358618379</v>
      </c>
      <c r="G126" s="23" t="n">
        <f aca="false">(+VLOOKUP($A126,FIXED_CHARTER_COST,HLOOKUP(G$7,FIXED_CHARTER_COST,2,0)+1,0)+VLOOKUP($A126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0.740917940154156</v>
      </c>
      <c r="H126" s="23" t="n">
        <f aca="false">(+VLOOKUP($A126,FIXED_CHARTER_COST,HLOOKUP(H$7,FIXED_CHARTER_COST,2,0)+1,0)+VLOOKUP($A126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0.627568081831867</v>
      </c>
      <c r="I126" s="23" t="n">
        <f aca="false">(+VLOOKUP($A126,FIXED_CHARTER_COST,HLOOKUP(I$7,FIXED_CHARTER_COST,2,0)+1,0)+VLOOKUP($A126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0.753810931742437</v>
      </c>
    </row>
    <row r="127" customFormat="false" ht="12.75" hidden="false" customHeight="false" outlineLevel="0" collapsed="false">
      <c r="A127" s="22" t="n">
        <f aca="false">+SHIPS!B143</f>
        <v>40269</v>
      </c>
      <c r="B127" s="23" t="n">
        <f aca="false">(+VLOOKUP($A127,FIXED_CHARTER_COST,HLOOKUP(B$7,FIXED_CHARTER_COST,2,0)+1,0)+VLOOKUP($A127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1.41723001161293</v>
      </c>
      <c r="C127" s="23" t="n">
        <f aca="false">(+VLOOKUP($A127,FIXED_CHARTER_COST,HLOOKUP(C$7,FIXED_CHARTER_COST,2,0)+1,0)+VLOOKUP($A127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1.54356249609909</v>
      </c>
      <c r="D127" s="23" t="n">
        <f aca="false">(+VLOOKUP($A127,FIXED_CHARTER_COST,HLOOKUP(D$7,FIXED_CHARTER_COST,2,0)+1,0)+VLOOKUP($A127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0.332545423453501</v>
      </c>
      <c r="E127" s="23" t="n">
        <f aca="false">(+VLOOKUP($A127,FIXED_CHARTER_COST,HLOOKUP(E$7,FIXED_CHARTER_COST,2,0)+1,0)+VLOOKUP($A127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0.362959550195305</v>
      </c>
      <c r="F127" s="23" t="n">
        <f aca="false">(+VLOOKUP($A127,FIXED_CHARTER_COST,HLOOKUP(F$7,FIXED_CHARTER_COST,2,0)+1,0)+VLOOKUP($A127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0.609775946544126</v>
      </c>
      <c r="G127" s="23" t="n">
        <f aca="false">(+VLOOKUP($A127,FIXED_CHARTER_COST,HLOOKUP(G$7,FIXED_CHARTER_COST,2,0)+1,0)+VLOOKUP($A127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0.741135334728891</v>
      </c>
      <c r="H127" s="23" t="n">
        <f aca="false">(+VLOOKUP($A127,FIXED_CHARTER_COST,HLOOKUP(H$7,FIXED_CHARTER_COST,2,0)+1,0)+VLOOKUP($A127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0.627962473964446</v>
      </c>
      <c r="I127" s="23" t="n">
        <f aca="false">(+VLOOKUP($A127,FIXED_CHARTER_COST,HLOOKUP(I$7,FIXED_CHARTER_COST,2,0)+1,0)+VLOOKUP($A127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0.754294958450603</v>
      </c>
    </row>
    <row r="128" customFormat="false" ht="12.75" hidden="false" customHeight="false" outlineLevel="0" collapsed="false">
      <c r="A128" s="22" t="n">
        <f aca="false">+SHIPS!B144</f>
        <v>40299</v>
      </c>
      <c r="B128" s="23" t="n">
        <f aca="false">(+VLOOKUP($A128,FIXED_CHARTER_COST,HLOOKUP(B$7,FIXED_CHARTER_COST,2,0)+1,0)+VLOOKUP($A128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1.41809229623007</v>
      </c>
      <c r="C128" s="23" t="n">
        <f aca="false">(+VLOOKUP($A128,FIXED_CHARTER_COST,HLOOKUP(C$7,FIXED_CHARTER_COST,2,0)+1,0)+VLOOKUP($A128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1.54451460203051</v>
      </c>
      <c r="D128" s="23" t="n">
        <f aca="false">(+VLOOKUP($A128,FIXED_CHARTER_COST,HLOOKUP(D$7,FIXED_CHARTER_COST,2,0)+1,0)+VLOOKUP($A128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0.332645968444316</v>
      </c>
      <c r="E128" s="23" t="n">
        <f aca="false">(+VLOOKUP($A128,FIXED_CHARTER_COST,HLOOKUP(E$7,FIXED_CHARTER_COST,2,0)+1,0)+VLOOKUP($A128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0.363068473935355</v>
      </c>
      <c r="F128" s="23" t="n">
        <f aca="false">(+VLOOKUP($A128,FIXED_CHARTER_COST,HLOOKUP(F$7,FIXED_CHARTER_COST,2,0)+1,0)+VLOOKUP($A128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0.609951900278052</v>
      </c>
      <c r="G128" s="23" t="n">
        <f aca="false">(+VLOOKUP($A128,FIXED_CHARTER_COST,HLOOKUP(G$7,FIXED_CHARTER_COST,2,0)+1,0)+VLOOKUP($A128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0.741353182208989</v>
      </c>
      <c r="H128" s="23" t="n">
        <f aca="false">(+VLOOKUP($A128,FIXED_CHARTER_COST,HLOOKUP(H$7,FIXED_CHARTER_COST,2,0)+1,0)+VLOOKUP($A128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0.628357687747301</v>
      </c>
      <c r="I128" s="23" t="n">
        <f aca="false">(+VLOOKUP($A128,FIXED_CHARTER_COST,HLOOKUP(I$7,FIXED_CHARTER_COST,2,0)+1,0)+VLOOKUP($A128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0.754779993547743</v>
      </c>
    </row>
    <row r="129" customFormat="false" ht="12.75" hidden="false" customHeight="false" outlineLevel="0" collapsed="false">
      <c r="A129" s="22" t="n">
        <f aca="false">+SHIPS!B145</f>
        <v>40330</v>
      </c>
      <c r="B129" s="23" t="n">
        <f aca="false">(+VLOOKUP($A129,FIXED_CHARTER_COST,HLOOKUP(B$7,FIXED_CHARTER_COST,2,0)+1,0)+VLOOKUP($A129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1.41895637727349</v>
      </c>
      <c r="C129" s="23" t="n">
        <f aca="false">(+VLOOKUP($A129,FIXED_CHARTER_COST,HLOOKUP(C$7,FIXED_CHARTER_COST,2,0)+1,0)+VLOOKUP($A129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1.54546869151596</v>
      </c>
      <c r="D129" s="23" t="n">
        <f aca="false">(+VLOOKUP($A129,FIXED_CHARTER_COST,HLOOKUP(D$7,FIXED_CHARTER_COST,2,0)+1,0)+VLOOKUP($A129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0.332746722903862</v>
      </c>
      <c r="E129" s="23" t="n">
        <f aca="false">(+VLOOKUP($A129,FIXED_CHARTER_COST,HLOOKUP(E$7,FIXED_CHARTER_COST,2,0)+1,0)+VLOOKUP($A129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0.363177624599863</v>
      </c>
      <c r="F129" s="23" t="n">
        <f aca="false">(+VLOOKUP($A129,FIXED_CHARTER_COST,HLOOKUP(F$7,FIXED_CHARTER_COST,2,0)+1,0)+VLOOKUP($A129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0.610128220582257</v>
      </c>
      <c r="G129" s="23" t="n">
        <f aca="false">(+VLOOKUP($A129,FIXED_CHARTER_COST,HLOOKUP(G$7,FIXED_CHARTER_COST,2,0)+1,0)+VLOOKUP($A129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0.741571483538005</v>
      </c>
      <c r="H129" s="23" t="n">
        <f aca="false">(+VLOOKUP($A129,FIXED_CHARTER_COST,HLOOKUP(H$7,FIXED_CHARTER_COST,2,0)+1,0)+VLOOKUP($A129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0.628753724892204</v>
      </c>
      <c r="I129" s="23" t="n">
        <f aca="false">(+VLOOKUP($A129,FIXED_CHARTER_COST,HLOOKUP(I$7,FIXED_CHARTER_COST,2,0)+1,0)+VLOOKUP($A129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0.755266039134669</v>
      </c>
    </row>
    <row r="130" customFormat="false" ht="12.75" hidden="false" customHeight="false" outlineLevel="0" collapsed="false">
      <c r="A130" s="22" t="n">
        <f aca="false">+SHIPS!B146</f>
        <v>40360</v>
      </c>
      <c r="B130" s="23" t="n">
        <f aca="false">(+VLOOKUP($A130,FIXED_CHARTER_COST,HLOOKUP(B$7,FIXED_CHARTER_COST,2,0)+1,0)+VLOOKUP($A130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1.41982225848576</v>
      </c>
      <c r="C130" s="23" t="n">
        <f aca="false">(+VLOOKUP($A130,FIXED_CHARTER_COST,HLOOKUP(C$7,FIXED_CHARTER_COST,2,0)+1,0)+VLOOKUP($A130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1.54642476868784</v>
      </c>
      <c r="D130" s="23" t="n">
        <f aca="false">(+VLOOKUP($A130,FIXED_CHARTER_COST,HLOOKUP(D$7,FIXED_CHARTER_COST,2,0)+1,0)+VLOOKUP($A130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0.332847687268532</v>
      </c>
      <c r="E130" s="23" t="n">
        <f aca="false">(+VLOOKUP($A130,FIXED_CHARTER_COST,HLOOKUP(E$7,FIXED_CHARTER_COST,2,0)+1,0)+VLOOKUP($A130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0.363287002661588</v>
      </c>
      <c r="F130" s="23" t="n">
        <f aca="false">(+VLOOKUP($A130,FIXED_CHARTER_COST,HLOOKUP(F$7,FIXED_CHARTER_COST,2,0)+1,0)+VLOOKUP($A130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0.610304908220429</v>
      </c>
      <c r="G130" s="23" t="n">
        <f aca="false">(+VLOOKUP($A130,FIXED_CHARTER_COST,HLOOKUP(G$7,FIXED_CHARTER_COST,2,0)+1,0)+VLOOKUP($A130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0.741790239661456</v>
      </c>
      <c r="H130" s="23" t="n">
        <f aca="false">(+VLOOKUP($A130,FIXED_CHARTER_COST,HLOOKUP(H$7,FIXED_CHARTER_COST,2,0)+1,0)+VLOOKUP($A130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0.629150587114492</v>
      </c>
      <c r="I130" s="23" t="n">
        <f aca="false">(+VLOOKUP($A130,FIXED_CHARTER_COST,HLOOKUP(I$7,FIXED_CHARTER_COST,2,0)+1,0)+VLOOKUP($A130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0.755753097316569</v>
      </c>
    </row>
    <row r="131" customFormat="false" ht="12.75" hidden="false" customHeight="false" outlineLevel="0" collapsed="false">
      <c r="A131" s="22" t="n">
        <f aca="false">+SHIPS!B147</f>
        <v>40391</v>
      </c>
      <c r="B131" s="23" t="n">
        <f aca="false">(+VLOOKUP($A131,FIXED_CHARTER_COST,HLOOKUP(B$7,FIXED_CHARTER_COST,2,0)+1,0)+VLOOKUP($A131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1.42068994361722</v>
      </c>
      <c r="C131" s="23" t="n">
        <f aca="false">(+VLOOKUP($A131,FIXED_CHARTER_COST,HLOOKUP(C$7,FIXED_CHARTER_COST,2,0)+1,0)+VLOOKUP($A131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1.54738283768715</v>
      </c>
      <c r="D131" s="23" t="n">
        <f aca="false">(+VLOOKUP($A131,FIXED_CHARTER_COST,HLOOKUP(D$7,FIXED_CHARTER_COST,2,0)+1,0)+VLOOKUP($A131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0.332948861975628</v>
      </c>
      <c r="E131" s="23" t="n">
        <f aca="false">(+VLOOKUP($A131,FIXED_CHARTER_COST,HLOOKUP(E$7,FIXED_CHARTER_COST,2,0)+1,0)+VLOOKUP($A131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0.363396608594276</v>
      </c>
      <c r="F131" s="23" t="n">
        <f aca="false">(+VLOOKUP($A131,FIXED_CHARTER_COST,HLOOKUP(F$7,FIXED_CHARTER_COST,2,0)+1,0)+VLOOKUP($A131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0.610481963957847</v>
      </c>
      <c r="G131" s="23" t="n">
        <f aca="false">(+VLOOKUP($A131,FIXED_CHARTER_COST,HLOOKUP(G$7,FIXED_CHARTER_COST,2,0)+1,0)+VLOOKUP($A131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0.742009451526831</v>
      </c>
      <c r="H131" s="23" t="n">
        <f aca="false">(+VLOOKUP($A131,FIXED_CHARTER_COST,HLOOKUP(H$7,FIXED_CHARTER_COST,2,0)+1,0)+VLOOKUP($A131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0.629548276133077</v>
      </c>
      <c r="I131" s="23" t="n">
        <f aca="false">(+VLOOKUP($A131,FIXED_CHARTER_COST,HLOOKUP(I$7,FIXED_CHARTER_COST,2,0)+1,0)+VLOOKUP($A131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0.756241170203013</v>
      </c>
    </row>
    <row r="132" customFormat="false" ht="12.75" hidden="false" customHeight="false" outlineLevel="0" collapsed="false">
      <c r="A132" s="22" t="n">
        <f aca="false">+SHIPS!B148</f>
        <v>40422</v>
      </c>
      <c r="B132" s="23" t="n">
        <f aca="false">(+VLOOKUP($A132,FIXED_CHARTER_COST,HLOOKUP(B$7,FIXED_CHARTER_COST,2,0)+1,0)+VLOOKUP($A132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1.42155943642603</v>
      </c>
      <c r="C132" s="23" t="n">
        <f aca="false">(+VLOOKUP($A132,FIXED_CHARTER_COST,HLOOKUP(C$7,FIXED_CHARTER_COST,2,0)+1,0)+VLOOKUP($A132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1.54834290266355</v>
      </c>
      <c r="D132" s="23" t="n">
        <f aca="false">(+VLOOKUP($A132,FIXED_CHARTER_COST,HLOOKUP(D$7,FIXED_CHARTER_COST,2,0)+1,0)+VLOOKUP($A132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0.333050247463364</v>
      </c>
      <c r="E132" s="23" t="n">
        <f aca="false">(+VLOOKUP($A132,FIXED_CHARTER_COST,HLOOKUP(E$7,FIXED_CHARTER_COST,2,0)+1,0)+VLOOKUP($A132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0.363506442872656</v>
      </c>
      <c r="F132" s="23" t="n">
        <f aca="false">(+VLOOKUP($A132,FIXED_CHARTER_COST,HLOOKUP(F$7,FIXED_CHARTER_COST,2,0)+1,0)+VLOOKUP($A132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0.610659388561385</v>
      </c>
      <c r="G132" s="23" t="n">
        <f aca="false">(+VLOOKUP($A132,FIXED_CHARTER_COST,HLOOKUP(G$7,FIXED_CHARTER_COST,2,0)+1,0)+VLOOKUP($A132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0.742229120083592</v>
      </c>
      <c r="H132" s="23" t="n">
        <f aca="false">(+VLOOKUP($A132,FIXED_CHARTER_COST,HLOOKUP(H$7,FIXED_CHARTER_COST,2,0)+1,0)+VLOOKUP($A132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0.62994679367045</v>
      </c>
      <c r="I132" s="23" t="n">
        <f aca="false">(+VLOOKUP($A132,FIXED_CHARTER_COST,HLOOKUP(I$7,FIXED_CHARTER_COST,2,0)+1,0)+VLOOKUP($A132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0.756730259907971</v>
      </c>
    </row>
    <row r="133" customFormat="false" ht="12.75" hidden="false" customHeight="false" outlineLevel="0" collapsed="false">
      <c r="A133" s="22" t="n">
        <f aca="false">+SHIPS!B149</f>
        <v>40452</v>
      </c>
      <c r="B133" s="23" t="n">
        <f aca="false">(+VLOOKUP($A133,FIXED_CHARTER_COST,HLOOKUP(B$7,FIXED_CHARTER_COST,2,0)+1,0)+VLOOKUP($A133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1.4224307406782</v>
      </c>
      <c r="C133" s="23" t="n">
        <f aca="false">(+VLOOKUP($A133,FIXED_CHARTER_COST,HLOOKUP(C$7,FIXED_CHARTER_COST,2,0)+1,0)+VLOOKUP($A133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1.54930496777532</v>
      </c>
      <c r="D133" s="23" t="n">
        <f aca="false">(+VLOOKUP($A133,FIXED_CHARTER_COST,HLOOKUP(D$7,FIXED_CHARTER_COST,2,0)+1,0)+VLOOKUP($A133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0.333151844170866</v>
      </c>
      <c r="E133" s="23" t="n">
        <f aca="false">(+VLOOKUP($A133,FIXED_CHARTER_COST,HLOOKUP(E$7,FIXED_CHARTER_COST,2,0)+1,0)+VLOOKUP($A133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0.36361650597245</v>
      </c>
      <c r="F133" s="23" t="n">
        <f aca="false">(+VLOOKUP($A133,FIXED_CHARTER_COST,HLOOKUP(F$7,FIXED_CHARTER_COST,2,0)+1,0)+VLOOKUP($A133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0.610837182799514</v>
      </c>
      <c r="G133" s="23" t="n">
        <f aca="false">(+VLOOKUP($A133,FIXED_CHARTER_COST,HLOOKUP(G$7,FIXED_CHARTER_COST,2,0)+1,0)+VLOOKUP($A133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0.74244924628318</v>
      </c>
      <c r="H133" s="23" t="n">
        <f aca="false">(+VLOOKUP($A133,FIXED_CHARTER_COST,HLOOKUP(H$7,FIXED_CHARTER_COST,2,0)+1,0)+VLOOKUP($A133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0.630346141452693</v>
      </c>
      <c r="I133" s="23" t="n">
        <f aca="false">(+VLOOKUP($A133,FIXED_CHARTER_COST,HLOOKUP(I$7,FIXED_CHARTER_COST,2,0)+1,0)+VLOOKUP($A133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0.757220368549815</v>
      </c>
    </row>
    <row r="134" customFormat="false" ht="12.75" hidden="false" customHeight="false" outlineLevel="0" collapsed="false">
      <c r="A134" s="22" t="n">
        <f aca="false">+SHIPS!B150</f>
        <v>40483</v>
      </c>
      <c r="B134" s="23" t="n">
        <f aca="false">(+VLOOKUP($A134,FIXED_CHARTER_COST,HLOOKUP(B$7,FIXED_CHARTER_COST,2,0)+1,0)+VLOOKUP($A134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1.42330386014756</v>
      </c>
      <c r="C134" s="23" t="n">
        <f aca="false">(+VLOOKUP($A134,FIXED_CHARTER_COST,HLOOKUP(C$7,FIXED_CHARTER_COST,2,0)+1,0)+VLOOKUP($A134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1.5502690371894</v>
      </c>
      <c r="D134" s="23" t="n">
        <f aca="false">(+VLOOKUP($A134,FIXED_CHARTER_COST,HLOOKUP(D$7,FIXED_CHARTER_COST,2,0)+1,0)+VLOOKUP($A134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0.333253652538175</v>
      </c>
      <c r="E134" s="23" t="n">
        <f aca="false">(+VLOOKUP($A134,FIXED_CHARTER_COST,HLOOKUP(E$7,FIXED_CHARTER_COST,2,0)+1,0)+VLOOKUP($A134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0.363726798370369</v>
      </c>
      <c r="F134" s="23" t="n">
        <f aca="false">(+VLOOKUP($A134,FIXED_CHARTER_COST,HLOOKUP(F$7,FIXED_CHARTER_COST,2,0)+1,0)+VLOOKUP($A134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0.611015347442305</v>
      </c>
      <c r="G134" s="23" t="n">
        <f aca="false">(+VLOOKUP($A134,FIXED_CHARTER_COST,HLOOKUP(G$7,FIXED_CHARTER_COST,2,0)+1,0)+VLOOKUP($A134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0.742669831079017</v>
      </c>
      <c r="H134" s="23" t="n">
        <f aca="false">(+VLOOKUP($A134,FIXED_CHARTER_COST,HLOOKUP(H$7,FIXED_CHARTER_COST,2,0)+1,0)+VLOOKUP($A134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0.630746321209482</v>
      </c>
      <c r="I134" s="23" t="n">
        <f aca="false">(+VLOOKUP($A134,FIXED_CHARTER_COST,HLOOKUP(I$7,FIXED_CHARTER_COST,2,0)+1,0)+VLOOKUP($A134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0.757711498251329</v>
      </c>
    </row>
    <row r="135" customFormat="false" ht="12.75" hidden="false" customHeight="false" outlineLevel="0" collapsed="false">
      <c r="A135" s="22" t="n">
        <f aca="false">+SHIPS!B151</f>
        <v>40513</v>
      </c>
      <c r="B135" s="23" t="n">
        <f aca="false">(+VLOOKUP($A135,FIXED_CHARTER_COST,HLOOKUP(B$7,FIXED_CHARTER_COST,2,0)+1,0)+VLOOKUP($A135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1.42417879861581</v>
      </c>
      <c r="C135" s="23" t="n">
        <f aca="false">(+VLOOKUP($A135,FIXED_CHARTER_COST,HLOOKUP(C$7,FIXED_CHARTER_COST,2,0)+1,0)+VLOOKUP($A135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1.55123511508143</v>
      </c>
      <c r="D135" s="23" t="n">
        <f aca="false">(+VLOOKUP($A135,FIXED_CHARTER_COST,HLOOKUP(D$7,FIXED_CHARTER_COST,2,0)+1,0)+VLOOKUP($A135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0.33335567300625</v>
      </c>
      <c r="E135" s="23" t="n">
        <f aca="false">(+VLOOKUP($A135,FIXED_CHARTER_COST,HLOOKUP(E$7,FIXED_CHARTER_COST,2,0)+1,0)+VLOOKUP($A135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0.363837320544116</v>
      </c>
      <c r="F135" s="23" t="n">
        <f aca="false">(+VLOOKUP($A135,FIXED_CHARTER_COST,HLOOKUP(F$7,FIXED_CHARTER_COST,2,0)+1,0)+VLOOKUP($A135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0.611193883261436</v>
      </c>
      <c r="G135" s="23" t="n">
        <f aca="false">(+VLOOKUP($A135,FIXED_CHARTER_COST,HLOOKUP(G$7,FIXED_CHARTER_COST,2,0)+1,0)+VLOOKUP($A135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0.742890875426512</v>
      </c>
      <c r="H135" s="23" t="n">
        <f aca="false">(+VLOOKUP($A135,FIXED_CHARTER_COST,HLOOKUP(H$7,FIXED_CHARTER_COST,2,0)+1,0)+VLOOKUP($A135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0.631147334674098</v>
      </c>
      <c r="I135" s="23" t="n">
        <f aca="false">(+VLOOKUP($A135,FIXED_CHARTER_COST,HLOOKUP(I$7,FIXED_CHARTER_COST,2,0)+1,0)+VLOOKUP($A135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0.758203651139721</v>
      </c>
    </row>
    <row r="136" customFormat="false" ht="12.75" hidden="false" customHeight="false" outlineLevel="0" collapsed="false">
      <c r="A136" s="22" t="n">
        <f aca="false">+SHIPS!B152</f>
        <v>40544</v>
      </c>
      <c r="B136" s="23" t="n">
        <f aca="false">(+VLOOKUP($A136,FIXED_CHARTER_COST,HLOOKUP(B$7,FIXED_CHARTER_COST,2,0)+1,0)+VLOOKUP($A136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1.42505555987254</v>
      </c>
      <c r="C136" s="23" t="n">
        <f aca="false">(+VLOOKUP($A136,FIXED_CHARTER_COST,HLOOKUP(C$7,FIXED_CHARTER_COST,2,0)+1,0)+VLOOKUP($A136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1.55220320563574</v>
      </c>
      <c r="D136" s="23" t="n">
        <f aca="false">(+VLOOKUP($A136,FIXED_CHARTER_COST,HLOOKUP(D$7,FIXED_CHARTER_COST,2,0)+1,0)+VLOOKUP($A136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0.333457906016966</v>
      </c>
      <c r="E136" s="23" t="n">
        <f aca="false">(+VLOOKUP($A136,FIXED_CHARTER_COST,HLOOKUP(E$7,FIXED_CHARTER_COST,2,0)+1,0)+VLOOKUP($A136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0.363948072972392</v>
      </c>
      <c r="F136" s="23" t="n">
        <f aca="false">(+VLOOKUP($A136,FIXED_CHARTER_COST,HLOOKUP(F$7,FIXED_CHARTER_COST,2,0)+1,0)+VLOOKUP($A136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0.611372791030189</v>
      </c>
      <c r="G136" s="23" t="n">
        <f aca="false">(+VLOOKUP($A136,FIXED_CHARTER_COST,HLOOKUP(G$7,FIXED_CHARTER_COST,2,0)+1,0)+VLOOKUP($A136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0.743112380283064</v>
      </c>
      <c r="H136" s="23" t="n">
        <f aca="false">(+VLOOKUP($A136,FIXED_CHARTER_COST,HLOOKUP(H$7,FIXED_CHARTER_COST,2,0)+1,0)+VLOOKUP($A136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0.631549183583431</v>
      </c>
      <c r="I136" s="23" t="n">
        <f aca="false">(+VLOOKUP($A136,FIXED_CHARTER_COST,HLOOKUP(I$7,FIXED_CHARTER_COST,2,0)+1,0)+VLOOKUP($A136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0.75869682934663</v>
      </c>
    </row>
    <row r="137" customFormat="false" ht="12.75" hidden="false" customHeight="false" outlineLevel="0" collapsed="false">
      <c r="A137" s="22" t="n">
        <f aca="false">+SHIPS!B153</f>
        <v>40575</v>
      </c>
      <c r="B137" s="23" t="n">
        <f aca="false">(+VLOOKUP($A137,FIXED_CHARTER_COST,HLOOKUP(B$7,FIXED_CHARTER_COST,2,0)+1,0)+VLOOKUP($A137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1.42593414771522</v>
      </c>
      <c r="C137" s="23" t="n">
        <f aca="false">(+VLOOKUP($A137,FIXED_CHARTER_COST,HLOOKUP(C$7,FIXED_CHARTER_COST,2,0)+1,0)+VLOOKUP($A137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1.55317331304536</v>
      </c>
      <c r="D137" s="23" t="n">
        <f aca="false">(+VLOOKUP($A137,FIXED_CHARTER_COST,HLOOKUP(D$7,FIXED_CHARTER_COST,2,0)+1,0)+VLOOKUP($A137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0.333560352013121</v>
      </c>
      <c r="E137" s="23" t="n">
        <f aca="false">(+VLOOKUP($A137,FIXED_CHARTER_COST,HLOOKUP(E$7,FIXED_CHARTER_COST,2,0)+1,0)+VLOOKUP($A137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0.364059056134894</v>
      </c>
      <c r="F137" s="23" t="n">
        <f aca="false">(+VLOOKUP($A137,FIXED_CHARTER_COST,HLOOKUP(F$7,FIXED_CHARTER_COST,2,0)+1,0)+VLOOKUP($A137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0.611552071523461</v>
      </c>
      <c r="G137" s="23" t="n">
        <f aca="false">(+VLOOKUP($A137,FIXED_CHARTER_COST,HLOOKUP(G$7,FIXED_CHARTER_COST,2,0)+1,0)+VLOOKUP($A137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0.743334346608068</v>
      </c>
      <c r="H137" s="23" t="n">
        <f aca="false">(+VLOOKUP($A137,FIXED_CHARTER_COST,HLOOKUP(H$7,FIXED_CHARTER_COST,2,0)+1,0)+VLOOKUP($A137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0.631951869677993</v>
      </c>
      <c r="I137" s="23" t="n">
        <f aca="false">(+VLOOKUP($A137,FIXED_CHARTER_COST,HLOOKUP(I$7,FIXED_CHARTER_COST,2,0)+1,0)+VLOOKUP($A137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0.759191035008138</v>
      </c>
    </row>
    <row r="138" customFormat="false" ht="12.75" hidden="false" customHeight="false" outlineLevel="0" collapsed="false">
      <c r="A138" s="22" t="n">
        <f aca="false">+SHIPS!B154</f>
        <v>40603</v>
      </c>
      <c r="B138" s="23" t="n">
        <f aca="false">(+VLOOKUP($A138,FIXED_CHARTER_COST,HLOOKUP(B$7,FIXED_CHARTER_COST,2,0)+1,0)+VLOOKUP($A138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1.42681456594923</v>
      </c>
      <c r="C138" s="23" t="n">
        <f aca="false">(+VLOOKUP($A138,FIXED_CHARTER_COST,HLOOKUP(C$7,FIXED_CHARTER_COST,2,0)+1,0)+VLOOKUP($A138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1.55414544151209</v>
      </c>
      <c r="D138" s="23" t="n">
        <f aca="false">(+VLOOKUP($A138,FIXED_CHARTER_COST,HLOOKUP(D$7,FIXED_CHARTER_COST,2,0)+1,0)+VLOOKUP($A138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0.333663011438435</v>
      </c>
      <c r="E138" s="23" t="n">
        <f aca="false">(+VLOOKUP($A138,FIXED_CHARTER_COST,HLOOKUP(E$7,FIXED_CHARTER_COST,2,0)+1,0)+VLOOKUP($A138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0.364170270512318</v>
      </c>
      <c r="F138" s="23" t="n">
        <f aca="false">(+VLOOKUP($A138,FIXED_CHARTER_COST,HLOOKUP(F$7,FIXED_CHARTER_COST,2,0)+1,0)+VLOOKUP($A138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0.611731725517761</v>
      </c>
      <c r="G138" s="23" t="n">
        <f aca="false">(+VLOOKUP($A138,FIXED_CHARTER_COST,HLOOKUP(G$7,FIXED_CHARTER_COST,2,0)+1,0)+VLOOKUP($A138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0.743556775362915</v>
      </c>
      <c r="H138" s="23" t="n">
        <f aca="false">(+VLOOKUP($A138,FIXED_CHARTER_COST,HLOOKUP(H$7,FIXED_CHARTER_COST,2,0)+1,0)+VLOOKUP($A138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0.632355394701918</v>
      </c>
      <c r="I138" s="23" t="n">
        <f aca="false">(+VLOOKUP($A138,FIXED_CHARTER_COST,HLOOKUP(I$7,FIXED_CHARTER_COST,2,0)+1,0)+VLOOKUP($A138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0.759686270264773</v>
      </c>
    </row>
    <row r="139" customFormat="false" ht="12.75" hidden="false" customHeight="false" outlineLevel="0" collapsed="false">
      <c r="A139" s="22" t="n">
        <f aca="false">+SHIPS!B155</f>
        <v>40634</v>
      </c>
      <c r="B139" s="23" t="n">
        <f aca="false">(+VLOOKUP($A139,FIXED_CHARTER_COST,HLOOKUP(B$7,FIXED_CHARTER_COST,2,0)+1,0)+VLOOKUP($A139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1.42769681838791</v>
      </c>
      <c r="C139" s="23" t="n">
        <f aca="false">(+VLOOKUP($A139,FIXED_CHARTER_COST,HLOOKUP(C$7,FIXED_CHARTER_COST,2,0)+1,0)+VLOOKUP($A139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1.55511959524646</v>
      </c>
      <c r="D139" s="23" t="n">
        <f aca="false">(+VLOOKUP($A139,FIXED_CHARTER_COST,HLOOKUP(D$7,FIXED_CHARTER_COST,2,0)+1,0)+VLOOKUP($A139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0.333765884737552</v>
      </c>
      <c r="E139" s="23" t="n">
        <f aca="false">(+VLOOKUP($A139,FIXED_CHARTER_COST,HLOOKUP(E$7,FIXED_CHARTER_COST,2,0)+1,0)+VLOOKUP($A139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0.364281716586361</v>
      </c>
      <c r="F139" s="23" t="n">
        <f aca="false">(+VLOOKUP($A139,FIXED_CHARTER_COST,HLOOKUP(F$7,FIXED_CHARTER_COST,2,0)+1,0)+VLOOKUP($A139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0.611911753791215</v>
      </c>
      <c r="G139" s="23" t="n">
        <f aca="false">(+VLOOKUP($A139,FIXED_CHARTER_COST,HLOOKUP(G$7,FIXED_CHARTER_COST,2,0)+1,0)+VLOOKUP($A139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0.743779667511001</v>
      </c>
      <c r="H139" s="23" t="n">
        <f aca="false">(+VLOOKUP($A139,FIXED_CHARTER_COST,HLOOKUP(H$7,FIXED_CHARTER_COST,2,0)+1,0)+VLOOKUP($A139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0.632759760402976</v>
      </c>
      <c r="I139" s="23" t="n">
        <f aca="false">(+VLOOKUP($A139,FIXED_CHARTER_COST,HLOOKUP(I$7,FIXED_CHARTER_COST,2,0)+1,0)+VLOOKUP($A139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0.760182537261527</v>
      </c>
    </row>
    <row r="140" customFormat="false" ht="12.75" hidden="false" customHeight="false" outlineLevel="0" collapsed="false">
      <c r="A140" s="22" t="n">
        <f aca="false">+SHIPS!B156</f>
        <v>40664</v>
      </c>
      <c r="B140" s="23" t="n">
        <f aca="false">(+VLOOKUP($A140,FIXED_CHARTER_COST,HLOOKUP(B$7,FIXED_CHARTER_COST,2,0)+1,0)+VLOOKUP($A140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1.42858090885249</v>
      </c>
      <c r="C140" s="23" t="n">
        <f aca="false">(+VLOOKUP($A140,FIXED_CHARTER_COST,HLOOKUP(C$7,FIXED_CHARTER_COST,2,0)+1,0)+VLOOKUP($A140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1.55609577846777</v>
      </c>
      <c r="D140" s="23" t="n">
        <f aca="false">(+VLOOKUP($A140,FIXED_CHARTER_COST,HLOOKUP(D$7,FIXED_CHARTER_COST,2,0)+1,0)+VLOOKUP($A140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0.333868972356042</v>
      </c>
      <c r="E140" s="23" t="n">
        <f aca="false">(+VLOOKUP($A140,FIXED_CHARTER_COST,HLOOKUP(E$7,FIXED_CHARTER_COST,2,0)+1,0)+VLOOKUP($A140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0.364393394839725</v>
      </c>
      <c r="F140" s="23" t="n">
        <f aca="false">(+VLOOKUP($A140,FIXED_CHARTER_COST,HLOOKUP(F$7,FIXED_CHARTER_COST,2,0)+1,0)+VLOOKUP($A140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0.612092157123573</v>
      </c>
      <c r="G140" s="23" t="n">
        <f aca="false">(+VLOOKUP($A140,FIXED_CHARTER_COST,HLOOKUP(G$7,FIXED_CHARTER_COST,2,0)+1,0)+VLOOKUP($A140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0.744003024017729</v>
      </c>
      <c r="H140" s="23" t="n">
        <f aca="false">(+VLOOKUP($A140,FIXED_CHARTER_COST,HLOOKUP(H$7,FIXED_CHARTER_COST,2,0)+1,0)+VLOOKUP($A140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0.633164968532579</v>
      </c>
      <c r="I140" s="23" t="n">
        <f aca="false">(+VLOOKUP($A140,FIXED_CHARTER_COST,HLOOKUP(I$7,FIXED_CHARTER_COST,2,0)+1,0)+VLOOKUP($A140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0.760679838147857</v>
      </c>
    </row>
    <row r="141" customFormat="false" ht="12.75" hidden="false" customHeight="false" outlineLevel="0" collapsed="false">
      <c r="A141" s="22" t="n">
        <f aca="false">+SHIPS!B157</f>
        <v>40695</v>
      </c>
      <c r="B141" s="23" t="n">
        <f aca="false">(+VLOOKUP($A141,FIXED_CHARTER_COST,HLOOKUP(B$7,FIXED_CHARTER_COST,2,0)+1,0)+VLOOKUP($A141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1.42946684117222</v>
      </c>
      <c r="C141" s="23" t="n">
        <f aca="false">(+VLOOKUP($A141,FIXED_CHARTER_COST,HLOOKUP(C$7,FIXED_CHARTER_COST,2,0)+1,0)+VLOOKUP($A141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1.55707399540413</v>
      </c>
      <c r="D141" s="23" t="n">
        <f aca="false">(+VLOOKUP($A141,FIXED_CHARTER_COST,HLOOKUP(D$7,FIXED_CHARTER_COST,2,0)+1,0)+VLOOKUP($A141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0.333972274740404</v>
      </c>
      <c r="E141" s="23" t="n">
        <f aca="false">(+VLOOKUP($A141,FIXED_CHARTER_COST,HLOOKUP(E$7,FIXED_CHARTER_COST,2,0)+1,0)+VLOOKUP($A141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0.364505305756117</v>
      </c>
      <c r="F141" s="23" t="n">
        <f aca="false">(+VLOOKUP($A141,FIXED_CHARTER_COST,HLOOKUP(F$7,FIXED_CHARTER_COST,2,0)+1,0)+VLOOKUP($A141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0.612272936296206</v>
      </c>
      <c r="G141" s="23" t="n">
        <f aca="false">(+VLOOKUP($A141,FIXED_CHARTER_COST,HLOOKUP(G$7,FIXED_CHARTER_COST,2,0)+1,0)+VLOOKUP($A141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0.744226845850513</v>
      </c>
      <c r="H141" s="23" t="n">
        <f aca="false">(+VLOOKUP($A141,FIXED_CHARTER_COST,HLOOKUP(H$7,FIXED_CHARTER_COST,2,0)+1,0)+VLOOKUP($A141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0.633571020845784</v>
      </c>
      <c r="I141" s="23" t="n">
        <f aca="false">(+VLOOKUP($A141,FIXED_CHARTER_COST,HLOOKUP(I$7,FIXED_CHARTER_COST,2,0)+1,0)+VLOOKUP($A141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0.7611781750777</v>
      </c>
    </row>
    <row r="142" customFormat="false" ht="12.75" hidden="false" customHeight="false" outlineLevel="0" collapsed="false">
      <c r="A142" s="22" t="n">
        <f aca="false">+SHIPS!B158</f>
        <v>40725</v>
      </c>
      <c r="B142" s="23" t="n">
        <f aca="false">(+VLOOKUP($A142,FIXED_CHARTER_COST,HLOOKUP(B$7,FIXED_CHARTER_COST,2,0)+1,0)+VLOOKUP($A142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1.43035461918427</v>
      </c>
      <c r="C142" s="23" t="n">
        <f aca="false">(+VLOOKUP($A142,FIXED_CHARTER_COST,HLOOKUP(C$7,FIXED_CHARTER_COST,2,0)+1,0)+VLOOKUP($A142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1.55805425029244</v>
      </c>
      <c r="D142" s="23" t="n">
        <f aca="false">(+VLOOKUP($A142,FIXED_CHARTER_COST,HLOOKUP(D$7,FIXED_CHARTER_COST,2,0)+1,0)+VLOOKUP($A142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0.334075792338066</v>
      </c>
      <c r="E142" s="23" t="n">
        <f aca="false">(+VLOOKUP($A142,FIXED_CHARTER_COST,HLOOKUP(E$7,FIXED_CHARTER_COST,2,0)+1,0)+VLOOKUP($A142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0.364617449820251</v>
      </c>
      <c r="F142" s="23" t="n">
        <f aca="false">(+VLOOKUP($A142,FIXED_CHARTER_COST,HLOOKUP(F$7,FIXED_CHARTER_COST,2,0)+1,0)+VLOOKUP($A142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0.612454092092115</v>
      </c>
      <c r="G142" s="23" t="n">
        <f aca="false">(+VLOOKUP($A142,FIXED_CHARTER_COST,HLOOKUP(G$7,FIXED_CHARTER_COST,2,0)+1,0)+VLOOKUP($A142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0.744451133978782</v>
      </c>
      <c r="H142" s="23" t="n">
        <f aca="false">(+VLOOKUP($A142,FIXED_CHARTER_COST,HLOOKUP(H$7,FIXED_CHARTER_COST,2,0)+1,0)+VLOOKUP($A142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0.633977919101309</v>
      </c>
      <c r="I142" s="23" t="n">
        <f aca="false">(+VLOOKUP($A142,FIXED_CHARTER_COST,HLOOKUP(I$7,FIXED_CHARTER_COST,2,0)+1,0)+VLOOKUP($A142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0.76167755020948</v>
      </c>
    </row>
    <row r="143" customFormat="false" ht="12.75" hidden="false" customHeight="false" outlineLevel="0" collapsed="false">
      <c r="A143" s="22" t="n">
        <f aca="false">+SHIPS!B159</f>
        <v>40756</v>
      </c>
      <c r="B143" s="23" t="n">
        <f aca="false">(+VLOOKUP($A143,FIXED_CHARTER_COST,HLOOKUP(B$7,FIXED_CHARTER_COST,2,0)+1,0)+VLOOKUP($A143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1.43124424673385</v>
      </c>
      <c r="C143" s="23" t="n">
        <f aca="false">(+VLOOKUP($A143,FIXED_CHARTER_COST,HLOOKUP(C$7,FIXED_CHARTER_COST,2,0)+1,0)+VLOOKUP($A143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1.55903654737843</v>
      </c>
      <c r="D143" s="23" t="n">
        <f aca="false">(+VLOOKUP($A143,FIXED_CHARTER_COST,HLOOKUP(D$7,FIXED_CHARTER_COST,2,0)+1,0)+VLOOKUP($A143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0.334179525597391</v>
      </c>
      <c r="E143" s="23" t="n">
        <f aca="false">(+VLOOKUP($A143,FIXED_CHARTER_COST,HLOOKUP(E$7,FIXED_CHARTER_COST,2,0)+1,0)+VLOOKUP($A143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0.364729827517853</v>
      </c>
      <c r="F143" s="23" t="n">
        <f aca="false">(+VLOOKUP($A143,FIXED_CHARTER_COST,HLOOKUP(F$7,FIXED_CHARTER_COST,2,0)+1,0)+VLOOKUP($A143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0.612635625295933</v>
      </c>
      <c r="G143" s="23" t="n">
        <f aca="false">(+VLOOKUP($A143,FIXED_CHARTER_COST,HLOOKUP(G$7,FIXED_CHARTER_COST,2,0)+1,0)+VLOOKUP($A143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0.744675889373985</v>
      </c>
      <c r="H143" s="23" t="n">
        <f aca="false">(+VLOOKUP($A143,FIXED_CHARTER_COST,HLOOKUP(H$7,FIXED_CHARTER_COST,2,0)+1,0)+VLOOKUP($A143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0.634385665061533</v>
      </c>
      <c r="I143" s="23" t="n">
        <f aca="false">(+VLOOKUP($A143,FIXED_CHARTER_COST,HLOOKUP(I$7,FIXED_CHARTER_COST,2,0)+1,0)+VLOOKUP($A143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0.762177965706119</v>
      </c>
    </row>
    <row r="144" customFormat="false" ht="12.75" hidden="false" customHeight="false" outlineLevel="0" collapsed="false">
      <c r="A144" s="22" t="n">
        <f aca="false">+SHIPS!B160</f>
        <v>40787</v>
      </c>
      <c r="B144" s="23" t="n">
        <f aca="false">(+VLOOKUP($A144,FIXED_CHARTER_COST,HLOOKUP(B$7,FIXED_CHARTER_COST,2,0)+1,0)+VLOOKUP($A144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1.43213572767416</v>
      </c>
      <c r="C144" s="23" t="n">
        <f aca="false">(+VLOOKUP($A144,FIXED_CHARTER_COST,HLOOKUP(C$7,FIXED_CHARTER_COST,2,0)+1,0)+VLOOKUP($A144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1.56002089091669</v>
      </c>
      <c r="D144" s="23" t="n">
        <f aca="false">(+VLOOKUP($A144,FIXED_CHARTER_COST,HLOOKUP(D$7,FIXED_CHARTER_COST,2,0)+1,0)+VLOOKUP($A144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0.334283474967672</v>
      </c>
      <c r="E144" s="23" t="n">
        <f aca="false">(+VLOOKUP($A144,FIXED_CHARTER_COST,HLOOKUP(E$7,FIXED_CHARTER_COST,2,0)+1,0)+VLOOKUP($A144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0.364842439335657</v>
      </c>
      <c r="F144" s="23" t="n">
        <f aca="false">(+VLOOKUP($A144,FIXED_CHARTER_COST,HLOOKUP(F$7,FIXED_CHARTER_COST,2,0)+1,0)+VLOOKUP($A144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0.612817536693925</v>
      </c>
      <c r="G144" s="23" t="n">
        <f aca="false">(+VLOOKUP($A144,FIXED_CHARTER_COST,HLOOKUP(G$7,FIXED_CHARTER_COST,2,0)+1,0)+VLOOKUP($A144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0.744901113009594</v>
      </c>
      <c r="H144" s="23" t="n">
        <f aca="false">(+VLOOKUP($A144,FIXED_CHARTER_COST,HLOOKUP(H$7,FIXED_CHARTER_COST,2,0)+1,0)+VLOOKUP($A144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0.634794260492507</v>
      </c>
      <c r="I144" s="23" t="n">
        <f aca="false">(+VLOOKUP($A144,FIXED_CHARTER_COST,HLOOKUP(I$7,FIXED_CHARTER_COST,2,0)+1,0)+VLOOKUP($A144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0.762679423735041</v>
      </c>
    </row>
    <row r="145" customFormat="false" ht="12.75" hidden="false" customHeight="false" outlineLevel="0" collapsed="false">
      <c r="A145" s="22" t="n">
        <f aca="false">+SHIPS!B161</f>
        <v>40817</v>
      </c>
      <c r="B145" s="23" t="n">
        <f aca="false">(+VLOOKUP($A145,FIXED_CHARTER_COST,HLOOKUP(B$7,FIXED_CHARTER_COST,2,0)+1,0)+VLOOKUP($A145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1.43302906586642</v>
      </c>
      <c r="C145" s="23" t="n">
        <f aca="false">(+VLOOKUP($A145,FIXED_CHARTER_COST,HLOOKUP(C$7,FIXED_CHARTER_COST,2,0)+1,0)+VLOOKUP($A145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1.56100728517065</v>
      </c>
      <c r="D145" s="23" t="n">
        <f aca="false">(+VLOOKUP($A145,FIXED_CHARTER_COST,HLOOKUP(D$7,FIXED_CHARTER_COST,2,0)+1,0)+VLOOKUP($A145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0.334387640899141</v>
      </c>
      <c r="E145" s="23" t="n">
        <f aca="false">(+VLOOKUP($A145,FIXED_CHARTER_COST,HLOOKUP(E$7,FIXED_CHARTER_COST,2,0)+1,0)+VLOOKUP($A145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0.364955285761416</v>
      </c>
      <c r="F145" s="23" t="n">
        <f aca="false">(+VLOOKUP($A145,FIXED_CHARTER_COST,HLOOKUP(F$7,FIXED_CHARTER_COST,2,0)+1,0)+VLOOKUP($A145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0.612999827073997</v>
      </c>
      <c r="G145" s="23" t="n">
        <f aca="false">(+VLOOKUP($A145,FIXED_CHARTER_COST,HLOOKUP(G$7,FIXED_CHARTER_COST,2,0)+1,0)+VLOOKUP($A145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0.745126805861111</v>
      </c>
      <c r="H145" s="23" t="n">
        <f aca="false">(+VLOOKUP($A145,FIXED_CHARTER_COST,HLOOKUP(H$7,FIXED_CHARTER_COST,2,0)+1,0)+VLOOKUP($A145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0.635203707163963</v>
      </c>
      <c r="I145" s="23" t="n">
        <f aca="false">(+VLOOKUP($A145,FIXED_CHARTER_COST,HLOOKUP(I$7,FIXED_CHARTER_COST,2,0)+1,0)+VLOOKUP($A145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0.763181926468191</v>
      </c>
    </row>
    <row r="146" customFormat="false" ht="12.75" hidden="false" customHeight="false" outlineLevel="0" collapsed="false">
      <c r="A146" s="22" t="n">
        <f aca="false">+SHIPS!B162</f>
        <v>40848</v>
      </c>
      <c r="B146" s="23" t="n">
        <f aca="false">(+VLOOKUP($A146,FIXED_CHARTER_COST,HLOOKUP(B$7,FIXED_CHARTER_COST,2,0)+1,0)+VLOOKUP($A146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1.43392426517992</v>
      </c>
      <c r="C146" s="23" t="n">
        <f aca="false">(+VLOOKUP($A146,FIXED_CHARTER_COST,HLOOKUP(C$7,FIXED_CHARTER_COST,2,0)+1,0)+VLOOKUP($A146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1.56199573441264</v>
      </c>
      <c r="D146" s="23" t="n">
        <f aca="false">(+VLOOKUP($A146,FIXED_CHARTER_COST,HLOOKUP(D$7,FIXED_CHARTER_COST,2,0)+1,0)+VLOOKUP($A146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0.334492023842968</v>
      </c>
      <c r="E146" s="23" t="n">
        <f aca="false">(+VLOOKUP($A146,FIXED_CHARTER_COST,HLOOKUP(E$7,FIXED_CHARTER_COST,2,0)+1,0)+VLOOKUP($A146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0.365068367283895</v>
      </c>
      <c r="F146" s="23" t="n">
        <f aca="false">(+VLOOKUP($A146,FIXED_CHARTER_COST,HLOOKUP(F$7,FIXED_CHARTER_COST,2,0)+1,0)+VLOOKUP($A146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0.613182497225693</v>
      </c>
      <c r="G146" s="23" t="n">
        <f aca="false">(+VLOOKUP($A146,FIXED_CHARTER_COST,HLOOKUP(G$7,FIXED_CHARTER_COST,2,0)+1,0)+VLOOKUP($A146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0.745352968906069</v>
      </c>
      <c r="H146" s="23" t="n">
        <f aca="false">(+VLOOKUP($A146,FIXED_CHARTER_COST,HLOOKUP(H$7,FIXED_CHARTER_COST,2,0)+1,0)+VLOOKUP($A146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0.635614006849317</v>
      </c>
      <c r="I146" s="23" t="n">
        <f aca="false">(+VLOOKUP($A146,FIXED_CHARTER_COST,HLOOKUP(I$7,FIXED_CHARTER_COST,2,0)+1,0)+VLOOKUP($A146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0.763685476082035</v>
      </c>
    </row>
    <row r="147" customFormat="false" ht="12.75" hidden="false" customHeight="false" outlineLevel="0" collapsed="false">
      <c r="A147" s="22" t="n">
        <f aca="false">+SHIPS!B163</f>
        <v>40878</v>
      </c>
      <c r="B147" s="23" t="n">
        <f aca="false">(+VLOOKUP($A147,FIXED_CHARTER_COST,HLOOKUP(B$7,FIXED_CHARTER_COST,2,0)+1,0)+VLOOKUP($A147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1.43482132949199</v>
      </c>
      <c r="C147" s="23" t="n">
        <f aca="false">(+VLOOKUP($A147,FIXED_CHARTER_COST,HLOOKUP(C$7,FIXED_CHARTER_COST,2,0)+1,0)+VLOOKUP($A147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1.56298624292389</v>
      </c>
      <c r="D147" s="23" t="n">
        <f aca="false">(+VLOOKUP($A147,FIXED_CHARTER_COST,HLOOKUP(D$7,FIXED_CHARTER_COST,2,0)+1,0)+VLOOKUP($A147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0.334596624251261</v>
      </c>
      <c r="E147" s="23" t="n">
        <f aca="false">(+VLOOKUP($A147,FIXED_CHARTER_COST,HLOOKUP(E$7,FIXED_CHARTER_COST,2,0)+1,0)+VLOOKUP($A147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0.365181684392879</v>
      </c>
      <c r="F147" s="23" t="n">
        <f aca="false">(+VLOOKUP($A147,FIXED_CHARTER_COST,HLOOKUP(F$7,FIXED_CHARTER_COST,2,0)+1,0)+VLOOKUP($A147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0.613365547940206</v>
      </c>
      <c r="G147" s="23" t="n">
        <f aca="false">(+VLOOKUP($A147,FIXED_CHARTER_COST,HLOOKUP(G$7,FIXED_CHARTER_COST,2,0)+1,0)+VLOOKUP($A147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0.745579603124037</v>
      </c>
      <c r="H147" s="23" t="n">
        <f aca="false">(+VLOOKUP($A147,FIXED_CHARTER_COST,HLOOKUP(H$7,FIXED_CHARTER_COST,2,0)+1,0)+VLOOKUP($A147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0.636025161325682</v>
      </c>
      <c r="I147" s="23" t="n">
        <f aca="false">(+VLOOKUP($A147,FIXED_CHARTER_COST,HLOOKUP(I$7,FIXED_CHARTER_COST,2,0)+1,0)+VLOOKUP($A147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0.764190074757575</v>
      </c>
    </row>
    <row r="148" customFormat="false" ht="12.75" hidden="false" customHeight="false" outlineLevel="0" collapsed="false">
      <c r="A148" s="22" t="n">
        <f aca="false">+SHIPS!B164</f>
        <v>40909</v>
      </c>
      <c r="B148" s="23" t="n">
        <f aca="false">(+VLOOKUP($A148,FIXED_CHARTER_COST,HLOOKUP(B$7,FIXED_CHARTER_COST,2,0)+1,0)+VLOOKUP($A148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1.43572026268805</v>
      </c>
      <c r="C148" s="23" t="n">
        <f aca="false">(+VLOOKUP($A148,FIXED_CHARTER_COST,HLOOKUP(C$7,FIXED_CHARTER_COST,2,0)+1,0)+VLOOKUP($A148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1.56397881499453</v>
      </c>
      <c r="D148" s="23" t="n">
        <f aca="false">(+VLOOKUP($A148,FIXED_CHARTER_COST,HLOOKUP(D$7,FIXED_CHARTER_COST,2,0)+1,0)+VLOOKUP($A148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0.334701442577071</v>
      </c>
      <c r="E148" s="23" t="n">
        <f aca="false">(+VLOOKUP($A148,FIXED_CHARTER_COST,HLOOKUP(E$7,FIXED_CHARTER_COST,2,0)+1,0)+VLOOKUP($A148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0.365295237579173</v>
      </c>
      <c r="F148" s="23" t="n">
        <f aca="false">(+VLOOKUP($A148,FIXED_CHARTER_COST,HLOOKUP(F$7,FIXED_CHARTER_COST,2,0)+1,0)+VLOOKUP($A148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0.613548980010374</v>
      </c>
      <c r="G148" s="23" t="n">
        <f aca="false">(+VLOOKUP($A148,FIXED_CHARTER_COST,HLOOKUP(G$7,FIXED_CHARTER_COST,2,0)+1,0)+VLOOKUP($A148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0.745806709496625</v>
      </c>
      <c r="H148" s="23" t="n">
        <f aca="false">(+VLOOKUP($A148,FIXED_CHARTER_COST,HLOOKUP(H$7,FIXED_CHARTER_COST,2,0)+1,0)+VLOOKUP($A148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0.636437172373873</v>
      </c>
      <c r="I148" s="23" t="n">
        <f aca="false">(+VLOOKUP($A148,FIXED_CHARTER_COST,HLOOKUP(I$7,FIXED_CHARTER_COST,2,0)+1,0)+VLOOKUP($A148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0.764695724680355</v>
      </c>
    </row>
    <row r="149" customFormat="false" ht="12.75" hidden="false" customHeight="false" outlineLevel="0" collapsed="false">
      <c r="A149" s="22" t="n">
        <f aca="false">+SHIPS!B165</f>
        <v>40940</v>
      </c>
      <c r="B149" s="23" t="n">
        <f aca="false">(+VLOOKUP($A149,FIXED_CHARTER_COST,HLOOKUP(B$7,FIXED_CHARTER_COST,2,0)+1,0)+VLOOKUP($A149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1.43662106866159</v>
      </c>
      <c r="C149" s="23" t="n">
        <f aca="false">(+VLOOKUP($A149,FIXED_CHARTER_COST,HLOOKUP(C$7,FIXED_CHARTER_COST,2,0)+1,0)+VLOOKUP($A149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1.56497345492365</v>
      </c>
      <c r="D149" s="23" t="n">
        <f aca="false">(+VLOOKUP($A149,FIXED_CHARTER_COST,HLOOKUP(D$7,FIXED_CHARTER_COST,2,0)+1,0)+VLOOKUP($A149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0.334806479274393</v>
      </c>
      <c r="E149" s="23" t="n">
        <f aca="false">(+VLOOKUP($A149,FIXED_CHARTER_COST,HLOOKUP(E$7,FIXED_CHARTER_COST,2,0)+1,0)+VLOOKUP($A149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0.365409027334605</v>
      </c>
      <c r="F149" s="23" t="n">
        <f aca="false">(+VLOOKUP($A149,FIXED_CHARTER_COST,HLOOKUP(F$7,FIXED_CHARTER_COST,2,0)+1,0)+VLOOKUP($A149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0.613732794230687</v>
      </c>
      <c r="G149" s="23" t="n">
        <f aca="false">(+VLOOKUP($A149,FIXED_CHARTER_COST,HLOOKUP(G$7,FIXED_CHARTER_COST,2,0)+1,0)+VLOOKUP($A149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0.74603428900749</v>
      </c>
      <c r="H149" s="23" t="n">
        <f aca="false">(+VLOOKUP($A149,FIXED_CHARTER_COST,HLOOKUP(H$7,FIXED_CHARTER_COST,2,0)+1,0)+VLOOKUP($A149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0.636850041778415</v>
      </c>
      <c r="I149" s="23" t="n">
        <f aca="false">(+VLOOKUP($A149,FIXED_CHARTER_COST,HLOOKUP(I$7,FIXED_CHARTER_COST,2,0)+1,0)+VLOOKUP($A149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0.765202428040474</v>
      </c>
    </row>
    <row r="150" customFormat="false" ht="12.75" hidden="false" customHeight="false" outlineLevel="0" collapsed="false">
      <c r="A150" s="22" t="n">
        <f aca="false">+SHIPS!B166</f>
        <v>40969</v>
      </c>
      <c r="B150" s="23" t="n">
        <f aca="false">(+VLOOKUP($A150,FIXED_CHARTER_COST,HLOOKUP(B$7,FIXED_CHARTER_COST,2,0)+1,0)+VLOOKUP($A150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1.43752375131425</v>
      </c>
      <c r="C150" s="23" t="n">
        <f aca="false">(+VLOOKUP($A150,FIXED_CHARTER_COST,HLOOKUP(C$7,FIXED_CHARTER_COST,2,0)+1,0)+VLOOKUP($A150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1.56597016701929</v>
      </c>
      <c r="D150" s="23" t="n">
        <f aca="false">(+VLOOKUP($A150,FIXED_CHARTER_COST,HLOOKUP(D$7,FIXED_CHARTER_COST,2,0)+1,0)+VLOOKUP($A150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0.334911734798168</v>
      </c>
      <c r="E150" s="23" t="n">
        <f aca="false">(+VLOOKUP($A150,FIXED_CHARTER_COST,HLOOKUP(E$7,FIXED_CHARTER_COST,2,0)+1,0)+VLOOKUP($A150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0.365523054152028</v>
      </c>
      <c r="F150" s="23" t="n">
        <f aca="false">(+VLOOKUP($A150,FIXED_CHARTER_COST,HLOOKUP(F$7,FIXED_CHARTER_COST,2,0)+1,0)+VLOOKUP($A150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0.613916991397294</v>
      </c>
      <c r="G150" s="23" t="n">
        <f aca="false">(+VLOOKUP($A150,FIXED_CHARTER_COST,HLOOKUP(G$7,FIXED_CHARTER_COST,2,0)+1,0)+VLOOKUP($A150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0.746262342642336</v>
      </c>
      <c r="H150" s="23" t="n">
        <f aca="false">(+VLOOKUP($A150,FIXED_CHARTER_COST,HLOOKUP(H$7,FIXED_CHARTER_COST,2,0)+1,0)+VLOOKUP($A150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0.637263771327549</v>
      </c>
      <c r="I150" s="23" t="n">
        <f aca="false">(+VLOOKUP($A150,FIXED_CHARTER_COST,HLOOKUP(I$7,FIXED_CHARTER_COST,2,0)+1,0)+VLOOKUP($A150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0.765710187032593</v>
      </c>
    </row>
    <row r="151" customFormat="false" ht="12.75" hidden="false" customHeight="false" outlineLevel="0" collapsed="false">
      <c r="A151" s="22" t="n">
        <f aca="false">+SHIPS!B167</f>
        <v>41000</v>
      </c>
      <c r="B151" s="23" t="n">
        <f aca="false">(+VLOOKUP($A151,FIXED_CHARTER_COST,HLOOKUP(B$7,FIXED_CHARTER_COST,2,0)+1,0)+VLOOKUP($A151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1.43842831455577</v>
      </c>
      <c r="C151" s="23" t="n">
        <f aca="false">(+VLOOKUP($A151,FIXED_CHARTER_COST,HLOOKUP(C$7,FIXED_CHARTER_COST,2,0)+1,0)+VLOOKUP($A151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1.56696895559847</v>
      </c>
      <c r="D151" s="23" t="n">
        <f aca="false">(+VLOOKUP($A151,FIXED_CHARTER_COST,HLOOKUP(D$7,FIXED_CHARTER_COST,2,0)+1,0)+VLOOKUP($A151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0.335017209604285</v>
      </c>
      <c r="E151" s="23" t="n">
        <f aca="false">(+VLOOKUP($A151,FIXED_CHARTER_COST,HLOOKUP(E$7,FIXED_CHARTER_COST,2,0)+1,0)+VLOOKUP($A151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0.365637318525321</v>
      </c>
      <c r="F151" s="23" t="n">
        <f aca="false">(+VLOOKUP($A151,FIXED_CHARTER_COST,HLOOKUP(F$7,FIXED_CHARTER_COST,2,0)+1,0)+VLOOKUP($A151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0.614101572307997</v>
      </c>
      <c r="G151" s="23" t="n">
        <f aca="false">(+VLOOKUP($A151,FIXED_CHARTER_COST,HLOOKUP(G$7,FIXED_CHARTER_COST,2,0)+1,0)+VLOOKUP($A151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0.746490871388922</v>
      </c>
      <c r="H151" s="23" t="n">
        <f aca="false">(+VLOOKUP($A151,FIXED_CHARTER_COST,HLOOKUP(H$7,FIXED_CHARTER_COST,2,0)+1,0)+VLOOKUP($A151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0.637678362813245</v>
      </c>
      <c r="I151" s="23" t="n">
        <f aca="false">(+VLOOKUP($A151,FIXED_CHARTER_COST,HLOOKUP(I$7,FIXED_CHARTER_COST,2,0)+1,0)+VLOOKUP($A151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0.766219003855946</v>
      </c>
    </row>
    <row r="152" customFormat="false" ht="12.75" hidden="false" customHeight="false" outlineLevel="0" collapsed="false">
      <c r="A152" s="22" t="n">
        <f aca="false">+SHIPS!B168</f>
        <v>41030</v>
      </c>
      <c r="B152" s="23" t="n">
        <f aca="false">(+VLOOKUP($A152,FIXED_CHARTER_COST,HLOOKUP(B$7,FIXED_CHARTER_COST,2,0)+1,0)+VLOOKUP($A152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1.43933476230403</v>
      </c>
      <c r="C152" s="23" t="n">
        <f aca="false">(+VLOOKUP($A152,FIXED_CHARTER_COST,HLOOKUP(C$7,FIXED_CHARTER_COST,2,0)+1,0)+VLOOKUP($A152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1.56796982498718</v>
      </c>
      <c r="D152" s="23" t="n">
        <f aca="false">(+VLOOKUP($A152,FIXED_CHARTER_COST,HLOOKUP(D$7,FIXED_CHARTER_COST,2,0)+1,0)+VLOOKUP($A152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0.33512290414958</v>
      </c>
      <c r="E152" s="23" t="n">
        <f aca="false">(+VLOOKUP($A152,FIXED_CHARTER_COST,HLOOKUP(E$7,FIXED_CHARTER_COST,2,0)+1,0)+VLOOKUP($A152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0.365751820949391</v>
      </c>
      <c r="F152" s="23" t="n">
        <f aca="false">(+VLOOKUP($A152,FIXED_CHARTER_COST,HLOOKUP(F$7,FIXED_CHARTER_COST,2,0)+1,0)+VLOOKUP($A152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0.614286537762265</v>
      </c>
      <c r="G152" s="23" t="n">
        <f aca="false">(+VLOOKUP($A152,FIXED_CHARTER_COST,HLOOKUP(G$7,FIXED_CHARTER_COST,2,0)+1,0)+VLOOKUP($A152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0.746719876237062</v>
      </c>
      <c r="H152" s="23" t="n">
        <f aca="false">(+VLOOKUP($A152,FIXED_CHARTER_COST,HLOOKUP(H$7,FIXED_CHARTER_COST,2,0)+1,0)+VLOOKUP($A152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0.638093818031202</v>
      </c>
      <c r="I152" s="23" t="n">
        <f aca="false">(+VLOOKUP($A152,FIXED_CHARTER_COST,HLOOKUP(I$7,FIXED_CHARTER_COST,2,0)+1,0)+VLOOKUP($A152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0.766728880714348</v>
      </c>
    </row>
    <row r="153" customFormat="false" ht="12.75" hidden="false" customHeight="false" outlineLevel="0" collapsed="false">
      <c r="A153" s="22" t="n">
        <f aca="false">+SHIPS!B169</f>
        <v>41061</v>
      </c>
      <c r="B153" s="23" t="n">
        <f aca="false">(+VLOOKUP($A153,FIXED_CHARTER_COST,HLOOKUP(B$7,FIXED_CHARTER_COST,2,0)+1,0)+VLOOKUP($A153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1.44024309848511</v>
      </c>
      <c r="C153" s="23" t="n">
        <f aca="false">(+VLOOKUP($A153,FIXED_CHARTER_COST,HLOOKUP(C$7,FIXED_CHARTER_COST,2,0)+1,0)+VLOOKUP($A153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1.56897277952046</v>
      </c>
      <c r="D153" s="23" t="n">
        <f aca="false">(+VLOOKUP($A153,FIXED_CHARTER_COST,HLOOKUP(D$7,FIXED_CHARTER_COST,2,0)+1,0)+VLOOKUP($A153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0.335228818891845</v>
      </c>
      <c r="E153" s="23" t="n">
        <f aca="false">(+VLOOKUP($A153,FIXED_CHARTER_COST,HLOOKUP(E$7,FIXED_CHARTER_COST,2,0)+1,0)+VLOOKUP($A153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0.365866561920178</v>
      </c>
      <c r="F153" s="23" t="n">
        <f aca="false">(+VLOOKUP($A153,FIXED_CHARTER_COST,HLOOKUP(F$7,FIXED_CHARTER_COST,2,0)+1,0)+VLOOKUP($A153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0.614471888561228</v>
      </c>
      <c r="G153" s="23" t="n">
        <f aca="false">(+VLOOKUP($A153,FIXED_CHARTER_COST,HLOOKUP(G$7,FIXED_CHARTER_COST,2,0)+1,0)+VLOOKUP($A153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0.746949358178636</v>
      </c>
      <c r="H153" s="23" t="n">
        <f aca="false">(+VLOOKUP($A153,FIXED_CHARTER_COST,HLOOKUP(H$7,FIXED_CHARTER_COST,2,0)+1,0)+VLOOKUP($A153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0.638510138780863</v>
      </c>
      <c r="I153" s="23" t="n">
        <f aca="false">(+VLOOKUP($A153,FIXED_CHARTER_COST,HLOOKUP(I$7,FIXED_CHARTER_COST,2,0)+1,0)+VLOOKUP($A153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0.767239819816205</v>
      </c>
    </row>
    <row r="154" customFormat="false" ht="12.75" hidden="false" customHeight="false" outlineLevel="0" collapsed="false">
      <c r="A154" s="22" t="n">
        <f aca="false">+SHIPS!B170</f>
        <v>41091</v>
      </c>
      <c r="B154" s="23" t="n">
        <f aca="false">(+VLOOKUP($A154,FIXED_CHARTER_COST,HLOOKUP(B$7,FIXED_CHARTER_COST,2,0)+1,0)+VLOOKUP($A154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1.44115332703324</v>
      </c>
      <c r="C154" s="23" t="n">
        <f aca="false">(+VLOOKUP($A154,FIXED_CHARTER_COST,HLOOKUP(C$7,FIXED_CHARTER_COST,2,0)+1,0)+VLOOKUP($A154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1.56997782354234</v>
      </c>
      <c r="D154" s="23" t="n">
        <f aca="false">(+VLOOKUP($A154,FIXED_CHARTER_COST,HLOOKUP(D$7,FIXED_CHARTER_COST,2,0)+1,0)+VLOOKUP($A154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0.335334954289823</v>
      </c>
      <c r="E154" s="23" t="n">
        <f aca="false">(+VLOOKUP($A154,FIXED_CHARTER_COST,HLOOKUP(E$7,FIXED_CHARTER_COST,2,0)+1,0)+VLOOKUP($A154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0.365981541934655</v>
      </c>
      <c r="F154" s="23" t="n">
        <f aca="false">(+VLOOKUP($A154,FIXED_CHARTER_COST,HLOOKUP(F$7,FIXED_CHARTER_COST,2,0)+1,0)+VLOOKUP($A154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0.61465762550769</v>
      </c>
      <c r="G154" s="23" t="n">
        <f aca="false">(+VLOOKUP($A154,FIXED_CHARTER_COST,HLOOKUP(G$7,FIXED_CHARTER_COST,2,0)+1,0)+VLOOKUP($A154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0.747179318207589</v>
      </c>
      <c r="H154" s="23" t="n">
        <f aca="false">(+VLOOKUP($A154,FIXED_CHARTER_COST,HLOOKUP(H$7,FIXED_CHARTER_COST,2,0)+1,0)+VLOOKUP($A154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0.638927326865419</v>
      </c>
      <c r="I154" s="23" t="n">
        <f aca="false">(+VLOOKUP($A154,FIXED_CHARTER_COST,HLOOKUP(I$7,FIXED_CHARTER_COST,2,0)+1,0)+VLOOKUP($A154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0.767751823374524</v>
      </c>
    </row>
    <row r="155" customFormat="false" ht="12.75" hidden="false" customHeight="false" outlineLevel="0" collapsed="false">
      <c r="A155" s="22" t="n">
        <f aca="false">+SHIPS!B171</f>
        <v>41122</v>
      </c>
      <c r="B155" s="23" t="n">
        <f aca="false">(+VLOOKUP($A155,FIXED_CHARTER_COST,HLOOKUP(B$7,FIXED_CHARTER_COST,2,0)+1,0)+VLOOKUP($A155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1.44206545189083</v>
      </c>
      <c r="C155" s="23" t="n">
        <f aca="false">(+VLOOKUP($A155,FIXED_CHARTER_COST,HLOOKUP(C$7,FIXED_CHARTER_COST,2,0)+1,0)+VLOOKUP($A155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1.57098496140594</v>
      </c>
      <c r="D155" s="23" t="n">
        <f aca="false">(+VLOOKUP($A155,FIXED_CHARTER_COST,HLOOKUP(D$7,FIXED_CHARTER_COST,2,0)+1,0)+VLOOKUP($A155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0.335441310803214</v>
      </c>
      <c r="E155" s="23" t="n">
        <f aca="false">(+VLOOKUP($A155,FIXED_CHARTER_COST,HLOOKUP(E$7,FIXED_CHARTER_COST,2,0)+1,0)+VLOOKUP($A155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0.366096761490828</v>
      </c>
      <c r="F155" s="23" t="n">
        <f aca="false">(+VLOOKUP($A155,FIXED_CHARTER_COST,HLOOKUP(F$7,FIXED_CHARTER_COST,2,0)+1,0)+VLOOKUP($A155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0.614843749406123</v>
      </c>
      <c r="G155" s="23" t="n">
        <f aca="false">(+VLOOKUP($A155,FIXED_CHARTER_COST,HLOOKUP(G$7,FIXED_CHARTER_COST,2,0)+1,0)+VLOOKUP($A155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0.747409757319935</v>
      </c>
      <c r="H155" s="23" t="n">
        <f aca="false">(+VLOOKUP($A155,FIXED_CHARTER_COST,HLOOKUP(H$7,FIXED_CHARTER_COST,2,0)+1,0)+VLOOKUP($A155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0.639345384091818</v>
      </c>
      <c r="I155" s="23" t="n">
        <f aca="false">(+VLOOKUP($A155,FIXED_CHARTER_COST,HLOOKUP(I$7,FIXED_CHARTER_COST,2,0)+1,0)+VLOOKUP($A155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0.768264893606923</v>
      </c>
    </row>
    <row r="156" customFormat="false" ht="12.75" hidden="false" customHeight="false" outlineLevel="0" collapsed="false">
      <c r="A156" s="22" t="n">
        <f aca="false">+SHIPS!B172</f>
        <v>41153</v>
      </c>
      <c r="B156" s="23" t="n">
        <f aca="false">(+VLOOKUP($A156,FIXED_CHARTER_COST,HLOOKUP(B$7,FIXED_CHARTER_COST,2,0)+1,0)+VLOOKUP($A156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1.44297947700855</v>
      </c>
      <c r="C156" s="23" t="n">
        <f aca="false">(+VLOOKUP($A156,FIXED_CHARTER_COST,HLOOKUP(C$7,FIXED_CHARTER_COST,2,0)+1,0)+VLOOKUP($A156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1.57199419747342</v>
      </c>
      <c r="D156" s="23" t="n">
        <f aca="false">(+VLOOKUP($A156,FIXED_CHARTER_COST,HLOOKUP(D$7,FIXED_CHARTER_COST,2,0)+1,0)+VLOOKUP($A156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0.335547888892674</v>
      </c>
      <c r="E156" s="23" t="n">
        <f aca="false">(+VLOOKUP($A156,FIXED_CHARTER_COST,HLOOKUP(E$7,FIXED_CHARTER_COST,2,0)+1,0)+VLOOKUP($A156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0.366212221087743</v>
      </c>
      <c r="F156" s="23" t="n">
        <f aca="false">(+VLOOKUP($A156,FIXED_CHARTER_COST,HLOOKUP(F$7,FIXED_CHARTER_COST,2,0)+1,0)+VLOOKUP($A156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0.615030261062678</v>
      </c>
      <c r="G156" s="23" t="n">
        <f aca="false">(+VLOOKUP($A156,FIXED_CHARTER_COST,HLOOKUP(G$7,FIXED_CHARTER_COST,2,0)+1,0)+VLOOKUP($A156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0.747640676513765</v>
      </c>
      <c r="H156" s="23" t="n">
        <f aca="false">(+VLOOKUP($A156,FIXED_CHARTER_COST,HLOOKUP(H$7,FIXED_CHARTER_COST,2,0)+1,0)+VLOOKUP($A156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0.639764312270772</v>
      </c>
      <c r="I156" s="23" t="n">
        <f aca="false">(+VLOOKUP($A156,FIXED_CHARTER_COST,HLOOKUP(I$7,FIXED_CHARTER_COST,2,0)+1,0)+VLOOKUP($A156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0.768779032735639</v>
      </c>
    </row>
    <row r="157" customFormat="false" ht="12.75" hidden="false" customHeight="false" outlineLevel="0" collapsed="false">
      <c r="A157" s="22" t="n">
        <f aca="false">+SHIPS!B173</f>
        <v>41183</v>
      </c>
      <c r="B157" s="23" t="n">
        <f aca="false">(+VLOOKUP($A157,FIXED_CHARTER_COST,HLOOKUP(B$7,FIXED_CHARTER_COST,2,0)+1,0)+VLOOKUP($A157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1.44389540634526</v>
      </c>
      <c r="C157" s="23" t="n">
        <f aca="false">(+VLOOKUP($A157,FIXED_CHARTER_COST,HLOOKUP(C$7,FIXED_CHARTER_COST,2,0)+1,0)+VLOOKUP($A157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1.57300553611604</v>
      </c>
      <c r="D157" s="23" t="n">
        <f aca="false">(+VLOOKUP($A157,FIXED_CHARTER_COST,HLOOKUP(D$7,FIXED_CHARTER_COST,2,0)+1,0)+VLOOKUP($A157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0.33565468901982</v>
      </c>
      <c r="E157" s="23" t="n">
        <f aca="false">(+VLOOKUP($A157,FIXED_CHARTER_COST,HLOOKUP(E$7,FIXED_CHARTER_COST,2,0)+1,0)+VLOOKUP($A157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0.366327921225485</v>
      </c>
      <c r="F157" s="23" t="n">
        <f aca="false">(+VLOOKUP($A157,FIXED_CHARTER_COST,HLOOKUP(F$7,FIXED_CHARTER_COST,2,0)+1,0)+VLOOKUP($A157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0.615217161285185</v>
      </c>
      <c r="G157" s="23" t="n">
        <f aca="false">(+VLOOKUP($A157,FIXED_CHARTER_COST,HLOOKUP(G$7,FIXED_CHARTER_COST,2,0)+1,0)+VLOOKUP($A157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0.747872076789249</v>
      </c>
      <c r="H157" s="23" t="n">
        <f aca="false">(+VLOOKUP($A157,FIXED_CHARTER_COST,HLOOKUP(H$7,FIXED_CHARTER_COST,2,0)+1,0)+VLOOKUP($A157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0.640184113216765</v>
      </c>
      <c r="I157" s="23" t="n">
        <f aca="false">(+VLOOKUP($A157,FIXED_CHARTER_COST,HLOOKUP(I$7,FIXED_CHARTER_COST,2,0)+1,0)+VLOOKUP($A157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0.76929424298754</v>
      </c>
    </row>
    <row r="158" customFormat="false" ht="12.75" hidden="false" customHeight="false" outlineLevel="0" collapsed="false">
      <c r="A158" s="22" t="n">
        <f aca="false">+SHIPS!B174</f>
        <v>41214</v>
      </c>
      <c r="B158" s="23" t="n">
        <f aca="false">(+VLOOKUP($A158,FIXED_CHARTER_COST,HLOOKUP(B$7,FIXED_CHARTER_COST,2,0)+1,0)+VLOOKUP($A158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1.4448132438681</v>
      </c>
      <c r="C158" s="23" t="n">
        <f aca="false">(+VLOOKUP($A158,FIXED_CHARTER_COST,HLOOKUP(C$7,FIXED_CHARTER_COST,2,0)+1,0)+VLOOKUP($A158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1.57401898171417</v>
      </c>
      <c r="D158" s="23" t="n">
        <f aca="false">(+VLOOKUP($A158,FIXED_CHARTER_COST,HLOOKUP(D$7,FIXED_CHARTER_COST,2,0)+1,0)+VLOOKUP($A158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0.335761711647232</v>
      </c>
      <c r="E158" s="23" t="n">
        <f aca="false">(+VLOOKUP($A158,FIXED_CHARTER_COST,HLOOKUP(E$7,FIXED_CHARTER_COST,2,0)+1,0)+VLOOKUP($A158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0.36644386240518</v>
      </c>
      <c r="F158" s="23" t="n">
        <f aca="false">(+VLOOKUP($A158,FIXED_CHARTER_COST,HLOOKUP(F$7,FIXED_CHARTER_COST,2,0)+1,0)+VLOOKUP($A158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0.615404450883155</v>
      </c>
      <c r="G158" s="23" t="n">
        <f aca="false">(+VLOOKUP($A158,FIXED_CHARTER_COST,HLOOKUP(G$7,FIXED_CHARTER_COST,2,0)+1,0)+VLOOKUP($A158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0.74810395914864</v>
      </c>
      <c r="H158" s="23" t="n">
        <f aca="false">(+VLOOKUP($A158,FIXED_CHARTER_COST,HLOOKUP(H$7,FIXED_CHARTER_COST,2,0)+1,0)+VLOOKUP($A158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0.640604788748063</v>
      </c>
      <c r="I158" s="23" t="n">
        <f aca="false">(+VLOOKUP($A158,FIXED_CHARTER_COST,HLOOKUP(I$7,FIXED_CHARTER_COST,2,0)+1,0)+VLOOKUP($A158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0.769810526594133</v>
      </c>
    </row>
    <row r="159" customFormat="false" ht="12.75" hidden="false" customHeight="false" outlineLevel="0" collapsed="false">
      <c r="A159" s="22" t="n">
        <f aca="false">+SHIPS!B175</f>
        <v>41244</v>
      </c>
      <c r="B159" s="23" t="n">
        <f aca="false">(+VLOOKUP($A159,FIXED_CHARTER_COST,HLOOKUP(B$7,FIXED_CHARTER_COST,2,0)+1,0)+VLOOKUP($A159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1.44573299355243</v>
      </c>
      <c r="C159" s="23" t="n">
        <f aca="false">(+VLOOKUP($A159,FIXED_CHARTER_COST,HLOOKUP(C$7,FIXED_CHARTER_COST,2,0)+1,0)+VLOOKUP($A159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1.57503453865729</v>
      </c>
      <c r="D159" s="23" t="n">
        <f aca="false">(+VLOOKUP($A159,FIXED_CHARTER_COST,HLOOKUP(D$7,FIXED_CHARTER_COST,2,0)+1,0)+VLOOKUP($A159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0.33586895723845</v>
      </c>
      <c r="E159" s="23" t="n">
        <f aca="false">(+VLOOKUP($A159,FIXED_CHARTER_COST,HLOOKUP(E$7,FIXED_CHARTER_COST,2,0)+1,0)+VLOOKUP($A159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0.366560045129</v>
      </c>
      <c r="F159" s="23" t="n">
        <f aca="false">(+VLOOKUP($A159,FIXED_CHARTER_COST,HLOOKUP(F$7,FIXED_CHARTER_COST,2,0)+1,0)+VLOOKUP($A159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0.615592130667787</v>
      </c>
      <c r="G159" s="23" t="n">
        <f aca="false">(+VLOOKUP($A159,FIXED_CHARTER_COST,HLOOKUP(G$7,FIXED_CHARTER_COST,2,0)+1,0)+VLOOKUP($A159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0.74833632459628</v>
      </c>
      <c r="H159" s="23" t="n">
        <f aca="false">(+VLOOKUP($A159,FIXED_CHARTER_COST,HLOOKUP(H$7,FIXED_CHARTER_COST,2,0)+1,0)+VLOOKUP($A159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0.641026340686717</v>
      </c>
      <c r="I159" s="23" t="n">
        <f aca="false">(+VLOOKUP($A159,FIXED_CHARTER_COST,HLOOKUP(I$7,FIXED_CHARTER_COST,2,0)+1,0)+VLOOKUP($A159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0.770327885791572</v>
      </c>
    </row>
    <row r="160" customFormat="false" ht="12.75" hidden="false" customHeight="false" outlineLevel="0" collapsed="false">
      <c r="A160" s="22" t="n">
        <f aca="false">+SHIPS!B176</f>
        <v>41275</v>
      </c>
      <c r="B160" s="23" t="n">
        <f aca="false">(+VLOOKUP($A160,FIXED_CHARTER_COST,HLOOKUP(B$7,FIXED_CHARTER_COST,2,0)+1,0)+VLOOKUP($A160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1.44665465938195</v>
      </c>
      <c r="C160" s="23" t="n">
        <f aca="false">(+VLOOKUP($A160,FIXED_CHARTER_COST,HLOOKUP(C$7,FIXED_CHARTER_COST,2,0)+1,0)+VLOOKUP($A160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1.57605221134404</v>
      </c>
      <c r="D160" s="23" t="n">
        <f aca="false">(+VLOOKUP($A160,FIXED_CHARTER_COST,HLOOKUP(D$7,FIXED_CHARTER_COST,2,0)+1,0)+VLOOKUP($A160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0.335976426257984</v>
      </c>
      <c r="E160" s="23" t="n">
        <f aca="false">(+VLOOKUP($A160,FIXED_CHARTER_COST,HLOOKUP(E$7,FIXED_CHARTER_COST,2,0)+1,0)+VLOOKUP($A160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0.366676469900162</v>
      </c>
      <c r="F160" s="23" t="n">
        <f aca="false">(+VLOOKUP($A160,FIXED_CHARTER_COST,HLOOKUP(F$7,FIXED_CHARTER_COST,2,0)+1,0)+VLOOKUP($A160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0.61578020145197</v>
      </c>
      <c r="G160" s="23" t="n">
        <f aca="false">(+VLOOKUP($A160,FIXED_CHARTER_COST,HLOOKUP(G$7,FIXED_CHARTER_COST,2,0)+1,0)+VLOOKUP($A160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0.748569174138603</v>
      </c>
      <c r="H160" s="23" t="n">
        <f aca="false">(+VLOOKUP($A160,FIXED_CHARTER_COST,HLOOKUP(H$7,FIXED_CHARTER_COST,2,0)+1,0)+VLOOKUP($A160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0.641448770858577</v>
      </c>
      <c r="I160" s="23" t="n">
        <f aca="false">(+VLOOKUP($A160,FIXED_CHARTER_COST,HLOOKUP(I$7,FIXED_CHARTER_COST,2,0)+1,0)+VLOOKUP($A160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0.770846322820673</v>
      </c>
    </row>
    <row r="161" customFormat="false" ht="12.75" hidden="false" customHeight="false" outlineLevel="0" collapsed="false">
      <c r="A161" s="22" t="n">
        <f aca="false">+SHIPS!B177</f>
        <v>41306</v>
      </c>
      <c r="B161" s="23" t="n">
        <f aca="false">(+VLOOKUP($A161,FIXED_CHARTER_COST,HLOOKUP(B$7,FIXED_CHARTER_COST,2,0)+1,0)+VLOOKUP($A161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1.4475782453486</v>
      </c>
      <c r="C161" s="23" t="n">
        <f aca="false">(+VLOOKUP($A161,FIXED_CHARTER_COST,HLOOKUP(C$7,FIXED_CHARTER_COST,2,0)+1,0)+VLOOKUP($A161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1.57707200418223</v>
      </c>
      <c r="D161" s="23" t="n">
        <f aca="false">(+VLOOKUP($A161,FIXED_CHARTER_COST,HLOOKUP(D$7,FIXED_CHARTER_COST,2,0)+1,0)+VLOOKUP($A161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0.336084119171308</v>
      </c>
      <c r="E161" s="23" t="n">
        <f aca="false">(+VLOOKUP($A161,FIXED_CHARTER_COST,HLOOKUP(E$7,FIXED_CHARTER_COST,2,0)+1,0)+VLOOKUP($A161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0.366793137222929</v>
      </c>
      <c r="F161" s="23" t="n">
        <f aca="false">(+VLOOKUP($A161,FIXED_CHARTER_COST,HLOOKUP(F$7,FIXED_CHARTER_COST,2,0)+1,0)+VLOOKUP($A161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0.615968664050288</v>
      </c>
      <c r="G161" s="23" t="n">
        <f aca="false">(+VLOOKUP($A161,FIXED_CHARTER_COST,HLOOKUP(G$7,FIXED_CHARTER_COST,2,0)+1,0)+VLOOKUP($A161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0.748802508784139</v>
      </c>
      <c r="H161" s="23" t="n">
        <f aca="false">(+VLOOKUP($A161,FIXED_CHARTER_COST,HLOOKUP(H$7,FIXED_CHARTER_COST,2,0)+1,0)+VLOOKUP($A161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0.641872081093295</v>
      </c>
      <c r="I161" s="23" t="n">
        <f aca="false">(+VLOOKUP($A161,FIXED_CHARTER_COST,HLOOKUP(I$7,FIXED_CHARTER_COST,2,0)+1,0)+VLOOKUP($A161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0.771365839926918</v>
      </c>
    </row>
    <row r="162" customFormat="false" ht="12.75" hidden="false" customHeight="false" outlineLevel="0" collapsed="false">
      <c r="A162" s="22" t="n">
        <f aca="false">+SHIPS!B178</f>
        <v>41334</v>
      </c>
      <c r="B162" s="23" t="n">
        <f aca="false">(+VLOOKUP($A162,FIXED_CHARTER_COST,HLOOKUP(B$7,FIXED_CHARTER_COST,2,0)+1,0)+VLOOKUP($A162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1.44850375545269</v>
      </c>
      <c r="C162" s="23" t="n">
        <f aca="false">(+VLOOKUP($A162,FIXED_CHARTER_COST,HLOOKUP(C$7,FIXED_CHARTER_COST,2,0)+1,0)+VLOOKUP($A162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1.57809392158882</v>
      </c>
      <c r="D162" s="23" t="n">
        <f aca="false">(+VLOOKUP($A162,FIXED_CHARTER_COST,HLOOKUP(D$7,FIXED_CHARTER_COST,2,0)+1,0)+VLOOKUP($A162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0.336192036444868</v>
      </c>
      <c r="E162" s="23" t="n">
        <f aca="false">(+VLOOKUP($A162,FIXED_CHARTER_COST,HLOOKUP(E$7,FIXED_CHARTER_COST,2,0)+1,0)+VLOOKUP($A162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0.36691004760262</v>
      </c>
      <c r="F162" s="23" t="n">
        <f aca="false">(+VLOOKUP($A162,FIXED_CHARTER_COST,HLOOKUP(F$7,FIXED_CHARTER_COST,2,0)+1,0)+VLOOKUP($A162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0.616157519279018</v>
      </c>
      <c r="G162" s="23" t="n">
        <f aca="false">(+VLOOKUP($A162,FIXED_CHARTER_COST,HLOOKUP(G$7,FIXED_CHARTER_COST,2,0)+1,0)+VLOOKUP($A162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0.749036329543519</v>
      </c>
      <c r="H162" s="23" t="n">
        <f aca="false">(+VLOOKUP($A162,FIXED_CHARTER_COST,HLOOKUP(H$7,FIXED_CHARTER_COST,2,0)+1,0)+VLOOKUP($A162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0.642296273224336</v>
      </c>
      <c r="I162" s="23" t="n">
        <f aca="false">(+VLOOKUP($A162,FIXED_CHARTER_COST,HLOOKUP(I$7,FIXED_CHARTER_COST,2,0)+1,0)+VLOOKUP($A162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0.771886439360468</v>
      </c>
    </row>
    <row r="163" customFormat="false" ht="12.75" hidden="false" customHeight="false" outlineLevel="0" collapsed="false">
      <c r="A163" s="22" t="n">
        <f aca="false">+SHIPS!B179</f>
        <v>41365</v>
      </c>
      <c r="B163" s="23" t="n">
        <f aca="false">(+VLOOKUP($A163,FIXED_CHARTER_COST,HLOOKUP(B$7,FIXED_CHARTER_COST,2,0)+1,0)+VLOOKUP($A163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1.44943119370283</v>
      </c>
      <c r="C163" s="23" t="n">
        <f aca="false">(+VLOOKUP($A163,FIXED_CHARTER_COST,HLOOKUP(C$7,FIXED_CHARTER_COST,2,0)+1,0)+VLOOKUP($A163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1.57911796799002</v>
      </c>
      <c r="D163" s="23" t="n">
        <f aca="false">(+VLOOKUP($A163,FIXED_CHARTER_COST,HLOOKUP(D$7,FIXED_CHARTER_COST,2,0)+1,0)+VLOOKUP($A163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0.336300178546082</v>
      </c>
      <c r="E163" s="23" t="n">
        <f aca="false">(+VLOOKUP($A163,FIXED_CHARTER_COST,HLOOKUP(E$7,FIXED_CHARTER_COST,2,0)+1,0)+VLOOKUP($A163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0.367027201545601</v>
      </c>
      <c r="F163" s="23" t="n">
        <f aca="false">(+VLOOKUP($A163,FIXED_CHARTER_COST,HLOOKUP(F$7,FIXED_CHARTER_COST,2,0)+1,0)+VLOOKUP($A163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0.616346767956142</v>
      </c>
      <c r="G163" s="23" t="n">
        <f aca="false">(+VLOOKUP($A163,FIXED_CHARTER_COST,HLOOKUP(G$7,FIXED_CHARTER_COST,2,0)+1,0)+VLOOKUP($A163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0.749270637429482</v>
      </c>
      <c r="H163" s="23" t="n">
        <f aca="false">(+VLOOKUP($A163,FIXED_CHARTER_COST,HLOOKUP(H$7,FIXED_CHARTER_COST,2,0)+1,0)+VLOOKUP($A163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0.642721349088983</v>
      </c>
      <c r="I163" s="23" t="n">
        <f aca="false">(+VLOOKUP($A163,FIXED_CHARTER_COST,HLOOKUP(I$7,FIXED_CHARTER_COST,2,0)+1,0)+VLOOKUP($A163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0.77240812337617</v>
      </c>
    </row>
    <row r="164" customFormat="false" ht="12.75" hidden="false" customHeight="false" outlineLevel="0" collapsed="false">
      <c r="A164" s="22" t="n">
        <f aca="false">+SHIPS!B180</f>
        <v>41395</v>
      </c>
      <c r="B164" s="23" t="n">
        <f aca="false">(+VLOOKUP($A164,FIXED_CHARTER_COST,HLOOKUP(B$7,FIXED_CHARTER_COST,2,0)+1,0)+VLOOKUP($A164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1.45036056411599</v>
      </c>
      <c r="C164" s="23" t="n">
        <f aca="false">(+VLOOKUP($A164,FIXED_CHARTER_COST,HLOOKUP(C$7,FIXED_CHARTER_COST,2,0)+1,0)+VLOOKUP($A164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1.58014414782121</v>
      </c>
      <c r="D164" s="23" t="n">
        <f aca="false">(+VLOOKUP($A164,FIXED_CHARTER_COST,HLOOKUP(D$7,FIXED_CHARTER_COST,2,0)+1,0)+VLOOKUP($A164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0.336408545943339</v>
      </c>
      <c r="E164" s="23" t="n">
        <f aca="false">(+VLOOKUP($A164,FIXED_CHARTER_COST,HLOOKUP(E$7,FIXED_CHARTER_COST,2,0)+1,0)+VLOOKUP($A164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0.367144599559297</v>
      </c>
      <c r="F164" s="23" t="n">
        <f aca="false">(+VLOOKUP($A164,FIXED_CHARTER_COST,HLOOKUP(F$7,FIXED_CHARTER_COST,2,0)+1,0)+VLOOKUP($A164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0.616536410901343</v>
      </c>
      <c r="G164" s="23" t="n">
        <f aca="false">(+VLOOKUP($A164,FIXED_CHARTER_COST,HLOOKUP(G$7,FIXED_CHARTER_COST,2,0)+1,0)+VLOOKUP($A164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0.749505433456873</v>
      </c>
      <c r="H164" s="23" t="n">
        <f aca="false">(+VLOOKUP($A164,FIXED_CHARTER_COST,HLOOKUP(H$7,FIXED_CHARTER_COST,2,0)+1,0)+VLOOKUP($A164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0.643147310528347</v>
      </c>
      <c r="I164" s="23" t="n">
        <f aca="false">(+VLOOKUP($A164,FIXED_CHARTER_COST,HLOOKUP(I$7,FIXED_CHARTER_COST,2,0)+1,0)+VLOOKUP($A164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0.772930894233573</v>
      </c>
    </row>
    <row r="165" customFormat="false" ht="12.75" hidden="false" customHeight="false" outlineLevel="0" collapsed="false">
      <c r="A165" s="22" t="n">
        <f aca="false">+SHIPS!B181</f>
        <v>41426</v>
      </c>
      <c r="B165" s="23" t="n">
        <f aca="false">(+VLOOKUP($A165,FIXED_CHARTER_COST,HLOOKUP(B$7,FIXED_CHARTER_COST,2,0)+1,0)+VLOOKUP($A165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1.45129187071751</v>
      </c>
      <c r="C165" s="23" t="n">
        <f aca="false">(+VLOOKUP($A165,FIXED_CHARTER_COST,HLOOKUP(C$7,FIXED_CHARTER_COST,2,0)+1,0)+VLOOKUP($A165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1.58117246552706</v>
      </c>
      <c r="D165" s="23" t="n">
        <f aca="false">(+VLOOKUP($A165,FIXED_CHARTER_COST,HLOOKUP(D$7,FIXED_CHARTER_COST,2,0)+1,0)+VLOOKUP($A165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0.336517139106008</v>
      </c>
      <c r="E165" s="23" t="n">
        <f aca="false">(+VLOOKUP($A165,FIXED_CHARTER_COST,HLOOKUP(E$7,FIXED_CHARTER_COST,2,0)+1,0)+VLOOKUP($A165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0.367262242152188</v>
      </c>
      <c r="F165" s="23" t="n">
        <f aca="false">(+VLOOKUP($A165,FIXED_CHARTER_COST,HLOOKUP(F$7,FIXED_CHARTER_COST,2,0)+1,0)+VLOOKUP($A165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0.616726448936013</v>
      </c>
      <c r="G165" s="23" t="n">
        <f aca="false">(+VLOOKUP($A165,FIXED_CHARTER_COST,HLOOKUP(G$7,FIXED_CHARTER_COST,2,0)+1,0)+VLOOKUP($A165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0.749740718642656</v>
      </c>
      <c r="H165" s="23" t="n">
        <f aca="false">(+VLOOKUP($A165,FIXED_CHARTER_COST,HLOOKUP(H$7,FIXED_CHARTER_COST,2,0)+1,0)+VLOOKUP($A165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0.643574159387377</v>
      </c>
      <c r="I165" s="23" t="n">
        <f aca="false">(+VLOOKUP($A165,FIXED_CHARTER_COST,HLOOKUP(I$7,FIXED_CHARTER_COST,2,0)+1,0)+VLOOKUP($A165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0.773454754196928</v>
      </c>
    </row>
    <row r="166" customFormat="false" ht="12.75" hidden="false" customHeight="false" outlineLevel="0" collapsed="false">
      <c r="A166" s="22" t="n">
        <f aca="false">+SHIPS!B182</f>
        <v>41456</v>
      </c>
      <c r="B166" s="23" t="n">
        <f aca="false">(+VLOOKUP($A166,FIXED_CHARTER_COST,HLOOKUP(B$7,FIXED_CHARTER_COST,2,0)+1,0)+VLOOKUP($A166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1.45222511754112</v>
      </c>
      <c r="C166" s="23" t="n">
        <f aca="false">(+VLOOKUP($A166,FIXED_CHARTER_COST,HLOOKUP(C$7,FIXED_CHARTER_COST,2,0)+1,0)+VLOOKUP($A166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1.58220292556146</v>
      </c>
      <c r="D166" s="23" t="n">
        <f aca="false">(+VLOOKUP($A166,FIXED_CHARTER_COST,HLOOKUP(D$7,FIXED_CHARTER_COST,2,0)+1,0)+VLOOKUP($A166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0.336625958504432</v>
      </c>
      <c r="E166" s="23" t="n">
        <f aca="false">(+VLOOKUP($A166,FIXED_CHARTER_COST,HLOOKUP(E$7,FIXED_CHARTER_COST,2,0)+1,0)+VLOOKUP($A166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0.367380129833814</v>
      </c>
      <c r="F166" s="23" t="n">
        <f aca="false">(+VLOOKUP($A166,FIXED_CHARTER_COST,HLOOKUP(F$7,FIXED_CHARTER_COST,2,0)+1,0)+VLOOKUP($A166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0.616916882883256</v>
      </c>
      <c r="G166" s="23" t="n">
        <f aca="false">(+VLOOKUP($A166,FIXED_CHARTER_COST,HLOOKUP(G$7,FIXED_CHARTER_COST,2,0)+1,0)+VLOOKUP($A166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0.749976494005908</v>
      </c>
      <c r="H166" s="23" t="n">
        <f aca="false">(+VLOOKUP($A166,FIXED_CHARTER_COST,HLOOKUP(H$7,FIXED_CHARTER_COST,2,0)+1,0)+VLOOKUP($A166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0.644001897514864</v>
      </c>
      <c r="I166" s="23" t="n">
        <f aca="false">(+VLOOKUP($A166,FIXED_CHARTER_COST,HLOOKUP(I$7,FIXED_CHARTER_COST,2,0)+1,0)+VLOOKUP($A166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0.773979705535207</v>
      </c>
    </row>
    <row r="167" customFormat="false" ht="12.75" hidden="false" customHeight="false" outlineLevel="0" collapsed="false">
      <c r="A167" s="22" t="n">
        <f aca="false">+SHIPS!B183</f>
        <v>41487</v>
      </c>
      <c r="B167" s="23" t="n">
        <f aca="false">(+VLOOKUP($A167,FIXED_CHARTER_COST,HLOOKUP(B$7,FIXED_CHARTER_COST,2,0)+1,0)+VLOOKUP($A167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1.45316030862894</v>
      </c>
      <c r="C167" s="23" t="n">
        <f aca="false">(+VLOOKUP($A167,FIXED_CHARTER_COST,HLOOKUP(C$7,FIXED_CHARTER_COST,2,0)+1,0)+VLOOKUP($A167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1.5832355323876</v>
      </c>
      <c r="D167" s="23" t="n">
        <f aca="false">(+VLOOKUP($A167,FIXED_CHARTER_COST,HLOOKUP(D$7,FIXED_CHARTER_COST,2,0)+1,0)+VLOOKUP($A167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0.336735004609937</v>
      </c>
      <c r="E167" s="23" t="n">
        <f aca="false">(+VLOOKUP($A167,FIXED_CHARTER_COST,HLOOKUP(E$7,FIXED_CHARTER_COST,2,0)+1,0)+VLOOKUP($A167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0.367498263114777</v>
      </c>
      <c r="F167" s="23" t="n">
        <f aca="false">(+VLOOKUP($A167,FIXED_CHARTER_COST,HLOOKUP(F$7,FIXED_CHARTER_COST,2,0)+1,0)+VLOOKUP($A167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0.617107713567888</v>
      </c>
      <c r="G167" s="23" t="n">
        <f aca="false">(+VLOOKUP($A167,FIXED_CHARTER_COST,HLOOKUP(G$7,FIXED_CHARTER_COST,2,0)+1,0)+VLOOKUP($A167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0.750212760567834</v>
      </c>
      <c r="H167" s="23" t="n">
        <f aca="false">(+VLOOKUP($A167,FIXED_CHARTER_COST,HLOOKUP(H$7,FIXED_CHARTER_COST,2,0)+1,0)+VLOOKUP($A167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0.644430526763449</v>
      </c>
      <c r="I167" s="23" t="n">
        <f aca="false">(+VLOOKUP($A167,FIXED_CHARTER_COST,HLOOKUP(I$7,FIXED_CHARTER_COST,2,0)+1,0)+VLOOKUP($A167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0.774505750522107</v>
      </c>
    </row>
    <row r="168" customFormat="false" ht="12.75" hidden="false" customHeight="false" outlineLevel="0" collapsed="false">
      <c r="A168" s="22" t="n">
        <f aca="false">+SHIPS!B184</f>
        <v>41518</v>
      </c>
      <c r="B168" s="23" t="n">
        <f aca="false">(+VLOOKUP($A168,FIXED_CHARTER_COST,HLOOKUP(B$7,FIXED_CHARTER_COST,2,0)+1,0)+VLOOKUP($A168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1.45409744803153</v>
      </c>
      <c r="C168" s="23" t="n">
        <f aca="false">(+VLOOKUP($A168,FIXED_CHARTER_COST,HLOOKUP(C$7,FIXED_CHARTER_COST,2,0)+1,0)+VLOOKUP($A168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1.58427029047795</v>
      </c>
      <c r="D168" s="23" t="n">
        <f aca="false">(+VLOOKUP($A168,FIXED_CHARTER_COST,HLOOKUP(D$7,FIXED_CHARTER_COST,2,0)+1,0)+VLOOKUP($A168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0.336844277894827</v>
      </c>
      <c r="E168" s="23" t="n">
        <f aca="false">(+VLOOKUP($A168,FIXED_CHARTER_COST,HLOOKUP(E$7,FIXED_CHARTER_COST,2,0)+1,0)+VLOOKUP($A168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0.367616642506742</v>
      </c>
      <c r="F168" s="23" t="n">
        <f aca="false">(+VLOOKUP($A168,FIXED_CHARTER_COST,HLOOKUP(F$7,FIXED_CHARTER_COST,2,0)+1,0)+VLOOKUP($A168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0.617298941816447</v>
      </c>
      <c r="G168" s="23" t="n">
        <f aca="false">(+VLOOKUP($A168,FIXED_CHARTER_COST,HLOOKUP(G$7,FIXED_CHARTER_COST,2,0)+1,0)+VLOOKUP($A168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0.750449519351764</v>
      </c>
      <c r="H168" s="23" t="n">
        <f aca="false">(+VLOOKUP($A168,FIXED_CHARTER_COST,HLOOKUP(H$7,FIXED_CHARTER_COST,2,0)+1,0)+VLOOKUP($A168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0.644860048989636</v>
      </c>
      <c r="I168" s="23" t="n">
        <f aca="false">(+VLOOKUP($A168,FIXED_CHARTER_COST,HLOOKUP(I$7,FIXED_CHARTER_COST,2,0)+1,0)+VLOOKUP($A168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0.775032891436063</v>
      </c>
    </row>
    <row r="169" customFormat="false" ht="12.75" hidden="false" customHeight="false" outlineLevel="0" collapsed="false">
      <c r="A169" s="22" t="n">
        <f aca="false">+SHIPS!B185</f>
        <v>41548</v>
      </c>
      <c r="B169" s="23" t="n">
        <f aca="false">(+VLOOKUP($A169,FIXED_CHARTER_COST,HLOOKUP(B$7,FIXED_CHARTER_COST,2,0)+1,0)+VLOOKUP($A169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1.45503653980787</v>
      </c>
      <c r="C169" s="23" t="n">
        <f aca="false">(+VLOOKUP($A169,FIXED_CHARTER_COST,HLOOKUP(C$7,FIXED_CHARTER_COST,2,0)+1,0)+VLOOKUP($A169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1.58530720431433</v>
      </c>
      <c r="D169" s="23" t="n">
        <f aca="false">(+VLOOKUP($A169,FIXED_CHARTER_COST,HLOOKUP(D$7,FIXED_CHARTER_COST,2,0)+1,0)+VLOOKUP($A169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0.336953778832395</v>
      </c>
      <c r="E169" s="23" t="n">
        <f aca="false">(+VLOOKUP($A169,FIXED_CHARTER_COST,HLOOKUP(E$7,FIXED_CHARTER_COST,2,0)+1,0)+VLOOKUP($A169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0.36773526852244</v>
      </c>
      <c r="F169" s="23" t="n">
        <f aca="false">(+VLOOKUP($A169,FIXED_CHARTER_COST,HLOOKUP(F$7,FIXED_CHARTER_COST,2,0)+1,0)+VLOOKUP($A169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0.61749056845719</v>
      </c>
      <c r="G169" s="23" t="n">
        <f aca="false">(+VLOOKUP($A169,FIXED_CHARTER_COST,HLOOKUP(G$7,FIXED_CHARTER_COST,2,0)+1,0)+VLOOKUP($A169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0.75068677138316</v>
      </c>
      <c r="H169" s="23" t="n">
        <f aca="false">(+VLOOKUP($A169,FIXED_CHARTER_COST,HLOOKUP(H$7,FIXED_CHARTER_COST,2,0)+1,0)+VLOOKUP($A169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0.645290466053793</v>
      </c>
      <c r="I169" s="23" t="n">
        <f aca="false">(+VLOOKUP($A169,FIXED_CHARTER_COST,HLOOKUP(I$7,FIXED_CHARTER_COST,2,0)+1,0)+VLOOKUP($A169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0.775561130560256</v>
      </c>
    </row>
    <row r="170" customFormat="false" ht="12.75" hidden="false" customHeight="false" outlineLevel="0" collapsed="false">
      <c r="A170" s="22" t="n">
        <f aca="false">+SHIPS!B186</f>
        <v>41579</v>
      </c>
      <c r="B170" s="23" t="n">
        <f aca="false">(+VLOOKUP($A170,FIXED_CHARTER_COST,HLOOKUP(B$7,FIXED_CHARTER_COST,2,0)+1,0)+VLOOKUP($A170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1.45597758802542</v>
      </c>
      <c r="C170" s="23" t="n">
        <f aca="false">(+VLOOKUP($A170,FIXED_CHARTER_COST,HLOOKUP(C$7,FIXED_CHARTER_COST,2,0)+1,0)+VLOOKUP($A170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1.58634627838787</v>
      </c>
      <c r="D170" s="23" t="n">
        <f aca="false">(+VLOOKUP($A170,FIXED_CHARTER_COST,HLOOKUP(D$7,FIXED_CHARTER_COST,2,0)+1,0)+VLOOKUP($A170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0.337063507896916</v>
      </c>
      <c r="E170" s="23" t="n">
        <f aca="false">(+VLOOKUP($A170,FIXED_CHARTER_COST,HLOOKUP(E$7,FIXED_CHARTER_COST,2,0)+1,0)+VLOOKUP($A170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0.367854141675671</v>
      </c>
      <c r="F170" s="23" t="n">
        <f aca="false">(+VLOOKUP($A170,FIXED_CHARTER_COST,HLOOKUP(F$7,FIXED_CHARTER_COST,2,0)+1,0)+VLOOKUP($A170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0.617682594320102</v>
      </c>
      <c r="G170" s="23" t="n">
        <f aca="false">(+VLOOKUP($A170,FIXED_CHARTER_COST,HLOOKUP(G$7,FIXED_CHARTER_COST,2,0)+1,0)+VLOOKUP($A170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0.750924517689622</v>
      </c>
      <c r="H170" s="23" t="n">
        <f aca="false">(+VLOOKUP($A170,FIXED_CHARTER_COST,HLOOKUP(H$7,FIXED_CHARTER_COST,2,0)+1,0)+VLOOKUP($A170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0.645721779820168</v>
      </c>
      <c r="I170" s="23" t="n">
        <f aca="false">(+VLOOKUP($A170,FIXED_CHARTER_COST,HLOOKUP(I$7,FIXED_CHARTER_COST,2,0)+1,0)+VLOOKUP($A170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0.776090470182626</v>
      </c>
    </row>
    <row r="171" customFormat="false" ht="12.75" hidden="false" customHeight="false" outlineLevel="0" collapsed="false">
      <c r="A171" s="22" t="n">
        <f aca="false">+SHIPS!B187</f>
        <v>41609</v>
      </c>
      <c r="B171" s="23" t="n">
        <f aca="false">(+VLOOKUP($A171,FIXED_CHARTER_COST,HLOOKUP(B$7,FIXED_CHARTER_COST,2,0)+1,0)+VLOOKUP($A171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1.45692059676008</v>
      </c>
      <c r="C171" s="23" t="n">
        <f aca="false">(+VLOOKUP($A171,FIXED_CHARTER_COST,HLOOKUP(C$7,FIXED_CHARTER_COST,2,0)+1,0)+VLOOKUP($A171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1.58738751719907</v>
      </c>
      <c r="D171" s="23" t="n">
        <f aca="false">(+VLOOKUP($A171,FIXED_CHARTER_COST,HLOOKUP(D$7,FIXED_CHARTER_COST,2,0)+1,0)+VLOOKUP($A171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0.337173465563654</v>
      </c>
      <c r="E171" s="23" t="n">
        <f aca="false">(+VLOOKUP($A171,FIXED_CHARTER_COST,HLOOKUP(E$7,FIXED_CHARTER_COST,2,0)+1,0)+VLOOKUP($A171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0.367973262481305</v>
      </c>
      <c r="F171" s="23" t="n">
        <f aca="false">(+VLOOKUP($A171,FIXED_CHARTER_COST,HLOOKUP(F$7,FIXED_CHARTER_COST,2,0)+1,0)+VLOOKUP($A171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0.617875020236894</v>
      </c>
      <c r="G171" s="23" t="n">
        <f aca="false">(+VLOOKUP($A171,FIXED_CHARTER_COST,HLOOKUP(G$7,FIXED_CHARTER_COST,2,0)+1,0)+VLOOKUP($A171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0.751162759300889</v>
      </c>
      <c r="H171" s="23" t="n">
        <f aca="false">(+VLOOKUP($A171,FIXED_CHARTER_COST,HLOOKUP(H$7,FIXED_CHARTER_COST,2,0)+1,0)+VLOOKUP($A171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0.64615399215689</v>
      </c>
      <c r="I171" s="23" t="n">
        <f aca="false">(+VLOOKUP($A171,FIXED_CHARTER_COST,HLOOKUP(I$7,FIXED_CHARTER_COST,2,0)+1,0)+VLOOKUP($A171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0.776620912595874</v>
      </c>
    </row>
    <row r="172" customFormat="false" ht="12.75" hidden="false" customHeight="false" outlineLevel="0" collapsed="false">
      <c r="A172" s="22" t="n">
        <f aca="false">+SHIPS!B188</f>
        <v>41640</v>
      </c>
      <c r="B172" s="23" t="n">
        <f aca="false">(+VLOOKUP($A172,FIXED_CHARTER_COST,HLOOKUP(B$7,FIXED_CHARTER_COST,2,0)+1,0)+VLOOKUP($A172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1.45786557009628</v>
      </c>
      <c r="C172" s="23" t="n">
        <f aca="false">(+VLOOKUP($A172,FIXED_CHARTER_COST,HLOOKUP(C$7,FIXED_CHARTER_COST,2,0)+1,0)+VLOOKUP($A172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1.58843092525778</v>
      </c>
      <c r="D172" s="23" t="n">
        <f aca="false">(+VLOOKUP($A172,FIXED_CHARTER_COST,HLOOKUP(D$7,FIXED_CHARTER_COST,2,0)+1,0)+VLOOKUP($A172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0.337283652308865</v>
      </c>
      <c r="E172" s="23" t="n">
        <f aca="false">(+VLOOKUP($A172,FIXED_CHARTER_COST,HLOOKUP(E$7,FIXED_CHARTER_COST,2,0)+1,0)+VLOOKUP($A172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0.368092631455283</v>
      </c>
      <c r="F172" s="23" t="n">
        <f aca="false">(+VLOOKUP($A172,FIXED_CHARTER_COST,HLOOKUP(F$7,FIXED_CHARTER_COST,2,0)+1,0)+VLOOKUP($A172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0.618067847041014</v>
      </c>
      <c r="G172" s="23" t="n">
        <f aca="false">(+VLOOKUP($A172,FIXED_CHARTER_COST,HLOOKUP(G$7,FIXED_CHARTER_COST,2,0)+1,0)+VLOOKUP($A172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0.751401497248846</v>
      </c>
      <c r="H172" s="23" t="n">
        <f aca="false">(+VLOOKUP($A172,FIXED_CHARTER_COST,HLOOKUP(H$7,FIXED_CHARTER_COST,2,0)+1,0)+VLOOKUP($A172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0.646587104935979</v>
      </c>
      <c r="I172" s="23" t="n">
        <f aca="false">(+VLOOKUP($A172,FIXED_CHARTER_COST,HLOOKUP(I$7,FIXED_CHARTER_COST,2,0)+1,0)+VLOOKUP($A172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0.777152460097484</v>
      </c>
    </row>
    <row r="173" customFormat="false" ht="12.75" hidden="false" customHeight="false" outlineLevel="0" collapsed="false">
      <c r="A173" s="22" t="n">
        <f aca="false">+SHIPS!B189</f>
        <v>41671</v>
      </c>
      <c r="B173" s="23" t="n">
        <f aca="false">(+VLOOKUP($A173,FIXED_CHARTER_COST,HLOOKUP(B$7,FIXED_CHARTER_COST,2,0)+1,0)+VLOOKUP($A173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1.45881251212692</v>
      </c>
      <c r="C173" s="23" t="n">
        <f aca="false">(+VLOOKUP($A173,FIXED_CHARTER_COST,HLOOKUP(C$7,FIXED_CHARTER_COST,2,0)+1,0)+VLOOKUP($A173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1.58947650708329</v>
      </c>
      <c r="D173" s="23" t="n">
        <f aca="false">(+VLOOKUP($A173,FIXED_CHARTER_COST,HLOOKUP(D$7,FIXED_CHARTER_COST,2,0)+1,0)+VLOOKUP($A173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0.337394068609796</v>
      </c>
      <c r="E173" s="23" t="n">
        <f aca="false">(+VLOOKUP($A173,FIXED_CHARTER_COST,HLOOKUP(E$7,FIXED_CHARTER_COST,2,0)+1,0)+VLOOKUP($A173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0.368212249114624</v>
      </c>
      <c r="F173" s="23" t="n">
        <f aca="false">(+VLOOKUP($A173,FIXED_CHARTER_COST,HLOOKUP(F$7,FIXED_CHARTER_COST,2,0)+1,0)+VLOOKUP($A173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0.618261075567641</v>
      </c>
      <c r="G173" s="23" t="n">
        <f aca="false">(+VLOOKUP($A173,FIXED_CHARTER_COST,HLOOKUP(G$7,FIXED_CHARTER_COST,2,0)+1,0)+VLOOKUP($A173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0.751640732567528</v>
      </c>
      <c r="H173" s="23" t="n">
        <f aca="false">(+VLOOKUP($A173,FIXED_CHARTER_COST,HLOOKUP(H$7,FIXED_CHARTER_COST,2,0)+1,0)+VLOOKUP($A173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0.647021120033358</v>
      </c>
      <c r="I173" s="23" t="n">
        <f aca="false">(+VLOOKUP($A173,FIXED_CHARTER_COST,HLOOKUP(I$7,FIXED_CHARTER_COST,2,0)+1,0)+VLOOKUP($A173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0.777685114989723</v>
      </c>
    </row>
    <row r="174" customFormat="false" ht="12.75" hidden="false" customHeight="false" outlineLevel="0" collapsed="false">
      <c r="A174" s="22" t="n">
        <f aca="false">+SHIPS!B190</f>
        <v>41699</v>
      </c>
      <c r="B174" s="23" t="n">
        <f aca="false">(+VLOOKUP($A174,FIXED_CHARTER_COST,HLOOKUP(B$7,FIXED_CHARTER_COST,2,0)+1,0)+VLOOKUP($A174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1.45976142695347</v>
      </c>
      <c r="C174" s="23" t="n">
        <f aca="false">(+VLOOKUP($A174,FIXED_CHARTER_COST,HLOOKUP(C$7,FIXED_CHARTER_COST,2,0)+1,0)+VLOOKUP($A174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1.59052426720426</v>
      </c>
      <c r="D174" s="23" t="n">
        <f aca="false">(+VLOOKUP($A174,FIXED_CHARTER_COST,HLOOKUP(D$7,FIXED_CHARTER_COST,2,0)+1,0)+VLOOKUP($A174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0.337504714944686</v>
      </c>
      <c r="E174" s="23" t="n">
        <f aca="false">(+VLOOKUP($A174,FIXED_CHARTER_COST,HLOOKUP(E$7,FIXED_CHARTER_COST,2,0)+1,0)+VLOOKUP($A174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0.368332115977423</v>
      </c>
      <c r="F174" s="23" t="n">
        <f aca="false">(+VLOOKUP($A174,FIXED_CHARTER_COST,HLOOKUP(F$7,FIXED_CHARTER_COST,2,0)+1,0)+VLOOKUP($A174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0.6184547066537</v>
      </c>
      <c r="G174" s="23" t="n">
        <f aca="false">(+VLOOKUP($A174,FIXED_CHARTER_COST,HLOOKUP(G$7,FIXED_CHARTER_COST,2,0)+1,0)+VLOOKUP($A174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0.751880466293125</v>
      </c>
      <c r="H174" s="23" t="n">
        <f aca="false">(+VLOOKUP($A174,FIXED_CHARTER_COST,HLOOKUP(H$7,FIXED_CHARTER_COST,2,0)+1,0)+VLOOKUP($A174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0.647456039328857</v>
      </c>
      <c r="I174" s="23" t="n">
        <f aca="false">(+VLOOKUP($A174,FIXED_CHARTER_COST,HLOOKUP(I$7,FIXED_CHARTER_COST,2,0)+1,0)+VLOOKUP($A174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0.778218879579653</v>
      </c>
    </row>
    <row r="175" customFormat="false" ht="12.75" hidden="false" customHeight="false" outlineLevel="0" collapsed="false">
      <c r="A175" s="22" t="n">
        <f aca="false">+SHIPS!B191</f>
        <v>41730</v>
      </c>
      <c r="B175" s="23" t="n">
        <f aca="false">(+VLOOKUP($A175,FIXED_CHARTER_COST,HLOOKUP(B$7,FIXED_CHARTER_COST,2,0)+1,0)+VLOOKUP($A175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1.4607123186859</v>
      </c>
      <c r="C175" s="23" t="n">
        <f aca="false">(+VLOOKUP($A175,FIXED_CHARTER_COST,HLOOKUP(C$7,FIXED_CHARTER_COST,2,0)+1,0)+VLOOKUP($A175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1.59157421015882</v>
      </c>
      <c r="D175" s="23" t="n">
        <f aca="false">(+VLOOKUP($A175,FIXED_CHARTER_COST,HLOOKUP(D$7,FIXED_CHARTER_COST,2,0)+1,0)+VLOOKUP($A175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0.337615591792774</v>
      </c>
      <c r="E175" s="23" t="n">
        <f aca="false">(+VLOOKUP($A175,FIXED_CHARTER_COST,HLOOKUP(E$7,FIXED_CHARTER_COST,2,0)+1,0)+VLOOKUP($A175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0.368452232562851</v>
      </c>
      <c r="F175" s="23" t="n">
        <f aca="false">(+VLOOKUP($A175,FIXED_CHARTER_COST,HLOOKUP(F$7,FIXED_CHARTER_COST,2,0)+1,0)+VLOOKUP($A175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0.618648741137854</v>
      </c>
      <c r="G175" s="23" t="n">
        <f aca="false">(+VLOOKUP($A175,FIXED_CHARTER_COST,HLOOKUP(G$7,FIXED_CHARTER_COST,2,0)+1,0)+VLOOKUP($A175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0.752120699463982</v>
      </c>
      <c r="H175" s="23" t="n">
        <f aca="false">(+VLOOKUP($A175,FIXED_CHARTER_COST,HLOOKUP(H$7,FIXED_CHARTER_COST,2,0)+1,0)+VLOOKUP($A175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0.647891864706222</v>
      </c>
      <c r="I175" s="23" t="n">
        <f aca="false">(+VLOOKUP($A175,FIXED_CHARTER_COST,HLOOKUP(I$7,FIXED_CHARTER_COST,2,0)+1,0)+VLOOKUP($A175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0.778753756179146</v>
      </c>
    </row>
    <row r="176" customFormat="false" ht="12.75" hidden="false" customHeight="false" outlineLevel="0" collapsed="false">
      <c r="A176" s="22" t="n">
        <f aca="false">+SHIPS!B192</f>
        <v>41760</v>
      </c>
      <c r="B176" s="23" t="n">
        <f aca="false">(+VLOOKUP($A176,FIXED_CHARTER_COST,HLOOKUP(B$7,FIXED_CHARTER_COST,2,0)+1,0)+VLOOKUP($A176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1.46166519144277</v>
      </c>
      <c r="C176" s="23" t="n">
        <f aca="false">(+VLOOKUP($A176,FIXED_CHARTER_COST,HLOOKUP(C$7,FIXED_CHARTER_COST,2,0)+1,0)+VLOOKUP($A176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1.59262634049454</v>
      </c>
      <c r="D176" s="23" t="n">
        <f aca="false">(+VLOOKUP($A176,FIXED_CHARTER_COST,HLOOKUP(D$7,FIXED_CHARTER_COST,2,0)+1,0)+VLOOKUP($A176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0.337726699634296</v>
      </c>
      <c r="E176" s="23" t="n">
        <f aca="false">(+VLOOKUP($A176,FIXED_CHARTER_COST,HLOOKUP(E$7,FIXED_CHARTER_COST,2,0)+1,0)+VLOOKUP($A176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0.368572599391166</v>
      </c>
      <c r="F176" s="23" t="n">
        <f aca="false">(+VLOOKUP($A176,FIXED_CHARTER_COST,HLOOKUP(F$7,FIXED_CHARTER_COST,2,0)+1,0)+VLOOKUP($A176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0.618843179860517</v>
      </c>
      <c r="G176" s="23" t="n">
        <f aca="false">(+VLOOKUP($A176,FIXED_CHARTER_COST,HLOOKUP(G$7,FIXED_CHARTER_COST,2,0)+1,0)+VLOOKUP($A176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0.752361433120612</v>
      </c>
      <c r="H176" s="23" t="n">
        <f aca="false">(+VLOOKUP($A176,FIXED_CHARTER_COST,HLOOKUP(H$7,FIXED_CHARTER_COST,2,0)+1,0)+VLOOKUP($A176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0.648328598053123</v>
      </c>
      <c r="I176" s="23" t="n">
        <f aca="false">(+VLOOKUP($A176,FIXED_CHARTER_COST,HLOOKUP(I$7,FIXED_CHARTER_COST,2,0)+1,0)+VLOOKUP($A176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0.779289747104888</v>
      </c>
    </row>
    <row r="177" customFormat="false" ht="12.75" hidden="false" customHeight="false" outlineLevel="0" collapsed="false">
      <c r="A177" s="22" t="n">
        <f aca="false">+SHIPS!B193</f>
        <v>41791</v>
      </c>
      <c r="B177" s="23" t="n">
        <f aca="false">(+VLOOKUP($A177,FIXED_CHARTER_COST,HLOOKUP(B$7,FIXED_CHARTER_COST,2,0)+1,0)+VLOOKUP($A177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1.46262004935122</v>
      </c>
      <c r="C177" s="23" t="n">
        <f aca="false">(+VLOOKUP($A177,FIXED_CHARTER_COST,HLOOKUP(C$7,FIXED_CHARTER_COST,2,0)+1,0)+VLOOKUP($A177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1.59368066276845</v>
      </c>
      <c r="D177" s="23" t="n">
        <f aca="false">(+VLOOKUP($A177,FIXED_CHARTER_COST,HLOOKUP(D$7,FIXED_CHARTER_COST,2,0)+1,0)+VLOOKUP($A177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0.337838038950487</v>
      </c>
      <c r="E177" s="23" t="n">
        <f aca="false">(+VLOOKUP($A177,FIXED_CHARTER_COST,HLOOKUP(E$7,FIXED_CHARTER_COST,2,0)+1,0)+VLOOKUP($A177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0.368693216983707</v>
      </c>
      <c r="F177" s="23" t="n">
        <f aca="false">(+VLOOKUP($A177,FIXED_CHARTER_COST,HLOOKUP(F$7,FIXED_CHARTER_COST,2,0)+1,0)+VLOOKUP($A177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0.619038023663852</v>
      </c>
      <c r="G177" s="23" t="n">
        <f aca="false">(+VLOOKUP($A177,FIXED_CHARTER_COST,HLOOKUP(G$7,FIXED_CHARTER_COST,2,0)+1,0)+VLOOKUP($A177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0.752602668305694</v>
      </c>
      <c r="H177" s="23" t="n">
        <f aca="false">(+VLOOKUP($A177,FIXED_CHARTER_COST,HLOOKUP(H$7,FIXED_CHARTER_COST,2,0)+1,0)+VLOOKUP($A177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0.648766241261162</v>
      </c>
      <c r="I177" s="23" t="n">
        <f aca="false">(+VLOOKUP($A177,FIXED_CHARTER_COST,HLOOKUP(I$7,FIXED_CHARTER_COST,2,0)+1,0)+VLOOKUP($A177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0.779826854678391</v>
      </c>
    </row>
    <row r="178" customFormat="false" ht="12.75" hidden="false" customHeight="false" outlineLevel="0" collapsed="false">
      <c r="A178" s="22" t="n">
        <f aca="false">+SHIPS!B194</f>
        <v>41821</v>
      </c>
      <c r="B178" s="23" t="n">
        <f aca="false">(+VLOOKUP($A178,FIXED_CHARTER_COST,HLOOKUP(B$7,FIXED_CHARTER_COST,2,0)+1,0)+VLOOKUP($A178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1.46357689654698</v>
      </c>
      <c r="C178" s="23" t="n">
        <f aca="false">(+VLOOKUP($A178,FIXED_CHARTER_COST,HLOOKUP(C$7,FIXED_CHARTER_COST,2,0)+1,0)+VLOOKUP($A178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1.5947371815471</v>
      </c>
      <c r="D178" s="23" t="n">
        <f aca="false">(+VLOOKUP($A178,FIXED_CHARTER_COST,HLOOKUP(D$7,FIXED_CHARTER_COST,2,0)+1,0)+VLOOKUP($A178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0.337949610223588</v>
      </c>
      <c r="E178" s="23" t="n">
        <f aca="false">(+VLOOKUP($A178,FIXED_CHARTER_COST,HLOOKUP(E$7,FIXED_CHARTER_COST,2,0)+1,0)+VLOOKUP($A178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0.368814085862899</v>
      </c>
      <c r="F178" s="23" t="n">
        <f aca="false">(+VLOOKUP($A178,FIXED_CHARTER_COST,HLOOKUP(F$7,FIXED_CHARTER_COST,2,0)+1,0)+VLOOKUP($A178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0.619233273391777</v>
      </c>
      <c r="G178" s="23" t="n">
        <f aca="false">(+VLOOKUP($A178,FIXED_CHARTER_COST,HLOOKUP(G$7,FIXED_CHARTER_COST,2,0)+1,0)+VLOOKUP($A178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0.752844406064078</v>
      </c>
      <c r="H178" s="23" t="n">
        <f aca="false">(+VLOOKUP($A178,FIXED_CHARTER_COST,HLOOKUP(H$7,FIXED_CHARTER_COST,2,0)+1,0)+VLOOKUP($A178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0.649204796225886</v>
      </c>
      <c r="I178" s="23" t="n">
        <f aca="false">(+VLOOKUP($A178,FIXED_CHARTER_COST,HLOOKUP(I$7,FIXED_CHARTER_COST,2,0)+1,0)+VLOOKUP($A178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0.780365081226007</v>
      </c>
    </row>
    <row r="179" customFormat="false" ht="12.75" hidden="false" customHeight="false" outlineLevel="0" collapsed="false">
      <c r="A179" s="22" t="n">
        <f aca="false">+SHIPS!B195</f>
        <v>41852</v>
      </c>
      <c r="B179" s="23" t="n">
        <f aca="false">(+VLOOKUP($A179,FIXED_CHARTER_COST,HLOOKUP(B$7,FIXED_CHARTER_COST,2,0)+1,0)+VLOOKUP($A179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1.4645357371744</v>
      </c>
      <c r="C179" s="23" t="n">
        <f aca="false">(+VLOOKUP($A179,FIXED_CHARTER_COST,HLOOKUP(C$7,FIXED_CHARTER_COST,2,0)+1,0)+VLOOKUP($A179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1.59579590140654</v>
      </c>
      <c r="D179" s="23" t="n">
        <f aca="false">(+VLOOKUP($A179,FIXED_CHARTER_COST,HLOOKUP(D$7,FIXED_CHARTER_COST,2,0)+1,0)+VLOOKUP($A179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0.33806141393684</v>
      </c>
      <c r="E179" s="23" t="n">
        <f aca="false">(+VLOOKUP($A179,FIXED_CHARTER_COST,HLOOKUP(E$7,FIXED_CHARTER_COST,2,0)+1,0)+VLOOKUP($A179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0.368935206552256</v>
      </c>
      <c r="F179" s="23" t="n">
        <f aca="false">(+VLOOKUP($A179,FIXED_CHARTER_COST,HLOOKUP(F$7,FIXED_CHARTER_COST,2,0)+1,0)+VLOOKUP($A179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0.619428929889969</v>
      </c>
      <c r="G179" s="23" t="n">
        <f aca="false">(+VLOOKUP($A179,FIXED_CHARTER_COST,HLOOKUP(G$7,FIXED_CHARTER_COST,2,0)+1,0)+VLOOKUP($A179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0.753086647442792</v>
      </c>
      <c r="H179" s="23" t="n">
        <f aca="false">(+VLOOKUP($A179,FIXED_CHARTER_COST,HLOOKUP(H$7,FIXED_CHARTER_COST,2,0)+1,0)+VLOOKUP($A179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0.649644264846786</v>
      </c>
      <c r="I179" s="23" t="n">
        <f aca="false">(+VLOOKUP($A179,FIXED_CHARTER_COST,HLOOKUP(I$7,FIXED_CHARTER_COST,2,0)+1,0)+VLOOKUP($A179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0.780904429078929</v>
      </c>
    </row>
    <row r="180" customFormat="false" ht="12.75" hidden="false" customHeight="false" outlineLevel="0" collapsed="false">
      <c r="A180" s="22" t="n">
        <f aca="false">+SHIPS!B196</f>
        <v>41883</v>
      </c>
      <c r="B180" s="23" t="n">
        <f aca="false">(+VLOOKUP($A180,FIXED_CHARTER_COST,HLOOKUP(B$7,FIXED_CHARTER_COST,2,0)+1,0)+VLOOKUP($A180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1.46549657538646</v>
      </c>
      <c r="C180" s="23" t="n">
        <f aca="false">(+VLOOKUP($A180,FIXED_CHARTER_COST,HLOOKUP(C$7,FIXED_CHARTER_COST,2,0)+1,0)+VLOOKUP($A180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1.59685682693236</v>
      </c>
      <c r="D180" s="23" t="n">
        <f aca="false">(+VLOOKUP($A180,FIXED_CHARTER_COST,HLOOKUP(D$7,FIXED_CHARTER_COST,2,0)+1,0)+VLOOKUP($A180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0.338173450574495</v>
      </c>
      <c r="E180" s="23" t="n">
        <f aca="false">(+VLOOKUP($A180,FIXED_CHARTER_COST,HLOOKUP(E$7,FIXED_CHARTER_COST,2,0)+1,0)+VLOOKUP($A180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0.369056579576382</v>
      </c>
      <c r="F180" s="23" t="n">
        <f aca="false">(+VLOOKUP($A180,FIXED_CHARTER_COST,HLOOKUP(F$7,FIXED_CHARTER_COST,2,0)+1,0)+VLOOKUP($A180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0.619624994005866</v>
      </c>
      <c r="G180" s="23" t="n">
        <f aca="false">(+VLOOKUP($A180,FIXED_CHARTER_COST,HLOOKUP(G$7,FIXED_CHARTER_COST,2,0)+1,0)+VLOOKUP($A180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0.753329393491044</v>
      </c>
      <c r="H180" s="23" t="n">
        <f aca="false">(+VLOOKUP($A180,FIXED_CHARTER_COST,HLOOKUP(H$7,FIXED_CHARTER_COST,2,0)+1,0)+VLOOKUP($A180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0.650084649027313</v>
      </c>
      <c r="I180" s="23" t="n">
        <f aca="false">(+VLOOKUP($A180,FIXED_CHARTER_COST,HLOOKUP(I$7,FIXED_CHARTER_COST,2,0)+1,0)+VLOOKUP($A180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0.781444900573212</v>
      </c>
    </row>
    <row r="181" customFormat="false" ht="12.75" hidden="false" customHeight="false" outlineLevel="0" collapsed="false">
      <c r="A181" s="22" t="n">
        <f aca="false">+SHIPS!B197</f>
        <v>41913</v>
      </c>
      <c r="B181" s="23" t="n">
        <f aca="false">(+VLOOKUP($A181,FIXED_CHARTER_COST,HLOOKUP(B$7,FIXED_CHARTER_COST,2,0)+1,0)+VLOOKUP($A181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1.46645941534479</v>
      </c>
      <c r="C181" s="23" t="n">
        <f aca="false">(+VLOOKUP($A181,FIXED_CHARTER_COST,HLOOKUP(C$7,FIXED_CHARTER_COST,2,0)+1,0)+VLOOKUP($A181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1.59791996271969</v>
      </c>
      <c r="D181" s="23" t="n">
        <f aca="false">(+VLOOKUP($A181,FIXED_CHARTER_COST,HLOOKUP(D$7,FIXED_CHARTER_COST,2,0)+1,0)+VLOOKUP($A181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0.338285720621812</v>
      </c>
      <c r="E181" s="23" t="n">
        <f aca="false">(+VLOOKUP($A181,FIXED_CHARTER_COST,HLOOKUP(E$7,FIXED_CHARTER_COST,2,0)+1,0)+VLOOKUP($A181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0.369178205460976</v>
      </c>
      <c r="F181" s="23" t="n">
        <f aca="false">(+VLOOKUP($A181,FIXED_CHARTER_COST,HLOOKUP(F$7,FIXED_CHARTER_COST,2,0)+1,0)+VLOOKUP($A181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0.61982146658867</v>
      </c>
      <c r="G181" s="23" t="n">
        <f aca="false">(+VLOOKUP($A181,FIXED_CHARTER_COST,HLOOKUP(G$7,FIXED_CHARTER_COST,2,0)+1,0)+VLOOKUP($A181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0.753572645260231</v>
      </c>
      <c r="H181" s="23" t="n">
        <f aca="false">(+VLOOKUP($A181,FIXED_CHARTER_COST,HLOOKUP(H$7,FIXED_CHARTER_COST,2,0)+1,0)+VLOOKUP($A181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0.650525950674882</v>
      </c>
      <c r="I181" s="23" t="n">
        <f aca="false">(+VLOOKUP($A181,FIXED_CHARTER_COST,HLOOKUP(I$7,FIXED_CHARTER_COST,2,0)+1,0)+VLOOKUP($A181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0.781986498049775</v>
      </c>
    </row>
    <row r="182" customFormat="false" ht="12.75" hidden="false" customHeight="false" outlineLevel="0" collapsed="false">
      <c r="A182" s="22" t="n">
        <f aca="false">+SHIPS!B198</f>
        <v>41944</v>
      </c>
      <c r="B182" s="23" t="n">
        <f aca="false">(+VLOOKUP($A182,FIXED_CHARTER_COST,HLOOKUP(B$7,FIXED_CHARTER_COST,2,0)+1,0)+VLOOKUP($A182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1.46742426121971</v>
      </c>
      <c r="C182" s="23" t="n">
        <f aca="false">(+VLOOKUP($A182,FIXED_CHARTER_COST,HLOOKUP(C$7,FIXED_CHARTER_COST,2,0)+1,0)+VLOOKUP($A182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1.59898531337324</v>
      </c>
      <c r="D182" s="23" t="n">
        <f aca="false">(+VLOOKUP($A182,FIXED_CHARTER_COST,HLOOKUP(D$7,FIXED_CHARTER_COST,2,0)+1,0)+VLOOKUP($A182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0.338398224565061</v>
      </c>
      <c r="E182" s="23" t="n">
        <f aca="false">(+VLOOKUP($A182,FIXED_CHARTER_COST,HLOOKUP(E$7,FIXED_CHARTER_COST,2,0)+1,0)+VLOOKUP($A182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0.369300084732829</v>
      </c>
      <c r="F182" s="23" t="n">
        <f aca="false">(+VLOOKUP($A182,FIXED_CHARTER_COST,HLOOKUP(F$7,FIXED_CHARTER_COST,2,0)+1,0)+VLOOKUP($A182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0.620018348489356</v>
      </c>
      <c r="G182" s="23" t="n">
        <f aca="false">(+VLOOKUP($A182,FIXED_CHARTER_COST,HLOOKUP(G$7,FIXED_CHARTER_COST,2,0)+1,0)+VLOOKUP($A182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0.753816403803937</v>
      </c>
      <c r="H182" s="23" t="n">
        <f aca="false">(+VLOOKUP($A182,FIXED_CHARTER_COST,HLOOKUP(H$7,FIXED_CHARTER_COST,2,0)+1,0)+VLOOKUP($A182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0.650968171700884</v>
      </c>
      <c r="I182" s="23" t="n">
        <f aca="false">(+VLOOKUP($A182,FIXED_CHARTER_COST,HLOOKUP(I$7,FIXED_CHARTER_COST,2,0)+1,0)+VLOOKUP($A182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0.782529223854414</v>
      </c>
    </row>
    <row r="183" customFormat="false" ht="12.75" hidden="false" customHeight="false" outlineLevel="0" collapsed="false">
      <c r="A183" s="22" t="n">
        <f aca="false">+SHIPS!B199</f>
        <v>41974</v>
      </c>
      <c r="B183" s="23" t="n">
        <f aca="false">(+VLOOKUP($A183,FIXED_CHARTER_COST,HLOOKUP(B$7,FIXED_CHARTER_COST,2,0)+1,0)+VLOOKUP($A183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1.46839111719019</v>
      </c>
      <c r="C183" s="23" t="n">
        <f aca="false">(+VLOOKUP($A183,FIXED_CHARTER_COST,HLOOKUP(C$7,FIXED_CHARTER_COST,2,0)+1,0)+VLOOKUP($A183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1.60005288350731</v>
      </c>
      <c r="D183" s="23" t="n">
        <f aca="false">(+VLOOKUP($A183,FIXED_CHARTER_COST,HLOOKUP(D$7,FIXED_CHARTER_COST,2,0)+1,0)+VLOOKUP($A183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0.338510962891525</v>
      </c>
      <c r="E183" s="23" t="n">
        <f aca="false">(+VLOOKUP($A183,FIXED_CHARTER_COST,HLOOKUP(E$7,FIXED_CHARTER_COST,2,0)+1,0)+VLOOKUP($A183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0.369422217919831</v>
      </c>
      <c r="F183" s="23" t="n">
        <f aca="false">(+VLOOKUP($A183,FIXED_CHARTER_COST,HLOOKUP(F$7,FIXED_CHARTER_COST,2,0)+1,0)+VLOOKUP($A183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0.620215640560668</v>
      </c>
      <c r="G183" s="23" t="n">
        <f aca="false">(+VLOOKUP($A183,FIXED_CHARTER_COST,HLOOKUP(G$7,FIXED_CHARTER_COST,2,0)+1,0)+VLOOKUP($A183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0.754060670177942</v>
      </c>
      <c r="H183" s="23" t="n">
        <f aca="false">(+VLOOKUP($A183,FIXED_CHARTER_COST,HLOOKUP(H$7,FIXED_CHARTER_COST,2,0)+1,0)+VLOOKUP($A183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0.651411314020691</v>
      </c>
      <c r="I183" s="23" t="n">
        <f aca="false">(+VLOOKUP($A183,FIXED_CHARTER_COST,HLOOKUP(I$7,FIXED_CHARTER_COST,2,0)+1,0)+VLOOKUP($A183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0.783073080337812</v>
      </c>
    </row>
    <row r="184" customFormat="false" ht="12.75" hidden="false" customHeight="false" outlineLevel="0" collapsed="false">
      <c r="A184" s="22" t="n">
        <f aca="false">+SHIPS!B200</f>
        <v>42005</v>
      </c>
      <c r="B184" s="23" t="n">
        <f aca="false">(+VLOOKUP($A184,FIXED_CHARTER_COST,HLOOKUP(B$7,FIXED_CHARTER_COST,2,0)+1,0)+VLOOKUP($A184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1.46935998744395</v>
      </c>
      <c r="C184" s="23" t="n">
        <f aca="false">(+VLOOKUP($A184,FIXED_CHARTER_COST,HLOOKUP(C$7,FIXED_CHARTER_COST,2,0)+1,0)+VLOOKUP($A184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1.60112267774584</v>
      </c>
      <c r="D184" s="23" t="n">
        <f aca="false">(+VLOOKUP($A184,FIXED_CHARTER_COST,HLOOKUP(D$7,FIXED_CHARTER_COST,2,0)+1,0)+VLOOKUP($A184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0.338623936089502</v>
      </c>
      <c r="E184" s="23" t="n">
        <f aca="false">(+VLOOKUP($A184,FIXED_CHARTER_COST,HLOOKUP(E$7,FIXED_CHARTER_COST,2,0)+1,0)+VLOOKUP($A184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0.369544605550973</v>
      </c>
      <c r="F184" s="23" t="n">
        <f aca="false">(+VLOOKUP($A184,FIXED_CHARTER_COST,HLOOKUP(F$7,FIXED_CHARTER_COST,2,0)+1,0)+VLOOKUP($A184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0.620413343657128</v>
      </c>
      <c r="G184" s="23" t="n">
        <f aca="false">(+VLOOKUP($A184,FIXED_CHARTER_COST,HLOOKUP(G$7,FIXED_CHARTER_COST,2,0)+1,0)+VLOOKUP($A184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0.754305445440226</v>
      </c>
      <c r="H184" s="23" t="n">
        <f aca="false">(+VLOOKUP($A184,FIXED_CHARTER_COST,HLOOKUP(H$7,FIXED_CHARTER_COST,2,0)+1,0)+VLOOKUP($A184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0.651855379553663</v>
      </c>
      <c r="I184" s="23" t="n">
        <f aca="false">(+VLOOKUP($A184,FIXED_CHARTER_COST,HLOOKUP(I$7,FIXED_CHARTER_COST,2,0)+1,0)+VLOOKUP($A184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0.783618069855551</v>
      </c>
    </row>
    <row r="185" customFormat="false" ht="12.75" hidden="false" customHeight="false" outlineLevel="0" collapsed="false">
      <c r="A185" s="22" t="n">
        <f aca="false">+SHIPS!B201</f>
        <v>42036</v>
      </c>
      <c r="B185" s="23" t="n">
        <f aca="false">(+VLOOKUP($A185,FIXED_CHARTER_COST,HLOOKUP(B$7,FIXED_CHARTER_COST,2,0)+1,0)+VLOOKUP($A185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1.4703308761774</v>
      </c>
      <c r="C185" s="23" t="n">
        <f aca="false">(+VLOOKUP($A185,FIXED_CHARTER_COST,HLOOKUP(C$7,FIXED_CHARTER_COST,2,0)+1,0)+VLOOKUP($A185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1.60219470072236</v>
      </c>
      <c r="D185" s="23" t="n">
        <f aca="false">(+VLOOKUP($A185,FIXED_CHARTER_COST,HLOOKUP(D$7,FIXED_CHARTER_COST,2,0)+1,0)+VLOOKUP($A185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0.338737144648309</v>
      </c>
      <c r="E185" s="23" t="n">
        <f aca="false">(+VLOOKUP($A185,FIXED_CHARTER_COST,HLOOKUP(E$7,FIXED_CHARTER_COST,2,0)+1,0)+VLOOKUP($A185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0.369667248156347</v>
      </c>
      <c r="F185" s="23" t="n">
        <f aca="false">(+VLOOKUP($A185,FIXED_CHARTER_COST,HLOOKUP(F$7,FIXED_CHARTER_COST,2,0)+1,0)+VLOOKUP($A185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0.620611458635039</v>
      </c>
      <c r="G185" s="23" t="n">
        <f aca="false">(+VLOOKUP($A185,FIXED_CHARTER_COST,HLOOKUP(G$7,FIXED_CHARTER_COST,2,0)+1,0)+VLOOKUP($A185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0.754550730650974</v>
      </c>
      <c r="H185" s="23" t="n">
        <f aca="false">(+VLOOKUP($A185,FIXED_CHARTER_COST,HLOOKUP(H$7,FIXED_CHARTER_COST,2,0)+1,0)+VLOOKUP($A185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0.652300370223163</v>
      </c>
      <c r="I185" s="23" t="n">
        <f aca="false">(+VLOOKUP($A185,FIXED_CHARTER_COST,HLOOKUP(I$7,FIXED_CHARTER_COST,2,0)+1,0)+VLOOKUP($A185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0.784164194768119</v>
      </c>
    </row>
    <row r="186" customFormat="false" ht="12.75" hidden="false" customHeight="false" outlineLevel="0" collapsed="false">
      <c r="A186" s="22" t="n">
        <f aca="false">+SHIPS!B202</f>
        <v>42064</v>
      </c>
      <c r="B186" s="23" t="n">
        <f aca="false">(+VLOOKUP($A186,FIXED_CHARTER_COST,HLOOKUP(B$7,FIXED_CHARTER_COST,2,0)+1,0)+VLOOKUP($A186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1.47130378759572</v>
      </c>
      <c r="C186" s="23" t="n">
        <f aca="false">(+VLOOKUP($A186,FIXED_CHARTER_COST,HLOOKUP(C$7,FIXED_CHARTER_COST,2,0)+1,0)+VLOOKUP($A186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1.60326895708008</v>
      </c>
      <c r="D186" s="23" t="n">
        <f aca="false">(+VLOOKUP($A186,FIXED_CHARTER_COST,HLOOKUP(D$7,FIXED_CHARTER_COST,2,0)+1,0)+VLOOKUP($A186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0.33885058905828</v>
      </c>
      <c r="E186" s="23" t="n">
        <f aca="false">(+VLOOKUP($A186,FIXED_CHARTER_COST,HLOOKUP(E$7,FIXED_CHARTER_COST,2,0)+1,0)+VLOOKUP($A186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0.369790146267149</v>
      </c>
      <c r="F186" s="23" t="n">
        <f aca="false">(+VLOOKUP($A186,FIXED_CHARTER_COST,HLOOKUP(F$7,FIXED_CHARTER_COST,2,0)+1,0)+VLOOKUP($A186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0.620809986352488</v>
      </c>
      <c r="G186" s="23" t="n">
        <f aca="false">(+VLOOKUP($A186,FIXED_CHARTER_COST,HLOOKUP(G$7,FIXED_CHARTER_COST,2,0)+1,0)+VLOOKUP($A186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0.754796526872577</v>
      </c>
      <c r="H186" s="23" t="n">
        <f aca="false">(+VLOOKUP($A186,FIXED_CHARTER_COST,HLOOKUP(H$7,FIXED_CHARTER_COST,2,0)+1,0)+VLOOKUP($A186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0.652746287956557</v>
      </c>
      <c r="I186" s="23" t="n">
        <f aca="false">(+VLOOKUP($A186,FIXED_CHARTER_COST,HLOOKUP(I$7,FIXED_CHARTER_COST,2,0)+1,0)+VLOOKUP($A186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0.784711457440921</v>
      </c>
    </row>
    <row r="187" customFormat="false" ht="12.75" hidden="false" customHeight="false" outlineLevel="0" collapsed="false">
      <c r="A187" s="22" t="n">
        <f aca="false">+SHIPS!B203</f>
        <v>42095</v>
      </c>
      <c r="B187" s="23" t="n">
        <f aca="false">(+VLOOKUP($A187,FIXED_CHARTER_COST,HLOOKUP(B$7,FIXED_CHARTER_COST,2,0)+1,0)+VLOOKUP($A187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1.47227872591282</v>
      </c>
      <c r="C187" s="23" t="n">
        <f aca="false">(+VLOOKUP($A187,FIXED_CHARTER_COST,HLOOKUP(C$7,FIXED_CHARTER_COST,2,0)+1,0)+VLOOKUP($A187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1.60434545147188</v>
      </c>
      <c r="D187" s="23" t="n">
        <f aca="false">(+VLOOKUP($A187,FIXED_CHARTER_COST,HLOOKUP(D$7,FIXED_CHARTER_COST,2,0)+1,0)+VLOOKUP($A187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0.338964269810771</v>
      </c>
      <c r="E187" s="23" t="n">
        <f aca="false">(+VLOOKUP($A187,FIXED_CHARTER_COST,HLOOKUP(E$7,FIXED_CHARTER_COST,2,0)+1,0)+VLOOKUP($A187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0.369913300415681</v>
      </c>
      <c r="F187" s="23" t="n">
        <f aca="false">(+VLOOKUP($A187,FIXED_CHARTER_COST,HLOOKUP(F$7,FIXED_CHARTER_COST,2,0)+1,0)+VLOOKUP($A187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0.621008927669348</v>
      </c>
      <c r="G187" s="23" t="n">
        <f aca="false">(+VLOOKUP($A187,FIXED_CHARTER_COST,HLOOKUP(G$7,FIXED_CHARTER_COST,2,0)+1,0)+VLOOKUP($A187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0.755042835169642</v>
      </c>
      <c r="H187" s="23" t="n">
        <f aca="false">(+VLOOKUP($A187,FIXED_CHARTER_COST,HLOOKUP(H$7,FIXED_CHARTER_COST,2,0)+1,0)+VLOOKUP($A187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0.653193134685229</v>
      </c>
      <c r="I187" s="23" t="n">
        <f aca="false">(+VLOOKUP($A187,FIXED_CHARTER_COST,HLOOKUP(I$7,FIXED_CHARTER_COST,2,0)+1,0)+VLOOKUP($A187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0.785259860244291</v>
      </c>
    </row>
    <row r="188" customFormat="false" ht="12.75" hidden="false" customHeight="false" outlineLevel="0" collapsed="false">
      <c r="A188" s="22" t="n">
        <f aca="false">+SHIPS!B204</f>
        <v>42125</v>
      </c>
      <c r="B188" s="23" t="n">
        <f aca="false">(+VLOOKUP($A188,FIXED_CHARTER_COST,HLOOKUP(B$7,FIXED_CHARTER_COST,2,0)+1,0)+VLOOKUP($A188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1.47325569535142</v>
      </c>
      <c r="C188" s="23" t="n">
        <f aca="false">(+VLOOKUP($A188,FIXED_CHARTER_COST,HLOOKUP(C$7,FIXED_CHARTER_COST,2,0)+1,0)+VLOOKUP($A188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1.60542418856034</v>
      </c>
      <c r="D188" s="23" t="n">
        <f aca="false">(+VLOOKUP($A188,FIXED_CHARTER_COST,HLOOKUP(D$7,FIXED_CHARTER_COST,2,0)+1,0)+VLOOKUP($A188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0.339078187398163</v>
      </c>
      <c r="E188" s="23" t="n">
        <f aca="false">(+VLOOKUP($A188,FIXED_CHARTER_COST,HLOOKUP(E$7,FIXED_CHARTER_COST,2,0)+1,0)+VLOOKUP($A188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0.370036711135356</v>
      </c>
      <c r="F188" s="23" t="n">
        <f aca="false">(+VLOOKUP($A188,FIXED_CHARTER_COST,HLOOKUP(F$7,FIXED_CHARTER_COST,2,0)+1,0)+VLOOKUP($A188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0.621208283447285</v>
      </c>
      <c r="G188" s="23" t="n">
        <f aca="false">(+VLOOKUP($A188,FIXED_CHARTER_COST,HLOOKUP(G$7,FIXED_CHARTER_COST,2,0)+1,0)+VLOOKUP($A188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0.755289656608992</v>
      </c>
      <c r="H188" s="23" t="n">
        <f aca="false">(+VLOOKUP($A188,FIXED_CHARTER_COST,HLOOKUP(H$7,FIXED_CHARTER_COST,2,0)+1,0)+VLOOKUP($A188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0.653640912344586</v>
      </c>
      <c r="I188" s="23" t="n">
        <f aca="false">(+VLOOKUP($A188,FIXED_CHARTER_COST,HLOOKUP(I$7,FIXED_CHARTER_COST,2,0)+1,0)+VLOOKUP($A188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0.785809405553502</v>
      </c>
    </row>
    <row r="189" customFormat="false" ht="12.75" hidden="false" customHeight="false" outlineLevel="0" collapsed="false">
      <c r="A189" s="22" t="n">
        <f aca="false">+SHIPS!B205</f>
        <v>42156</v>
      </c>
      <c r="B189" s="23" t="n">
        <f aca="false">(+VLOOKUP($A189,FIXED_CHARTER_COST,HLOOKUP(B$7,FIXED_CHARTER_COST,2,0)+1,0)+VLOOKUP($A189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1.47423470014301</v>
      </c>
      <c r="C189" s="23" t="n">
        <f aca="false">(+VLOOKUP($A189,FIXED_CHARTER_COST,HLOOKUP(C$7,FIXED_CHARTER_COST,2,0)+1,0)+VLOOKUP($A189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1.60650517301772</v>
      </c>
      <c r="D189" s="23" t="n">
        <f aca="false">(+VLOOKUP($A189,FIXED_CHARTER_COST,HLOOKUP(D$7,FIXED_CHARTER_COST,2,0)+1,0)+VLOOKUP($A189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0.339192342313863</v>
      </c>
      <c r="E189" s="23" t="n">
        <f aca="false">(+VLOOKUP($A189,FIXED_CHARTER_COST,HLOOKUP(E$7,FIXED_CHARTER_COST,2,0)+1,0)+VLOOKUP($A189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0.370160378960698</v>
      </c>
      <c r="F189" s="23" t="n">
        <f aca="false">(+VLOOKUP($A189,FIXED_CHARTER_COST,HLOOKUP(F$7,FIXED_CHARTER_COST,2,0)+1,0)+VLOOKUP($A189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0.621408054549759</v>
      </c>
      <c r="G189" s="23" t="n">
        <f aca="false">(+VLOOKUP($A189,FIXED_CHARTER_COST,HLOOKUP(G$7,FIXED_CHARTER_COST,2,0)+1,0)+VLOOKUP($A189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0.755536992259675</v>
      </c>
      <c r="H189" s="23" t="n">
        <f aca="false">(+VLOOKUP($A189,FIXED_CHARTER_COST,HLOOKUP(H$7,FIXED_CHARTER_COST,2,0)+1,0)+VLOOKUP($A189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0.654089622874067</v>
      </c>
      <c r="I189" s="23" t="n">
        <f aca="false">(+VLOOKUP($A189,FIXED_CHARTER_COST,HLOOKUP(I$7,FIXED_CHARTER_COST,2,0)+1,0)+VLOOKUP($A189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0.786360095748774</v>
      </c>
    </row>
    <row r="190" customFormat="false" ht="12.75" hidden="false" customHeight="false" outlineLevel="0" collapsed="false">
      <c r="A190" s="22" t="n">
        <f aca="false">+SHIPS!B206</f>
        <v>42186</v>
      </c>
      <c r="B190" s="23" t="n">
        <f aca="false">(+VLOOKUP($A190,FIXED_CHARTER_COST,HLOOKUP(B$7,FIXED_CHARTER_COST,2,0)+1,0)+VLOOKUP($A190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1.47521574452792</v>
      </c>
      <c r="C190" s="23" t="n">
        <f aca="false">(+VLOOKUP($A190,FIXED_CHARTER_COST,HLOOKUP(C$7,FIXED_CHARTER_COST,2,0)+1,0)+VLOOKUP($A190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1.60758840952606</v>
      </c>
      <c r="D190" s="23" t="n">
        <f aca="false">(+VLOOKUP($A190,FIXED_CHARTER_COST,HLOOKUP(D$7,FIXED_CHARTER_COST,2,0)+1,0)+VLOOKUP($A190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0.339306735052304</v>
      </c>
      <c r="E190" s="23" t="n">
        <f aca="false">(+VLOOKUP($A190,FIXED_CHARTER_COST,HLOOKUP(E$7,FIXED_CHARTER_COST,2,0)+1,0)+VLOOKUP($A190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0.370284304427341</v>
      </c>
      <c r="F190" s="23" t="n">
        <f aca="false">(+VLOOKUP($A190,FIXED_CHARTER_COST,HLOOKUP(F$7,FIXED_CHARTER_COST,2,0)+1,0)+VLOOKUP($A190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0.62160824184203</v>
      </c>
      <c r="G190" s="23" t="n">
        <f aca="false">(+VLOOKUP($A190,FIXED_CHARTER_COST,HLOOKUP(G$7,FIXED_CHARTER_COST,2,0)+1,0)+VLOOKUP($A190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0.755784843192963</v>
      </c>
      <c r="H190" s="23" t="n">
        <f aca="false">(+VLOOKUP($A190,FIXED_CHARTER_COST,HLOOKUP(H$7,FIXED_CHARTER_COST,2,0)+1,0)+VLOOKUP($A190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0.65453926821715</v>
      </c>
      <c r="I190" s="23" t="n">
        <f aca="false">(+VLOOKUP($A190,FIXED_CHARTER_COST,HLOOKUP(I$7,FIXED_CHARTER_COST,2,0)+1,0)+VLOOKUP($A190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0.786911933215285</v>
      </c>
    </row>
    <row r="191" customFormat="false" ht="12.75" hidden="false" customHeight="false" outlineLevel="0" collapsed="false">
      <c r="A191" s="22" t="n">
        <f aca="false">+SHIPS!B207</f>
        <v>42217</v>
      </c>
      <c r="B191" s="23" t="n">
        <f aca="false">(+VLOOKUP($A191,FIXED_CHARTER_COST,HLOOKUP(B$7,FIXED_CHARTER_COST,2,0)+1,0)+VLOOKUP($A191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1.4761988327553</v>
      </c>
      <c r="C191" s="23" t="n">
        <f aca="false">(+VLOOKUP($A191,FIXED_CHARTER_COST,HLOOKUP(C$7,FIXED_CHARTER_COST,2,0)+1,0)+VLOOKUP($A191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1.60867390277712</v>
      </c>
      <c r="D191" s="23" t="n">
        <f aca="false">(+VLOOKUP($A191,FIXED_CHARTER_COST,HLOOKUP(D$7,FIXED_CHARTER_COST,2,0)+1,0)+VLOOKUP($A191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0.339421366108949</v>
      </c>
      <c r="E191" s="23" t="n">
        <f aca="false">(+VLOOKUP($A191,FIXED_CHARTER_COST,HLOOKUP(E$7,FIXED_CHARTER_COST,2,0)+1,0)+VLOOKUP($A191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0.370408488072041</v>
      </c>
      <c r="F191" s="23" t="n">
        <f aca="false">(+VLOOKUP($A191,FIXED_CHARTER_COST,HLOOKUP(F$7,FIXED_CHARTER_COST,2,0)+1,0)+VLOOKUP($A191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0.62180884619116</v>
      </c>
      <c r="G191" s="23" t="n">
        <f aca="false">(+VLOOKUP($A191,FIXED_CHARTER_COST,HLOOKUP(G$7,FIXED_CHARTER_COST,2,0)+1,0)+VLOOKUP($A191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0.756033210482362</v>
      </c>
      <c r="H191" s="23" t="n">
        <f aca="false">(+VLOOKUP($A191,FIXED_CHARTER_COST,HLOOKUP(H$7,FIXED_CHARTER_COST,2,0)+1,0)+VLOOKUP($A191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0.654989850321365</v>
      </c>
      <c r="I191" s="23" t="n">
        <f aca="false">(+VLOOKUP($A191,FIXED_CHARTER_COST,HLOOKUP(I$7,FIXED_CHARTER_COST,2,0)+1,0)+VLOOKUP($A191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0.787464920343186</v>
      </c>
    </row>
    <row r="192" customFormat="false" ht="12.75" hidden="false" customHeight="false" outlineLevel="0" collapsed="false">
      <c r="A192" s="22" t="n">
        <f aca="false">+SHIPS!B208</f>
        <v>42248</v>
      </c>
      <c r="B192" s="23" t="n">
        <f aca="false">(+VLOOKUP($A192,FIXED_CHARTER_COST,HLOOKUP(B$7,FIXED_CHARTER_COST,2,0)+1,0)+VLOOKUP($A192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1.47718396908315</v>
      </c>
      <c r="C192" s="23" t="n">
        <f aca="false">(+VLOOKUP($A192,FIXED_CHARTER_COST,HLOOKUP(C$7,FIXED_CHARTER_COST,2,0)+1,0)+VLOOKUP($A192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1.60976165747246</v>
      </c>
      <c r="D192" s="23" t="n">
        <f aca="false">(+VLOOKUP($A192,FIXED_CHARTER_COST,HLOOKUP(D$7,FIXED_CHARTER_COST,2,0)+1,0)+VLOOKUP($A192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0.339536235980296</v>
      </c>
      <c r="E192" s="23" t="n">
        <f aca="false">(+VLOOKUP($A192,FIXED_CHARTER_COST,HLOOKUP(E$7,FIXED_CHARTER_COST,2,0)+1,0)+VLOOKUP($A192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0.370532930432667</v>
      </c>
      <c r="F192" s="23" t="n">
        <f aca="false">(+VLOOKUP($A192,FIXED_CHARTER_COST,HLOOKUP(F$7,FIXED_CHARTER_COST,2,0)+1,0)+VLOOKUP($A192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0.622009868466018</v>
      </c>
      <c r="G192" s="23" t="n">
        <f aca="false">(+VLOOKUP($A192,FIXED_CHARTER_COST,HLOOKUP(G$7,FIXED_CHARTER_COST,2,0)+1,0)+VLOOKUP($A192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0.756282095203613</v>
      </c>
      <c r="H192" s="23" t="n">
        <f aca="false">(+VLOOKUP($A192,FIXED_CHARTER_COST,HLOOKUP(H$7,FIXED_CHARTER_COST,2,0)+1,0)+VLOOKUP($A192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0.655441371138298</v>
      </c>
      <c r="I192" s="23" t="n">
        <f aca="false">(+VLOOKUP($A192,FIXED_CHARTER_COST,HLOOKUP(I$7,FIXED_CHARTER_COST,2,0)+1,0)+VLOOKUP($A192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0.788019059527603</v>
      </c>
    </row>
    <row r="193" customFormat="false" ht="12.75" hidden="false" customHeight="false" outlineLevel="0" collapsed="false">
      <c r="A193" s="22" t="n">
        <f aca="false">+SHIPS!B209</f>
        <v>42278</v>
      </c>
      <c r="B193" s="23" t="n">
        <f aca="false">(+VLOOKUP($A193,FIXED_CHARTER_COST,HLOOKUP(B$7,FIXED_CHARTER_COST,2,0)+1,0)+VLOOKUP($A193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1.47817115777836</v>
      </c>
      <c r="C193" s="23" t="n">
        <f aca="false">(+VLOOKUP($A193,FIXED_CHARTER_COST,HLOOKUP(C$7,FIXED_CHARTER_COST,2,0)+1,0)+VLOOKUP($A193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1.61085167832341</v>
      </c>
      <c r="D193" s="23" t="n">
        <f aca="false">(+VLOOKUP($A193,FIXED_CHARTER_COST,HLOOKUP(D$7,FIXED_CHARTER_COST,2,0)+1,0)+VLOOKUP($A193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0.339651345163875</v>
      </c>
      <c r="E193" s="23" t="n">
        <f aca="false">(+VLOOKUP($A193,FIXED_CHARTER_COST,HLOOKUP(E$7,FIXED_CHARTER_COST,2,0)+1,0)+VLOOKUP($A193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0.370657632048211</v>
      </c>
      <c r="F193" s="23" t="n">
        <f aca="false">(+VLOOKUP($A193,FIXED_CHARTER_COST,HLOOKUP(F$7,FIXED_CHARTER_COST,2,0)+1,0)+VLOOKUP($A193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0.622211309537281</v>
      </c>
      <c r="G193" s="23" t="n">
        <f aca="false">(+VLOOKUP($A193,FIXED_CHARTER_COST,HLOOKUP(G$7,FIXED_CHARTER_COST,2,0)+1,0)+VLOOKUP($A193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0.756531498434701</v>
      </c>
      <c r="H193" s="23" t="n">
        <f aca="false">(+VLOOKUP($A193,FIXED_CHARTER_COST,HLOOKUP(H$7,FIXED_CHARTER_COST,2,0)+1,0)+VLOOKUP($A193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0.655893832623598</v>
      </c>
      <c r="I193" s="23" t="n">
        <f aca="false">(+VLOOKUP($A193,FIXED_CHARTER_COST,HLOOKUP(I$7,FIXED_CHARTER_COST,2,0)+1,0)+VLOOKUP($A193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0.788574353168654</v>
      </c>
    </row>
    <row r="194" customFormat="false" ht="12.75" hidden="false" customHeight="false" outlineLevel="0" collapsed="false">
      <c r="A194" s="22" t="n">
        <f aca="false">+SHIPS!B210</f>
        <v>42309</v>
      </c>
      <c r="B194" s="23" t="n">
        <f aca="false">(+VLOOKUP($A194,FIXED_CHARTER_COST,HLOOKUP(B$7,FIXED_CHARTER_COST,2,0)+1,0)+VLOOKUP($A194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1.47916040311667</v>
      </c>
      <c r="C194" s="23" t="n">
        <f aca="false">(+VLOOKUP($A194,FIXED_CHARTER_COST,HLOOKUP(C$7,FIXED_CHARTER_COST,2,0)+1,0)+VLOOKUP($A194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1.61194397005114</v>
      </c>
      <c r="D194" s="23" t="n">
        <f aca="false">(+VLOOKUP($A194,FIXED_CHARTER_COST,HLOOKUP(D$7,FIXED_CHARTER_COST,2,0)+1,0)+VLOOKUP($A194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0.339766694158253</v>
      </c>
      <c r="E194" s="23" t="n">
        <f aca="false">(+VLOOKUP($A194,FIXED_CHARTER_COST,HLOOKUP(E$7,FIXED_CHARTER_COST,2,0)+1,0)+VLOOKUP($A194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0.370782593458787</v>
      </c>
      <c r="F194" s="23" t="n">
        <f aca="false">(+VLOOKUP($A194,FIXED_CHARTER_COST,HLOOKUP(F$7,FIXED_CHARTER_COST,2,0)+1,0)+VLOOKUP($A194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0.622413170277443</v>
      </c>
      <c r="G194" s="23" t="n">
        <f aca="false">(+VLOOKUP($A194,FIXED_CHARTER_COST,HLOOKUP(G$7,FIXED_CHARTER_COST,2,0)+1,0)+VLOOKUP($A194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0.756781421255854</v>
      </c>
      <c r="H194" s="23" t="n">
        <f aca="false">(+VLOOKUP($A194,FIXED_CHARTER_COST,HLOOKUP(H$7,FIXED_CHARTER_COST,2,0)+1,0)+VLOOKUP($A194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0.656347236736994</v>
      </c>
      <c r="I194" s="23" t="n">
        <f aca="false">(+VLOOKUP($A194,FIXED_CHARTER_COST,HLOOKUP(I$7,FIXED_CHARTER_COST,2,0)+1,0)+VLOOKUP($A194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0.789130803671457</v>
      </c>
    </row>
    <row r="195" customFormat="false" ht="12.75" hidden="false" customHeight="false" outlineLevel="0" collapsed="false">
      <c r="A195" s="22" t="n">
        <f aca="false">+SHIPS!B211</f>
        <v>42339</v>
      </c>
      <c r="B195" s="23" t="n">
        <f aca="false">(+VLOOKUP($A195,FIXED_CHARTER_COST,HLOOKUP(B$7,FIXED_CHARTER_COST,2,0)+1,0)+VLOOKUP($A195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1.48015170938278</v>
      </c>
      <c r="C195" s="23" t="n">
        <f aca="false">(+VLOOKUP($A195,FIXED_CHARTER_COST,HLOOKUP(C$7,FIXED_CHARTER_COST,2,0)+1,0)+VLOOKUP($A195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1.61303853738663</v>
      </c>
      <c r="D195" s="23" t="n">
        <f aca="false">(+VLOOKUP($A195,FIXED_CHARTER_COST,HLOOKUP(D$7,FIXED_CHARTER_COST,2,0)+1,0)+VLOOKUP($A195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0.339882283463037</v>
      </c>
      <c r="E195" s="23" t="n">
        <f aca="false">(+VLOOKUP($A195,FIXED_CHARTER_COST,HLOOKUP(E$7,FIXED_CHARTER_COST,2,0)+1,0)+VLOOKUP($A195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0.370907815205635</v>
      </c>
      <c r="F195" s="23" t="n">
        <f aca="false">(+VLOOKUP($A195,FIXED_CHARTER_COST,HLOOKUP(F$7,FIXED_CHARTER_COST,2,0)+1,0)+VLOOKUP($A195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0.622615451560813</v>
      </c>
      <c r="G195" s="23" t="n">
        <f aca="false">(+VLOOKUP($A195,FIXED_CHARTER_COST,HLOOKUP(G$7,FIXED_CHARTER_COST,2,0)+1,0)+VLOOKUP($A195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0.75703186474955</v>
      </c>
      <c r="H195" s="23" t="n">
        <f aca="false">(+VLOOKUP($A195,FIXED_CHARTER_COST,HLOOKUP(H$7,FIXED_CHARTER_COST,2,0)+1,0)+VLOOKUP($A195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0.656801585442292</v>
      </c>
      <c r="I195" s="23" t="n">
        <f aca="false">(+VLOOKUP($A195,FIXED_CHARTER_COST,HLOOKUP(I$7,FIXED_CHARTER_COST,2,0)+1,0)+VLOOKUP($A195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0.789688413446141</v>
      </c>
    </row>
    <row r="196" customFormat="false" ht="12.75" hidden="false" customHeight="false" outlineLevel="0" collapsed="false">
      <c r="A196" s="22" t="n">
        <f aca="false">+SHIPS!B212</f>
        <v>42370</v>
      </c>
      <c r="B196" s="23" t="n">
        <f aca="false">(+VLOOKUP($A196,FIXED_CHARTER_COST,HLOOKUP(B$7,FIXED_CHARTER_COST,2,0)+1,0)+VLOOKUP($A196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1.48114508087027</v>
      </c>
      <c r="C196" s="23" t="n">
        <f aca="false">(+VLOOKUP($A196,FIXED_CHARTER_COST,HLOOKUP(C$7,FIXED_CHARTER_COST,2,0)+1,0)+VLOOKUP($A196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1.61413538507073</v>
      </c>
      <c r="D196" s="23" t="n">
        <f aca="false">(+VLOOKUP($A196,FIXED_CHARTER_COST,HLOOKUP(D$7,FIXED_CHARTER_COST,2,0)+1,0)+VLOOKUP($A196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0.339998113578871</v>
      </c>
      <c r="E196" s="23" t="n">
        <f aca="false">(+VLOOKUP($A196,FIXED_CHARTER_COST,HLOOKUP(E$7,FIXED_CHARTER_COST,2,0)+1,0)+VLOOKUP($A196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0.371033297831123</v>
      </c>
      <c r="F196" s="23" t="n">
        <f aca="false">(+VLOOKUP($A196,FIXED_CHARTER_COST,HLOOKUP(F$7,FIXED_CHARTER_COST,2,0)+1,0)+VLOOKUP($A196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0.622818154263524</v>
      </c>
      <c r="G196" s="23" t="n">
        <f aca="false">(+VLOOKUP($A196,FIXED_CHARTER_COST,HLOOKUP(G$7,FIXED_CHARTER_COST,2,0)+1,0)+VLOOKUP($A196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0.757282830000526</v>
      </c>
      <c r="H196" s="23" t="n">
        <f aca="false">(+VLOOKUP($A196,FIXED_CHARTER_COST,HLOOKUP(H$7,FIXED_CHARTER_COST,2,0)+1,0)+VLOOKUP($A196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0.657256880707393</v>
      </c>
      <c r="I196" s="23" t="n">
        <f aca="false">(+VLOOKUP($A196,FIXED_CHARTER_COST,HLOOKUP(I$7,FIXED_CHARTER_COST,2,0)+1,0)+VLOOKUP($A196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0.790247184907856</v>
      </c>
    </row>
    <row r="197" customFormat="false" ht="12.75" hidden="false" customHeight="false" outlineLevel="0" collapsed="false">
      <c r="A197" s="22" t="n">
        <f aca="false">+SHIPS!B213</f>
        <v>42401</v>
      </c>
      <c r="B197" s="23" t="n">
        <f aca="false">(+VLOOKUP($A197,FIXED_CHARTER_COST,HLOOKUP(B$7,FIXED_CHARTER_COST,2,0)+1,0)+VLOOKUP($A197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1.4821405218817</v>
      </c>
      <c r="C197" s="23" t="n">
        <f aca="false">(+VLOOKUP($A197,FIXED_CHARTER_COST,HLOOKUP(C$7,FIXED_CHARTER_COST,2,0)+1,0)+VLOOKUP($A197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1.61523451785418</v>
      </c>
      <c r="D197" s="23" t="n">
        <f aca="false">(+VLOOKUP($A197,FIXED_CHARTER_COST,HLOOKUP(D$7,FIXED_CHARTER_COST,2,0)+1,0)+VLOOKUP($A197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0.340114185007447</v>
      </c>
      <c r="E197" s="23" t="n">
        <f aca="false">(+VLOOKUP($A197,FIXED_CHARTER_COST,HLOOKUP(E$7,FIXED_CHARTER_COST,2,0)+1,0)+VLOOKUP($A197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0.371159041878747</v>
      </c>
      <c r="F197" s="23" t="n">
        <f aca="false">(+VLOOKUP($A197,FIXED_CHARTER_COST,HLOOKUP(F$7,FIXED_CHARTER_COST,2,0)+1,0)+VLOOKUP($A197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0.623021279263532</v>
      </c>
      <c r="G197" s="23" t="n">
        <f aca="false">(+VLOOKUP($A197,FIXED_CHARTER_COST,HLOOKUP(G$7,FIXED_CHARTER_COST,2,0)+1,0)+VLOOKUP($A197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0.757534318095774</v>
      </c>
      <c r="H197" s="23" t="n">
        <f aca="false">(+VLOOKUP($A197,FIXED_CHARTER_COST,HLOOKUP(H$7,FIXED_CHARTER_COST,2,0)+1,0)+VLOOKUP($A197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0.657713124504296</v>
      </c>
      <c r="I197" s="23" t="n">
        <f aca="false">(+VLOOKUP($A197,FIXED_CHARTER_COST,HLOOKUP(I$7,FIXED_CHARTER_COST,2,0)+1,0)+VLOOKUP($A197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0.790807120476782</v>
      </c>
    </row>
    <row r="198" customFormat="false" ht="12.75" hidden="false" customHeight="false" outlineLevel="0" collapsed="false">
      <c r="A198" s="22" t="n">
        <f aca="false">+SHIPS!B214</f>
        <v>42430</v>
      </c>
      <c r="B198" s="23" t="n">
        <f aca="false">(+VLOOKUP($A198,FIXED_CHARTER_COST,HLOOKUP(B$7,FIXED_CHARTER_COST,2,0)+1,0)+VLOOKUP($A198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1.48313803672856</v>
      </c>
      <c r="C198" s="23" t="n">
        <f aca="false">(+VLOOKUP($A198,FIXED_CHARTER_COST,HLOOKUP(C$7,FIXED_CHARTER_COST,2,0)+1,0)+VLOOKUP($A198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1.6163359404976</v>
      </c>
      <c r="D198" s="23" t="n">
        <f aca="false">(+VLOOKUP($A198,FIXED_CHARTER_COST,HLOOKUP(D$7,FIXED_CHARTER_COST,2,0)+1,0)+VLOOKUP($A198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0.3402304982515</v>
      </c>
      <c r="E198" s="23" t="n">
        <f aca="false">(+VLOOKUP($A198,FIXED_CHARTER_COST,HLOOKUP(E$7,FIXED_CHARTER_COST,2,0)+1,0)+VLOOKUP($A198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0.371285047893137</v>
      </c>
      <c r="F198" s="23" t="n">
        <f aca="false">(+VLOOKUP($A198,FIXED_CHARTER_COST,HLOOKUP(F$7,FIXED_CHARTER_COST,2,0)+1,0)+VLOOKUP($A198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0.623224827440623</v>
      </c>
      <c r="G198" s="23" t="n">
        <f aca="false">(+VLOOKUP($A198,FIXED_CHARTER_COST,HLOOKUP(G$7,FIXED_CHARTER_COST,2,0)+1,0)+VLOOKUP($A198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0.757786330124554</v>
      </c>
      <c r="H198" s="23" t="n">
        <f aca="false">(+VLOOKUP($A198,FIXED_CHARTER_COST,HLOOKUP(H$7,FIXED_CHARTER_COST,2,0)+1,0)+VLOOKUP($A198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0.658170318809109</v>
      </c>
      <c r="I198" s="23" t="n">
        <f aca="false">(+VLOOKUP($A198,FIXED_CHARTER_COST,HLOOKUP(I$7,FIXED_CHARTER_COST,2,0)+1,0)+VLOOKUP($A198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0.791368222578144</v>
      </c>
    </row>
    <row r="199" customFormat="false" ht="12.75" hidden="false" customHeight="false" outlineLevel="0" collapsed="false">
      <c r="A199" s="22" t="n">
        <f aca="false">+SHIPS!B215</f>
        <v>42461</v>
      </c>
      <c r="B199" s="23" t="n">
        <f aca="false">(+VLOOKUP($A199,FIXED_CHARTER_COST,HLOOKUP(B$7,FIXED_CHARTER_COST,2,0)+1,0)+VLOOKUP($A199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1.48413762973136</v>
      </c>
      <c r="C199" s="23" t="n">
        <f aca="false">(+VLOOKUP($A199,FIXED_CHARTER_COST,HLOOKUP(C$7,FIXED_CHARTER_COST,2,0)+1,0)+VLOOKUP($A199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1.61743965777152</v>
      </c>
      <c r="D199" s="23" t="n">
        <f aca="false">(+VLOOKUP($A199,FIXED_CHARTER_COST,HLOOKUP(D$7,FIXED_CHARTER_COST,2,0)+1,0)+VLOOKUP($A199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0.34034705381481</v>
      </c>
      <c r="E199" s="23" t="n">
        <f aca="false">(+VLOOKUP($A199,FIXED_CHARTER_COST,HLOOKUP(E$7,FIXED_CHARTER_COST,2,0)+1,0)+VLOOKUP($A199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0.371411316420057</v>
      </c>
      <c r="F199" s="23" t="n">
        <f aca="false">(+VLOOKUP($A199,FIXED_CHARTER_COST,HLOOKUP(F$7,FIXED_CHARTER_COST,2,0)+1,0)+VLOOKUP($A199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0.623428799676417</v>
      </c>
      <c r="G199" s="23" t="n">
        <f aca="false">(+VLOOKUP($A199,FIXED_CHARTER_COST,HLOOKUP(G$7,FIXED_CHARTER_COST,2,0)+1,0)+VLOOKUP($A199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0.758038867178393</v>
      </c>
      <c r="H199" s="23" t="n">
        <f aca="false">(+VLOOKUP($A199,FIXED_CHARTER_COST,HLOOKUP(H$7,FIXED_CHARTER_COST,2,0)+1,0)+VLOOKUP($A199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0.658628465602057</v>
      </c>
      <c r="I199" s="23" t="n">
        <f aca="false">(+VLOOKUP($A199,FIXED_CHARTER_COST,HLOOKUP(I$7,FIXED_CHARTER_COST,2,0)+1,0)+VLOOKUP($A199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0.791930493642217</v>
      </c>
    </row>
    <row r="200" customFormat="false" ht="12.75" hidden="false" customHeight="false" outlineLevel="0" collapsed="false">
      <c r="A200" s="22" t="n">
        <f aca="false">+SHIPS!B216</f>
        <v>42491</v>
      </c>
      <c r="B200" s="23" t="n">
        <f aca="false">(+VLOOKUP($A200,FIXED_CHARTER_COST,HLOOKUP(B$7,FIXED_CHARTER_COST,2,0)+1,0)+VLOOKUP($A200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1.48513930521958</v>
      </c>
      <c r="C200" s="23" t="n">
        <f aca="false">(+VLOOKUP($A200,FIXED_CHARTER_COST,HLOOKUP(C$7,FIXED_CHARTER_COST,2,0)+1,0)+VLOOKUP($A200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1.61854567445642</v>
      </c>
      <c r="D200" s="23" t="n">
        <f aca="false">(+VLOOKUP($A200,FIXED_CHARTER_COST,HLOOKUP(D$7,FIXED_CHARTER_COST,2,0)+1,0)+VLOOKUP($A200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0.340463852202211</v>
      </c>
      <c r="E200" s="23" t="n">
        <f aca="false">(+VLOOKUP($A200,FIXED_CHARTER_COST,HLOOKUP(E$7,FIXED_CHARTER_COST,2,0)+1,0)+VLOOKUP($A200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0.371537848006408</v>
      </c>
      <c r="F200" s="23" t="n">
        <f aca="false">(+VLOOKUP($A200,FIXED_CHARTER_COST,HLOOKUP(F$7,FIXED_CHARTER_COST,2,0)+1,0)+VLOOKUP($A200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0.623633196854368</v>
      </c>
      <c r="G200" s="23" t="n">
        <f aca="false">(+VLOOKUP($A200,FIXED_CHARTER_COST,HLOOKUP(G$7,FIXED_CHARTER_COST,2,0)+1,0)+VLOOKUP($A200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0.758291930351095</v>
      </c>
      <c r="H200" s="23" t="n">
        <f aca="false">(+VLOOKUP($A200,FIXED_CHARTER_COST,HLOOKUP(H$7,FIXED_CHARTER_COST,2,0)+1,0)+VLOOKUP($A200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0.659087566867491</v>
      </c>
      <c r="I200" s="23" t="n">
        <f aca="false">(+VLOOKUP($A200,FIXED_CHARTER_COST,HLOOKUP(I$7,FIXED_CHARTER_COST,2,0)+1,0)+VLOOKUP($A200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0.79249393610434</v>
      </c>
    </row>
    <row r="201" customFormat="false" ht="12.75" hidden="false" customHeight="false" outlineLevel="0" collapsed="false">
      <c r="A201" s="22" t="n">
        <f aca="false">+SHIPS!B217</f>
        <v>42522</v>
      </c>
      <c r="B201" s="23" t="n">
        <f aca="false">(+VLOOKUP($A201,FIXED_CHARTER_COST,HLOOKUP(B$7,FIXED_CHARTER_COST,2,0)+1,0)+VLOOKUP($A201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1.48614306753173</v>
      </c>
      <c r="C201" s="23" t="n">
        <f aca="false">(+VLOOKUP($A201,FIXED_CHARTER_COST,HLOOKUP(C$7,FIXED_CHARTER_COST,2,0)+1,0)+VLOOKUP($A201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1.61965399534276</v>
      </c>
      <c r="D201" s="23" t="n">
        <f aca="false">(+VLOOKUP($A201,FIXED_CHARTER_COST,HLOOKUP(D$7,FIXED_CHARTER_COST,2,0)+1,0)+VLOOKUP($A201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0.340580893919586</v>
      </c>
      <c r="E201" s="23" t="n">
        <f aca="false">(+VLOOKUP($A201,FIXED_CHARTER_COST,HLOOKUP(E$7,FIXED_CHARTER_COST,2,0)+1,0)+VLOOKUP($A201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0.37166464320023</v>
      </c>
      <c r="F201" s="23" t="n">
        <f aca="false">(+VLOOKUP($A201,FIXED_CHARTER_COST,HLOOKUP(F$7,FIXED_CHARTER_COST,2,0)+1,0)+VLOOKUP($A201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0.623838019859774</v>
      </c>
      <c r="G201" s="23" t="n">
        <f aca="false">(+VLOOKUP($A201,FIXED_CHARTER_COST,HLOOKUP(G$7,FIXED_CHARTER_COST,2,0)+1,0)+VLOOKUP($A201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0.75854552073874</v>
      </c>
      <c r="H201" s="23" t="n">
        <f aca="false">(+VLOOKUP($A201,FIXED_CHARTER_COST,HLOOKUP(H$7,FIXED_CHARTER_COST,2,0)+1,0)+VLOOKUP($A201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0.659547624593894</v>
      </c>
      <c r="I201" s="23" t="n">
        <f aca="false">(+VLOOKUP($A201,FIXED_CHARTER_COST,HLOOKUP(I$7,FIXED_CHARTER_COST,2,0)+1,0)+VLOOKUP($A201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0.793058552404926</v>
      </c>
    </row>
    <row r="202" customFormat="false" ht="12.75" hidden="false" customHeight="false" outlineLevel="0" collapsed="false">
      <c r="A202" s="22" t="n">
        <f aca="false">+SHIPS!B218</f>
        <v>42552</v>
      </c>
      <c r="B202" s="23" t="n">
        <f aca="false">(+VLOOKUP($A202,FIXED_CHARTER_COST,HLOOKUP(B$7,FIXED_CHARTER_COST,2,0)+1,0)+VLOOKUP($A202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1.48714892101536</v>
      </c>
      <c r="C202" s="23" t="n">
        <f aca="false">(+VLOOKUP($A202,FIXED_CHARTER_COST,HLOOKUP(C$7,FIXED_CHARTER_COST,2,0)+1,0)+VLOOKUP($A202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1.62076462523094</v>
      </c>
      <c r="D202" s="23" t="n">
        <f aca="false">(+VLOOKUP($A202,FIXED_CHARTER_COST,HLOOKUP(D$7,FIXED_CHARTER_COST,2,0)+1,0)+VLOOKUP($A202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0.340698179473872</v>
      </c>
      <c r="E202" s="23" t="n">
        <f aca="false">(+VLOOKUP($A202,FIXED_CHARTER_COST,HLOOKUP(E$7,FIXED_CHARTER_COST,2,0)+1,0)+VLOOKUP($A202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0.371791702550707</v>
      </c>
      <c r="F202" s="23" t="n">
        <f aca="false">(+VLOOKUP($A202,FIXED_CHARTER_COST,HLOOKUP(F$7,FIXED_CHARTER_COST,2,0)+1,0)+VLOOKUP($A202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0.624043269579774</v>
      </c>
      <c r="G202" s="23" t="n">
        <f aca="false">(+VLOOKUP($A202,FIXED_CHARTER_COST,HLOOKUP(G$7,FIXED_CHARTER_COST,2,0)+1,0)+VLOOKUP($A202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0.758799639439693</v>
      </c>
      <c r="H202" s="23" t="n">
        <f aca="false">(+VLOOKUP($A202,FIXED_CHARTER_COST,HLOOKUP(H$7,FIXED_CHARTER_COST,2,0)+1,0)+VLOOKUP($A202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0.660008640773894</v>
      </c>
      <c r="I202" s="23" t="n">
        <f aca="false">(+VLOOKUP($A202,FIXED_CHARTER_COST,HLOOKUP(I$7,FIXED_CHARTER_COST,2,0)+1,0)+VLOOKUP($A202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0.793624344989471</v>
      </c>
    </row>
    <row r="203" customFormat="false" ht="12.75" hidden="false" customHeight="false" outlineLevel="0" collapsed="false">
      <c r="A203" s="22" t="n">
        <f aca="false">+SHIPS!B219</f>
        <v>42583</v>
      </c>
      <c r="B203" s="23" t="n">
        <f aca="false">(+VLOOKUP($A203,FIXED_CHARTER_COST,HLOOKUP(B$7,FIXED_CHARTER_COST,2,0)+1,0)+VLOOKUP($A203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1.48815687002709</v>
      </c>
      <c r="C203" s="23" t="n">
        <f aca="false">(+VLOOKUP($A203,FIXED_CHARTER_COST,HLOOKUP(C$7,FIXED_CHARTER_COST,2,0)+1,0)+VLOOKUP($A203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1.62187756893139</v>
      </c>
      <c r="D203" s="23" t="n">
        <f aca="false">(+VLOOKUP($A203,FIXED_CHARTER_COST,HLOOKUP(D$7,FIXED_CHARTER_COST,2,0)+1,0)+VLOOKUP($A203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0.340815709373062</v>
      </c>
      <c r="E203" s="23" t="n">
        <f aca="false">(+VLOOKUP($A203,FIXED_CHARTER_COST,HLOOKUP(E$7,FIXED_CHARTER_COST,2,0)+1,0)+VLOOKUP($A203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0.371919026608163</v>
      </c>
      <c r="F203" s="23" t="n">
        <f aca="false">(+VLOOKUP($A203,FIXED_CHARTER_COST,HLOOKUP(F$7,FIXED_CHARTER_COST,2,0)+1,0)+VLOOKUP($A203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0.624248946903358</v>
      </c>
      <c r="G203" s="23" t="n">
        <f aca="false">(+VLOOKUP($A203,FIXED_CHARTER_COST,HLOOKUP(G$7,FIXED_CHARTER_COST,2,0)+1,0)+VLOOKUP($A203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0.759054287554606</v>
      </c>
      <c r="H203" s="23" t="n">
        <f aca="false">(+VLOOKUP($A203,FIXED_CHARTER_COST,HLOOKUP(H$7,FIXED_CHARTER_COST,2,0)+1,0)+VLOOKUP($A203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0.660470617404269</v>
      </c>
      <c r="I203" s="23" t="n">
        <f aca="false">(+VLOOKUP($A203,FIXED_CHARTER_COST,HLOOKUP(I$7,FIXED_CHARTER_COST,2,0)+1,0)+VLOOKUP($A203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0.794191316308568</v>
      </c>
    </row>
    <row r="204" customFormat="false" ht="12.75" hidden="false" customHeight="false" outlineLevel="0" collapsed="false">
      <c r="A204" s="22" t="n">
        <f aca="false">+SHIPS!B220</f>
        <v>42614</v>
      </c>
      <c r="B204" s="23" t="n">
        <f aca="false">(+VLOOKUP($A204,FIXED_CHARTER_COST,HLOOKUP(B$7,FIXED_CHARTER_COST,2,0)+1,0)+VLOOKUP($A204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1.48916691893259</v>
      </c>
      <c r="C204" s="23" t="n">
        <f aca="false">(+VLOOKUP($A204,FIXED_CHARTER_COST,HLOOKUP(C$7,FIXED_CHARTER_COST,2,0)+1,0)+VLOOKUP($A204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1.62299283126455</v>
      </c>
      <c r="D204" s="23" t="n">
        <f aca="false">(+VLOOKUP($A204,FIXED_CHARTER_COST,HLOOKUP(D$7,FIXED_CHARTER_COST,2,0)+1,0)+VLOOKUP($A204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0.340933484126209</v>
      </c>
      <c r="E204" s="23" t="n">
        <f aca="false">(+VLOOKUP($A204,FIXED_CHARTER_COST,HLOOKUP(E$7,FIXED_CHARTER_COST,2,0)+1,0)+VLOOKUP($A204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0.372046615924073</v>
      </c>
      <c r="F204" s="23" t="n">
        <f aca="false">(+VLOOKUP($A204,FIXED_CHARTER_COST,HLOOKUP(F$7,FIXED_CHARTER_COST,2,0)+1,0)+VLOOKUP($A204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0.624455052721366</v>
      </c>
      <c r="G204" s="23" t="n">
        <f aca="false">(+VLOOKUP($A204,FIXED_CHARTER_COST,HLOOKUP(G$7,FIXED_CHARTER_COST,2,0)+1,0)+VLOOKUP($A204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0.759309466186425</v>
      </c>
      <c r="H204" s="23" t="n">
        <f aca="false">(+VLOOKUP($A204,FIXED_CHARTER_COST,HLOOKUP(H$7,FIXED_CHARTER_COST,2,0)+1,0)+VLOOKUP($A204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0.660933556485957</v>
      </c>
      <c r="I204" s="23" t="n">
        <f aca="false">(+VLOOKUP($A204,FIXED_CHARTER_COST,HLOOKUP(I$7,FIXED_CHARTER_COST,2,0)+1,0)+VLOOKUP($A204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0.794759468817912</v>
      </c>
    </row>
    <row r="205" customFormat="false" ht="12.75" hidden="false" customHeight="false" outlineLevel="0" collapsed="false">
      <c r="A205" s="22" t="n">
        <f aca="false">+SHIPS!B221</f>
        <v>42644</v>
      </c>
      <c r="B205" s="23" t="n">
        <f aca="false">(+VLOOKUP($A205,FIXED_CHARTER_COST,HLOOKUP(B$7,FIXED_CHARTER_COST,2,0)+1,0)+VLOOKUP($A205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1.49017907210665</v>
      </c>
      <c r="C205" s="23" t="n">
        <f aca="false">(+VLOOKUP($A205,FIXED_CHARTER_COST,HLOOKUP(C$7,FIXED_CHARTER_COST,2,0)+1,0)+VLOOKUP($A205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1.6241104170609</v>
      </c>
      <c r="D205" s="23" t="n">
        <f aca="false">(+VLOOKUP($A205,FIXED_CHARTER_COST,HLOOKUP(D$7,FIXED_CHARTER_COST,2,0)+1,0)+VLOOKUP($A205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0.341051504243426</v>
      </c>
      <c r="E205" s="23" t="n">
        <f aca="false">(+VLOOKUP($A205,FIXED_CHARTER_COST,HLOOKUP(E$7,FIXED_CHARTER_COST,2,0)+1,0)+VLOOKUP($A205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0.372174471051057</v>
      </c>
      <c r="F205" s="23" t="n">
        <f aca="false">(+VLOOKUP($A205,FIXED_CHARTER_COST,HLOOKUP(F$7,FIXED_CHARTER_COST,2,0)+1,0)+VLOOKUP($A205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0.624661587926494</v>
      </c>
      <c r="G205" s="23" t="n">
        <f aca="false">(+VLOOKUP($A205,FIXED_CHARTER_COST,HLOOKUP(G$7,FIXED_CHARTER_COST,2,0)+1,0)+VLOOKUP($A205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0.759565176440394</v>
      </c>
      <c r="H205" s="23" t="n">
        <f aca="false">(+VLOOKUP($A205,FIXED_CHARTER_COST,HLOOKUP(H$7,FIXED_CHARTER_COST,2,0)+1,0)+VLOOKUP($A205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0.661397460024066</v>
      </c>
      <c r="I205" s="23" t="n">
        <f aca="false">(+VLOOKUP($A205,FIXED_CHARTER_COST,HLOOKUP(I$7,FIXED_CHARTER_COST,2,0)+1,0)+VLOOKUP($A205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0.795328804978318</v>
      </c>
    </row>
    <row r="206" customFormat="false" ht="12.75" hidden="false" customHeight="false" outlineLevel="0" collapsed="false">
      <c r="A206" s="22" t="n">
        <f aca="false">+SHIPS!B222</f>
        <v>42675</v>
      </c>
      <c r="B206" s="23" t="n">
        <f aca="false">(+VLOOKUP($A206,FIXED_CHARTER_COST,HLOOKUP(B$7,FIXED_CHARTER_COST,2,0)+1,0)+VLOOKUP($A206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1.49119333393315</v>
      </c>
      <c r="C206" s="23" t="n">
        <f aca="false">(+VLOOKUP($A206,FIXED_CHARTER_COST,HLOOKUP(C$7,FIXED_CHARTER_COST,2,0)+1,0)+VLOOKUP($A206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1.625230331161</v>
      </c>
      <c r="D206" s="23" t="n">
        <f aca="false">(+VLOOKUP($A206,FIXED_CHARTER_COST,HLOOKUP(D$7,FIXED_CHARTER_COST,2,0)+1,0)+VLOOKUP($A206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0.341169770235886</v>
      </c>
      <c r="E206" s="23" t="n">
        <f aca="false">(+VLOOKUP($A206,FIXED_CHARTER_COST,HLOOKUP(E$7,FIXED_CHARTER_COST,2,0)+1,0)+VLOOKUP($A206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0.372302592542889</v>
      </c>
      <c r="F206" s="23" t="n">
        <f aca="false">(+VLOOKUP($A206,FIXED_CHARTER_COST,HLOOKUP(F$7,FIXED_CHARTER_COST,2,0)+1,0)+VLOOKUP($A206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0.6248685534133</v>
      </c>
      <c r="G206" s="23" t="n">
        <f aca="false">(+VLOOKUP($A206,FIXED_CHARTER_COST,HLOOKUP(G$7,FIXED_CHARTER_COST,2,0)+1,0)+VLOOKUP($A206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0.759821419424058</v>
      </c>
      <c r="H206" s="23" t="n">
        <f aca="false">(+VLOOKUP($A206,FIXED_CHARTER_COST,HLOOKUP(H$7,FIXED_CHARTER_COST,2,0)+1,0)+VLOOKUP($A206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0.661862330027879</v>
      </c>
      <c r="I206" s="23" t="n">
        <f aca="false">(+VLOOKUP($A206,FIXED_CHARTER_COST,HLOOKUP(I$7,FIXED_CHARTER_COST,2,0)+1,0)+VLOOKUP($A206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0.795899327255725</v>
      </c>
    </row>
    <row r="207" customFormat="false" ht="12.75" hidden="false" customHeight="false" outlineLevel="0" collapsed="false">
      <c r="A207" s="22" t="n">
        <f aca="false">+SHIPS!B223</f>
        <v>42705</v>
      </c>
      <c r="B207" s="23" t="n">
        <f aca="false">(+VLOOKUP($A207,FIXED_CHARTER_COST,HLOOKUP(B$7,FIXED_CHARTER_COST,2,0)+1,0)+VLOOKUP($A207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1.49220970880512</v>
      </c>
      <c r="C207" s="23" t="n">
        <f aca="false">(+VLOOKUP($A207,FIXED_CHARTER_COST,HLOOKUP(C$7,FIXED_CHARTER_COST,2,0)+1,0)+VLOOKUP($A207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1.62635257841546</v>
      </c>
      <c r="D207" s="23" t="n">
        <f aca="false">(+VLOOKUP($A207,FIXED_CHARTER_COST,HLOOKUP(D$7,FIXED_CHARTER_COST,2,0)+1,0)+VLOOKUP($A207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0.341288282615831</v>
      </c>
      <c r="E207" s="23" t="n">
        <f aca="false">(+VLOOKUP($A207,FIXED_CHARTER_COST,HLOOKUP(E$7,FIXED_CHARTER_COST,2,0)+1,0)+VLOOKUP($A207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0.372430980954496</v>
      </c>
      <c r="F207" s="23" t="n">
        <f aca="false">(+VLOOKUP($A207,FIXED_CHARTER_COST,HLOOKUP(F$7,FIXED_CHARTER_COST,2,0)+1,0)+VLOOKUP($A207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0.625075950078203</v>
      </c>
      <c r="G207" s="23" t="n">
        <f aca="false">(+VLOOKUP($A207,FIXED_CHARTER_COST,HLOOKUP(G$7,FIXED_CHARTER_COST,2,0)+1,0)+VLOOKUP($A207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0.760078196247272</v>
      </c>
      <c r="H207" s="23" t="n">
        <f aca="false">(+VLOOKUP($A207,FIXED_CHARTER_COST,HLOOKUP(H$7,FIXED_CHARTER_COST,2,0)+1,0)+VLOOKUP($A207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0.662328168510866</v>
      </c>
      <c r="I207" s="23" t="n">
        <f aca="false">(+VLOOKUP($A207,FIXED_CHARTER_COST,HLOOKUP(I$7,FIXED_CHARTER_COST,2,0)+1,0)+VLOOKUP($A207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0.79647103812121</v>
      </c>
    </row>
    <row r="208" customFormat="false" ht="12.75" hidden="false" customHeight="false" outlineLevel="0" collapsed="false">
      <c r="A208" s="22" t="n">
        <f aca="false">+SHIPS!B224</f>
        <v>42736</v>
      </c>
      <c r="B208" s="23" t="n">
        <f aca="false">(+VLOOKUP($A208,FIXED_CHARTER_COST,HLOOKUP(B$7,FIXED_CHARTER_COST,2,0)+1,0)+VLOOKUP($A208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1.49322820112474</v>
      </c>
      <c r="C208" s="23" t="n">
        <f aca="false">(+VLOOKUP($A208,FIXED_CHARTER_COST,HLOOKUP(C$7,FIXED_CHARTER_COST,2,0)+1,0)+VLOOKUP($A208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1.62747716368505</v>
      </c>
      <c r="D208" s="23" t="n">
        <f aca="false">(+VLOOKUP($A208,FIXED_CHARTER_COST,HLOOKUP(D$7,FIXED_CHARTER_COST,2,0)+1,0)+VLOOKUP($A208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0.341407041896567</v>
      </c>
      <c r="E208" s="23" t="n">
        <f aca="false">(+VLOOKUP($A208,FIXED_CHARTER_COST,HLOOKUP(E$7,FIXED_CHARTER_COST,2,0)+1,0)+VLOOKUP($A208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0.372559636841961</v>
      </c>
      <c r="F208" s="23" t="n">
        <f aca="false">(+VLOOKUP($A208,FIXED_CHARTER_COST,HLOOKUP(F$7,FIXED_CHARTER_COST,2,0)+1,0)+VLOOKUP($A208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0.625283778819492</v>
      </c>
      <c r="G208" s="23" t="n">
        <f aca="false">(+VLOOKUP($A208,FIXED_CHARTER_COST,HLOOKUP(G$7,FIXED_CHARTER_COST,2,0)+1,0)+VLOOKUP($A208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0.760335508022201</v>
      </c>
      <c r="H208" s="23" t="n">
        <f aca="false">(+VLOOKUP($A208,FIXED_CHARTER_COST,HLOOKUP(H$7,FIXED_CHARTER_COST,2,0)+1,0)+VLOOKUP($A208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0.662794977490693</v>
      </c>
      <c r="I208" s="23" t="n">
        <f aca="false">(+VLOOKUP($A208,FIXED_CHARTER_COST,HLOOKUP(I$7,FIXED_CHARTER_COST,2,0)+1,0)+VLOOKUP($A208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0.797043940050997</v>
      </c>
    </row>
    <row r="209" customFormat="false" ht="12.75" hidden="false" customHeight="false" outlineLevel="0" collapsed="false">
      <c r="A209" s="22" t="n">
        <f aca="false">+SHIPS!B225</f>
        <v>42767</v>
      </c>
      <c r="B209" s="23" t="n">
        <f aca="false">(+VLOOKUP($A209,FIXED_CHARTER_COST,HLOOKUP(B$7,FIXED_CHARTER_COST,2,0)+1,0)+VLOOKUP($A209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1.49424881530337</v>
      </c>
      <c r="C209" s="23" t="n">
        <f aca="false">(+VLOOKUP($A209,FIXED_CHARTER_COST,HLOOKUP(C$7,FIXED_CHARTER_COST,2,0)+1,0)+VLOOKUP($A209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1.62860409184061</v>
      </c>
      <c r="D209" s="23" t="n">
        <f aca="false">(+VLOOKUP($A209,FIXED_CHARTER_COST,HLOOKUP(D$7,FIXED_CHARTER_COST,2,0)+1,0)+VLOOKUP($A209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0.341526048592472</v>
      </c>
      <c r="E209" s="23" t="n">
        <f aca="false">(+VLOOKUP($A209,FIXED_CHARTER_COST,HLOOKUP(E$7,FIXED_CHARTER_COST,2,0)+1,0)+VLOOKUP($A209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0.372688560762524</v>
      </c>
      <c r="F209" s="23" t="n">
        <f aca="false">(+VLOOKUP($A209,FIXED_CHARTER_COST,HLOOKUP(F$7,FIXED_CHARTER_COST,2,0)+1,0)+VLOOKUP($A209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0.625492040537325</v>
      </c>
      <c r="G209" s="23" t="n">
        <f aca="false">(+VLOOKUP($A209,FIXED_CHARTER_COST,HLOOKUP(G$7,FIXED_CHARTER_COST,2,0)+1,0)+VLOOKUP($A209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0.760593355863327</v>
      </c>
      <c r="H209" s="23" t="n">
        <f aca="false">(+VLOOKUP($A209,FIXED_CHARTER_COST,HLOOKUP(H$7,FIXED_CHARTER_COST,2,0)+1,0)+VLOOKUP($A209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0.663262758989228</v>
      </c>
      <c r="I209" s="23" t="n">
        <f aca="false">(+VLOOKUP($A209,FIXED_CHARTER_COST,HLOOKUP(I$7,FIXED_CHARTER_COST,2,0)+1,0)+VLOOKUP($A209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0.797618035526472</v>
      </c>
    </row>
    <row r="210" customFormat="false" ht="12.75" hidden="false" customHeight="false" outlineLevel="0" collapsed="false">
      <c r="A210" s="22" t="n">
        <f aca="false">+SHIPS!B226</f>
        <v>42795</v>
      </c>
      <c r="B210" s="23" t="n">
        <f aca="false">(+VLOOKUP($A210,FIXED_CHARTER_COST,HLOOKUP(B$7,FIXED_CHARTER_COST,2,0)+1,0)+VLOOKUP($A210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1.49527155576153</v>
      </c>
      <c r="C210" s="23" t="n">
        <f aca="false">(+VLOOKUP($A210,FIXED_CHARTER_COST,HLOOKUP(C$7,FIXED_CHARTER_COST,2,0)+1,0)+VLOOKUP($A210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1.62973336776316</v>
      </c>
      <c r="D210" s="23" t="n">
        <f aca="false">(+VLOOKUP($A210,FIXED_CHARTER_COST,HLOOKUP(D$7,FIXED_CHARTER_COST,2,0)+1,0)+VLOOKUP($A210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0.341645303218993</v>
      </c>
      <c r="E210" s="23" t="n">
        <f aca="false">(+VLOOKUP($A210,FIXED_CHARTER_COST,HLOOKUP(E$7,FIXED_CHARTER_COST,2,0)+1,0)+VLOOKUP($A210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0.372817753274588</v>
      </c>
      <c r="F210" s="23" t="n">
        <f aca="false">(+VLOOKUP($A210,FIXED_CHARTER_COST,HLOOKUP(F$7,FIXED_CHARTER_COST,2,0)+1,0)+VLOOKUP($A210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0.625700736133737</v>
      </c>
      <c r="G210" s="23" t="n">
        <f aca="false">(+VLOOKUP($A210,FIXED_CHARTER_COST,HLOOKUP(G$7,FIXED_CHARTER_COST,2,0)+1,0)+VLOOKUP($A210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0.760851740887456</v>
      </c>
      <c r="H210" s="23" t="n">
        <f aca="false">(+VLOOKUP($A210,FIXED_CHARTER_COST,HLOOKUP(H$7,FIXED_CHARTER_COST,2,0)+1,0)+VLOOKUP($A210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0.663731515032552</v>
      </c>
      <c r="I210" s="23" t="n">
        <f aca="false">(+VLOOKUP($A210,FIXED_CHARTER_COST,HLOOKUP(I$7,FIXED_CHARTER_COST,2,0)+1,0)+VLOOKUP($A210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0.798193327034187</v>
      </c>
    </row>
    <row r="211" customFormat="false" ht="12.75" hidden="false" customHeight="false" outlineLevel="0" collapsed="false">
      <c r="A211" s="22" t="n">
        <f aca="false">+SHIPS!B227</f>
        <v>42826</v>
      </c>
      <c r="B211" s="23" t="n">
        <f aca="false">(+VLOOKUP($A211,FIXED_CHARTER_COST,HLOOKUP(B$7,FIXED_CHARTER_COST,2,0)+1,0)+VLOOKUP($A211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1.49629642692897</v>
      </c>
      <c r="C211" s="23" t="n">
        <f aca="false">(+VLOOKUP($A211,FIXED_CHARTER_COST,HLOOKUP(C$7,FIXED_CHARTER_COST,2,0)+1,0)+VLOOKUP($A211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1.63086499634389</v>
      </c>
      <c r="D211" s="23" t="n">
        <f aca="false">(+VLOOKUP($A211,FIXED_CHARTER_COST,HLOOKUP(D$7,FIXED_CHARTER_COST,2,0)+1,0)+VLOOKUP($A211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0.341764806292653</v>
      </c>
      <c r="E211" s="23" t="n">
        <f aca="false">(+VLOOKUP($A211,FIXED_CHARTER_COST,HLOOKUP(E$7,FIXED_CHARTER_COST,2,0)+1,0)+VLOOKUP($A211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0.37294721493772</v>
      </c>
      <c r="F211" s="23" t="n">
        <f aca="false">(+VLOOKUP($A211,FIXED_CHARTER_COST,HLOOKUP(F$7,FIXED_CHARTER_COST,2,0)+1,0)+VLOOKUP($A211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0.625909866512641</v>
      </c>
      <c r="G211" s="23" t="n">
        <f aca="false">(+VLOOKUP($A211,FIXED_CHARTER_COST,HLOOKUP(G$7,FIXED_CHARTER_COST,2,0)+1,0)+VLOOKUP($A211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0.761110664213719</v>
      </c>
      <c r="H211" s="23" t="n">
        <f aca="false">(+VLOOKUP($A211,FIXED_CHARTER_COST,HLOOKUP(H$7,FIXED_CHARTER_COST,2,0)+1,0)+VLOOKUP($A211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0.664201247650966</v>
      </c>
      <c r="I211" s="23" t="n">
        <f aca="false">(+VLOOKUP($A211,FIXED_CHARTER_COST,HLOOKUP(I$7,FIXED_CHARTER_COST,2,0)+1,0)+VLOOKUP($A211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0.798769817065877</v>
      </c>
    </row>
    <row r="212" customFormat="false" ht="12.75" hidden="false" customHeight="false" outlineLevel="0" collapsed="false">
      <c r="A212" s="22" t="n">
        <f aca="false">+SHIPS!B228</f>
        <v>42856</v>
      </c>
      <c r="B212" s="23" t="n">
        <f aca="false">(+VLOOKUP($A212,FIXED_CHARTER_COST,HLOOKUP(B$7,FIXED_CHARTER_COST,2,0)+1,0)+VLOOKUP($A212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1.49732343324469</v>
      </c>
      <c r="C212" s="23" t="n">
        <f aca="false">(+VLOOKUP($A212,FIXED_CHARTER_COST,HLOOKUP(C$7,FIXED_CHARTER_COST,2,0)+1,0)+VLOOKUP($A212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1.63199898248415</v>
      </c>
      <c r="D212" s="23" t="n">
        <f aca="false">(+VLOOKUP($A212,FIXED_CHARTER_COST,HLOOKUP(D$7,FIXED_CHARTER_COST,2,0)+1,0)+VLOOKUP($A212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0.341884558331049</v>
      </c>
      <c r="E212" s="23" t="n">
        <f aca="false">(+VLOOKUP($A212,FIXED_CHARTER_COST,HLOOKUP(E$7,FIXED_CHARTER_COST,2,0)+1,0)+VLOOKUP($A212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0.373076946312649</v>
      </c>
      <c r="F212" s="23" t="n">
        <f aca="false">(+VLOOKUP($A212,FIXED_CHARTER_COST,HLOOKUP(F$7,FIXED_CHARTER_COST,2,0)+1,0)+VLOOKUP($A212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0.626119432579835</v>
      </c>
      <c r="G212" s="23" t="n">
        <f aca="false">(+VLOOKUP($A212,FIXED_CHARTER_COST,HLOOKUP(G$7,FIXED_CHARTER_COST,2,0)+1,0)+VLOOKUP($A212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0.761370126963578</v>
      </c>
      <c r="H212" s="23" t="n">
        <f aca="false">(+VLOOKUP($A212,FIXED_CHARTER_COST,HLOOKUP(H$7,FIXED_CHARTER_COST,2,0)+1,0)+VLOOKUP($A212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0.664671958879001</v>
      </c>
      <c r="I212" s="23" t="n">
        <f aca="false">(+VLOOKUP($A212,FIXED_CHARTER_COST,HLOOKUP(I$7,FIXED_CHARTER_COST,2,0)+1,0)+VLOOKUP($A212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0.799347508118466</v>
      </c>
    </row>
    <row r="213" customFormat="false" ht="12.75" hidden="false" customHeight="false" outlineLevel="0" collapsed="false">
      <c r="A213" s="22" t="n">
        <f aca="false">+SHIPS!B229</f>
        <v>42887</v>
      </c>
      <c r="B213" s="23" t="n">
        <f aca="false">(+VLOOKUP($A213,FIXED_CHARTER_COST,HLOOKUP(B$7,FIXED_CHARTER_COST,2,0)+1,0)+VLOOKUP($A213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1.49835257915689</v>
      </c>
      <c r="C213" s="23" t="n">
        <f aca="false">(+VLOOKUP($A213,FIXED_CHARTER_COST,HLOOKUP(C$7,FIXED_CHARTER_COST,2,0)+1,0)+VLOOKUP($A213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1.63313533109555</v>
      </c>
      <c r="D213" s="23" t="n">
        <f aca="false">(+VLOOKUP($A213,FIXED_CHARTER_COST,HLOOKUP(D$7,FIXED_CHARTER_COST,2,0)+1,0)+VLOOKUP($A213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0.342004559852859</v>
      </c>
      <c r="E213" s="23" t="n">
        <f aca="false">(+VLOOKUP($A213,FIXED_CHARTER_COST,HLOOKUP(E$7,FIXED_CHARTER_COST,2,0)+1,0)+VLOOKUP($A213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0.373206947961276</v>
      </c>
      <c r="F213" s="23" t="n">
        <f aca="false">(+VLOOKUP($A213,FIXED_CHARTER_COST,HLOOKUP(F$7,FIXED_CHARTER_COST,2,0)+1,0)+VLOOKUP($A213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0.626329435243002</v>
      </c>
      <c r="G213" s="23" t="n">
        <f aca="false">(+VLOOKUP($A213,FIXED_CHARTER_COST,HLOOKUP(G$7,FIXED_CHARTER_COST,2,0)+1,0)+VLOOKUP($A213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0.761630130260832</v>
      </c>
      <c r="H213" s="23" t="n">
        <f aca="false">(+VLOOKUP($A213,FIXED_CHARTER_COST,HLOOKUP(H$7,FIXED_CHARTER_COST,2,0)+1,0)+VLOOKUP($A213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0.665143650755429</v>
      </c>
      <c r="I213" s="23" t="n">
        <f aca="false">(+VLOOKUP($A213,FIXED_CHARTER_COST,HLOOKUP(I$7,FIXED_CHARTER_COST,2,0)+1,0)+VLOOKUP($A213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0.799926402694081</v>
      </c>
    </row>
    <row r="214" customFormat="false" ht="12.75" hidden="false" customHeight="false" outlineLevel="0" collapsed="false">
      <c r="A214" s="22" t="n">
        <f aca="false">+SHIPS!B230</f>
        <v>42917</v>
      </c>
      <c r="B214" s="23" t="n">
        <f aca="false">(+VLOOKUP($A214,FIXED_CHARTER_COST,HLOOKUP(B$7,FIXED_CHARTER_COST,2,0)+1,0)+VLOOKUP($A214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1.49938386912308</v>
      </c>
      <c r="C214" s="23" t="n">
        <f aca="false">(+VLOOKUP($A214,FIXED_CHARTER_COST,HLOOKUP(C$7,FIXED_CHARTER_COST,2,0)+1,0)+VLOOKUP($A214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1.63427404709988</v>
      </c>
      <c r="D214" s="23" t="n">
        <f aca="false">(+VLOOKUP($A214,FIXED_CHARTER_COST,HLOOKUP(D$7,FIXED_CHARTER_COST,2,0)+1,0)+VLOOKUP($A214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0.342124811377839</v>
      </c>
      <c r="E214" s="23" t="n">
        <f aca="false">(+VLOOKUP($A214,FIXED_CHARTER_COST,HLOOKUP(E$7,FIXED_CHARTER_COST,2,0)+1,0)+VLOOKUP($A214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0.373337220446671</v>
      </c>
      <c r="F214" s="23" t="n">
        <f aca="false">(+VLOOKUP($A214,FIXED_CHARTER_COST,HLOOKUP(F$7,FIXED_CHARTER_COST,2,0)+1,0)+VLOOKUP($A214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0.626539875411717</v>
      </c>
      <c r="G214" s="23" t="n">
        <f aca="false">(+VLOOKUP($A214,FIXED_CHARTER_COST,HLOOKUP(G$7,FIXED_CHARTER_COST,2,0)+1,0)+VLOOKUP($A214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0.761890675231623</v>
      </c>
      <c r="H214" s="23" t="n">
        <f aca="false">(+VLOOKUP($A214,FIXED_CHARTER_COST,HLOOKUP(H$7,FIXED_CHARTER_COST,2,0)+1,0)+VLOOKUP($A214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0.665616325323265</v>
      </c>
      <c r="I214" s="23" t="n">
        <f aca="false">(+VLOOKUP($A214,FIXED_CHARTER_COST,HLOOKUP(I$7,FIXED_CHARTER_COST,2,0)+1,0)+VLOOKUP($A214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0.800506503300063</v>
      </c>
    </row>
    <row r="215" customFormat="false" ht="12.75" hidden="false" customHeight="false" outlineLevel="0" collapsed="false">
      <c r="A215" s="22" t="n">
        <f aca="false">+SHIPS!B231</f>
        <v>42948</v>
      </c>
      <c r="B215" s="23" t="n">
        <f aca="false">(+VLOOKUP($A215,FIXED_CHARTER_COST,HLOOKUP(B$7,FIXED_CHARTER_COST,2,0)+1,0)+VLOOKUP($A215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1.50041730761003</v>
      </c>
      <c r="C215" s="23" t="n">
        <f aca="false">(+VLOOKUP($A215,FIXED_CHARTER_COST,HLOOKUP(C$7,FIXED_CHARTER_COST,2,0)+1,0)+VLOOKUP($A215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1.63541513542922</v>
      </c>
      <c r="D215" s="23" t="n">
        <f aca="false">(+VLOOKUP($A215,FIXED_CHARTER_COST,HLOOKUP(D$7,FIXED_CHARTER_COST,2,0)+1,0)+VLOOKUP($A215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0.34224531342683</v>
      </c>
      <c r="E215" s="23" t="n">
        <f aca="false">(+VLOOKUP($A215,FIXED_CHARTER_COST,HLOOKUP(E$7,FIXED_CHARTER_COST,2,0)+1,0)+VLOOKUP($A215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0.373467764333078</v>
      </c>
      <c r="F215" s="23" t="n">
        <f aca="false">(+VLOOKUP($A215,FIXED_CHARTER_COST,HLOOKUP(F$7,FIXED_CHARTER_COST,2,0)+1,0)+VLOOKUP($A215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0.626750753997451</v>
      </c>
      <c r="G215" s="23" t="n">
        <f aca="false">(+VLOOKUP($A215,FIXED_CHARTER_COST,HLOOKUP(G$7,FIXED_CHARTER_COST,2,0)+1,0)+VLOOKUP($A215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0.762151763004435</v>
      </c>
      <c r="H215" s="23" t="n">
        <f aca="false">(+VLOOKUP($A215,FIXED_CHARTER_COST,HLOOKUP(H$7,FIXED_CHARTER_COST,2,0)+1,0)+VLOOKUP($A215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0.666089984629784</v>
      </c>
      <c r="I215" s="23" t="n">
        <f aca="false">(+VLOOKUP($A215,FIXED_CHARTER_COST,HLOOKUP(I$7,FIXED_CHARTER_COST,2,0)+1,0)+VLOOKUP($A215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0.801087812448973</v>
      </c>
    </row>
    <row r="216" customFormat="false" ht="12.75" hidden="false" customHeight="false" outlineLevel="0" collapsed="false">
      <c r="A216" s="22" t="n">
        <f aca="false">+SHIPS!B232</f>
        <v>42979</v>
      </c>
      <c r="B216" s="23" t="n">
        <f aca="false">(+VLOOKUP($A216,FIXED_CHARTER_COST,HLOOKUP(B$7,FIXED_CHARTER_COST,2,0)+1,0)+VLOOKUP($A216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1.50145289909383</v>
      </c>
      <c r="C216" s="23" t="n">
        <f aca="false">(+VLOOKUP($A216,FIXED_CHARTER_COST,HLOOKUP(C$7,FIXED_CHARTER_COST,2,0)+1,0)+VLOOKUP($A216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1.63655860102592</v>
      </c>
      <c r="D216" s="23" t="n">
        <f aca="false">(+VLOOKUP($A216,FIXED_CHARTER_COST,HLOOKUP(D$7,FIXED_CHARTER_COST,2,0)+1,0)+VLOOKUP($A216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0.342366066521755</v>
      </c>
      <c r="E216" s="23" t="n">
        <f aca="false">(+VLOOKUP($A216,FIXED_CHARTER_COST,HLOOKUP(E$7,FIXED_CHARTER_COST,2,0)+1,0)+VLOOKUP($A216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0.373598580185914</v>
      </c>
      <c r="F216" s="23" t="n">
        <f aca="false">(+VLOOKUP($A216,FIXED_CHARTER_COST,HLOOKUP(F$7,FIXED_CHARTER_COST,2,0)+1,0)+VLOOKUP($A216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0.626962071913571</v>
      </c>
      <c r="G216" s="23" t="n">
        <f aca="false">(+VLOOKUP($A216,FIXED_CHARTER_COST,HLOOKUP(G$7,FIXED_CHARTER_COST,2,0)+1,0)+VLOOKUP($A216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0.762413394710108</v>
      </c>
      <c r="H216" s="23" t="n">
        <f aca="false">(+VLOOKUP($A216,FIXED_CHARTER_COST,HLOOKUP(H$7,FIXED_CHARTER_COST,2,0)+1,0)+VLOOKUP($A216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0.666564630726526</v>
      </c>
      <c r="I216" s="23" t="n">
        <f aca="false">(+VLOOKUP($A216,FIXED_CHARTER_COST,HLOOKUP(I$7,FIXED_CHARTER_COST,2,0)+1,0)+VLOOKUP($A216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0.80167033265861</v>
      </c>
    </row>
    <row r="217" customFormat="false" ht="12.75" hidden="false" customHeight="false" outlineLevel="0" collapsed="false">
      <c r="A217" s="22" t="n">
        <f aca="false">+SHIPS!B233</f>
        <v>43009</v>
      </c>
      <c r="B217" s="23" t="n">
        <f aca="false">(+VLOOKUP($A217,FIXED_CHARTER_COST,HLOOKUP(B$7,FIXED_CHARTER_COST,2,0)+1,0)+VLOOKUP($A217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1.50249064805989</v>
      </c>
      <c r="C217" s="23" t="n">
        <f aca="false">(+VLOOKUP($A217,FIXED_CHARTER_COST,HLOOKUP(C$7,FIXED_CHARTER_COST,2,0)+1,0)+VLOOKUP($A217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1.63770444884261</v>
      </c>
      <c r="D217" s="23" t="n">
        <f aca="false">(+VLOOKUP($A217,FIXED_CHARTER_COST,HLOOKUP(D$7,FIXED_CHARTER_COST,2,0)+1,0)+VLOOKUP($A217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0.342487071185629</v>
      </c>
      <c r="E217" s="23" t="n">
        <f aca="false">(+VLOOKUP($A217,FIXED_CHARTER_COST,HLOOKUP(E$7,FIXED_CHARTER_COST,2,0)+1,0)+VLOOKUP($A217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0.373729668571777</v>
      </c>
      <c r="F217" s="23" t="n">
        <f aca="false">(+VLOOKUP($A217,FIXED_CHARTER_COST,HLOOKUP(F$7,FIXED_CHARTER_COST,2,0)+1,0)+VLOOKUP($A217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0.62717383007535</v>
      </c>
      <c r="G217" s="23" t="n">
        <f aca="false">(+VLOOKUP($A217,FIXED_CHARTER_COST,HLOOKUP(G$7,FIXED_CHARTER_COST,2,0)+1,0)+VLOOKUP($A217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0.762675571481834</v>
      </c>
      <c r="H217" s="23" t="n">
        <f aca="false">(+VLOOKUP($A217,FIXED_CHARTER_COST,HLOOKUP(H$7,FIXED_CHARTER_COST,2,0)+1,0)+VLOOKUP($A217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0.667040265669302</v>
      </c>
      <c r="I217" s="23" t="n">
        <f aca="false">(+VLOOKUP($A217,FIXED_CHARTER_COST,HLOOKUP(I$7,FIXED_CHARTER_COST,2,0)+1,0)+VLOOKUP($A217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0.802254066452017</v>
      </c>
    </row>
    <row r="218" customFormat="false" ht="12.75" hidden="false" customHeight="false" outlineLevel="0" collapsed="false">
      <c r="A218" s="22" t="n">
        <f aca="false">+SHIPS!B234</f>
        <v>43040</v>
      </c>
      <c r="B218" s="23" t="n">
        <f aca="false">(+VLOOKUP($A218,FIXED_CHARTER_COST,HLOOKUP(B$7,FIXED_CHARTER_COST,2,0)+1,0)+VLOOKUP($A218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1.50353055900296</v>
      </c>
      <c r="C218" s="23" t="n">
        <f aca="false">(+VLOOKUP($A218,FIXED_CHARTER_COST,HLOOKUP(C$7,FIXED_CHARTER_COST,2,0)+1,0)+VLOOKUP($A218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1.63885268384225</v>
      </c>
      <c r="D218" s="23" t="n">
        <f aca="false">(+VLOOKUP($A218,FIXED_CHARTER_COST,HLOOKUP(D$7,FIXED_CHARTER_COST,2,0)+1,0)+VLOOKUP($A218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0.342608327942553</v>
      </c>
      <c r="E218" s="23" t="n">
        <f aca="false">(+VLOOKUP($A218,FIXED_CHARTER_COST,HLOOKUP(E$7,FIXED_CHARTER_COST,2,0)+1,0)+VLOOKUP($A218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0.373861030058445</v>
      </c>
      <c r="F218" s="23" t="n">
        <f aca="false">(+VLOOKUP($A218,FIXED_CHARTER_COST,HLOOKUP(F$7,FIXED_CHARTER_COST,2,0)+1,0)+VLOOKUP($A218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0.627386029399966</v>
      </c>
      <c r="G218" s="23" t="n">
        <f aca="false">(+VLOOKUP($A218,FIXED_CHARTER_COST,HLOOKUP(G$7,FIXED_CHARTER_COST,2,0)+1,0)+VLOOKUP($A218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0.762938294455169</v>
      </c>
      <c r="H218" s="23" t="n">
        <f aca="false">(+VLOOKUP($A218,FIXED_CHARTER_COST,HLOOKUP(H$7,FIXED_CHARTER_COST,2,0)+1,0)+VLOOKUP($A218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0.667516891518209</v>
      </c>
      <c r="I218" s="23" t="n">
        <f aca="false">(+VLOOKUP($A218,FIXED_CHARTER_COST,HLOOKUP(I$7,FIXED_CHARTER_COST,2,0)+1,0)+VLOOKUP($A218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0.802839016357494</v>
      </c>
    </row>
    <row r="219" customFormat="false" ht="12.75" hidden="false" customHeight="false" outlineLevel="0" collapsed="false">
      <c r="A219" s="22" t="n">
        <f aca="false">+SHIPS!B235</f>
        <v>43070</v>
      </c>
      <c r="B219" s="23" t="n">
        <f aca="false">(+VLOOKUP($A219,FIXED_CHARTER_COST,HLOOKUP(B$7,FIXED_CHARTER_COST,2,0)+1,0)+VLOOKUP($A219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1.50457263642716</v>
      </c>
      <c r="C219" s="23" t="n">
        <f aca="false">(+VLOOKUP($A219,FIXED_CHARTER_COST,HLOOKUP(C$7,FIXED_CHARTER_COST,2,0)+1,0)+VLOOKUP($A219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1.64000331099813</v>
      </c>
      <c r="D219" s="23" t="n">
        <f aca="false">(+VLOOKUP($A219,FIXED_CHARTER_COST,HLOOKUP(D$7,FIXED_CHARTER_COST,2,0)+1,0)+VLOOKUP($A219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0.34272983731772</v>
      </c>
      <c r="E219" s="23" t="n">
        <f aca="false">(+VLOOKUP($A219,FIXED_CHARTER_COST,HLOOKUP(E$7,FIXED_CHARTER_COST,2,0)+1,0)+VLOOKUP($A219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0.373992665214875</v>
      </c>
      <c r="F219" s="23" t="n">
        <f aca="false">(+VLOOKUP($A219,FIXED_CHARTER_COST,HLOOKUP(F$7,FIXED_CHARTER_COST,2,0)+1,0)+VLOOKUP($A219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0.627598670806508</v>
      </c>
      <c r="G219" s="23" t="n">
        <f aca="false">(+VLOOKUP($A219,FIXED_CHARTER_COST,HLOOKUP(G$7,FIXED_CHARTER_COST,2,0)+1,0)+VLOOKUP($A219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0.763201564768031</v>
      </c>
      <c r="H219" s="23" t="n">
        <f aca="false">(+VLOOKUP($A219,FIXED_CHARTER_COST,HLOOKUP(H$7,FIXED_CHARTER_COST,2,0)+1,0)+VLOOKUP($A219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0.667994510337635</v>
      </c>
      <c r="I219" s="23" t="n">
        <f aca="false">(+VLOOKUP($A219,FIXED_CHARTER_COST,HLOOKUP(I$7,FIXED_CHARTER_COST,2,0)+1,0)+VLOOKUP($A219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0.803425184908607</v>
      </c>
    </row>
    <row r="220" customFormat="false" ht="12.75" hidden="false" customHeight="false" outlineLevel="0" collapsed="false">
      <c r="A220" s="22" t="n">
        <f aca="false">+SHIPS!B236</f>
        <v>43101</v>
      </c>
      <c r="B220" s="23" t="n">
        <f aca="false">(+VLOOKUP($A220,FIXED_CHARTER_COST,HLOOKUP(B$7,FIXED_CHARTER_COST,2,0)+1,0)+VLOOKUP($A220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20" s="23" t="n">
        <f aca="false">(+VLOOKUP($A220,FIXED_CHARTER_COST,HLOOKUP(C$7,FIXED_CHARTER_COST,2,0)+1,0)+VLOOKUP($A220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20" s="23" t="n">
        <f aca="false">(+VLOOKUP($A220,FIXED_CHARTER_COST,HLOOKUP(D$7,FIXED_CHARTER_COST,2,0)+1,0)+VLOOKUP($A220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0.342851599837418</v>
      </c>
      <c r="E220" s="23" t="n">
        <f aca="false">(+VLOOKUP($A220,FIXED_CHARTER_COST,HLOOKUP(E$7,FIXED_CHARTER_COST,2,0)+1,0)+VLOOKUP($A220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0.374124574611216</v>
      </c>
      <c r="F220" s="23" t="n">
        <f aca="false">(+VLOOKUP($A220,FIXED_CHARTER_COST,HLOOKUP(F$7,FIXED_CHARTER_COST,2,0)+1,0)+VLOOKUP($A220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0.627811755215981</v>
      </c>
      <c r="G220" s="23" t="n">
        <f aca="false">(+VLOOKUP($A220,FIXED_CHARTER_COST,HLOOKUP(G$7,FIXED_CHARTER_COST,2,0)+1,0)+VLOOKUP($A220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0.763465383560711</v>
      </c>
      <c r="H220" s="23" t="n">
        <f aca="false">(+VLOOKUP($A220,FIXED_CHARTER_COST,HLOOKUP(H$7,FIXED_CHARTER_COST,2,0)+1,0)+VLOOKUP($A220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20" s="23" t="n">
        <f aca="false">(+VLOOKUP($A220,FIXED_CHARTER_COST,HLOOKUP(I$7,FIXED_CHARTER_COST,2,0)+1,0)+VLOOKUP($A220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21" customFormat="false" ht="12.75" hidden="false" customHeight="false" outlineLevel="0" collapsed="false">
      <c r="A221" s="22" t="n">
        <f aca="false">+SHIPS!B237</f>
        <v>43132</v>
      </c>
      <c r="B221" s="23" t="n">
        <f aca="false">(+VLOOKUP($A221,FIXED_CHARTER_COST,HLOOKUP(B$7,FIXED_CHARTER_COST,2,0)+1,0)+VLOOKUP($A221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21" s="23" t="n">
        <f aca="false">(+VLOOKUP($A221,FIXED_CHARTER_COST,HLOOKUP(C$7,FIXED_CHARTER_COST,2,0)+1,0)+VLOOKUP($A221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21" s="23" t="n">
        <f aca="false">(+VLOOKUP($A221,FIXED_CHARTER_COST,HLOOKUP(D$7,FIXED_CHARTER_COST,2,0)+1,0)+VLOOKUP($A221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0.342973616029033</v>
      </c>
      <c r="E221" s="23" t="n">
        <f aca="false">(+VLOOKUP($A221,FIXED_CHARTER_COST,HLOOKUP(E$7,FIXED_CHARTER_COST,2,0)+1,0)+VLOOKUP($A221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0.374256758818798</v>
      </c>
      <c r="F221" s="23" t="n">
        <f aca="false">(+VLOOKUP($A221,FIXED_CHARTER_COST,HLOOKUP(F$7,FIXED_CHARTER_COST,2,0)+1,0)+VLOOKUP($A221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0.628025283551307</v>
      </c>
      <c r="G221" s="23" t="n">
        <f aca="false">(+VLOOKUP($A221,FIXED_CHARTER_COST,HLOOKUP(G$7,FIXED_CHARTER_COST,2,0)+1,0)+VLOOKUP($A221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0.763729751975876</v>
      </c>
      <c r="H221" s="23" t="n">
        <f aca="false">(+VLOOKUP($A221,FIXED_CHARTER_COST,HLOOKUP(H$7,FIXED_CHARTER_COST,2,0)+1,0)+VLOOKUP($A221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21" s="23" t="n">
        <f aca="false">(+VLOOKUP($A221,FIXED_CHARTER_COST,HLOOKUP(I$7,FIXED_CHARTER_COST,2,0)+1,0)+VLOOKUP($A221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22" customFormat="false" ht="12.75" hidden="false" customHeight="false" outlineLevel="0" collapsed="false">
      <c r="A222" s="22" t="n">
        <f aca="false">+SHIPS!B238</f>
        <v>43160</v>
      </c>
      <c r="B222" s="23" t="n">
        <f aca="false">(+VLOOKUP($A222,FIXED_CHARTER_COST,HLOOKUP(B$7,FIXED_CHARTER_COST,2,0)+1,0)+VLOOKUP($A222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22" s="23" t="n">
        <f aca="false">(+VLOOKUP($A222,FIXED_CHARTER_COST,HLOOKUP(C$7,FIXED_CHARTER_COST,2,0)+1,0)+VLOOKUP($A222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22" s="23" t="n">
        <f aca="false">(+VLOOKUP($A222,FIXED_CHARTER_COST,HLOOKUP(D$7,FIXED_CHARTER_COST,2,0)+1,0)+VLOOKUP($A222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0.343095886421047</v>
      </c>
      <c r="E222" s="23" t="n">
        <f aca="false">(+VLOOKUP($A222,FIXED_CHARTER_COST,HLOOKUP(E$7,FIXED_CHARTER_COST,2,0)+1,0)+VLOOKUP($A222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0.374389218410147</v>
      </c>
      <c r="F222" s="23" t="n">
        <f aca="false">(+VLOOKUP($A222,FIXED_CHARTER_COST,HLOOKUP(F$7,FIXED_CHARTER_COST,2,0)+1,0)+VLOOKUP($A222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0.628239256737331</v>
      </c>
      <c r="G222" s="23" t="n">
        <f aca="false">(+VLOOKUP($A222,FIXED_CHARTER_COST,HLOOKUP(G$7,FIXED_CHARTER_COST,2,0)+1,0)+VLOOKUP($A222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0.763994671158573</v>
      </c>
      <c r="H222" s="23" t="n">
        <f aca="false">(+VLOOKUP($A222,FIXED_CHARTER_COST,HLOOKUP(H$7,FIXED_CHARTER_COST,2,0)+1,0)+VLOOKUP($A222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22" s="23" t="n">
        <f aca="false">(+VLOOKUP($A222,FIXED_CHARTER_COST,HLOOKUP(I$7,FIXED_CHARTER_COST,2,0)+1,0)+VLOOKUP($A222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23" customFormat="false" ht="12.75" hidden="false" customHeight="false" outlineLevel="0" collapsed="false">
      <c r="A223" s="22" t="n">
        <f aca="false">+SHIPS!B239</f>
        <v>43191</v>
      </c>
      <c r="B223" s="23" t="n">
        <f aca="false">(+VLOOKUP($A223,FIXED_CHARTER_COST,HLOOKUP(B$7,FIXED_CHARTER_COST,2,0)+1,0)+VLOOKUP($A223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23" s="23" t="n">
        <f aca="false">(+VLOOKUP($A223,FIXED_CHARTER_COST,HLOOKUP(C$7,FIXED_CHARTER_COST,2,0)+1,0)+VLOOKUP($A223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23" s="23" t="n">
        <f aca="false">(+VLOOKUP($A223,FIXED_CHARTER_COST,HLOOKUP(D$7,FIXED_CHARTER_COST,2,0)+1,0)+VLOOKUP($A223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0.343218411543044</v>
      </c>
      <c r="E223" s="23" t="n">
        <f aca="false">(+VLOOKUP($A223,FIXED_CHARTER_COST,HLOOKUP(E$7,FIXED_CHARTER_COST,2,0)+1,0)+VLOOKUP($A223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0.374521953958977</v>
      </c>
      <c r="F223" s="23" t="n">
        <f aca="false">(+VLOOKUP($A223,FIXED_CHARTER_COST,HLOOKUP(F$7,FIXED_CHARTER_COST,2,0)+1,0)+VLOOKUP($A223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0.628453675700826</v>
      </c>
      <c r="G223" s="23" t="n">
        <f aca="false">(+VLOOKUP($A223,FIXED_CHARTER_COST,HLOOKUP(G$7,FIXED_CHARTER_COST,2,0)+1,0)+VLOOKUP($A223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0.764260142256233</v>
      </c>
      <c r="H223" s="23" t="n">
        <f aca="false">(+VLOOKUP($A223,FIXED_CHARTER_COST,HLOOKUP(H$7,FIXED_CHARTER_COST,2,0)+1,0)+VLOOKUP($A223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23" s="23" t="n">
        <f aca="false">(+VLOOKUP($A223,FIXED_CHARTER_COST,HLOOKUP(I$7,FIXED_CHARTER_COST,2,0)+1,0)+VLOOKUP($A223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24" customFormat="false" ht="12.75" hidden="false" customHeight="false" outlineLevel="0" collapsed="false">
      <c r="A224" s="22" t="n">
        <f aca="false">+SHIPS!B240</f>
        <v>43221</v>
      </c>
      <c r="B224" s="23" t="n">
        <f aca="false">(+VLOOKUP($A224,FIXED_CHARTER_COST,HLOOKUP(B$7,FIXED_CHARTER_COST,2,0)+1,0)+VLOOKUP($A224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24" s="23" t="n">
        <f aca="false">(+VLOOKUP($A224,FIXED_CHARTER_COST,HLOOKUP(C$7,FIXED_CHARTER_COST,2,0)+1,0)+VLOOKUP($A224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24" s="23" t="n">
        <f aca="false">(+VLOOKUP($A224,FIXED_CHARTER_COST,HLOOKUP(D$7,FIXED_CHARTER_COST,2,0)+1,0)+VLOOKUP($A224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0.343341191925712</v>
      </c>
      <c r="E224" s="23" t="n">
        <f aca="false">(+VLOOKUP($A224,FIXED_CHARTER_COST,HLOOKUP(E$7,FIXED_CHARTER_COST,2,0)+1,0)+VLOOKUP($A224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0.374654966040201</v>
      </c>
      <c r="F224" s="23" t="n">
        <f aca="false">(+VLOOKUP($A224,FIXED_CHARTER_COST,HLOOKUP(F$7,FIXED_CHARTER_COST,2,0)+1,0)+VLOOKUP($A224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0.628668541370495</v>
      </c>
      <c r="G224" s="23" t="n">
        <f aca="false">(+VLOOKUP($A224,FIXED_CHARTER_COST,HLOOKUP(G$7,FIXED_CHARTER_COST,2,0)+1,0)+VLOOKUP($A224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0.764526166418681</v>
      </c>
      <c r="H224" s="23" t="n">
        <f aca="false">(+VLOOKUP($A224,FIXED_CHARTER_COST,HLOOKUP(H$7,FIXED_CHARTER_COST,2,0)+1,0)+VLOOKUP($A224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24" s="23" t="n">
        <f aca="false">(+VLOOKUP($A224,FIXED_CHARTER_COST,HLOOKUP(I$7,FIXED_CHARTER_COST,2,0)+1,0)+VLOOKUP($A224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25" customFormat="false" ht="12.75" hidden="false" customHeight="false" outlineLevel="0" collapsed="false">
      <c r="A225" s="22" t="n">
        <f aca="false">+SHIPS!B241</f>
        <v>43252</v>
      </c>
      <c r="B225" s="23" t="n">
        <f aca="false">(+VLOOKUP($A225,FIXED_CHARTER_COST,HLOOKUP(B$7,FIXED_CHARTER_COST,2,0)+1,0)+VLOOKUP($A225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25" s="23" t="n">
        <f aca="false">(+VLOOKUP($A225,FIXED_CHARTER_COST,HLOOKUP(C$7,FIXED_CHARTER_COST,2,0)+1,0)+VLOOKUP($A225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25" s="23" t="n">
        <f aca="false">(+VLOOKUP($A225,FIXED_CHARTER_COST,HLOOKUP(D$7,FIXED_CHARTER_COST,2,0)+1,0)+VLOOKUP($A225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0.343464228100844</v>
      </c>
      <c r="E225" s="23" t="n">
        <f aca="false">(+VLOOKUP($A225,FIXED_CHARTER_COST,HLOOKUP(E$7,FIXED_CHARTER_COST,2,0)+1,0)+VLOOKUP($A225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0.374788255229927</v>
      </c>
      <c r="F225" s="23" t="n">
        <f aca="false">(+VLOOKUP($A225,FIXED_CHARTER_COST,HLOOKUP(F$7,FIXED_CHARTER_COST,2,0)+1,0)+VLOOKUP($A225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0.628883854676976</v>
      </c>
      <c r="G225" s="23" t="n">
        <f aca="false">(+VLOOKUP($A225,FIXED_CHARTER_COST,HLOOKUP(G$7,FIXED_CHARTER_COST,2,0)+1,0)+VLOOKUP($A225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0.764792744798133</v>
      </c>
      <c r="H225" s="23" t="n">
        <f aca="false">(+VLOOKUP($A225,FIXED_CHARTER_COST,HLOOKUP(H$7,FIXED_CHARTER_COST,2,0)+1,0)+VLOOKUP($A225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25" s="23" t="n">
        <f aca="false">(+VLOOKUP($A225,FIXED_CHARTER_COST,HLOOKUP(I$7,FIXED_CHARTER_COST,2,0)+1,0)+VLOOKUP($A225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26" customFormat="false" ht="12.75" hidden="false" customHeight="false" outlineLevel="0" collapsed="false">
      <c r="A226" s="22" t="n">
        <f aca="false">+SHIPS!B242</f>
        <v>43282</v>
      </c>
      <c r="B226" s="23" t="n">
        <f aca="false">(+VLOOKUP($A226,FIXED_CHARTER_COST,HLOOKUP(B$7,FIXED_CHARTER_COST,2,0)+1,0)+VLOOKUP($A226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26" s="23" t="n">
        <f aca="false">(+VLOOKUP($A226,FIXED_CHARTER_COST,HLOOKUP(C$7,FIXED_CHARTER_COST,2,0)+1,0)+VLOOKUP($A226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26" s="23" t="n">
        <f aca="false">(+VLOOKUP($A226,FIXED_CHARTER_COST,HLOOKUP(D$7,FIXED_CHARTER_COST,2,0)+1,0)+VLOOKUP($A226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0.343587520601341</v>
      </c>
      <c r="E226" s="23" t="n">
        <f aca="false">(+VLOOKUP($A226,FIXED_CHARTER_COST,HLOOKUP(E$7,FIXED_CHARTER_COST,2,0)+1,0)+VLOOKUP($A226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0.374921822105465</v>
      </c>
      <c r="F226" s="23" t="n">
        <f aca="false">(+VLOOKUP($A226,FIXED_CHARTER_COST,HLOOKUP(F$7,FIXED_CHARTER_COST,2,0)+1,0)+VLOOKUP($A226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0.629099616552845</v>
      </c>
      <c r="G226" s="23" t="n">
        <f aca="false">(+VLOOKUP($A226,FIXED_CHARTER_COST,HLOOKUP(G$7,FIXED_CHARTER_COST,2,0)+1,0)+VLOOKUP($A226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0.76505987854921</v>
      </c>
      <c r="H226" s="23" t="n">
        <f aca="false">(+VLOOKUP($A226,FIXED_CHARTER_COST,HLOOKUP(H$7,FIXED_CHARTER_COST,2,0)+1,0)+VLOOKUP($A226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26" s="23" t="n">
        <f aca="false">(+VLOOKUP($A226,FIXED_CHARTER_COST,HLOOKUP(I$7,FIXED_CHARTER_COST,2,0)+1,0)+VLOOKUP($A226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27" customFormat="false" ht="12.75" hidden="false" customHeight="false" outlineLevel="0" collapsed="false">
      <c r="A227" s="22" t="n">
        <f aca="false">+SHIPS!B243</f>
        <v>43313</v>
      </c>
      <c r="B227" s="23" t="n">
        <f aca="false">(+VLOOKUP($A227,FIXED_CHARTER_COST,HLOOKUP(B$7,FIXED_CHARTER_COST,2,0)+1,0)+VLOOKUP($A227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27" s="23" t="n">
        <f aca="false">(+VLOOKUP($A227,FIXED_CHARTER_COST,HLOOKUP(C$7,FIXED_CHARTER_COST,2,0)+1,0)+VLOOKUP($A227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27" s="23" t="n">
        <f aca="false">(+VLOOKUP($A227,FIXED_CHARTER_COST,HLOOKUP(D$7,FIXED_CHARTER_COST,2,0)+1,0)+VLOOKUP($A227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0.343711069961214</v>
      </c>
      <c r="E227" s="23" t="n">
        <f aca="false">(+VLOOKUP($A227,FIXED_CHARTER_COST,HLOOKUP(E$7,FIXED_CHARTER_COST,2,0)+1,0)+VLOOKUP($A227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0.375055667245327</v>
      </c>
      <c r="F227" s="23" t="n">
        <f aca="false">(+VLOOKUP($A227,FIXED_CHARTER_COST,HLOOKUP(F$7,FIXED_CHARTER_COST,2,0)+1,0)+VLOOKUP($A227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0.629315827932623</v>
      </c>
      <c r="G227" s="23" t="n">
        <f aca="false">(+VLOOKUP($A227,FIXED_CHARTER_COST,HLOOKUP(G$7,FIXED_CHARTER_COST,2,0)+1,0)+VLOOKUP($A227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0.765327568828934</v>
      </c>
      <c r="H227" s="23" t="n">
        <f aca="false">(+VLOOKUP($A227,FIXED_CHARTER_COST,HLOOKUP(H$7,FIXED_CHARTER_COST,2,0)+1,0)+VLOOKUP($A227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27" s="23" t="n">
        <f aca="false">(+VLOOKUP($A227,FIXED_CHARTER_COST,HLOOKUP(I$7,FIXED_CHARTER_COST,2,0)+1,0)+VLOOKUP($A227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28" customFormat="false" ht="12.75" hidden="false" customHeight="false" outlineLevel="0" collapsed="false">
      <c r="A228" s="22" t="n">
        <f aca="false">+SHIPS!B244</f>
        <v>43344</v>
      </c>
      <c r="B228" s="23" t="n">
        <f aca="false">(+VLOOKUP($A228,FIXED_CHARTER_COST,HLOOKUP(B$7,FIXED_CHARTER_COST,2,0)+1,0)+VLOOKUP($A228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28" s="23" t="n">
        <f aca="false">(+VLOOKUP($A228,FIXED_CHARTER_COST,HLOOKUP(C$7,FIXED_CHARTER_COST,2,0)+1,0)+VLOOKUP($A228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28" s="23" t="n">
        <f aca="false">(+VLOOKUP($A228,FIXED_CHARTER_COST,HLOOKUP(D$7,FIXED_CHARTER_COST,2,0)+1,0)+VLOOKUP($A228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0.343834876715586</v>
      </c>
      <c r="E228" s="23" t="n">
        <f aca="false">(+VLOOKUP($A228,FIXED_CHARTER_COST,HLOOKUP(E$7,FIXED_CHARTER_COST,2,0)+1,0)+VLOOKUP($A228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0.375189791229231</v>
      </c>
      <c r="F228" s="23" t="n">
        <f aca="false">(+VLOOKUP($A228,FIXED_CHARTER_COST,HLOOKUP(F$7,FIXED_CHARTER_COST,2,0)+1,0)+VLOOKUP($A228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0.629532489752775</v>
      </c>
      <c r="G228" s="23" t="n">
        <f aca="false">(+VLOOKUP($A228,FIXED_CHARTER_COST,HLOOKUP(G$7,FIXED_CHARTER_COST,2,0)+1,0)+VLOOKUP($A228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0.765595816796742</v>
      </c>
      <c r="H228" s="23" t="n">
        <f aca="false">(+VLOOKUP($A228,FIXED_CHARTER_COST,HLOOKUP(H$7,FIXED_CHARTER_COST,2,0)+1,0)+VLOOKUP($A228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28" s="23" t="n">
        <f aca="false">(+VLOOKUP($A228,FIXED_CHARTER_COST,HLOOKUP(I$7,FIXED_CHARTER_COST,2,0)+1,0)+VLOOKUP($A228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29" customFormat="false" ht="12.75" hidden="false" customHeight="false" outlineLevel="0" collapsed="false">
      <c r="A229" s="22" t="n">
        <f aca="false">+SHIPS!B245</f>
        <v>43374</v>
      </c>
      <c r="B229" s="23" t="n">
        <f aca="false">(+VLOOKUP($A229,FIXED_CHARTER_COST,HLOOKUP(B$7,FIXED_CHARTER_COST,2,0)+1,0)+VLOOKUP($A229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29" s="23" t="n">
        <f aca="false">(+VLOOKUP($A229,FIXED_CHARTER_COST,HLOOKUP(C$7,FIXED_CHARTER_COST,2,0)+1,0)+VLOOKUP($A229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29" s="23" t="n">
        <f aca="false">(+VLOOKUP($A229,FIXED_CHARTER_COST,HLOOKUP(D$7,FIXED_CHARTER_COST,2,0)+1,0)+VLOOKUP($A229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0.343958941400697</v>
      </c>
      <c r="E229" s="23" t="n">
        <f aca="false">(+VLOOKUP($A229,FIXED_CHARTER_COST,HLOOKUP(E$7,FIXED_CHARTER_COST,2,0)+1,0)+VLOOKUP($A229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0.375324194638101</v>
      </c>
      <c r="F229" s="23" t="n">
        <f aca="false">(+VLOOKUP($A229,FIXED_CHARTER_COST,HLOOKUP(F$7,FIXED_CHARTER_COST,2,0)+1,0)+VLOOKUP($A229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0.629749602951719</v>
      </c>
      <c r="G229" s="23" t="n">
        <f aca="false">(+VLOOKUP($A229,FIXED_CHARTER_COST,HLOOKUP(G$7,FIXED_CHARTER_COST,2,0)+1,0)+VLOOKUP($A229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0.765864623614482</v>
      </c>
      <c r="H229" s="23" t="n">
        <f aca="false">(+VLOOKUP($A229,FIXED_CHARTER_COST,HLOOKUP(H$7,FIXED_CHARTER_COST,2,0)+1,0)+VLOOKUP($A229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29" s="23" t="n">
        <f aca="false">(+VLOOKUP($A229,FIXED_CHARTER_COST,HLOOKUP(I$7,FIXED_CHARTER_COST,2,0)+1,0)+VLOOKUP($A229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30" customFormat="false" ht="12.75" hidden="false" customHeight="false" outlineLevel="0" collapsed="false">
      <c r="A230" s="22" t="n">
        <f aca="false">+SHIPS!B246</f>
        <v>43405</v>
      </c>
      <c r="B230" s="23" t="n">
        <f aca="false">(+VLOOKUP($A230,FIXED_CHARTER_COST,HLOOKUP(B$7,FIXED_CHARTER_COST,2,0)+1,0)+VLOOKUP($A230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30" s="23" t="n">
        <f aca="false">(+VLOOKUP($A230,FIXED_CHARTER_COST,HLOOKUP(C$7,FIXED_CHARTER_COST,2,0)+1,0)+VLOOKUP($A230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30" s="23" t="n">
        <f aca="false">(+VLOOKUP($A230,FIXED_CHARTER_COST,HLOOKUP(D$7,FIXED_CHARTER_COST,2,0)+1,0)+VLOOKUP($A230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0.344083264553902</v>
      </c>
      <c r="E230" s="23" t="n">
        <f aca="false">(+VLOOKUP($A230,FIXED_CHARTER_COST,HLOOKUP(E$7,FIXED_CHARTER_COST,2,0)+1,0)+VLOOKUP($A230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0.375458878054073</v>
      </c>
      <c r="F230" s="23" t="n">
        <f aca="false">(+VLOOKUP($A230,FIXED_CHARTER_COST,HLOOKUP(F$7,FIXED_CHARTER_COST,2,0)+1,0)+VLOOKUP($A230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0.629967168469827</v>
      </c>
      <c r="G230" s="23" t="n">
        <f aca="false">(+VLOOKUP($A230,FIXED_CHARTER_COST,HLOOKUP(G$7,FIXED_CHARTER_COST,2,0)+1,0)+VLOOKUP($A230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0.766133990446426</v>
      </c>
      <c r="H230" s="23" t="n">
        <f aca="false">(+VLOOKUP($A230,FIXED_CHARTER_COST,HLOOKUP(H$7,FIXED_CHARTER_COST,2,0)+1,0)+VLOOKUP($A230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30" s="23" t="n">
        <f aca="false">(+VLOOKUP($A230,FIXED_CHARTER_COST,HLOOKUP(I$7,FIXED_CHARTER_COST,2,0)+1,0)+VLOOKUP($A230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31" customFormat="false" ht="12.75" hidden="false" customHeight="false" outlineLevel="0" collapsed="false">
      <c r="A231" s="22" t="n">
        <f aca="false">+SHIPS!B247</f>
        <v>43435</v>
      </c>
      <c r="B231" s="23" t="n">
        <f aca="false">(+VLOOKUP($A231,FIXED_CHARTER_COST,HLOOKUP(B$7,FIXED_CHARTER_COST,2,0)+1,0)+VLOOKUP($A231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31" s="23" t="n">
        <f aca="false">(+VLOOKUP($A231,FIXED_CHARTER_COST,HLOOKUP(C$7,FIXED_CHARTER_COST,2,0)+1,0)+VLOOKUP($A231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31" s="23" t="n">
        <f aca="false">(+VLOOKUP($A231,FIXED_CHARTER_COST,HLOOKUP(D$7,FIXED_CHARTER_COST,2,0)+1,0)+VLOOKUP($A231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0.344207846713676</v>
      </c>
      <c r="E231" s="23" t="n">
        <f aca="false">(+VLOOKUP($A231,FIXED_CHARTER_COST,HLOOKUP(E$7,FIXED_CHARTER_COST,2,0)+1,0)+VLOOKUP($A231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0.375593842060495</v>
      </c>
      <c r="F231" s="23" t="n">
        <f aca="false">(+VLOOKUP($A231,FIXED_CHARTER_COST,HLOOKUP(F$7,FIXED_CHARTER_COST,2,0)+1,0)+VLOOKUP($A231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0.630185187249432</v>
      </c>
      <c r="G231" s="23" t="n">
        <f aca="false">(+VLOOKUP($A231,FIXED_CHARTER_COST,HLOOKUP(G$7,FIXED_CHARTER_COST,2,0)+1,0)+VLOOKUP($A231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0.766403918459269</v>
      </c>
      <c r="H231" s="23" t="n">
        <f aca="false">(+VLOOKUP($A231,FIXED_CHARTER_COST,HLOOKUP(H$7,FIXED_CHARTER_COST,2,0)+1,0)+VLOOKUP($A231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31" s="23" t="n">
        <f aca="false">(+VLOOKUP($A231,FIXED_CHARTER_COST,HLOOKUP(I$7,FIXED_CHARTER_COST,2,0)+1,0)+VLOOKUP($A231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32" customFormat="false" ht="12.75" hidden="false" customHeight="false" outlineLevel="0" collapsed="false">
      <c r="A232" s="22" t="n">
        <f aca="false">+SHIPS!B248</f>
        <v>43466</v>
      </c>
      <c r="B232" s="23" t="n">
        <f aca="false">(+VLOOKUP($A232,FIXED_CHARTER_COST,HLOOKUP(B$7,FIXED_CHARTER_COST,2,0)+1,0)+VLOOKUP($A232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32" s="23" t="n">
        <f aca="false">(+VLOOKUP($A232,FIXED_CHARTER_COST,HLOOKUP(C$7,FIXED_CHARTER_COST,2,0)+1,0)+VLOOKUP($A232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32" s="23" t="n">
        <f aca="false">(+VLOOKUP($A232,FIXED_CHARTER_COST,HLOOKUP(D$7,FIXED_CHARTER_COST,2,0)+1,0)+VLOOKUP($A232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0.344332688419616</v>
      </c>
      <c r="E232" s="23" t="n">
        <f aca="false">(+VLOOKUP($A232,FIXED_CHARTER_COST,HLOOKUP(E$7,FIXED_CHARTER_COST,2,0)+1,0)+VLOOKUP($A232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0.37572908724193</v>
      </c>
      <c r="F232" s="23" t="n">
        <f aca="false">(+VLOOKUP($A232,FIXED_CHARTER_COST,HLOOKUP(F$7,FIXED_CHARTER_COST,2,0)+1,0)+VLOOKUP($A232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0.630403660234827</v>
      </c>
      <c r="G232" s="23" t="n">
        <f aca="false">(+VLOOKUP($A232,FIXED_CHARTER_COST,HLOOKUP(G$7,FIXED_CHARTER_COST,2,0)+1,0)+VLOOKUP($A232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0.76667440882214</v>
      </c>
      <c r="H232" s="23" t="n">
        <f aca="false">(+VLOOKUP($A232,FIXED_CHARTER_COST,HLOOKUP(H$7,FIXED_CHARTER_COST,2,0)+1,0)+VLOOKUP($A232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32" s="23" t="n">
        <f aca="false">(+VLOOKUP($A232,FIXED_CHARTER_COST,HLOOKUP(I$7,FIXED_CHARTER_COST,2,0)+1,0)+VLOOKUP($A232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33" customFormat="false" ht="12.75" hidden="false" customHeight="false" outlineLevel="0" collapsed="false">
      <c r="A233" s="22" t="n">
        <f aca="false">+SHIPS!B249</f>
        <v>43497</v>
      </c>
      <c r="B233" s="23" t="n">
        <f aca="false">(+VLOOKUP($A233,FIXED_CHARTER_COST,HLOOKUP(B$7,FIXED_CHARTER_COST,2,0)+1,0)+VLOOKUP($A233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33" s="23" t="n">
        <f aca="false">(+VLOOKUP($A233,FIXED_CHARTER_COST,HLOOKUP(C$7,FIXED_CHARTER_COST,2,0)+1,0)+VLOOKUP($A233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33" s="23" t="n">
        <f aca="false">(+VLOOKUP($A233,FIXED_CHARTER_COST,HLOOKUP(D$7,FIXED_CHARTER_COST,2,0)+1,0)+VLOOKUP($A233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0.344457790212444</v>
      </c>
      <c r="E233" s="23" t="n">
        <f aca="false">(+VLOOKUP($A233,FIXED_CHARTER_COST,HLOOKUP(E$7,FIXED_CHARTER_COST,2,0)+1,0)+VLOOKUP($A233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0.37586461418416</v>
      </c>
      <c r="F233" s="23" t="n">
        <f aca="false">(+VLOOKUP($A233,FIXED_CHARTER_COST,HLOOKUP(F$7,FIXED_CHARTER_COST,2,0)+1,0)+VLOOKUP($A233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0.630622588372276</v>
      </c>
      <c r="G233" s="23" t="n">
        <f aca="false">(+VLOOKUP($A233,FIXED_CHARTER_COST,HLOOKUP(G$7,FIXED_CHARTER_COST,2,0)+1,0)+VLOOKUP($A233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0.7669454627066</v>
      </c>
      <c r="H233" s="23" t="n">
        <f aca="false">(+VLOOKUP($A233,FIXED_CHARTER_COST,HLOOKUP(H$7,FIXED_CHARTER_COST,2,0)+1,0)+VLOOKUP($A233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33" s="23" t="n">
        <f aca="false">(+VLOOKUP($A233,FIXED_CHARTER_COST,HLOOKUP(I$7,FIXED_CHARTER_COST,2,0)+1,0)+VLOOKUP($A233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34" customFormat="false" ht="12.75" hidden="false" customHeight="false" outlineLevel="0" collapsed="false">
      <c r="A234" s="22" t="n">
        <f aca="false">+SHIPS!B250</f>
        <v>43525</v>
      </c>
      <c r="B234" s="23" t="n">
        <f aca="false">(+VLOOKUP($A234,FIXED_CHARTER_COST,HLOOKUP(B$7,FIXED_CHARTER_COST,2,0)+1,0)+VLOOKUP($A234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34" s="23" t="n">
        <f aca="false">(+VLOOKUP($A234,FIXED_CHARTER_COST,HLOOKUP(C$7,FIXED_CHARTER_COST,2,0)+1,0)+VLOOKUP($A234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34" s="23" t="n">
        <f aca="false">(+VLOOKUP($A234,FIXED_CHARTER_COST,HLOOKUP(D$7,FIXED_CHARTER_COST,2,0)+1,0)+VLOOKUP($A234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0.344583152634006</v>
      </c>
      <c r="E234" s="23" t="n">
        <f aca="false">(+VLOOKUP($A234,FIXED_CHARTER_COST,HLOOKUP(E$7,FIXED_CHARTER_COST,2,0)+1,0)+VLOOKUP($A234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0.376000423474186</v>
      </c>
      <c r="F234" s="23" t="n">
        <f aca="false">(+VLOOKUP($A234,FIXED_CHARTER_COST,HLOOKUP(F$7,FIXED_CHARTER_COST,2,0)+1,0)+VLOOKUP($A234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0.63084197261001</v>
      </c>
      <c r="G234" s="23" t="n">
        <f aca="false">(+VLOOKUP($A234,FIXED_CHARTER_COST,HLOOKUP(G$7,FIXED_CHARTER_COST,2,0)+1,0)+VLOOKUP($A234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0.767217081286652</v>
      </c>
      <c r="H234" s="23" t="n">
        <f aca="false">(+VLOOKUP($A234,FIXED_CHARTER_COST,HLOOKUP(H$7,FIXED_CHARTER_COST,2,0)+1,0)+VLOOKUP($A234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34" s="23" t="n">
        <f aca="false">(+VLOOKUP($A234,FIXED_CHARTER_COST,HLOOKUP(I$7,FIXED_CHARTER_COST,2,0)+1,0)+VLOOKUP($A234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35" customFormat="false" ht="12.75" hidden="false" customHeight="false" outlineLevel="0" collapsed="false">
      <c r="A235" s="22" t="n">
        <f aca="false">+SHIPS!B251</f>
        <v>43556</v>
      </c>
      <c r="B235" s="23" t="n">
        <f aca="false">(+VLOOKUP($A235,FIXED_CHARTER_COST,HLOOKUP(B$7,FIXED_CHARTER_COST,2,0)+1,0)+VLOOKUP($A235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35" s="23" t="n">
        <f aca="false">(+VLOOKUP($A235,FIXED_CHARTER_COST,HLOOKUP(C$7,FIXED_CHARTER_COST,2,0)+1,0)+VLOOKUP($A235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35" s="23" t="n">
        <f aca="false">(+VLOOKUP($A235,FIXED_CHARTER_COST,HLOOKUP(D$7,FIXED_CHARTER_COST,2,0)+1,0)+VLOOKUP($A235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0.344708776227281</v>
      </c>
      <c r="E235" s="23" t="n">
        <f aca="false">(+VLOOKUP($A235,FIXED_CHARTER_COST,HLOOKUP(E$7,FIXED_CHARTER_COST,2,0)+1,0)+VLOOKUP($A235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0.376136515700233</v>
      </c>
      <c r="F235" s="23" t="n">
        <f aca="false">(+VLOOKUP($A235,FIXED_CHARTER_COST,HLOOKUP(F$7,FIXED_CHARTER_COST,2,0)+1,0)+VLOOKUP($A235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0.63106181389824</v>
      </c>
      <c r="G235" s="23" t="n">
        <f aca="false">(+VLOOKUP($A235,FIXED_CHARTER_COST,HLOOKUP(G$7,FIXED_CHARTER_COST,2,0)+1,0)+VLOOKUP($A235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0.767489265738746</v>
      </c>
      <c r="H235" s="23" t="n">
        <f aca="false">(+VLOOKUP($A235,FIXED_CHARTER_COST,HLOOKUP(H$7,FIXED_CHARTER_COST,2,0)+1,0)+VLOOKUP($A235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35" s="23" t="n">
        <f aca="false">(+VLOOKUP($A235,FIXED_CHARTER_COST,HLOOKUP(I$7,FIXED_CHARTER_COST,2,0)+1,0)+VLOOKUP($A235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36" customFormat="false" ht="12.75" hidden="false" customHeight="false" outlineLevel="0" collapsed="false">
      <c r="A236" s="22" t="n">
        <f aca="false">+SHIPS!B252</f>
        <v>43586</v>
      </c>
      <c r="B236" s="23" t="n">
        <f aca="false">(+VLOOKUP($A236,FIXED_CHARTER_COST,HLOOKUP(B$7,FIXED_CHARTER_COST,2,0)+1,0)+VLOOKUP($A236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36" s="23" t="n">
        <f aca="false">(+VLOOKUP($A236,FIXED_CHARTER_COST,HLOOKUP(C$7,FIXED_CHARTER_COST,2,0)+1,0)+VLOOKUP($A236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36" s="23" t="n">
        <f aca="false">(+VLOOKUP($A236,FIXED_CHARTER_COST,HLOOKUP(D$7,FIXED_CHARTER_COST,2,0)+1,0)+VLOOKUP($A236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0.344834661536374</v>
      </c>
      <c r="E236" s="23" t="n">
        <f aca="false">(+VLOOKUP($A236,FIXED_CHARTER_COST,HLOOKUP(E$7,FIXED_CHARTER_COST,2,0)+1,0)+VLOOKUP($A236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0.376272891451751</v>
      </c>
      <c r="F236" s="23" t="n">
        <f aca="false">(+VLOOKUP($A236,FIXED_CHARTER_COST,HLOOKUP(F$7,FIXED_CHARTER_COST,2,0)+1,0)+VLOOKUP($A236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0.631282113189154</v>
      </c>
      <c r="G236" s="23" t="n">
        <f aca="false">(+VLOOKUP($A236,FIXED_CHARTER_COST,HLOOKUP(G$7,FIXED_CHARTER_COST,2,0)+1,0)+VLOOKUP($A236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0.767762017241782</v>
      </c>
      <c r="H236" s="23" t="n">
        <f aca="false">(+VLOOKUP($A236,FIXED_CHARTER_COST,HLOOKUP(H$7,FIXED_CHARTER_COST,2,0)+1,0)+VLOOKUP($A236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36" s="23" t="n">
        <f aca="false">(+VLOOKUP($A236,FIXED_CHARTER_COST,HLOOKUP(I$7,FIXED_CHARTER_COST,2,0)+1,0)+VLOOKUP($A236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37" customFormat="false" ht="12.75" hidden="false" customHeight="false" outlineLevel="0" collapsed="false">
      <c r="A237" s="22" t="n">
        <f aca="false">+SHIPS!B253</f>
        <v>43617</v>
      </c>
      <c r="B237" s="23" t="n">
        <f aca="false">(+VLOOKUP($A237,FIXED_CHARTER_COST,HLOOKUP(B$7,FIXED_CHARTER_COST,2,0)+1,0)+VLOOKUP($A237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37" s="23" t="n">
        <f aca="false">(+VLOOKUP($A237,FIXED_CHARTER_COST,HLOOKUP(C$7,FIXED_CHARTER_COST,2,0)+1,0)+VLOOKUP($A237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37" s="23" t="n">
        <f aca="false">(+VLOOKUP($A237,FIXED_CHARTER_COST,HLOOKUP(D$7,FIXED_CHARTER_COST,2,0)+1,0)+VLOOKUP($A237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0.344960809106528</v>
      </c>
      <c r="E237" s="23" t="n">
        <f aca="false">(+VLOOKUP($A237,FIXED_CHARTER_COST,HLOOKUP(E$7,FIXED_CHARTER_COST,2,0)+1,0)+VLOOKUP($A237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0.376409551319418</v>
      </c>
      <c r="F237" s="23" t="n">
        <f aca="false">(+VLOOKUP($A237,FIXED_CHARTER_COST,HLOOKUP(F$7,FIXED_CHARTER_COST,2,0)+1,0)+VLOOKUP($A237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0.631502871436924</v>
      </c>
      <c r="G237" s="23" t="n">
        <f aca="false">(+VLOOKUP($A237,FIXED_CHARTER_COST,HLOOKUP(G$7,FIXED_CHARTER_COST,2,0)+1,0)+VLOOKUP($A237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0.768035336977116</v>
      </c>
      <c r="H237" s="23" t="n">
        <f aca="false">(+VLOOKUP($A237,FIXED_CHARTER_COST,HLOOKUP(H$7,FIXED_CHARTER_COST,2,0)+1,0)+VLOOKUP($A237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37" s="23" t="n">
        <f aca="false">(+VLOOKUP($A237,FIXED_CHARTER_COST,HLOOKUP(I$7,FIXED_CHARTER_COST,2,0)+1,0)+VLOOKUP($A237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38" customFormat="false" ht="12.75" hidden="false" customHeight="false" outlineLevel="0" collapsed="false">
      <c r="A238" s="22" t="n">
        <f aca="false">+SHIPS!B254</f>
        <v>43647</v>
      </c>
      <c r="B238" s="23" t="n">
        <f aca="false">(+VLOOKUP($A238,FIXED_CHARTER_COST,HLOOKUP(B$7,FIXED_CHARTER_COST,2,0)+1,0)+VLOOKUP($A238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38" s="23" t="n">
        <f aca="false">(+VLOOKUP($A238,FIXED_CHARTER_COST,HLOOKUP(C$7,FIXED_CHARTER_COST,2,0)+1,0)+VLOOKUP($A238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38" s="23" t="n">
        <f aca="false">(+VLOOKUP($A238,FIXED_CHARTER_COST,HLOOKUP(D$7,FIXED_CHARTER_COST,2,0)+1,0)+VLOOKUP($A238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0.34508721948412</v>
      </c>
      <c r="E238" s="23" t="n">
        <f aca="false">(+VLOOKUP($A238,FIXED_CHARTER_COST,HLOOKUP(E$7,FIXED_CHARTER_COST,2,0)+1,0)+VLOOKUP($A238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0.376546495895143</v>
      </c>
      <c r="F238" s="23" t="n">
        <f aca="false">(+VLOOKUP($A238,FIXED_CHARTER_COST,HLOOKUP(F$7,FIXED_CHARTER_COST,2,0)+1,0)+VLOOKUP($A238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0.63172408959771</v>
      </c>
      <c r="G238" s="23" t="n">
        <f aca="false">(+VLOOKUP($A238,FIXED_CHARTER_COST,HLOOKUP(G$7,FIXED_CHARTER_COST,2,0)+1,0)+VLOOKUP($A238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0.768309226128565</v>
      </c>
      <c r="H238" s="23" t="n">
        <f aca="false">(+VLOOKUP($A238,FIXED_CHARTER_COST,HLOOKUP(H$7,FIXED_CHARTER_COST,2,0)+1,0)+VLOOKUP($A238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38" s="23" t="n">
        <f aca="false">(+VLOOKUP($A238,FIXED_CHARTER_COST,HLOOKUP(I$7,FIXED_CHARTER_COST,2,0)+1,0)+VLOOKUP($A238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39" customFormat="false" ht="12.75" hidden="false" customHeight="false" outlineLevel="0" collapsed="false">
      <c r="A239" s="22" t="n">
        <f aca="false">+SHIPS!B255</f>
        <v>43678</v>
      </c>
      <c r="B239" s="23" t="n">
        <f aca="false">(+VLOOKUP($A239,FIXED_CHARTER_COST,HLOOKUP(B$7,FIXED_CHARTER_COST,2,0)+1,0)+VLOOKUP($A239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39" s="23" t="n">
        <f aca="false">(+VLOOKUP($A239,FIXED_CHARTER_COST,HLOOKUP(C$7,FIXED_CHARTER_COST,2,0)+1,0)+VLOOKUP($A239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39" s="23" t="n">
        <f aca="false">(+VLOOKUP($A239,FIXED_CHARTER_COST,HLOOKUP(D$7,FIXED_CHARTER_COST,2,0)+1,0)+VLOOKUP($A239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0.345213893216666</v>
      </c>
      <c r="E239" s="23" t="n">
        <f aca="false">(+VLOOKUP($A239,FIXED_CHARTER_COST,HLOOKUP(E$7,FIXED_CHARTER_COST,2,0)+1,0)+VLOOKUP($A239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0.376683725772067</v>
      </c>
      <c r="F239" s="23" t="n">
        <f aca="false">(+VLOOKUP($A239,FIXED_CHARTER_COST,HLOOKUP(F$7,FIXED_CHARTER_COST,2,0)+1,0)+VLOOKUP($A239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0.631945768629664</v>
      </c>
      <c r="G239" s="23" t="n">
        <f aca="false">(+VLOOKUP($A239,FIXED_CHARTER_COST,HLOOKUP(G$7,FIXED_CHARTER_COST,2,0)+1,0)+VLOOKUP($A239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0.768583685882413</v>
      </c>
      <c r="H239" s="23" t="n">
        <f aca="false">(+VLOOKUP($A239,FIXED_CHARTER_COST,HLOOKUP(H$7,FIXED_CHARTER_COST,2,0)+1,0)+VLOOKUP($A239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39" s="23" t="n">
        <f aca="false">(+VLOOKUP($A239,FIXED_CHARTER_COST,HLOOKUP(I$7,FIXED_CHARTER_COST,2,0)+1,0)+VLOOKUP($A239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40" customFormat="false" ht="12.75" hidden="false" customHeight="false" outlineLevel="0" collapsed="false">
      <c r="A240" s="22" t="n">
        <f aca="false">+SHIPS!B256</f>
        <v>43709</v>
      </c>
      <c r="B240" s="23" t="n">
        <f aca="false">(+VLOOKUP($A240,FIXED_CHARTER_COST,HLOOKUP(B$7,FIXED_CHARTER_COST,2,0)+1,0)+VLOOKUP($A240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40" s="23" t="n">
        <f aca="false">(+VLOOKUP($A240,FIXED_CHARTER_COST,HLOOKUP(C$7,FIXED_CHARTER_COST,2,0)+1,0)+VLOOKUP($A240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40" s="23" t="n">
        <f aca="false">(+VLOOKUP($A240,FIXED_CHARTER_COST,HLOOKUP(D$7,FIXED_CHARTER_COST,2,0)+1,0)+VLOOKUP($A240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0.34534083085282</v>
      </c>
      <c r="E240" s="23" t="n">
        <f aca="false">(+VLOOKUP($A240,FIXED_CHARTER_COST,HLOOKUP(E$7,FIXED_CHARTER_COST,2,0)+1,0)+VLOOKUP($A240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0.376821241544568</v>
      </c>
      <c r="F240" s="23" t="n">
        <f aca="false">(+VLOOKUP($A240,FIXED_CHARTER_COST,HLOOKUP(F$7,FIXED_CHARTER_COST,2,0)+1,0)+VLOOKUP($A240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0.632167909492935</v>
      </c>
      <c r="G240" s="23" t="n">
        <f aca="false">(+VLOOKUP($A240,FIXED_CHARTER_COST,HLOOKUP(G$7,FIXED_CHARTER_COST,2,0)+1,0)+VLOOKUP($A240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0.768858717427415</v>
      </c>
      <c r="H240" s="23" t="n">
        <f aca="false">(+VLOOKUP($A240,FIXED_CHARTER_COST,HLOOKUP(H$7,FIXED_CHARTER_COST,2,0)+1,0)+VLOOKUP($A240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40" s="23" t="n">
        <f aca="false">(+VLOOKUP($A240,FIXED_CHARTER_COST,HLOOKUP(I$7,FIXED_CHARTER_COST,2,0)+1,0)+VLOOKUP($A240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41" customFormat="false" ht="12.75" hidden="false" customHeight="false" outlineLevel="0" collapsed="false">
      <c r="A241" s="22" t="n">
        <f aca="false">+SHIPS!B257</f>
        <v>43739</v>
      </c>
      <c r="B241" s="23" t="n">
        <f aca="false">(+VLOOKUP($A241,FIXED_CHARTER_COST,HLOOKUP(B$7,FIXED_CHARTER_COST,2,0)+1,0)+VLOOKUP($A241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41" s="23" t="n">
        <f aca="false">(+VLOOKUP($A241,FIXED_CHARTER_COST,HLOOKUP(C$7,FIXED_CHARTER_COST,2,0)+1,0)+VLOOKUP($A241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41" s="23" t="n">
        <f aca="false">(+VLOOKUP($A241,FIXED_CHARTER_COST,HLOOKUP(D$7,FIXED_CHARTER_COST,2,0)+1,0)+VLOOKUP($A241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0.345468032942384</v>
      </c>
      <c r="E241" s="23" t="n">
        <f aca="false">(+VLOOKUP($A241,FIXED_CHARTER_COST,HLOOKUP(E$7,FIXED_CHARTER_COST,2,0)+1,0)+VLOOKUP($A241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0.376959043808262</v>
      </c>
      <c r="F241" s="23" t="n">
        <f aca="false">(+VLOOKUP($A241,FIXED_CHARTER_COST,HLOOKUP(F$7,FIXED_CHARTER_COST,2,0)+1,0)+VLOOKUP($A241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0.632390513149671</v>
      </c>
      <c r="G241" s="23" t="n">
        <f aca="false">(+VLOOKUP($A241,FIXED_CHARTER_COST,HLOOKUP(G$7,FIXED_CHARTER_COST,2,0)+1,0)+VLOOKUP($A241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0.769134321954803</v>
      </c>
      <c r="H241" s="23" t="n">
        <f aca="false">(+VLOOKUP($A241,FIXED_CHARTER_COST,HLOOKUP(H$7,FIXED_CHARTER_COST,2,0)+1,0)+VLOOKUP($A241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41" s="23" t="n">
        <f aca="false">(+VLOOKUP($A241,FIXED_CHARTER_COST,HLOOKUP(I$7,FIXED_CHARTER_COST,2,0)+1,0)+VLOOKUP($A241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42" customFormat="false" ht="12.75" hidden="false" customHeight="false" outlineLevel="0" collapsed="false">
      <c r="A242" s="22" t="n">
        <f aca="false">+SHIPS!B258</f>
        <v>43770</v>
      </c>
      <c r="B242" s="23" t="n">
        <f aca="false">(+VLOOKUP($A242,FIXED_CHARTER_COST,HLOOKUP(B$7,FIXED_CHARTER_COST,2,0)+1,0)+VLOOKUP($A242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42" s="23" t="n">
        <f aca="false">(+VLOOKUP($A242,FIXED_CHARTER_COST,HLOOKUP(C$7,FIXED_CHARTER_COST,2,0)+1,0)+VLOOKUP($A242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42" s="23" t="n">
        <f aca="false">(+VLOOKUP($A242,FIXED_CHARTER_COST,HLOOKUP(D$7,FIXED_CHARTER_COST,2,0)+1,0)+VLOOKUP($A242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0.345595500036301</v>
      </c>
      <c r="E242" s="23" t="n">
        <f aca="false">(+VLOOKUP($A242,FIXED_CHARTER_COST,HLOOKUP(E$7,FIXED_CHARTER_COST,2,0)+1,0)+VLOOKUP($A242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0.377097133160005</v>
      </c>
      <c r="F242" s="23" t="n">
        <f aca="false">(+VLOOKUP($A242,FIXED_CHARTER_COST,HLOOKUP(F$7,FIXED_CHARTER_COST,2,0)+1,0)+VLOOKUP($A242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0.632613580564025</v>
      </c>
      <c r="G242" s="23" t="n">
        <f aca="false">(+VLOOKUP($A242,FIXED_CHARTER_COST,HLOOKUP(G$7,FIXED_CHARTER_COST,2,0)+1,0)+VLOOKUP($A242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0.769410500658289</v>
      </c>
      <c r="H242" s="23" t="n">
        <f aca="false">(+VLOOKUP($A242,FIXED_CHARTER_COST,HLOOKUP(H$7,FIXED_CHARTER_COST,2,0)+1,0)+VLOOKUP($A242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42" s="23" t="n">
        <f aca="false">(+VLOOKUP($A242,FIXED_CHARTER_COST,HLOOKUP(I$7,FIXED_CHARTER_COST,2,0)+1,0)+VLOOKUP($A242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43" customFormat="false" ht="12.75" hidden="false" customHeight="false" outlineLevel="0" collapsed="false">
      <c r="A243" s="22" t="n">
        <f aca="false">+SHIPS!B259</f>
        <v>43800</v>
      </c>
      <c r="B243" s="23" t="n">
        <f aca="false">(+VLOOKUP($A243,FIXED_CHARTER_COST,HLOOKUP(B$7,FIXED_CHARTER_COST,2,0)+1,0)+VLOOKUP($A243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43" s="23" t="n">
        <f aca="false">(+VLOOKUP($A243,FIXED_CHARTER_COST,HLOOKUP(C$7,FIXED_CHARTER_COST,2,0)+1,0)+VLOOKUP($A243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43" s="23" t="n">
        <f aca="false">(+VLOOKUP($A243,FIXED_CHARTER_COST,HLOOKUP(D$7,FIXED_CHARTER_COST,2,0)+1,0)+VLOOKUP($A243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0.345723232686663</v>
      </c>
      <c r="E243" s="23" t="n">
        <f aca="false">(+VLOOKUP($A243,FIXED_CHARTER_COST,HLOOKUP(E$7,FIXED_CHARTER_COST,2,0)+1,0)+VLOOKUP($A243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0.377235510197897</v>
      </c>
      <c r="F243" s="23" t="n">
        <f aca="false">(+VLOOKUP($A243,FIXED_CHARTER_COST,HLOOKUP(F$7,FIXED_CHARTER_COST,2,0)+1,0)+VLOOKUP($A243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0.632837112702159</v>
      </c>
      <c r="G243" s="23" t="n">
        <f aca="false">(+VLOOKUP($A243,FIXED_CHARTER_COST,HLOOKUP(G$7,FIXED_CHARTER_COST,2,0)+1,0)+VLOOKUP($A243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0.769687254734074</v>
      </c>
      <c r="H243" s="23" t="n">
        <f aca="false">(+VLOOKUP($A243,FIXED_CHARTER_COST,HLOOKUP(H$7,FIXED_CHARTER_COST,2,0)+1,0)+VLOOKUP($A243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43" s="23" t="n">
        <f aca="false">(+VLOOKUP($A243,FIXED_CHARTER_COST,HLOOKUP(I$7,FIXED_CHARTER_COST,2,0)+1,0)+VLOOKUP($A243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44" customFormat="false" ht="12.75" hidden="false" customHeight="false" outlineLevel="0" collapsed="false">
      <c r="A244" s="22" t="n">
        <f aca="false">+SHIPS!B260</f>
        <v>43831</v>
      </c>
      <c r="B244" s="23" t="n">
        <f aca="false">(+VLOOKUP($A244,FIXED_CHARTER_COST,HLOOKUP(B$7,FIXED_CHARTER_COST,2,0)+1,0)+VLOOKUP($A244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44" s="23" t="n">
        <f aca="false">(+VLOOKUP($A244,FIXED_CHARTER_COST,HLOOKUP(C$7,FIXED_CHARTER_COST,2,0)+1,0)+VLOOKUP($A244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44" s="23" t="n">
        <f aca="false">(+VLOOKUP($A244,FIXED_CHARTER_COST,HLOOKUP(D$7,FIXED_CHARTER_COST,2,0)+1,0)+VLOOKUP($A244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0.345851231446713</v>
      </c>
      <c r="E244" s="23" t="n">
        <f aca="false">(+VLOOKUP($A244,FIXED_CHARTER_COST,HLOOKUP(E$7,FIXED_CHARTER_COST,2,0)+1,0)+VLOOKUP($A244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0.377374175521285</v>
      </c>
      <c r="F244" s="23" t="n">
        <f aca="false">(+VLOOKUP($A244,FIXED_CHARTER_COST,HLOOKUP(F$7,FIXED_CHARTER_COST,2,0)+1,0)+VLOOKUP($A244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0.633061110532248</v>
      </c>
      <c r="G244" s="23" t="n">
        <f aca="false">(+VLOOKUP($A244,FIXED_CHARTER_COST,HLOOKUP(G$7,FIXED_CHARTER_COST,2,0)+1,0)+VLOOKUP($A244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0.76996458538085</v>
      </c>
      <c r="H244" s="23" t="n">
        <f aca="false">(+VLOOKUP($A244,FIXED_CHARTER_COST,HLOOKUP(H$7,FIXED_CHARTER_COST,2,0)+1,0)+VLOOKUP($A244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44" s="23" t="n">
        <f aca="false">(+VLOOKUP($A244,FIXED_CHARTER_COST,HLOOKUP(I$7,FIXED_CHARTER_COST,2,0)+1,0)+VLOOKUP($A244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45" customFormat="false" ht="12.75" hidden="false" customHeight="false" outlineLevel="0" collapsed="false">
      <c r="A245" s="22" t="n">
        <f aca="false">+SHIPS!B261</f>
        <v>43862</v>
      </c>
      <c r="B245" s="23" t="n">
        <f aca="false">(+VLOOKUP($A245,FIXED_CHARTER_COST,HLOOKUP(B$7,FIXED_CHARTER_COST,2,0)+1,0)+VLOOKUP($A245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45" s="23" t="n">
        <f aca="false">(+VLOOKUP($A245,FIXED_CHARTER_COST,HLOOKUP(C$7,FIXED_CHARTER_COST,2,0)+1,0)+VLOOKUP($A245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45" s="23" t="n">
        <f aca="false">(+VLOOKUP($A245,FIXED_CHARTER_COST,HLOOKUP(D$7,FIXED_CHARTER_COST,2,0)+1,0)+VLOOKUP($A245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0.345979496870847</v>
      </c>
      <c r="E245" s="23" t="n">
        <f aca="false">(+VLOOKUP($A245,FIXED_CHARTER_COST,HLOOKUP(E$7,FIXED_CHARTER_COST,2,0)+1,0)+VLOOKUP($A245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0.377513129730764</v>
      </c>
      <c r="F245" s="23" t="n">
        <f aca="false">(+VLOOKUP($A245,FIXED_CHARTER_COST,HLOOKUP(F$7,FIXED_CHARTER_COST,2,0)+1,0)+VLOOKUP($A245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0.633285575024482</v>
      </c>
      <c r="G245" s="23" t="n">
        <f aca="false">(+VLOOKUP($A245,FIXED_CHARTER_COST,HLOOKUP(G$7,FIXED_CHARTER_COST,2,0)+1,0)+VLOOKUP($A245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0.770242493799808</v>
      </c>
      <c r="H245" s="23" t="n">
        <f aca="false">(+VLOOKUP($A245,FIXED_CHARTER_COST,HLOOKUP(H$7,FIXED_CHARTER_COST,2,0)+1,0)+VLOOKUP($A245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45" s="23" t="n">
        <f aca="false">(+VLOOKUP($A245,FIXED_CHARTER_COST,HLOOKUP(I$7,FIXED_CHARTER_COST,2,0)+1,0)+VLOOKUP($A245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46" customFormat="false" ht="12.75" hidden="false" customHeight="false" outlineLevel="0" collapsed="false">
      <c r="A246" s="22" t="n">
        <f aca="false">+SHIPS!B262</f>
        <v>43891</v>
      </c>
      <c r="B246" s="23" t="n">
        <f aca="false">(+VLOOKUP($A246,FIXED_CHARTER_COST,HLOOKUP(B$7,FIXED_CHARTER_COST,2,0)+1,0)+VLOOKUP($A246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46" s="23" t="n">
        <f aca="false">(+VLOOKUP($A246,FIXED_CHARTER_COST,HLOOKUP(C$7,FIXED_CHARTER_COST,2,0)+1,0)+VLOOKUP($A246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46" s="23" t="n">
        <f aca="false">(+VLOOKUP($A246,FIXED_CHARTER_COST,HLOOKUP(D$7,FIXED_CHARTER_COST,2,0)+1,0)+VLOOKUP($A246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0.346108029514615</v>
      </c>
      <c r="E246" s="23" t="n">
        <f aca="false">(+VLOOKUP($A246,FIXED_CHARTER_COST,HLOOKUP(E$7,FIXED_CHARTER_COST,2,0)+1,0)+VLOOKUP($A246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0.377652373428179</v>
      </c>
      <c r="F246" s="23" t="n">
        <f aca="false">(+VLOOKUP($A246,FIXED_CHARTER_COST,HLOOKUP(F$7,FIXED_CHARTER_COST,2,0)+1,0)+VLOOKUP($A246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0.633510507151075</v>
      </c>
      <c r="G246" s="23" t="n">
        <f aca="false">(+VLOOKUP($A246,FIXED_CHARTER_COST,HLOOKUP(G$7,FIXED_CHARTER_COST,2,0)+1,0)+VLOOKUP($A246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0.770520981194637</v>
      </c>
      <c r="H246" s="23" t="n">
        <f aca="false">(+VLOOKUP($A246,FIXED_CHARTER_COST,HLOOKUP(H$7,FIXED_CHARTER_COST,2,0)+1,0)+VLOOKUP($A246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46" s="23" t="n">
        <f aca="false">(+VLOOKUP($A246,FIXED_CHARTER_COST,HLOOKUP(I$7,FIXED_CHARTER_COST,2,0)+1,0)+VLOOKUP($A246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47" customFormat="false" ht="12.75" hidden="false" customHeight="false" outlineLevel="0" collapsed="false">
      <c r="A247" s="22" t="n">
        <f aca="false">+SHIPS!B263</f>
        <v>43922</v>
      </c>
      <c r="B247" s="23" t="n">
        <f aca="false">(+VLOOKUP($A247,FIXED_CHARTER_COST,HLOOKUP(B$7,FIXED_CHARTER_COST,2,0)+1,0)+VLOOKUP($A247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47" s="23" t="n">
        <f aca="false">(+VLOOKUP($A247,FIXED_CHARTER_COST,HLOOKUP(C$7,FIXED_CHARTER_COST,2,0)+1,0)+VLOOKUP($A247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47" s="23" t="n">
        <f aca="false">(+VLOOKUP($A247,FIXED_CHARTER_COST,HLOOKUP(D$7,FIXED_CHARTER_COST,2,0)+1,0)+VLOOKUP($A247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0.346236829934724</v>
      </c>
      <c r="E247" s="23" t="n">
        <f aca="false">(+VLOOKUP($A247,FIXED_CHARTER_COST,HLOOKUP(E$7,FIXED_CHARTER_COST,2,0)+1,0)+VLOOKUP($A247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0.37779190721663</v>
      </c>
      <c r="F247" s="23" t="n">
        <f aca="false">(+VLOOKUP($A247,FIXED_CHARTER_COST,HLOOKUP(F$7,FIXED_CHARTER_COST,2,0)+1,0)+VLOOKUP($A247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0.633735907886266</v>
      </c>
      <c r="G247" s="23" t="n">
        <f aca="false">(+VLOOKUP($A247,FIXED_CHARTER_COST,HLOOKUP(G$7,FIXED_CHARTER_COST,2,0)+1,0)+VLOOKUP($A247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0.77080004877154</v>
      </c>
      <c r="H247" s="23" t="n">
        <f aca="false">(+VLOOKUP($A247,FIXED_CHARTER_COST,HLOOKUP(H$7,FIXED_CHARTER_COST,2,0)+1,0)+VLOOKUP($A247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47" s="23" t="n">
        <f aca="false">(+VLOOKUP($A247,FIXED_CHARTER_COST,HLOOKUP(I$7,FIXED_CHARTER_COST,2,0)+1,0)+VLOOKUP($A247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48" customFormat="false" ht="12.75" hidden="false" customHeight="false" outlineLevel="0" collapsed="false">
      <c r="A248" s="22" t="n">
        <f aca="false">+SHIPS!B264</f>
        <v>43952</v>
      </c>
      <c r="B248" s="23" t="n">
        <f aca="false">(+VLOOKUP($A248,FIXED_CHARTER_COST,HLOOKUP(B$7,FIXED_CHARTER_COST,2,0)+1,0)+VLOOKUP($A248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48" s="23" t="n">
        <f aca="false">(+VLOOKUP($A248,FIXED_CHARTER_COST,HLOOKUP(C$7,FIXED_CHARTER_COST,2,0)+1,0)+VLOOKUP($A248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48" s="23" t="n">
        <f aca="false">(+VLOOKUP($A248,FIXED_CHARTER_COST,HLOOKUP(D$7,FIXED_CHARTER_COST,2,0)+1,0)+VLOOKUP($A248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0.346365898689041</v>
      </c>
      <c r="E248" s="23" t="n">
        <f aca="false">(+VLOOKUP($A248,FIXED_CHARTER_COST,HLOOKUP(E$7,FIXED_CHARTER_COST,2,0)+1,0)+VLOOKUP($A248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0.377931731700474</v>
      </c>
      <c r="F248" s="23" t="n">
        <f aca="false">(+VLOOKUP($A248,FIXED_CHARTER_COST,HLOOKUP(F$7,FIXED_CHARTER_COST,2,0)+1,0)+VLOOKUP($A248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0.633961778206321</v>
      </c>
      <c r="G248" s="23" t="n">
        <f aca="false">(+VLOOKUP($A248,FIXED_CHARTER_COST,HLOOKUP(G$7,FIXED_CHARTER_COST,2,0)+1,0)+VLOOKUP($A248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0.771079697739228</v>
      </c>
      <c r="H248" s="23" t="n">
        <f aca="false">(+VLOOKUP($A248,FIXED_CHARTER_COST,HLOOKUP(H$7,FIXED_CHARTER_COST,2,0)+1,0)+VLOOKUP($A248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48" s="23" t="n">
        <f aca="false">(+VLOOKUP($A248,FIXED_CHARTER_COST,HLOOKUP(I$7,FIXED_CHARTER_COST,2,0)+1,0)+VLOOKUP($A248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49" customFormat="false" ht="12.75" hidden="false" customHeight="false" outlineLevel="0" collapsed="false">
      <c r="A249" s="22" t="n">
        <f aca="false">+SHIPS!B265</f>
        <v>43983</v>
      </c>
      <c r="B249" s="23" t="n">
        <f aca="false">(+VLOOKUP($A249,FIXED_CHARTER_COST,HLOOKUP(B$7,FIXED_CHARTER_COST,2,0)+1,0)+VLOOKUP($A249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49" s="23" t="n">
        <f aca="false">(+VLOOKUP($A249,FIXED_CHARTER_COST,HLOOKUP(C$7,FIXED_CHARTER_COST,2,0)+1,0)+VLOOKUP($A249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49" s="23" t="n">
        <f aca="false">(+VLOOKUP($A249,FIXED_CHARTER_COST,HLOOKUP(D$7,FIXED_CHARTER_COST,2,0)+1,0)+VLOOKUP($A249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0.346495236336597</v>
      </c>
      <c r="E249" s="23" t="n">
        <f aca="false">(+VLOOKUP($A249,FIXED_CHARTER_COST,HLOOKUP(E$7,FIXED_CHARTER_COST,2,0)+1,0)+VLOOKUP($A249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0.378071847485326</v>
      </c>
      <c r="F249" s="23" t="n">
        <f aca="false">(+VLOOKUP($A249,FIXED_CHARTER_COST,HLOOKUP(F$7,FIXED_CHARTER_COST,2,0)+1,0)+VLOOKUP($A249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0.634188119089544</v>
      </c>
      <c r="G249" s="23" t="n">
        <f aca="false">(+VLOOKUP($A249,FIXED_CHARTER_COST,HLOOKUP(G$7,FIXED_CHARTER_COST,2,0)+1,0)+VLOOKUP($A249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0.771359929308931</v>
      </c>
      <c r="H249" s="23" t="n">
        <f aca="false">(+VLOOKUP($A249,FIXED_CHARTER_COST,HLOOKUP(H$7,FIXED_CHARTER_COST,2,0)+1,0)+VLOOKUP($A249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49" s="23" t="n">
        <f aca="false">(+VLOOKUP($A249,FIXED_CHARTER_COST,HLOOKUP(I$7,FIXED_CHARTER_COST,2,0)+1,0)+VLOOKUP($A249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50" customFormat="false" ht="12.75" hidden="false" customHeight="false" outlineLevel="0" collapsed="false">
      <c r="A250" s="22" t="n">
        <f aca="false">+SHIPS!B266</f>
        <v>44013</v>
      </c>
      <c r="B250" s="23" t="n">
        <f aca="false">(+VLOOKUP($A250,FIXED_CHARTER_COST,HLOOKUP(B$7,FIXED_CHARTER_COST,2,0)+1,0)+VLOOKUP($A250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50" s="23" t="n">
        <f aca="false">(+VLOOKUP($A250,FIXED_CHARTER_COST,HLOOKUP(C$7,FIXED_CHARTER_COST,2,0)+1,0)+VLOOKUP($A250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50" s="23" t="n">
        <f aca="false">(+VLOOKUP($A250,FIXED_CHARTER_COST,HLOOKUP(D$7,FIXED_CHARTER_COST,2,0)+1,0)+VLOOKUP($A250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0.346624843437585</v>
      </c>
      <c r="E250" s="23" t="n">
        <f aca="false">(+VLOOKUP($A250,FIXED_CHARTER_COST,HLOOKUP(E$7,FIXED_CHARTER_COST,2,0)+1,0)+VLOOKUP($A250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0.378212255178063</v>
      </c>
      <c r="F250" s="23" t="n">
        <f aca="false">(+VLOOKUP($A250,FIXED_CHARTER_COST,HLOOKUP(F$7,FIXED_CHARTER_COST,2,0)+1,0)+VLOOKUP($A250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0.634414931516273</v>
      </c>
      <c r="G250" s="23" t="n">
        <f aca="false">(+VLOOKUP($A250,FIXED_CHARTER_COST,HLOOKUP(G$7,FIXED_CHARTER_COST,2,0)+1,0)+VLOOKUP($A250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0.771640744694405</v>
      </c>
      <c r="H250" s="23" t="n">
        <f aca="false">(+VLOOKUP($A250,FIXED_CHARTER_COST,HLOOKUP(H$7,FIXED_CHARTER_COST,2,0)+1,0)+VLOOKUP($A250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50" s="23" t="n">
        <f aca="false">(+VLOOKUP($A250,FIXED_CHARTER_COST,HLOOKUP(I$7,FIXED_CHARTER_COST,2,0)+1,0)+VLOOKUP($A250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51" customFormat="false" ht="12.75" hidden="false" customHeight="false" outlineLevel="0" collapsed="false">
      <c r="A251" s="22" t="n">
        <f aca="false">+SHIPS!B267</f>
        <v>44044</v>
      </c>
      <c r="B251" s="23" t="n">
        <f aca="false">(+VLOOKUP($A251,FIXED_CHARTER_COST,HLOOKUP(B$7,FIXED_CHARTER_COST,2,0)+1,0)+VLOOKUP($A251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51" s="23" t="n">
        <f aca="false">(+VLOOKUP($A251,FIXED_CHARTER_COST,HLOOKUP(C$7,FIXED_CHARTER_COST,2,0)+1,0)+VLOOKUP($A251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51" s="23" t="n">
        <f aca="false">(+VLOOKUP($A251,FIXED_CHARTER_COST,HLOOKUP(D$7,FIXED_CHARTER_COST,2,0)+1,0)+VLOOKUP($A251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0.346754720553367</v>
      </c>
      <c r="E251" s="23" t="n">
        <f aca="false">(+VLOOKUP($A251,FIXED_CHARTER_COST,HLOOKUP(E$7,FIXED_CHARTER_COST,2,0)+1,0)+VLOOKUP($A251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0.378352955386826</v>
      </c>
      <c r="F251" s="23" t="n">
        <f aca="false">(+VLOOKUP($A251,FIXED_CHARTER_COST,HLOOKUP(F$7,FIXED_CHARTER_COST,2,0)+1,0)+VLOOKUP($A251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0.63464221646889</v>
      </c>
      <c r="G251" s="23" t="n">
        <f aca="false">(+VLOOKUP($A251,FIXED_CHARTER_COST,HLOOKUP(G$7,FIXED_CHARTER_COST,2,0)+1,0)+VLOOKUP($A251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0.771922145111932</v>
      </c>
      <c r="H251" s="23" t="n">
        <f aca="false">(+VLOOKUP($A251,FIXED_CHARTER_COST,HLOOKUP(H$7,FIXED_CHARTER_COST,2,0)+1,0)+VLOOKUP($A251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51" s="23" t="n">
        <f aca="false">(+VLOOKUP($A251,FIXED_CHARTER_COST,HLOOKUP(I$7,FIXED_CHARTER_COST,2,0)+1,0)+VLOOKUP($A251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52" customFormat="false" ht="12.75" hidden="false" customHeight="false" outlineLevel="0" collapsed="false">
      <c r="A252" s="22" t="n">
        <f aca="false">+SHIPS!B268</f>
        <v>44075</v>
      </c>
      <c r="B252" s="23" t="n">
        <f aca="false">(+VLOOKUP($A252,FIXED_CHARTER_COST,HLOOKUP(B$7,FIXED_CHARTER_COST,2,0)+1,0)+VLOOKUP($A252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52" s="23" t="n">
        <f aca="false">(+VLOOKUP($A252,FIXED_CHARTER_COST,HLOOKUP(C$7,FIXED_CHARTER_COST,2,0)+1,0)+VLOOKUP($A252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52" s="23" t="n">
        <f aca="false">(+VLOOKUP($A252,FIXED_CHARTER_COST,HLOOKUP(D$7,FIXED_CHARTER_COST,2,0)+1,0)+VLOOKUP($A252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0.346884868246473</v>
      </c>
      <c r="E252" s="23" t="n">
        <f aca="false">(+VLOOKUP($A252,FIXED_CHARTER_COST,HLOOKUP(E$7,FIXED_CHARTER_COST,2,0)+1,0)+VLOOKUP($A252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0.378493948721025</v>
      </c>
      <c r="F252" s="23" t="n">
        <f aca="false">(+VLOOKUP($A252,FIXED_CHARTER_COST,HLOOKUP(F$7,FIXED_CHARTER_COST,2,0)+1,0)+VLOOKUP($A252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0.634869974931826</v>
      </c>
      <c r="G252" s="23" t="n">
        <f aca="false">(+VLOOKUP($A252,FIXED_CHARTER_COST,HLOOKUP(G$7,FIXED_CHARTER_COST,2,0)+1,0)+VLOOKUP($A252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0.772204131780329</v>
      </c>
      <c r="H252" s="23" t="n">
        <f aca="false">(+VLOOKUP($A252,FIXED_CHARTER_COST,HLOOKUP(H$7,FIXED_CHARTER_COST,2,0)+1,0)+VLOOKUP($A252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52" s="23" t="n">
        <f aca="false">(+VLOOKUP($A252,FIXED_CHARTER_COST,HLOOKUP(I$7,FIXED_CHARTER_COST,2,0)+1,0)+VLOOKUP($A252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53" customFormat="false" ht="12.75" hidden="false" customHeight="false" outlineLevel="0" collapsed="false">
      <c r="A253" s="22" t="n">
        <f aca="false">+SHIPS!B269</f>
        <v>44105</v>
      </c>
      <c r="B253" s="23" t="n">
        <f aca="false">(+VLOOKUP($A253,FIXED_CHARTER_COST,HLOOKUP(B$7,FIXED_CHARTER_COST,2,0)+1,0)+VLOOKUP($A253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53" s="23" t="n">
        <f aca="false">(+VLOOKUP($A253,FIXED_CHARTER_COST,HLOOKUP(C$7,FIXED_CHARTER_COST,2,0)+1,0)+VLOOKUP($A253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53" s="23" t="n">
        <f aca="false">(+VLOOKUP($A253,FIXED_CHARTER_COST,HLOOKUP(D$7,FIXED_CHARTER_COST,2,0)+1,0)+VLOOKUP($A253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0.347015287080606</v>
      </c>
      <c r="E253" s="23" t="n">
        <f aca="false">(+VLOOKUP($A253,FIXED_CHARTER_COST,HLOOKUP(E$7,FIXED_CHARTER_COST,2,0)+1,0)+VLOOKUP($A253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0.378635235791336</v>
      </c>
      <c r="F253" s="23" t="n">
        <f aca="false">(+VLOOKUP($A253,FIXED_CHARTER_COST,HLOOKUP(F$7,FIXED_CHARTER_COST,2,0)+1,0)+VLOOKUP($A253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0.63509820789156</v>
      </c>
      <c r="G253" s="23" t="n">
        <f aca="false">(+VLOOKUP($A253,FIXED_CHARTER_COST,HLOOKUP(G$7,FIXED_CHARTER_COST,2,0)+1,0)+VLOOKUP($A253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0.772486705920952</v>
      </c>
      <c r="H253" s="23" t="n">
        <f aca="false">(+VLOOKUP($A253,FIXED_CHARTER_COST,HLOOKUP(H$7,FIXED_CHARTER_COST,2,0)+1,0)+VLOOKUP($A253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53" s="23" t="n">
        <f aca="false">(+VLOOKUP($A253,FIXED_CHARTER_COST,HLOOKUP(I$7,FIXED_CHARTER_COST,2,0)+1,0)+VLOOKUP($A253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54" customFormat="false" ht="12.75" hidden="false" customHeight="false" outlineLevel="0" collapsed="false">
      <c r="A254" s="22" t="n">
        <f aca="false">+SHIPS!B270</f>
        <v>44136</v>
      </c>
      <c r="B254" s="23" t="n">
        <f aca="false">(+VLOOKUP($A254,FIXED_CHARTER_COST,HLOOKUP(B$7,FIXED_CHARTER_COST,2,0)+1,0)+VLOOKUP($A254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54" s="23" t="n">
        <f aca="false">(+VLOOKUP($A254,FIXED_CHARTER_COST,HLOOKUP(C$7,FIXED_CHARTER_COST,2,0)+1,0)+VLOOKUP($A254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54" s="23" t="n">
        <f aca="false">(+VLOOKUP($A254,FIXED_CHARTER_COST,HLOOKUP(D$7,FIXED_CHARTER_COST,2,0)+1,0)+VLOOKUP($A254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0.347145977620644</v>
      </c>
      <c r="E254" s="23" t="n">
        <f aca="false">(+VLOOKUP($A254,FIXED_CHARTER_COST,HLOOKUP(E$7,FIXED_CHARTER_COST,2,0)+1,0)+VLOOKUP($A254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0.378776817209711</v>
      </c>
      <c r="F254" s="23" t="n">
        <f aca="false">(+VLOOKUP($A254,FIXED_CHARTER_COST,HLOOKUP(F$7,FIXED_CHARTER_COST,2,0)+1,0)+VLOOKUP($A254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0.635326916336626</v>
      </c>
      <c r="G254" s="23" t="n">
        <f aca="false">(+VLOOKUP($A254,FIXED_CHARTER_COST,HLOOKUP(G$7,FIXED_CHARTER_COST,2,0)+1,0)+VLOOKUP($A254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0.772769868757701</v>
      </c>
      <c r="H254" s="23" t="n">
        <f aca="false">(+VLOOKUP($A254,FIXED_CHARTER_COST,HLOOKUP(H$7,FIXED_CHARTER_COST,2,0)+1,0)+VLOOKUP($A254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54" s="23" t="n">
        <f aca="false">(+VLOOKUP($A254,FIXED_CHARTER_COST,HLOOKUP(I$7,FIXED_CHARTER_COST,2,0)+1,0)+VLOOKUP($A254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55" customFormat="false" ht="12.75" hidden="false" customHeight="false" outlineLevel="0" collapsed="false">
      <c r="A255" s="22" t="n">
        <f aca="false">+SHIPS!B271</f>
        <v>44166</v>
      </c>
      <c r="B255" s="23" t="n">
        <f aca="false">(+VLOOKUP($A255,FIXED_CHARTER_COST,HLOOKUP(B$7,FIXED_CHARTER_COST,2,0)+1,0)+VLOOKUP($A255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55" s="23" t="n">
        <f aca="false">(+VLOOKUP($A255,FIXED_CHARTER_COST,HLOOKUP(C$7,FIXED_CHARTER_COST,2,0)+1,0)+VLOOKUP($A255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55" s="23" t="n">
        <f aca="false">(+VLOOKUP($A255,FIXED_CHARTER_COST,HLOOKUP(D$7,FIXED_CHARTER_COST,2,0)+1,0)+VLOOKUP($A255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0.347276940432641</v>
      </c>
      <c r="E255" s="23" t="n">
        <f aca="false">(+VLOOKUP($A255,FIXED_CHARTER_COST,HLOOKUP(E$7,FIXED_CHARTER_COST,2,0)+1,0)+VLOOKUP($A255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0.378918693589373</v>
      </c>
      <c r="F255" s="23" t="n">
        <f aca="false">(+VLOOKUP($A255,FIXED_CHARTER_COST,HLOOKUP(F$7,FIXED_CHARTER_COST,2,0)+1,0)+VLOOKUP($A255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0.63555610125762</v>
      </c>
      <c r="G255" s="23" t="n">
        <f aca="false">(+VLOOKUP($A255,FIXED_CHARTER_COST,HLOOKUP(G$7,FIXED_CHARTER_COST,2,0)+1,0)+VLOOKUP($A255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0.773053621517026</v>
      </c>
      <c r="H255" s="23" t="n">
        <f aca="false">(+VLOOKUP($A255,FIXED_CHARTER_COST,HLOOKUP(H$7,FIXED_CHARTER_COST,2,0)+1,0)+VLOOKUP($A255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55" s="23" t="n">
        <f aca="false">(+VLOOKUP($A255,FIXED_CHARTER_COST,HLOOKUP(I$7,FIXED_CHARTER_COST,2,0)+1,0)+VLOOKUP($A255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56" customFormat="false" ht="12.75" hidden="false" customHeight="false" outlineLevel="0" collapsed="false">
      <c r="A256" s="22" t="n">
        <f aca="false">+SHIPS!B272</f>
        <v>44197</v>
      </c>
      <c r="B256" s="23" t="n">
        <f aca="false">(+VLOOKUP($A256,FIXED_CHARTER_COST,HLOOKUP(B$7,FIXED_CHARTER_COST,2,0)+1,0)+VLOOKUP($A256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56" s="23" t="n">
        <f aca="false">(+VLOOKUP($A256,FIXED_CHARTER_COST,HLOOKUP(C$7,FIXED_CHARTER_COST,2,0)+1,0)+VLOOKUP($A256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56" s="23" t="n">
        <f aca="false">(+VLOOKUP($A256,FIXED_CHARTER_COST,HLOOKUP(D$7,FIXED_CHARTER_COST,2,0)+1,0)+VLOOKUP($A256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0.347408176083829</v>
      </c>
      <c r="E256" s="23" t="n">
        <f aca="false">(+VLOOKUP($A256,FIXED_CHARTER_COST,HLOOKUP(E$7,FIXED_CHARTER_COST,2,0)+1,0)+VLOOKUP($A256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0.379060865544827</v>
      </c>
      <c r="F256" s="23" t="n">
        <f aca="false">(+VLOOKUP($A256,FIXED_CHARTER_COST,HLOOKUP(F$7,FIXED_CHARTER_COST,2,0)+1,0)+VLOOKUP($A256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0.635785763647199</v>
      </c>
      <c r="G256" s="23" t="n">
        <f aca="false">(+VLOOKUP($A256,FIXED_CHARTER_COST,HLOOKUP(G$7,FIXED_CHARTER_COST,2,0)+1,0)+VLOOKUP($A256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0.773337965427934</v>
      </c>
      <c r="H256" s="23" t="n">
        <f aca="false">(+VLOOKUP($A256,FIXED_CHARTER_COST,HLOOKUP(H$7,FIXED_CHARTER_COST,2,0)+1,0)+VLOOKUP($A256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56" s="23" t="n">
        <f aca="false">(+VLOOKUP($A256,FIXED_CHARTER_COST,HLOOKUP(I$7,FIXED_CHARTER_COST,2,0)+1,0)+VLOOKUP($A256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57" customFormat="false" ht="12.75" hidden="false" customHeight="false" outlineLevel="0" collapsed="false">
      <c r="A257" s="22" t="n">
        <f aca="false">+SHIPS!B273</f>
        <v>44228</v>
      </c>
      <c r="B257" s="23" t="n">
        <f aca="false">(+VLOOKUP($A257,FIXED_CHARTER_COST,HLOOKUP(B$7,FIXED_CHARTER_COST,2,0)+1,0)+VLOOKUP($A257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57" s="23" t="n">
        <f aca="false">(+VLOOKUP($A257,FIXED_CHARTER_COST,HLOOKUP(C$7,FIXED_CHARTER_COST,2,0)+1,0)+VLOOKUP($A257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57" s="23" t="n">
        <f aca="false">(+VLOOKUP($A257,FIXED_CHARTER_COST,HLOOKUP(D$7,FIXED_CHARTER_COST,2,0)+1,0)+VLOOKUP($A257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0.347539685142623</v>
      </c>
      <c r="E257" s="23" t="n">
        <f aca="false">(+VLOOKUP($A257,FIXED_CHARTER_COST,HLOOKUP(E$7,FIXED_CHARTER_COST,2,0)+1,0)+VLOOKUP($A257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0.379203333691855</v>
      </c>
      <c r="F257" s="23" t="n">
        <f aca="false">(+VLOOKUP($A257,FIXED_CHARTER_COST,HLOOKUP(F$7,FIXED_CHARTER_COST,2,0)+1,0)+VLOOKUP($A257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0.63601590450009</v>
      </c>
      <c r="G257" s="23" t="n">
        <f aca="false">(+VLOOKUP($A257,FIXED_CHARTER_COST,HLOOKUP(G$7,FIXED_CHARTER_COST,2,0)+1,0)+VLOOKUP($A257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0.773622901721989</v>
      </c>
      <c r="H257" s="23" t="n">
        <f aca="false">(+VLOOKUP($A257,FIXED_CHARTER_COST,HLOOKUP(H$7,FIXED_CHARTER_COST,2,0)+1,0)+VLOOKUP($A257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57" s="23" t="n">
        <f aca="false">(+VLOOKUP($A257,FIXED_CHARTER_COST,HLOOKUP(I$7,FIXED_CHARTER_COST,2,0)+1,0)+VLOOKUP($A257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58" customFormat="false" ht="12.75" hidden="false" customHeight="false" outlineLevel="0" collapsed="false">
      <c r="A258" s="22" t="n">
        <f aca="false">+SHIPS!B274</f>
        <v>44256</v>
      </c>
      <c r="B258" s="23" t="n">
        <f aca="false">(+VLOOKUP($A258,FIXED_CHARTER_COST,HLOOKUP(B$7,FIXED_CHARTER_COST,2,0)+1,0)+VLOOKUP($A258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58" s="23" t="n">
        <f aca="false">(+VLOOKUP($A258,FIXED_CHARTER_COST,HLOOKUP(C$7,FIXED_CHARTER_COST,2,0)+1,0)+VLOOKUP($A258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58" s="23" t="n">
        <f aca="false">(+VLOOKUP($A258,FIXED_CHARTER_COST,HLOOKUP(D$7,FIXED_CHARTER_COST,2,0)+1,0)+VLOOKUP($A258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0.347671468178624</v>
      </c>
      <c r="E258" s="23" t="n">
        <f aca="false">(+VLOOKUP($A258,FIXED_CHARTER_COST,HLOOKUP(E$7,FIXED_CHARTER_COST,2,0)+1,0)+VLOOKUP($A258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0.379346098647522</v>
      </c>
      <c r="F258" s="23" t="n">
        <f aca="false">(+VLOOKUP($A258,FIXED_CHARTER_COST,HLOOKUP(F$7,FIXED_CHARTER_COST,2,0)+1,0)+VLOOKUP($A258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0.636246524813091</v>
      </c>
      <c r="G258" s="23" t="n">
        <f aca="false">(+VLOOKUP($A258,FIXED_CHARTER_COST,HLOOKUP(G$7,FIXED_CHARTER_COST,2,0)+1,0)+VLOOKUP($A258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0.773908431633323</v>
      </c>
      <c r="H258" s="23" t="n">
        <f aca="false">(+VLOOKUP($A258,FIXED_CHARTER_COST,HLOOKUP(H$7,FIXED_CHARTER_COST,2,0)+1,0)+VLOOKUP($A258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58" s="23" t="n">
        <f aca="false">(+VLOOKUP($A258,FIXED_CHARTER_COST,HLOOKUP(I$7,FIXED_CHARTER_COST,2,0)+1,0)+VLOOKUP($A258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59" customFormat="false" ht="12.75" hidden="false" customHeight="false" outlineLevel="0" collapsed="false">
      <c r="A259" s="22" t="n">
        <f aca="false">+SHIPS!B275</f>
        <v>44287</v>
      </c>
      <c r="B259" s="23" t="n">
        <f aca="false">(+VLOOKUP($A259,FIXED_CHARTER_COST,HLOOKUP(B$7,FIXED_CHARTER_COST,2,0)+1,0)+VLOOKUP($A259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59" s="23" t="n">
        <f aca="false">(+VLOOKUP($A259,FIXED_CHARTER_COST,HLOOKUP(C$7,FIXED_CHARTER_COST,2,0)+1,0)+VLOOKUP($A259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59" s="23" t="n">
        <f aca="false">(+VLOOKUP($A259,FIXED_CHARTER_COST,HLOOKUP(D$7,FIXED_CHARTER_COST,2,0)+1,0)+VLOOKUP($A259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0.347803525762616</v>
      </c>
      <c r="E259" s="23" t="n">
        <f aca="false">(+VLOOKUP($A259,FIXED_CHARTER_COST,HLOOKUP(E$7,FIXED_CHARTER_COST,2,0)+1,0)+VLOOKUP($A259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0.37948916103018</v>
      </c>
      <c r="F259" s="23" t="n">
        <f aca="false">(+VLOOKUP($A259,FIXED_CHARTER_COST,HLOOKUP(F$7,FIXED_CHARTER_COST,2,0)+1,0)+VLOOKUP($A259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0.636477625585077</v>
      </c>
      <c r="G259" s="23" t="n">
        <f aca="false">(+VLOOKUP($A259,FIXED_CHARTER_COST,HLOOKUP(G$7,FIXED_CHARTER_COST,2,0)+1,0)+VLOOKUP($A259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0.77419455639864</v>
      </c>
      <c r="H259" s="23" t="n">
        <f aca="false">(+VLOOKUP($A259,FIXED_CHARTER_COST,HLOOKUP(H$7,FIXED_CHARTER_COST,2,0)+1,0)+VLOOKUP($A259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59" s="23" t="n">
        <f aca="false">(+VLOOKUP($A259,FIXED_CHARTER_COST,HLOOKUP(I$7,FIXED_CHARTER_COST,2,0)+1,0)+VLOOKUP($A259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60" customFormat="false" ht="12.75" hidden="false" customHeight="false" outlineLevel="0" collapsed="false">
      <c r="A260" s="22" t="n">
        <f aca="false">+SHIPS!B276</f>
        <v>44317</v>
      </c>
      <c r="B260" s="23" t="n">
        <f aca="false">(+VLOOKUP($A260,FIXED_CHARTER_COST,HLOOKUP(B$7,FIXED_CHARTER_COST,2,0)+1,0)+VLOOKUP($A260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60" s="23" t="n">
        <f aca="false">(+VLOOKUP($A260,FIXED_CHARTER_COST,HLOOKUP(C$7,FIXED_CHARTER_COST,2,0)+1,0)+VLOOKUP($A260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60" s="23" t="n">
        <f aca="false">(+VLOOKUP($A260,FIXED_CHARTER_COST,HLOOKUP(D$7,FIXED_CHARTER_COST,2,0)+1,0)+VLOOKUP($A260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0.347935858466575</v>
      </c>
      <c r="E260" s="23" t="n">
        <f aca="false">(+VLOOKUP($A260,FIXED_CHARTER_COST,HLOOKUP(E$7,FIXED_CHARTER_COST,2,0)+1,0)+VLOOKUP($A260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0.379632521459469</v>
      </c>
      <c r="F260" s="23" t="n">
        <f aca="false">(+VLOOKUP($A260,FIXED_CHARTER_COST,HLOOKUP(F$7,FIXED_CHARTER_COST,2,0)+1,0)+VLOOKUP($A260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0.636709207817005</v>
      </c>
      <c r="G260" s="23" t="n">
        <f aca="false">(+VLOOKUP($A260,FIXED_CHARTER_COST,HLOOKUP(G$7,FIXED_CHARTER_COST,2,0)+1,0)+VLOOKUP($A260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0.774481277257217</v>
      </c>
      <c r="H260" s="23" t="n">
        <f aca="false">(+VLOOKUP($A260,FIXED_CHARTER_COST,HLOOKUP(H$7,FIXED_CHARTER_COST,2,0)+1,0)+VLOOKUP($A260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60" s="23" t="n">
        <f aca="false">(+VLOOKUP($A260,FIXED_CHARTER_COST,HLOOKUP(I$7,FIXED_CHARTER_COST,2,0)+1,0)+VLOOKUP($A260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61" customFormat="false" ht="12.75" hidden="false" customHeight="false" outlineLevel="0" collapsed="false">
      <c r="A261" s="22" t="n">
        <f aca="false">+SHIPS!B277</f>
        <v>44348</v>
      </c>
      <c r="B261" s="23" t="n">
        <f aca="false">(+VLOOKUP($A261,FIXED_CHARTER_COST,HLOOKUP(B$7,FIXED_CHARTER_COST,2,0)+1,0)+VLOOKUP($A261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61" s="23" t="n">
        <f aca="false">(+VLOOKUP($A261,FIXED_CHARTER_COST,HLOOKUP(C$7,FIXED_CHARTER_COST,2,0)+1,0)+VLOOKUP($A261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61" s="23" t="n">
        <f aca="false">(+VLOOKUP($A261,FIXED_CHARTER_COST,HLOOKUP(D$7,FIXED_CHARTER_COST,2,0)+1,0)+VLOOKUP($A261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0.348068466863667</v>
      </c>
      <c r="E261" s="23" t="n">
        <f aca="false">(+VLOOKUP($A261,FIXED_CHARTER_COST,HLOOKUP(E$7,FIXED_CHARTER_COST,2,0)+1,0)+VLOOKUP($A261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0.379776180556318</v>
      </c>
      <c r="F261" s="23" t="n">
        <f aca="false">(+VLOOKUP($A261,FIXED_CHARTER_COST,HLOOKUP(F$7,FIXED_CHARTER_COST,2,0)+1,0)+VLOOKUP($A261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0.636941272511916</v>
      </c>
      <c r="G261" s="23" t="n">
        <f aca="false">(+VLOOKUP($A261,FIXED_CHARTER_COST,HLOOKUP(G$7,FIXED_CHARTER_COST,2,0)+1,0)+VLOOKUP($A261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0.774768595450917</v>
      </c>
      <c r="H261" s="23" t="n">
        <f aca="false">(+VLOOKUP($A261,FIXED_CHARTER_COST,HLOOKUP(H$7,FIXED_CHARTER_COST,2,0)+1,0)+VLOOKUP($A261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61" s="23" t="n">
        <f aca="false">(+VLOOKUP($A261,FIXED_CHARTER_COST,HLOOKUP(I$7,FIXED_CHARTER_COST,2,0)+1,0)+VLOOKUP($A261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62" customFormat="false" ht="12.75" hidden="false" customHeight="false" outlineLevel="0" collapsed="false">
      <c r="A262" s="22" t="n">
        <f aca="false">+SHIPS!B278</f>
        <v>44378</v>
      </c>
      <c r="B262" s="23" t="n">
        <f aca="false">(+VLOOKUP($A262,FIXED_CHARTER_COST,HLOOKUP(B$7,FIXED_CHARTER_COST,2,0)+1,0)+VLOOKUP($A262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62" s="23" t="n">
        <f aca="false">(+VLOOKUP($A262,FIXED_CHARTER_COST,HLOOKUP(C$7,FIXED_CHARTER_COST,2,0)+1,0)+VLOOKUP($A262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62" s="23" t="n">
        <f aca="false">(+VLOOKUP($A262,FIXED_CHARTER_COST,HLOOKUP(D$7,FIXED_CHARTER_COST,2,0)+1,0)+VLOOKUP($A262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0.348201351528253</v>
      </c>
      <c r="E262" s="23" t="n">
        <f aca="false">(+VLOOKUP($A262,FIXED_CHARTER_COST,HLOOKUP(E$7,FIXED_CHARTER_COST,2,0)+1,0)+VLOOKUP($A262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0.379920138942953</v>
      </c>
      <c r="F262" s="23" t="n">
        <f aca="false">(+VLOOKUP($A262,FIXED_CHARTER_COST,HLOOKUP(F$7,FIXED_CHARTER_COST,2,0)+1,0)+VLOOKUP($A262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0.637173820674942</v>
      </c>
      <c r="G262" s="23" t="n">
        <f aca="false">(+VLOOKUP($A262,FIXED_CHARTER_COST,HLOOKUP(G$7,FIXED_CHARTER_COST,2,0)+1,0)+VLOOKUP($A262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0.775056512224186</v>
      </c>
      <c r="H262" s="23" t="n">
        <f aca="false">(+VLOOKUP($A262,FIXED_CHARTER_COST,HLOOKUP(H$7,FIXED_CHARTER_COST,2,0)+1,0)+VLOOKUP($A262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62" s="23" t="n">
        <f aca="false">(+VLOOKUP($A262,FIXED_CHARTER_COST,HLOOKUP(I$7,FIXED_CHARTER_COST,2,0)+1,0)+VLOOKUP($A262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63" customFormat="false" ht="12.75" hidden="false" customHeight="false" outlineLevel="0" collapsed="false">
      <c r="A263" s="22" t="n">
        <f aca="false">+SHIPS!B279</f>
        <v>44409</v>
      </c>
      <c r="B263" s="23" t="n">
        <f aca="false">(+VLOOKUP($A263,FIXED_CHARTER_COST,HLOOKUP(B$7,FIXED_CHARTER_COST,2,0)+1,0)+VLOOKUP($A263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63" s="23" t="n">
        <f aca="false">(+VLOOKUP($A263,FIXED_CHARTER_COST,HLOOKUP(C$7,FIXED_CHARTER_COST,2,0)+1,0)+VLOOKUP($A263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63" s="23" t="n">
        <f aca="false">(+VLOOKUP($A263,FIXED_CHARTER_COST,HLOOKUP(D$7,FIXED_CHARTER_COST,2,0)+1,0)+VLOOKUP($A263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0.34833451303589</v>
      </c>
      <c r="E263" s="23" t="n">
        <f aca="false">(+VLOOKUP($A263,FIXED_CHARTER_COST,HLOOKUP(E$7,FIXED_CHARTER_COST,2,0)+1,0)+VLOOKUP($A263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0.380064397242894</v>
      </c>
      <c r="F263" s="23" t="n">
        <f aca="false">(+VLOOKUP($A263,FIXED_CHARTER_COST,HLOOKUP(F$7,FIXED_CHARTER_COST,2,0)+1,0)+VLOOKUP($A263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0.637406853313307</v>
      </c>
      <c r="G263" s="23" t="n">
        <f aca="false">(+VLOOKUP($A263,FIXED_CHARTER_COST,HLOOKUP(G$7,FIXED_CHARTER_COST,2,0)+1,0)+VLOOKUP($A263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0.775345028824067</v>
      </c>
      <c r="H263" s="23" t="n">
        <f aca="false">(+VLOOKUP($A263,FIXED_CHARTER_COST,HLOOKUP(H$7,FIXED_CHARTER_COST,2,0)+1,0)+VLOOKUP($A263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63" s="23" t="n">
        <f aca="false">(+VLOOKUP($A263,FIXED_CHARTER_COST,HLOOKUP(I$7,FIXED_CHARTER_COST,2,0)+1,0)+VLOOKUP($A263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64" customFormat="false" ht="12.75" hidden="false" customHeight="false" outlineLevel="0" collapsed="false">
      <c r="A264" s="22" t="n">
        <f aca="false">+SHIPS!B280</f>
        <v>44440</v>
      </c>
      <c r="B264" s="23" t="n">
        <f aca="false">(+VLOOKUP($A264,FIXED_CHARTER_COST,HLOOKUP(B$7,FIXED_CHARTER_COST,2,0)+1,0)+VLOOKUP($A264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64" s="23" t="n">
        <f aca="false">(+VLOOKUP($A264,FIXED_CHARTER_COST,HLOOKUP(C$7,FIXED_CHARTER_COST,2,0)+1,0)+VLOOKUP($A264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64" s="23" t="n">
        <f aca="false">(+VLOOKUP($A264,FIXED_CHARTER_COST,HLOOKUP(D$7,FIXED_CHARTER_COST,2,0)+1,0)+VLOOKUP($A264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0.348467951963335</v>
      </c>
      <c r="E264" s="23" t="n">
        <f aca="false">(+VLOOKUP($A264,FIXED_CHARTER_COST,HLOOKUP(E$7,FIXED_CHARTER_COST,2,0)+1,0)+VLOOKUP($A264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0.380208956080959</v>
      </c>
      <c r="F264" s="23" t="n">
        <f aca="false">(+VLOOKUP($A264,FIXED_CHARTER_COST,HLOOKUP(F$7,FIXED_CHARTER_COST,2,0)+1,0)+VLOOKUP($A264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0.637640371436335</v>
      </c>
      <c r="G264" s="23" t="n">
        <f aca="false">(+VLOOKUP($A264,FIXED_CHARTER_COST,HLOOKUP(G$7,FIXED_CHARTER_COST,2,0)+1,0)+VLOOKUP($A264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0.775634146500197</v>
      </c>
      <c r="H264" s="23" t="n">
        <f aca="false">(+VLOOKUP($A264,FIXED_CHARTER_COST,HLOOKUP(H$7,FIXED_CHARTER_COST,2,0)+1,0)+VLOOKUP($A264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64" s="23" t="n">
        <f aca="false">(+VLOOKUP($A264,FIXED_CHARTER_COST,HLOOKUP(I$7,FIXED_CHARTER_COST,2,0)+1,0)+VLOOKUP($A264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65" customFormat="false" ht="12.75" hidden="false" customHeight="false" outlineLevel="0" collapsed="false">
      <c r="A265" s="22" t="n">
        <f aca="false">+SHIPS!B281</f>
        <v>44470</v>
      </c>
      <c r="B265" s="23" t="n">
        <f aca="false">(+VLOOKUP($A265,FIXED_CHARTER_COST,HLOOKUP(B$7,FIXED_CHARTER_COST,2,0)+1,0)+VLOOKUP($A265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65" s="23" t="n">
        <f aca="false">(+VLOOKUP($A265,FIXED_CHARTER_COST,HLOOKUP(C$7,FIXED_CHARTER_COST,2,0)+1,0)+VLOOKUP($A265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65" s="23" t="n">
        <f aca="false">(+VLOOKUP($A265,FIXED_CHARTER_COST,HLOOKUP(D$7,FIXED_CHARTER_COST,2,0)+1,0)+VLOOKUP($A265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0.348601668888545</v>
      </c>
      <c r="E265" s="23" t="n">
        <f aca="false">(+VLOOKUP($A265,FIXED_CHARTER_COST,HLOOKUP(E$7,FIXED_CHARTER_COST,2,0)+1,0)+VLOOKUP($A265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0.38035381608327</v>
      </c>
      <c r="F265" s="23" t="n">
        <f aca="false">(+VLOOKUP($A265,FIXED_CHARTER_COST,HLOOKUP(F$7,FIXED_CHARTER_COST,2,0)+1,0)+VLOOKUP($A265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0.637874376055454</v>
      </c>
      <c r="G265" s="23" t="n">
        <f aca="false">(+VLOOKUP($A265,FIXED_CHARTER_COST,HLOOKUP(G$7,FIXED_CHARTER_COST,2,0)+1,0)+VLOOKUP($A265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0.77592386650482</v>
      </c>
      <c r="H265" s="23" t="n">
        <f aca="false">(+VLOOKUP($A265,FIXED_CHARTER_COST,HLOOKUP(H$7,FIXED_CHARTER_COST,2,0)+1,0)+VLOOKUP($A265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65" s="23" t="n">
        <f aca="false">(+VLOOKUP($A265,FIXED_CHARTER_COST,HLOOKUP(I$7,FIXED_CHARTER_COST,2,0)+1,0)+VLOOKUP($A265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66" customFormat="false" ht="12.75" hidden="false" customHeight="false" outlineLevel="0" collapsed="false">
      <c r="A266" s="22" t="n">
        <f aca="false">+SHIPS!B282</f>
        <v>44501</v>
      </c>
      <c r="B266" s="23" t="n">
        <f aca="false">(+VLOOKUP($A266,FIXED_CHARTER_COST,HLOOKUP(B$7,FIXED_CHARTER_COST,2,0)+1,0)+VLOOKUP($A266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66" s="23" t="n">
        <f aca="false">(+VLOOKUP($A266,FIXED_CHARTER_COST,HLOOKUP(C$7,FIXED_CHARTER_COST,2,0)+1,0)+VLOOKUP($A266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66" s="23" t="n">
        <f aca="false">(+VLOOKUP($A266,FIXED_CHARTER_COST,HLOOKUP(D$7,FIXED_CHARTER_COST,2,0)+1,0)+VLOOKUP($A266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0.348735664390683</v>
      </c>
      <c r="E266" s="23" t="n">
        <f aca="false">(+VLOOKUP($A266,FIXED_CHARTER_COST,HLOOKUP(E$7,FIXED_CHARTER_COST,2,0)+1,0)+VLOOKUP($A266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0.380498977877253</v>
      </c>
      <c r="F266" s="23" t="n">
        <f aca="false">(+VLOOKUP($A266,FIXED_CHARTER_COST,HLOOKUP(F$7,FIXED_CHARTER_COST,2,0)+1,0)+VLOOKUP($A266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0.638108868184195</v>
      </c>
      <c r="G266" s="23" t="n">
        <f aca="false">(+VLOOKUP($A266,FIXED_CHARTER_COST,HLOOKUP(G$7,FIXED_CHARTER_COST,2,0)+1,0)+VLOOKUP($A266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0.776214190092785</v>
      </c>
      <c r="H266" s="23" t="n">
        <f aca="false">(+VLOOKUP($A266,FIXED_CHARTER_COST,HLOOKUP(H$7,FIXED_CHARTER_COST,2,0)+1,0)+VLOOKUP($A266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66" s="23" t="n">
        <f aca="false">(+VLOOKUP($A266,FIXED_CHARTER_COST,HLOOKUP(I$7,FIXED_CHARTER_COST,2,0)+1,0)+VLOOKUP($A266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67" customFormat="false" ht="12.75" hidden="false" customHeight="false" outlineLevel="0" collapsed="false">
      <c r="A267" s="22" t="n">
        <f aca="false">+SHIPS!B283</f>
        <v>44531</v>
      </c>
      <c r="B267" s="23" t="n">
        <f aca="false">(+VLOOKUP($A267,FIXED_CHARTER_COST,HLOOKUP(B$7,FIXED_CHARTER_COST,2,0)+1,0)+VLOOKUP($A267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67" s="23" t="n">
        <f aca="false">(+VLOOKUP($A267,FIXED_CHARTER_COST,HLOOKUP(C$7,FIXED_CHARTER_COST,2,0)+1,0)+VLOOKUP($A267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67" s="23" t="n">
        <f aca="false">(+VLOOKUP($A267,FIXED_CHARTER_COST,HLOOKUP(D$7,FIXED_CHARTER_COST,2,0)+1,0)+VLOOKUP($A267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0.348869939050117</v>
      </c>
      <c r="E267" s="23" t="n">
        <f aca="false">(+VLOOKUP($A267,FIXED_CHARTER_COST,HLOOKUP(E$7,FIXED_CHARTER_COST,2,0)+1,0)+VLOOKUP($A267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0.38064444209164</v>
      </c>
      <c r="F267" s="23" t="n">
        <f aca="false">(+VLOOKUP($A267,FIXED_CHARTER_COST,HLOOKUP(F$7,FIXED_CHARTER_COST,2,0)+1,0)+VLOOKUP($A267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0.638343848838204</v>
      </c>
      <c r="G267" s="23" t="n">
        <f aca="false">(+VLOOKUP($A267,FIXED_CHARTER_COST,HLOOKUP(G$7,FIXED_CHARTER_COST,2,0)+1,0)+VLOOKUP($A267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0.776505118521559</v>
      </c>
      <c r="H267" s="23" t="n">
        <f aca="false">(+VLOOKUP($A267,FIXED_CHARTER_COST,HLOOKUP(H$7,FIXED_CHARTER_COST,2,0)+1,0)+VLOOKUP($A267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67" s="23" t="n">
        <f aca="false">(+VLOOKUP($A267,FIXED_CHARTER_COST,HLOOKUP(I$7,FIXED_CHARTER_COST,2,0)+1,0)+VLOOKUP($A267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68" customFormat="false" ht="12.75" hidden="false" customHeight="false" outlineLevel="0" collapsed="false">
      <c r="A268" s="22" t="n">
        <f aca="false">+SHIPS!B284</f>
        <v>44562</v>
      </c>
      <c r="B268" s="23" t="n">
        <f aca="false">(+VLOOKUP($A268,FIXED_CHARTER_COST,HLOOKUP(B$7,FIXED_CHARTER_COST,2,0)+1,0)+VLOOKUP($A268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68" s="23" t="n">
        <f aca="false">(+VLOOKUP($A268,FIXED_CHARTER_COST,HLOOKUP(C$7,FIXED_CHARTER_COST,2,0)+1,0)+VLOOKUP($A268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68" s="23" t="n">
        <f aca="false">(+VLOOKUP($A268,FIXED_CHARTER_COST,HLOOKUP(D$7,FIXED_CHARTER_COST,2,0)+1,0)+VLOOKUP($A268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0.349004493448425</v>
      </c>
      <c r="E268" s="23" t="n">
        <f aca="false">(+VLOOKUP($A268,FIXED_CHARTER_COST,HLOOKUP(E$7,FIXED_CHARTER_COST,2,0)+1,0)+VLOOKUP($A268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0.380790209356473</v>
      </c>
      <c r="F268" s="23" t="n">
        <f aca="false">(+VLOOKUP($A268,FIXED_CHARTER_COST,HLOOKUP(F$7,FIXED_CHARTER_COST,2,0)+1,0)+VLOOKUP($A268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0.638579319035243</v>
      </c>
      <c r="G268" s="23" t="n">
        <f aca="false">(+VLOOKUP($A268,FIXED_CHARTER_COST,HLOOKUP(G$7,FIXED_CHARTER_COST,2,0)+1,0)+VLOOKUP($A268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0.776796653051226</v>
      </c>
      <c r="H268" s="23" t="n">
        <f aca="false">(+VLOOKUP($A268,FIXED_CHARTER_COST,HLOOKUP(H$7,FIXED_CHARTER_COST,2,0)+1,0)+VLOOKUP($A268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68" s="23" t="n">
        <f aca="false">(+VLOOKUP($A268,FIXED_CHARTER_COST,HLOOKUP(I$7,FIXED_CHARTER_COST,2,0)+1,0)+VLOOKUP($A268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69" customFormat="false" ht="12.75" hidden="false" customHeight="false" outlineLevel="0" collapsed="false">
      <c r="A269" s="22" t="n">
        <f aca="false">+SHIPS!B285</f>
        <v>44593</v>
      </c>
      <c r="B269" s="23" t="n">
        <f aca="false">(+VLOOKUP($A269,FIXED_CHARTER_COST,HLOOKUP(B$7,FIXED_CHARTER_COST,2,0)+1,0)+VLOOKUP($A269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69" s="23" t="n">
        <f aca="false">(+VLOOKUP($A269,FIXED_CHARTER_COST,HLOOKUP(C$7,FIXED_CHARTER_COST,2,0)+1,0)+VLOOKUP($A269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69" s="23" t="n">
        <f aca="false">(+VLOOKUP($A269,FIXED_CHARTER_COST,HLOOKUP(D$7,FIXED_CHARTER_COST,2,0)+1,0)+VLOOKUP($A269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0.349139328168396</v>
      </c>
      <c r="E269" s="23" t="n">
        <f aca="false">(+VLOOKUP($A269,FIXED_CHARTER_COST,HLOOKUP(E$7,FIXED_CHARTER_COST,2,0)+1,0)+VLOOKUP($A269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0.380936280303108</v>
      </c>
      <c r="F269" s="23" t="n">
        <f aca="false">(+VLOOKUP($A269,FIXED_CHARTER_COST,HLOOKUP(F$7,FIXED_CHARTER_COST,2,0)+1,0)+VLOOKUP($A269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0.638815279795192</v>
      </c>
      <c r="G269" s="23" t="n">
        <f aca="false">(+VLOOKUP($A269,FIXED_CHARTER_COST,HLOOKUP(G$7,FIXED_CHARTER_COST,2,0)+1,0)+VLOOKUP($A269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0.777088794944496</v>
      </c>
      <c r="H269" s="23" t="n">
        <f aca="false">(+VLOOKUP($A269,FIXED_CHARTER_COST,HLOOKUP(H$7,FIXED_CHARTER_COST,2,0)+1,0)+VLOOKUP($A269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69" s="23" t="n">
        <f aca="false">(+VLOOKUP($A269,FIXED_CHARTER_COST,HLOOKUP(I$7,FIXED_CHARTER_COST,2,0)+1,0)+VLOOKUP($A269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70" customFormat="false" ht="12.75" hidden="false" customHeight="false" outlineLevel="0" collapsed="false">
      <c r="A270" s="22" t="n">
        <f aca="false">+SHIPS!B286</f>
        <v>44621</v>
      </c>
      <c r="B270" s="23" t="n">
        <f aca="false">(+VLOOKUP($A270,FIXED_CHARTER_COST,HLOOKUP(B$7,FIXED_CHARTER_COST,2,0)+1,0)+VLOOKUP($A270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70" s="23" t="n">
        <f aca="false">(+VLOOKUP($A270,FIXED_CHARTER_COST,HLOOKUP(C$7,FIXED_CHARTER_COST,2,0)+1,0)+VLOOKUP($A270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70" s="23" t="n">
        <f aca="false">(+VLOOKUP($A270,FIXED_CHARTER_COST,HLOOKUP(D$7,FIXED_CHARTER_COST,2,0)+1,0)+VLOOKUP($A270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0.349274443794034</v>
      </c>
      <c r="E270" s="23" t="n">
        <f aca="false">(+VLOOKUP($A270,FIXED_CHARTER_COST,HLOOKUP(E$7,FIXED_CHARTER_COST,2,0)+1,0)+VLOOKUP($A270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0.381082655564216</v>
      </c>
      <c r="F270" s="23" t="n">
        <f aca="false">(+VLOOKUP($A270,FIXED_CHARTER_COST,HLOOKUP(F$7,FIXED_CHARTER_COST,2,0)+1,0)+VLOOKUP($A270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0.639051732140058</v>
      </c>
      <c r="G270" s="23" t="n">
        <f aca="false">(+VLOOKUP($A270,FIXED_CHARTER_COST,HLOOKUP(G$7,FIXED_CHARTER_COST,2,0)+1,0)+VLOOKUP($A270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0.777381545466711</v>
      </c>
      <c r="H270" s="23" t="n">
        <f aca="false">(+VLOOKUP($A270,FIXED_CHARTER_COST,HLOOKUP(H$7,FIXED_CHARTER_COST,2,0)+1,0)+VLOOKUP($A270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70" s="23" t="n">
        <f aca="false">(+VLOOKUP($A270,FIXED_CHARTER_COST,HLOOKUP(I$7,FIXED_CHARTER_COST,2,0)+1,0)+VLOOKUP($A270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71" customFormat="false" ht="12.75" hidden="false" customHeight="false" outlineLevel="0" collapsed="false">
      <c r="A271" s="22" t="n">
        <f aca="false">+SHIPS!B287</f>
        <v>44652</v>
      </c>
      <c r="B271" s="23" t="n">
        <f aca="false">(+VLOOKUP($A271,FIXED_CHARTER_COST,HLOOKUP(B$7,FIXED_CHARTER_COST,2,0)+1,0)+VLOOKUP($A271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71" s="23" t="n">
        <f aca="false">(+VLOOKUP($A271,FIXED_CHARTER_COST,HLOOKUP(C$7,FIXED_CHARTER_COST,2,0)+1,0)+VLOOKUP($A271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71" s="23" t="n">
        <f aca="false">(+VLOOKUP($A271,FIXED_CHARTER_COST,HLOOKUP(D$7,FIXED_CHARTER_COST,2,0)+1,0)+VLOOKUP($A271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0.349409840910558</v>
      </c>
      <c r="E271" s="23" t="n">
        <f aca="false">(+VLOOKUP($A271,FIXED_CHARTER_COST,HLOOKUP(E$7,FIXED_CHARTER_COST,2,0)+1,0)+VLOOKUP($A271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0.381229335773783</v>
      </c>
      <c r="F271" s="23" t="n">
        <f aca="false">(+VLOOKUP($A271,FIXED_CHARTER_COST,HLOOKUP(F$7,FIXED_CHARTER_COST,2,0)+1,0)+VLOOKUP($A271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0.639288677093975</v>
      </c>
      <c r="G271" s="23" t="n">
        <f aca="false">(+VLOOKUP($A271,FIXED_CHARTER_COST,HLOOKUP(G$7,FIXED_CHARTER_COST,2,0)+1,0)+VLOOKUP($A271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0.777674905885847</v>
      </c>
      <c r="H271" s="23" t="n">
        <f aca="false">(+VLOOKUP($A271,FIXED_CHARTER_COST,HLOOKUP(H$7,FIXED_CHARTER_COST,2,0)+1,0)+VLOOKUP($A271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71" s="23" t="n">
        <f aca="false">(+VLOOKUP($A271,FIXED_CHARTER_COST,HLOOKUP(I$7,FIXED_CHARTER_COST,2,0)+1,0)+VLOOKUP($A271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72" customFormat="false" ht="12.75" hidden="false" customHeight="false" outlineLevel="0" collapsed="false">
      <c r="A272" s="22" t="n">
        <f aca="false">+SHIPS!B288</f>
        <v>44682</v>
      </c>
      <c r="B272" s="23" t="n">
        <f aca="false">(+VLOOKUP($A272,FIXED_CHARTER_COST,HLOOKUP(B$7,FIXED_CHARTER_COST,2,0)+1,0)+VLOOKUP($A272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72" s="23" t="n">
        <f aca="false">(+VLOOKUP($A272,FIXED_CHARTER_COST,HLOOKUP(C$7,FIXED_CHARTER_COST,2,0)+1,0)+VLOOKUP($A272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72" s="23" t="n">
        <f aca="false">(+VLOOKUP($A272,FIXED_CHARTER_COST,HLOOKUP(D$7,FIXED_CHARTER_COST,2,0)+1,0)+VLOOKUP($A272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0.349545520104408</v>
      </c>
      <c r="E272" s="23" t="n">
        <f aca="false">(+VLOOKUP($A272,FIXED_CHARTER_COST,HLOOKUP(E$7,FIXED_CHARTER_COST,2,0)+1,0)+VLOOKUP($A272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0.381376321567121</v>
      </c>
      <c r="F272" s="23" t="n">
        <f aca="false">(+VLOOKUP($A272,FIXED_CHARTER_COST,HLOOKUP(F$7,FIXED_CHARTER_COST,2,0)+1,0)+VLOOKUP($A272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0.639526115683213</v>
      </c>
      <c r="G272" s="23" t="n">
        <f aca="false">(+VLOOKUP($A272,FIXED_CHARTER_COST,HLOOKUP(G$7,FIXED_CHARTER_COST,2,0)+1,0)+VLOOKUP($A272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0.777968877472522</v>
      </c>
      <c r="H272" s="23" t="n">
        <f aca="false">(+VLOOKUP($A272,FIXED_CHARTER_COST,HLOOKUP(H$7,FIXED_CHARTER_COST,2,0)+1,0)+VLOOKUP($A272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72" s="23" t="n">
        <f aca="false">(+VLOOKUP($A272,FIXED_CHARTER_COST,HLOOKUP(I$7,FIXED_CHARTER_COST,2,0)+1,0)+VLOOKUP($A272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73" customFormat="false" ht="12.75" hidden="false" customHeight="false" outlineLevel="0" collapsed="false">
      <c r="A273" s="22" t="n">
        <f aca="false">+SHIPS!B289</f>
        <v>44713</v>
      </c>
      <c r="B273" s="23" t="n">
        <f aca="false">(+VLOOKUP($A273,FIXED_CHARTER_COST,HLOOKUP(B$7,FIXED_CHARTER_COST,2,0)+1,0)+VLOOKUP($A273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73" s="23" t="n">
        <f aca="false">(+VLOOKUP($A273,FIXED_CHARTER_COST,HLOOKUP(C$7,FIXED_CHARTER_COST,2,0)+1,0)+VLOOKUP($A273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73" s="23" t="n">
        <f aca="false">(+VLOOKUP($A273,FIXED_CHARTER_COST,HLOOKUP(D$7,FIXED_CHARTER_COST,2,0)+1,0)+VLOOKUP($A273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0.349681481963246</v>
      </c>
      <c r="E273" s="23" t="n">
        <f aca="false">(+VLOOKUP($A273,FIXED_CHARTER_COST,HLOOKUP(E$7,FIXED_CHARTER_COST,2,0)+1,0)+VLOOKUP($A273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0.381523613580862</v>
      </c>
      <c r="F273" s="23" t="n">
        <f aca="false">(+VLOOKUP($A273,FIXED_CHARTER_COST,HLOOKUP(F$7,FIXED_CHARTER_COST,2,0)+1,0)+VLOOKUP($A273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0.639764048936179</v>
      </c>
      <c r="G273" s="23" t="n">
        <f aca="false">(+VLOOKUP($A273,FIXED_CHARTER_COST,HLOOKUP(G$7,FIXED_CHARTER_COST,2,0)+1,0)+VLOOKUP($A273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0.778263461500004</v>
      </c>
      <c r="H273" s="23" t="n">
        <f aca="false">(+VLOOKUP($A273,FIXED_CHARTER_COST,HLOOKUP(H$7,FIXED_CHARTER_COST,2,0)+1,0)+VLOOKUP($A273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73" s="23" t="n">
        <f aca="false">(+VLOOKUP($A273,FIXED_CHARTER_COST,HLOOKUP(I$7,FIXED_CHARTER_COST,2,0)+1,0)+VLOOKUP($A273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74" customFormat="false" ht="12.75" hidden="false" customHeight="false" outlineLevel="0" collapsed="false">
      <c r="A274" s="22" t="n">
        <f aca="false">+SHIPS!B290</f>
        <v>44743</v>
      </c>
      <c r="B274" s="23" t="n">
        <f aca="false">(+VLOOKUP($A274,FIXED_CHARTER_COST,HLOOKUP(B$7,FIXED_CHARTER_COST,2,0)+1,0)+VLOOKUP($A274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74" s="23" t="n">
        <f aca="false">(+VLOOKUP($A274,FIXED_CHARTER_COST,HLOOKUP(C$7,FIXED_CHARTER_COST,2,0)+1,0)+VLOOKUP($A274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74" s="23" t="n">
        <f aca="false">(+VLOOKUP($A274,FIXED_CHARTER_COST,HLOOKUP(D$7,FIXED_CHARTER_COST,2,0)+1,0)+VLOOKUP($A274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0.349817727075956</v>
      </c>
      <c r="E274" s="23" t="n">
        <f aca="false">(+VLOOKUP($A274,FIXED_CHARTER_COST,HLOOKUP(E$7,FIXED_CHARTER_COST,2,0)+1,0)+VLOOKUP($A274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0.381671212452965</v>
      </c>
      <c r="F274" s="23" t="n">
        <f aca="false">(+VLOOKUP($A274,FIXED_CHARTER_COST,HLOOKUP(F$7,FIXED_CHARTER_COST,2,0)+1,0)+VLOOKUP($A274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0.640002477883422</v>
      </c>
      <c r="G274" s="23" t="n">
        <f aca="false">(+VLOOKUP($A274,FIXED_CHARTER_COST,HLOOKUP(G$7,FIXED_CHARTER_COST,2,0)+1,0)+VLOOKUP($A274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0.778558659244209</v>
      </c>
      <c r="H274" s="23" t="n">
        <f aca="false">(+VLOOKUP($A274,FIXED_CHARTER_COST,HLOOKUP(H$7,FIXED_CHARTER_COST,2,0)+1,0)+VLOOKUP($A274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74" s="23" t="n">
        <f aca="false">(+VLOOKUP($A274,FIXED_CHARTER_COST,HLOOKUP(I$7,FIXED_CHARTER_COST,2,0)+1,0)+VLOOKUP($A274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75" customFormat="false" ht="12.75" hidden="false" customHeight="false" outlineLevel="0" collapsed="false">
      <c r="A275" s="22" t="n">
        <f aca="false">+SHIPS!B291</f>
        <v>44774</v>
      </c>
      <c r="B275" s="23" t="n">
        <f aca="false">(+VLOOKUP($A275,FIXED_CHARTER_COST,HLOOKUP(B$7,FIXED_CHARTER_COST,2,0)+1,0)+VLOOKUP($A275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75" s="23" t="n">
        <f aca="false">(+VLOOKUP($A275,FIXED_CHARTER_COST,HLOOKUP(C$7,FIXED_CHARTER_COST,2,0)+1,0)+VLOOKUP($A275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75" s="23" t="n">
        <f aca="false">(+VLOOKUP($A275,FIXED_CHARTER_COST,HLOOKUP(D$7,FIXED_CHARTER_COST,2,0)+1,0)+VLOOKUP($A275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0.349954256032651</v>
      </c>
      <c r="E275" s="23" t="n">
        <f aca="false">(+VLOOKUP($A275,FIXED_CHARTER_COST,HLOOKUP(E$7,FIXED_CHARTER_COST,2,0)+1,0)+VLOOKUP($A275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0.381819118822718</v>
      </c>
      <c r="F275" s="23" t="n">
        <f aca="false">(+VLOOKUP($A275,FIXED_CHARTER_COST,HLOOKUP(F$7,FIXED_CHARTER_COST,2,0)+1,0)+VLOOKUP($A275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0.640241403557638</v>
      </c>
      <c r="G275" s="23" t="n">
        <f aca="false">(+VLOOKUP($A275,FIXED_CHARTER_COST,HLOOKUP(G$7,FIXED_CHARTER_COST,2,0)+1,0)+VLOOKUP($A275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0.778854471983715</v>
      </c>
      <c r="H275" s="23" t="n">
        <f aca="false">(+VLOOKUP($A275,FIXED_CHARTER_COST,HLOOKUP(H$7,FIXED_CHARTER_COST,2,0)+1,0)+VLOOKUP($A275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75" s="23" t="n">
        <f aca="false">(+VLOOKUP($A275,FIXED_CHARTER_COST,HLOOKUP(I$7,FIXED_CHARTER_COST,2,0)+1,0)+VLOOKUP($A275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76" customFormat="false" ht="12.75" hidden="false" customHeight="false" outlineLevel="0" collapsed="false">
      <c r="A276" s="22" t="n">
        <f aca="false">+SHIPS!B292</f>
        <v>44805</v>
      </c>
      <c r="B276" s="23" t="n">
        <f aca="false">(+VLOOKUP($A276,FIXED_CHARTER_COST,HLOOKUP(B$7,FIXED_CHARTER_COST,2,0)+1,0)+VLOOKUP($A276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76" s="23" t="n">
        <f aca="false">(+VLOOKUP($A276,FIXED_CHARTER_COST,HLOOKUP(C$7,FIXED_CHARTER_COST,2,0)+1,0)+VLOOKUP($A276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76" s="23" t="n">
        <f aca="false">(+VLOOKUP($A276,FIXED_CHARTER_COST,HLOOKUP(D$7,FIXED_CHARTER_COST,2,0)+1,0)+VLOOKUP($A276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0.350091069424672</v>
      </c>
      <c r="E276" s="23" t="n">
        <f aca="false">(+VLOOKUP($A276,FIXED_CHARTER_COST,HLOOKUP(E$7,FIXED_CHARTER_COST,2,0)+1,0)+VLOOKUP($A276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0.381967333330741</v>
      </c>
      <c r="F276" s="23" t="n">
        <f aca="false">(+VLOOKUP($A276,FIXED_CHARTER_COST,HLOOKUP(F$7,FIXED_CHARTER_COST,2,0)+1,0)+VLOOKUP($A276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0.640480826993675</v>
      </c>
      <c r="G276" s="23" t="n">
        <f aca="false">(+VLOOKUP($A276,FIXED_CHARTER_COST,HLOOKUP(G$7,FIXED_CHARTER_COST,2,0)+1,0)+VLOOKUP($A276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0.779150900999761</v>
      </c>
      <c r="H276" s="23" t="n">
        <f aca="false">(+VLOOKUP($A276,FIXED_CHARTER_COST,HLOOKUP(H$7,FIXED_CHARTER_COST,2,0)+1,0)+VLOOKUP($A276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76" s="23" t="n">
        <f aca="false">(+VLOOKUP($A276,FIXED_CHARTER_COST,HLOOKUP(I$7,FIXED_CHARTER_COST,2,0)+1,0)+VLOOKUP($A276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77" customFormat="false" ht="12.75" hidden="false" customHeight="false" outlineLevel="0" collapsed="false">
      <c r="A277" s="22" t="n">
        <f aca="false">+SHIPS!B293</f>
        <v>44835</v>
      </c>
      <c r="B277" s="23" t="n">
        <f aca="false">(+VLOOKUP($A277,FIXED_CHARTER_COST,HLOOKUP(B$7,FIXED_CHARTER_COST,2,0)+1,0)+VLOOKUP($A277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77" s="23" t="n">
        <f aca="false">(+VLOOKUP($A277,FIXED_CHARTER_COST,HLOOKUP(C$7,FIXED_CHARTER_COST,2,0)+1,0)+VLOOKUP($A277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77" s="23" t="n">
        <f aca="false">(+VLOOKUP($A277,FIXED_CHARTER_COST,HLOOKUP(D$7,FIXED_CHARTER_COST,2,0)+1,0)+VLOOKUP($A277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0.350228167844594</v>
      </c>
      <c r="E277" s="23" t="n">
        <f aca="false">(+VLOOKUP($A277,FIXED_CHARTER_COST,HLOOKUP(E$7,FIXED_CHARTER_COST,2,0)+1,0)+VLOOKUP($A277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0.382115856618989</v>
      </c>
      <c r="F277" s="23" t="n">
        <f aca="false">(+VLOOKUP($A277,FIXED_CHARTER_COST,HLOOKUP(F$7,FIXED_CHARTER_COST,2,0)+1,0)+VLOOKUP($A277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0.640720749228538</v>
      </c>
      <c r="G277" s="23" t="n">
        <f aca="false">(+VLOOKUP($A277,FIXED_CHARTER_COST,HLOOKUP(G$7,FIXED_CHARTER_COST,2,0)+1,0)+VLOOKUP($A277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0.779447947576258</v>
      </c>
      <c r="H277" s="23" t="n">
        <f aca="false">(+VLOOKUP($A277,FIXED_CHARTER_COST,HLOOKUP(H$7,FIXED_CHARTER_COST,2,0)+1,0)+VLOOKUP($A277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77" s="23" t="n">
        <f aca="false">(+VLOOKUP($A277,FIXED_CHARTER_COST,HLOOKUP(I$7,FIXED_CHARTER_COST,2,0)+1,0)+VLOOKUP($A277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78" customFormat="false" ht="12.75" hidden="false" customHeight="false" outlineLevel="0" collapsed="false">
      <c r="A278" s="22" t="n">
        <f aca="false">+SHIPS!B294</f>
        <v>44866</v>
      </c>
      <c r="B278" s="23" t="n">
        <f aca="false">(+VLOOKUP($A278,FIXED_CHARTER_COST,HLOOKUP(B$7,FIXED_CHARTER_COST,2,0)+1,0)+VLOOKUP($A278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78" s="23" t="n">
        <f aca="false">(+VLOOKUP($A278,FIXED_CHARTER_COST,HLOOKUP(C$7,FIXED_CHARTER_COST,2,0)+1,0)+VLOOKUP($A278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78" s="23" t="n">
        <f aca="false">(+VLOOKUP($A278,FIXED_CHARTER_COST,HLOOKUP(D$7,FIXED_CHARTER_COST,2,0)+1,0)+VLOOKUP($A278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0.350365551886223</v>
      </c>
      <c r="E278" s="23" t="n">
        <f aca="false">(+VLOOKUP($A278,FIXED_CHARTER_COST,HLOOKUP(E$7,FIXED_CHARTER_COST,2,0)+1,0)+VLOOKUP($A278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0.382264689330754</v>
      </c>
      <c r="F278" s="23" t="n">
        <f aca="false">(+VLOOKUP($A278,FIXED_CHARTER_COST,HLOOKUP(F$7,FIXED_CHARTER_COST,2,0)+1,0)+VLOOKUP($A278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0.64096117130139</v>
      </c>
      <c r="G278" s="23" t="n">
        <f aca="false">(+VLOOKUP($A278,FIXED_CHARTER_COST,HLOOKUP(G$7,FIXED_CHARTER_COST,2,0)+1,0)+VLOOKUP($A278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0.779745612999789</v>
      </c>
      <c r="H278" s="23" t="n">
        <f aca="false">(+VLOOKUP($A278,FIXED_CHARTER_COST,HLOOKUP(H$7,FIXED_CHARTER_COST,2,0)+1,0)+VLOOKUP($A278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78" s="23" t="n">
        <f aca="false">(+VLOOKUP($A278,FIXED_CHARTER_COST,HLOOKUP(I$7,FIXED_CHARTER_COST,2,0)+1,0)+VLOOKUP($A278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79" customFormat="false" ht="12.75" hidden="false" customHeight="false" outlineLevel="0" collapsed="false">
      <c r="A279" s="22" t="n">
        <f aca="false">+SHIPS!B295</f>
        <v>44896</v>
      </c>
      <c r="B279" s="23" t="n">
        <f aca="false">(+VLOOKUP($A279,FIXED_CHARTER_COST,HLOOKUP(B$7,FIXED_CHARTER_COST,2,0)+1,0)+VLOOKUP($A279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79" s="23" t="n">
        <f aca="false">(+VLOOKUP($A279,FIXED_CHARTER_COST,HLOOKUP(C$7,FIXED_CHARTER_COST,2,0)+1,0)+VLOOKUP($A279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79" s="23" t="n">
        <f aca="false">(+VLOOKUP($A279,FIXED_CHARTER_COST,HLOOKUP(D$7,FIXED_CHARTER_COST,2,0)+1,0)+VLOOKUP($A279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0.350503222144606</v>
      </c>
      <c r="E279" s="23" t="n">
        <f aca="false">(+VLOOKUP($A279,FIXED_CHARTER_COST,HLOOKUP(E$7,FIXED_CHARTER_COST,2,0)+1,0)+VLOOKUP($A279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0.382413832110669</v>
      </c>
      <c r="F279" s="23" t="n">
        <f aca="false">(+VLOOKUP($A279,FIXED_CHARTER_COST,HLOOKUP(F$7,FIXED_CHARTER_COST,2,0)+1,0)+VLOOKUP($A279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0.64120209425356</v>
      </c>
      <c r="G279" s="23" t="n">
        <f aca="false">(+VLOOKUP($A279,FIXED_CHARTER_COST,HLOOKUP(G$7,FIXED_CHARTER_COST,2,0)+1,0)+VLOOKUP($A279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0.780043898559618</v>
      </c>
      <c r="H279" s="23" t="n">
        <f aca="false">(+VLOOKUP($A279,FIXED_CHARTER_COST,HLOOKUP(H$7,FIXED_CHARTER_COST,2,0)+1,0)+VLOOKUP($A279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79" s="23" t="n">
        <f aca="false">(+VLOOKUP($A279,FIXED_CHARTER_COST,HLOOKUP(I$7,FIXED_CHARTER_COST,2,0)+1,0)+VLOOKUP($A279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80" customFormat="false" ht="12.75" hidden="false" customHeight="false" outlineLevel="0" collapsed="false">
      <c r="A280" s="22" t="n">
        <f aca="false">+SHIPS!B296</f>
        <v>44927</v>
      </c>
      <c r="B280" s="23" t="n">
        <f aca="false">(+VLOOKUP($A280,FIXED_CHARTER_COST,HLOOKUP(B$7,FIXED_CHARTER_COST,2,0)+1,0)+VLOOKUP($A280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80" s="23" t="n">
        <f aca="false">(+VLOOKUP($A280,FIXED_CHARTER_COST,HLOOKUP(C$7,FIXED_CHARTER_COST,2,0)+1,0)+VLOOKUP($A280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80" s="23" t="n">
        <f aca="false">(+VLOOKUP($A280,FIXED_CHARTER_COST,HLOOKUP(D$7,FIXED_CHARTER_COST,2,0)+1,0)+VLOOKUP($A280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0.350641179216028</v>
      </c>
      <c r="E280" s="23" t="n">
        <f aca="false">(+VLOOKUP($A280,FIXED_CHARTER_COST,HLOOKUP(E$7,FIXED_CHARTER_COST,2,0)+1,0)+VLOOKUP($A280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0.382563285604709</v>
      </c>
      <c r="F280" s="23" t="n">
        <f aca="false">(+VLOOKUP($A280,FIXED_CHARTER_COST,HLOOKUP(F$7,FIXED_CHARTER_COST,2,0)+1,0)+VLOOKUP($A280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0.641443519128547</v>
      </c>
      <c r="G280" s="23" t="n">
        <f aca="false">(+VLOOKUP($A280,FIXED_CHARTER_COST,HLOOKUP(G$7,FIXED_CHARTER_COST,2,0)+1,0)+VLOOKUP($A280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0.780342805547698</v>
      </c>
      <c r="H280" s="23" t="n">
        <f aca="false">(+VLOOKUP($A280,FIXED_CHARTER_COST,HLOOKUP(H$7,FIXED_CHARTER_COST,2,0)+1,0)+VLOOKUP($A280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80" s="23" t="n">
        <f aca="false">(+VLOOKUP($A280,FIXED_CHARTER_COST,HLOOKUP(I$7,FIXED_CHARTER_COST,2,0)+1,0)+VLOOKUP($A280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81" customFormat="false" ht="12.75" hidden="false" customHeight="false" outlineLevel="0" collapsed="false">
      <c r="A281" s="22" t="n">
        <f aca="false">+SHIPS!B297</f>
        <v>44958</v>
      </c>
      <c r="B281" s="23" t="n">
        <f aca="false">(+VLOOKUP($A281,FIXED_CHARTER_COST,HLOOKUP(B$7,FIXED_CHARTER_COST,2,0)+1,0)+VLOOKUP($A281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81" s="23" t="n">
        <f aca="false">(+VLOOKUP($A281,FIXED_CHARTER_COST,HLOOKUP(C$7,FIXED_CHARTER_COST,2,0)+1,0)+VLOOKUP($A281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81" s="23" t="n">
        <f aca="false">(+VLOOKUP($A281,FIXED_CHARTER_COST,HLOOKUP(D$7,FIXED_CHARTER_COST,2,0)+1,0)+VLOOKUP($A281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0.350779423698014</v>
      </c>
      <c r="E281" s="23" t="n">
        <f aca="false">(+VLOOKUP($A281,FIXED_CHARTER_COST,HLOOKUP(E$7,FIXED_CHARTER_COST,2,0)+1,0)+VLOOKUP($A281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0.382713050460195</v>
      </c>
      <c r="F281" s="23" t="n">
        <f aca="false">(+VLOOKUP($A281,FIXED_CHARTER_COST,HLOOKUP(F$7,FIXED_CHARTER_COST,2,0)+1,0)+VLOOKUP($A281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0.641685446972024</v>
      </c>
      <c r="G281" s="23" t="n">
        <f aca="false">(+VLOOKUP($A281,FIXED_CHARTER_COST,HLOOKUP(G$7,FIXED_CHARTER_COST,2,0)+1,0)+VLOOKUP($A281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0.780642335258669</v>
      </c>
      <c r="H281" s="23" t="n">
        <f aca="false">(+VLOOKUP($A281,FIXED_CHARTER_COST,HLOOKUP(H$7,FIXED_CHARTER_COST,2,0)+1,0)+VLOOKUP($A281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81" s="23" t="n">
        <f aca="false">(+VLOOKUP($A281,FIXED_CHARTER_COST,HLOOKUP(I$7,FIXED_CHARTER_COST,2,0)+1,0)+VLOOKUP($A281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82" customFormat="false" ht="12.75" hidden="false" customHeight="false" outlineLevel="0" collapsed="false">
      <c r="A282" s="22" t="n">
        <f aca="false">+SHIPS!B298</f>
        <v>44986</v>
      </c>
      <c r="B282" s="23" t="n">
        <f aca="false">(+VLOOKUP($A282,FIXED_CHARTER_COST,HLOOKUP(B$7,FIXED_CHARTER_COST,2,0)+1,0)+VLOOKUP($A282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82" s="23" t="n">
        <f aca="false">(+VLOOKUP($A282,FIXED_CHARTER_COST,HLOOKUP(C$7,FIXED_CHARTER_COST,2,0)+1,0)+VLOOKUP($A282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82" s="23" t="n">
        <f aca="false">(+VLOOKUP($A282,FIXED_CHARTER_COST,HLOOKUP(D$7,FIXED_CHARTER_COST,2,0)+1,0)+VLOOKUP($A282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0.350917956189339</v>
      </c>
      <c r="E282" s="23" t="n">
        <f aca="false">(+VLOOKUP($A282,FIXED_CHARTER_COST,HLOOKUP(E$7,FIXED_CHARTER_COST,2,0)+1,0)+VLOOKUP($A282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0.382863127325796</v>
      </c>
      <c r="F282" s="23" t="n">
        <f aca="false">(+VLOOKUP($A282,FIXED_CHARTER_COST,HLOOKUP(F$7,FIXED_CHARTER_COST,2,0)+1,0)+VLOOKUP($A282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0.641927878831842</v>
      </c>
      <c r="G282" s="23" t="n">
        <f aca="false">(+VLOOKUP($A282,FIXED_CHARTER_COST,HLOOKUP(G$7,FIXED_CHARTER_COST,2,0)+1,0)+VLOOKUP($A282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0.780942488989872</v>
      </c>
      <c r="H282" s="23" t="n">
        <f aca="false">(+VLOOKUP($A282,FIXED_CHARTER_COST,HLOOKUP(H$7,FIXED_CHARTER_COST,2,0)+1,0)+VLOOKUP($A282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82" s="23" t="n">
        <f aca="false">(+VLOOKUP($A282,FIXED_CHARTER_COST,HLOOKUP(I$7,FIXED_CHARTER_COST,2,0)+1,0)+VLOOKUP($A282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83" customFormat="false" ht="12.75" hidden="false" customHeight="false" outlineLevel="0" collapsed="false">
      <c r="A283" s="22" t="n">
        <f aca="false">+SHIPS!B299</f>
        <v>45017</v>
      </c>
      <c r="B283" s="23" t="n">
        <f aca="false">(+VLOOKUP($A283,FIXED_CHARTER_COST,HLOOKUP(B$7,FIXED_CHARTER_COST,2,0)+1,0)+VLOOKUP($A283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83" s="23" t="n">
        <f aca="false">(+VLOOKUP($A283,FIXED_CHARTER_COST,HLOOKUP(C$7,FIXED_CHARTER_COST,2,0)+1,0)+VLOOKUP($A283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83" s="23" t="n">
        <f aca="false">(+VLOOKUP($A283,FIXED_CHARTER_COST,HLOOKUP(D$7,FIXED_CHARTER_COST,2,0)+1,0)+VLOOKUP($A283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0.35105677729002</v>
      </c>
      <c r="E283" s="23" t="n">
        <f aca="false">(+VLOOKUP($A283,FIXED_CHARTER_COST,HLOOKUP(E$7,FIXED_CHARTER_COST,2,0)+1,0)+VLOOKUP($A283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0.383013516851534</v>
      </c>
      <c r="F283" s="23" t="n">
        <f aca="false">(+VLOOKUP($A283,FIXED_CHARTER_COST,HLOOKUP(F$7,FIXED_CHARTER_COST,2,0)+1,0)+VLOOKUP($A283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0.642170815758034</v>
      </c>
      <c r="G283" s="23" t="n">
        <f aca="false">(+VLOOKUP($A283,FIXED_CHARTER_COST,HLOOKUP(G$7,FIXED_CHARTER_COST,2,0)+1,0)+VLOOKUP($A283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0.781243268041348</v>
      </c>
      <c r="H283" s="23" t="n">
        <f aca="false">(+VLOOKUP($A283,FIXED_CHARTER_COST,HLOOKUP(H$7,FIXED_CHARTER_COST,2,0)+1,0)+VLOOKUP($A283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83" s="23" t="n">
        <f aca="false">(+VLOOKUP($A283,FIXED_CHARTER_COST,HLOOKUP(I$7,FIXED_CHARTER_COST,2,0)+1,0)+VLOOKUP($A283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84" customFormat="false" ht="12.75" hidden="false" customHeight="false" outlineLevel="0" collapsed="false">
      <c r="A284" s="22" t="n">
        <f aca="false">+SHIPS!B300</f>
        <v>45047</v>
      </c>
      <c r="B284" s="23" t="n">
        <f aca="false">(+VLOOKUP($A284,FIXED_CHARTER_COST,HLOOKUP(B$7,FIXED_CHARTER_COST,2,0)+1,0)+VLOOKUP($A284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84" s="23" t="n">
        <f aca="false">(+VLOOKUP($A284,FIXED_CHARTER_COST,HLOOKUP(C$7,FIXED_CHARTER_COST,2,0)+1,0)+VLOOKUP($A284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84" s="23" t="n">
        <f aca="false">(+VLOOKUP($A284,FIXED_CHARTER_COST,HLOOKUP(D$7,FIXED_CHARTER_COST,2,0)+1,0)+VLOOKUP($A284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0.351195887601327</v>
      </c>
      <c r="E284" s="23" t="n">
        <f aca="false">(+VLOOKUP($A284,FIXED_CHARTER_COST,HLOOKUP(E$7,FIXED_CHARTER_COST,2,0)+1,0)+VLOOKUP($A284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0.383164219688784</v>
      </c>
      <c r="F284" s="23" t="n">
        <f aca="false">(+VLOOKUP($A284,FIXED_CHARTER_COST,HLOOKUP(F$7,FIXED_CHARTER_COST,2,0)+1,0)+VLOOKUP($A284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0.642414258802822</v>
      </c>
      <c r="G284" s="23" t="n">
        <f aca="false">(+VLOOKUP($A284,FIXED_CHARTER_COST,HLOOKUP(G$7,FIXED_CHARTER_COST,2,0)+1,0)+VLOOKUP($A284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0.781544673715848</v>
      </c>
      <c r="H284" s="23" t="n">
        <f aca="false">(+VLOOKUP($A284,FIXED_CHARTER_COST,HLOOKUP(H$7,FIXED_CHARTER_COST,2,0)+1,0)+VLOOKUP($A284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84" s="23" t="n">
        <f aca="false">(+VLOOKUP($A284,FIXED_CHARTER_COST,HLOOKUP(I$7,FIXED_CHARTER_COST,2,0)+1,0)+VLOOKUP($A284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85" customFormat="false" ht="12.75" hidden="false" customHeight="false" outlineLevel="0" collapsed="false">
      <c r="A285" s="22" t="n">
        <f aca="false">+SHIPS!B301</f>
        <v>45078</v>
      </c>
      <c r="B285" s="23" t="n">
        <f aca="false">(+VLOOKUP($A285,FIXED_CHARTER_COST,HLOOKUP(B$7,FIXED_CHARTER_COST,2,0)+1,0)+VLOOKUP($A285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85" s="23" t="n">
        <f aca="false">(+VLOOKUP($A285,FIXED_CHARTER_COST,HLOOKUP(C$7,FIXED_CHARTER_COST,2,0)+1,0)+VLOOKUP($A285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85" s="23" t="n">
        <f aca="false">(+VLOOKUP($A285,FIXED_CHARTER_COST,HLOOKUP(D$7,FIXED_CHARTER_COST,2,0)+1,0)+VLOOKUP($A285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0.351335287725784</v>
      </c>
      <c r="E285" s="23" t="n">
        <f aca="false">(+VLOOKUP($A285,FIXED_CHARTER_COST,HLOOKUP(E$7,FIXED_CHARTER_COST,2,0)+1,0)+VLOOKUP($A285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0.383315236490278</v>
      </c>
      <c r="F285" s="23" t="n">
        <f aca="false">(+VLOOKUP($A285,FIXED_CHARTER_COST,HLOOKUP(F$7,FIXED_CHARTER_COST,2,0)+1,0)+VLOOKUP($A285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0.64265820902062</v>
      </c>
      <c r="G285" s="23" t="n">
        <f aca="false">(+VLOOKUP($A285,FIXED_CHARTER_COST,HLOOKUP(G$7,FIXED_CHARTER_COST,2,0)+1,0)+VLOOKUP($A285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0.781846707318836</v>
      </c>
      <c r="H285" s="23" t="n">
        <f aca="false">(+VLOOKUP($A285,FIXED_CHARTER_COST,HLOOKUP(H$7,FIXED_CHARTER_COST,2,0)+1,0)+VLOOKUP($A285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85" s="23" t="n">
        <f aca="false">(+VLOOKUP($A285,FIXED_CHARTER_COST,HLOOKUP(I$7,FIXED_CHARTER_COST,2,0)+1,0)+VLOOKUP($A285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86" customFormat="false" ht="12.75" hidden="false" customHeight="false" outlineLevel="0" collapsed="false">
      <c r="A286" s="22" t="n">
        <f aca="false">+SHIPS!B302</f>
        <v>45108</v>
      </c>
      <c r="B286" s="23" t="n">
        <f aca="false">(+VLOOKUP($A286,FIXED_CHARTER_COST,HLOOKUP(B$7,FIXED_CHARTER_COST,2,0)+1,0)+VLOOKUP($A286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86" s="23" t="n">
        <f aca="false">(+VLOOKUP($A286,FIXED_CHARTER_COST,HLOOKUP(C$7,FIXED_CHARTER_COST,2,0)+1,0)+VLOOKUP($A286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86" s="23" t="n">
        <f aca="false">(+VLOOKUP($A286,FIXED_CHARTER_COST,HLOOKUP(D$7,FIXED_CHARTER_COST,2,0)+1,0)+VLOOKUP($A286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0.351474978267166</v>
      </c>
      <c r="E286" s="23" t="n">
        <f aca="false">(+VLOOKUP($A286,FIXED_CHARTER_COST,HLOOKUP(E$7,FIXED_CHARTER_COST,2,0)+1,0)+VLOOKUP($A286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0.383466567910109</v>
      </c>
      <c r="F286" s="23" t="n">
        <f aca="false">(+VLOOKUP($A286,FIXED_CHARTER_COST,HLOOKUP(F$7,FIXED_CHARTER_COST,2,0)+1,0)+VLOOKUP($A286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0.642902667468039</v>
      </c>
      <c r="G286" s="23" t="n">
        <f aca="false">(+VLOOKUP($A286,FIXED_CHARTER_COST,HLOOKUP(G$7,FIXED_CHARTER_COST,2,0)+1,0)+VLOOKUP($A286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0.782149370158497</v>
      </c>
      <c r="H286" s="23" t="n">
        <f aca="false">(+VLOOKUP($A286,FIXED_CHARTER_COST,HLOOKUP(H$7,FIXED_CHARTER_COST,2,0)+1,0)+VLOOKUP($A286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86" s="23" t="n">
        <f aca="false">(+VLOOKUP($A286,FIXED_CHARTER_COST,HLOOKUP(I$7,FIXED_CHARTER_COST,2,0)+1,0)+VLOOKUP($A286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87" customFormat="false" ht="12.75" hidden="false" customHeight="false" outlineLevel="0" collapsed="false">
      <c r="A287" s="22" t="n">
        <f aca="false">+SHIPS!B303</f>
        <v>45139</v>
      </c>
      <c r="B287" s="23" t="n">
        <f aca="false">(+VLOOKUP($A287,FIXED_CHARTER_COST,HLOOKUP(B$7,FIXED_CHARTER_COST,2,0)+1,0)+VLOOKUP($A287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87" s="23" t="n">
        <f aca="false">(+VLOOKUP($A287,FIXED_CHARTER_COST,HLOOKUP(C$7,FIXED_CHARTER_COST,2,0)+1,0)+VLOOKUP($A287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87" s="23" t="n">
        <f aca="false">(+VLOOKUP($A287,FIXED_CHARTER_COST,HLOOKUP(D$7,FIXED_CHARTER_COST,2,0)+1,0)+VLOOKUP($A287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0.351614959830509</v>
      </c>
      <c r="E287" s="23" t="n">
        <f aca="false">(+VLOOKUP($A287,FIXED_CHARTER_COST,HLOOKUP(E$7,FIXED_CHARTER_COST,2,0)+1,0)+VLOOKUP($A287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0.383618214603731</v>
      </c>
      <c r="F287" s="23" t="n">
        <f aca="false">(+VLOOKUP($A287,FIXED_CHARTER_COST,HLOOKUP(F$7,FIXED_CHARTER_COST,2,0)+1,0)+VLOOKUP($A287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0.64314763520389</v>
      </c>
      <c r="G287" s="23" t="n">
        <f aca="false">(+VLOOKUP($A287,FIXED_CHARTER_COST,HLOOKUP(G$7,FIXED_CHARTER_COST,2,0)+1,0)+VLOOKUP($A287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0.782452663545741</v>
      </c>
      <c r="H287" s="23" t="n">
        <f aca="false">(+VLOOKUP($A287,FIXED_CHARTER_COST,HLOOKUP(H$7,FIXED_CHARTER_COST,2,0)+1,0)+VLOOKUP($A287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87" s="23" t="n">
        <f aca="false">(+VLOOKUP($A287,FIXED_CHARTER_COST,HLOOKUP(I$7,FIXED_CHARTER_COST,2,0)+1,0)+VLOOKUP($A287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88" customFormat="false" ht="12.75" hidden="false" customHeight="false" outlineLevel="0" collapsed="false">
      <c r="A288" s="22" t="n">
        <f aca="false">+SHIPS!B304</f>
        <v>45170</v>
      </c>
      <c r="B288" s="23" t="n">
        <f aca="false">(+VLOOKUP($A288,FIXED_CHARTER_COST,HLOOKUP(B$7,FIXED_CHARTER_COST,2,0)+1,0)+VLOOKUP($A288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88" s="23" t="n">
        <f aca="false">(+VLOOKUP($A288,FIXED_CHARTER_COST,HLOOKUP(C$7,FIXED_CHARTER_COST,2,0)+1,0)+VLOOKUP($A288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88" s="23" t="n">
        <f aca="false">(+VLOOKUP($A288,FIXED_CHARTER_COST,HLOOKUP(D$7,FIXED_CHARTER_COST,2,0)+1,0)+VLOOKUP($A288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0.351755233022109</v>
      </c>
      <c r="E288" s="23" t="n">
        <f aca="false">(+VLOOKUP($A288,FIXED_CHARTER_COST,HLOOKUP(E$7,FIXED_CHARTER_COST,2,0)+1,0)+VLOOKUP($A288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0.383770177227964</v>
      </c>
      <c r="F288" s="23" t="n">
        <f aca="false">(+VLOOKUP($A288,FIXED_CHARTER_COST,HLOOKUP(F$7,FIXED_CHARTER_COST,2,0)+1,0)+VLOOKUP($A288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0.64339311328919</v>
      </c>
      <c r="G288" s="23" t="n">
        <f aca="false">(+VLOOKUP($A288,FIXED_CHARTER_COST,HLOOKUP(G$7,FIXED_CHARTER_COST,2,0)+1,0)+VLOOKUP($A288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0.782756588794208</v>
      </c>
      <c r="H288" s="23" t="n">
        <f aca="false">(+VLOOKUP($A288,FIXED_CHARTER_COST,HLOOKUP(H$7,FIXED_CHARTER_COST,2,0)+1,0)+VLOOKUP($A288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88" s="23" t="n">
        <f aca="false">(+VLOOKUP($A288,FIXED_CHARTER_COST,HLOOKUP(I$7,FIXED_CHARTER_COST,2,0)+1,0)+VLOOKUP($A288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89" customFormat="false" ht="12.75" hidden="false" customHeight="false" outlineLevel="0" collapsed="false">
      <c r="A289" s="22" t="n">
        <f aca="false">+SHIPS!B305</f>
        <v>45200</v>
      </c>
      <c r="B289" s="23" t="n">
        <f aca="false">(+VLOOKUP($A289,FIXED_CHARTER_COST,HLOOKUP(B$7,FIXED_CHARTER_COST,2,0)+1,0)+VLOOKUP($A289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89" s="23" t="n">
        <f aca="false">(+VLOOKUP($A289,FIXED_CHARTER_COST,HLOOKUP(C$7,FIXED_CHARTER_COST,2,0)+1,0)+VLOOKUP($A289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89" s="23" t="n">
        <f aca="false">(+VLOOKUP($A289,FIXED_CHARTER_COST,HLOOKUP(D$7,FIXED_CHARTER_COST,2,0)+1,0)+VLOOKUP($A289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0.351895798449525</v>
      </c>
      <c r="E289" s="23" t="n">
        <f aca="false">(+VLOOKUP($A289,FIXED_CHARTER_COST,HLOOKUP(E$7,FIXED_CHARTER_COST,2,0)+1,0)+VLOOKUP($A289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0.383922456440998</v>
      </c>
      <c r="F289" s="23" t="n">
        <f aca="false">(+VLOOKUP($A289,FIXED_CHARTER_COST,HLOOKUP(F$7,FIXED_CHARTER_COST,2,0)+1,0)+VLOOKUP($A289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0.643639102787168</v>
      </c>
      <c r="G289" s="23" t="n">
        <f aca="false">(+VLOOKUP($A289,FIXED_CHARTER_COST,HLOOKUP(G$7,FIXED_CHARTER_COST,2,0)+1,0)+VLOOKUP($A289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0.783061147220276</v>
      </c>
      <c r="H289" s="23" t="n">
        <f aca="false">(+VLOOKUP($A289,FIXED_CHARTER_COST,HLOOKUP(H$7,FIXED_CHARTER_COST,2,0)+1,0)+VLOOKUP($A289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89" s="23" t="n">
        <f aca="false">(+VLOOKUP($A289,FIXED_CHARTER_COST,HLOOKUP(I$7,FIXED_CHARTER_COST,2,0)+1,0)+VLOOKUP($A289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90" customFormat="false" ht="12.75" hidden="false" customHeight="false" outlineLevel="0" collapsed="false">
      <c r="A290" s="22" t="n">
        <f aca="false">+SHIPS!B306</f>
        <v>45231</v>
      </c>
      <c r="B290" s="23" t="n">
        <f aca="false">(+VLOOKUP($A290,FIXED_CHARTER_COST,HLOOKUP(B$7,FIXED_CHARTER_COST,2,0)+1,0)+VLOOKUP($A290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90" s="23" t="n">
        <f aca="false">(+VLOOKUP($A290,FIXED_CHARTER_COST,HLOOKUP(C$7,FIXED_CHARTER_COST,2,0)+1,0)+VLOOKUP($A290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90" s="23" t="n">
        <f aca="false">(+VLOOKUP($A290,FIXED_CHARTER_COST,HLOOKUP(D$7,FIXED_CHARTER_COST,2,0)+1,0)+VLOOKUP($A290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0.352036656721582</v>
      </c>
      <c r="E290" s="23" t="n">
        <f aca="false">(+VLOOKUP($A290,FIXED_CHARTER_COST,HLOOKUP(E$7,FIXED_CHARTER_COST,2,0)+1,0)+VLOOKUP($A290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0.384075052902393</v>
      </c>
      <c r="F290" s="23" t="n">
        <f aca="false">(+VLOOKUP($A290,FIXED_CHARTER_COST,HLOOKUP(F$7,FIXED_CHARTER_COST,2,0)+1,0)+VLOOKUP($A290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0.643885604763267</v>
      </c>
      <c r="G290" s="23" t="n">
        <f aca="false">(+VLOOKUP($A290,FIXED_CHARTER_COST,HLOOKUP(G$7,FIXED_CHARTER_COST,2,0)+1,0)+VLOOKUP($A290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0.783366340143066</v>
      </c>
      <c r="H290" s="23" t="n">
        <f aca="false">(+VLOOKUP($A290,FIXED_CHARTER_COST,HLOOKUP(H$7,FIXED_CHARTER_COST,2,0)+1,0)+VLOOKUP($A290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90" s="23" t="n">
        <f aca="false">(+VLOOKUP($A290,FIXED_CHARTER_COST,HLOOKUP(I$7,FIXED_CHARTER_COST,2,0)+1,0)+VLOOKUP($A290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91" customFormat="false" ht="12.75" hidden="false" customHeight="false" outlineLevel="0" collapsed="false">
      <c r="A291" s="22" t="n">
        <f aca="false">+SHIPS!B307</f>
        <v>45261</v>
      </c>
      <c r="B291" s="23" t="n">
        <f aca="false">(+VLOOKUP($A291,FIXED_CHARTER_COST,HLOOKUP(B$7,FIXED_CHARTER_COST,2,0)+1,0)+VLOOKUP($A291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91" s="23" t="n">
        <f aca="false">(+VLOOKUP($A291,FIXED_CHARTER_COST,HLOOKUP(C$7,FIXED_CHARTER_COST,2,0)+1,0)+VLOOKUP($A291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91" s="23" t="n">
        <f aca="false">(+VLOOKUP($A291,FIXED_CHARTER_COST,HLOOKUP(D$7,FIXED_CHARTER_COST,2,0)+1,0)+VLOOKUP($A291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0.352177808448372</v>
      </c>
      <c r="E291" s="23" t="n">
        <f aca="false">(+VLOOKUP($A291,FIXED_CHARTER_COST,HLOOKUP(E$7,FIXED_CHARTER_COST,2,0)+1,0)+VLOOKUP($A291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0.384227967273082</v>
      </c>
      <c r="F291" s="23" t="n">
        <f aca="false">(+VLOOKUP($A291,FIXED_CHARTER_COST,HLOOKUP(F$7,FIXED_CHARTER_COST,2,0)+1,0)+VLOOKUP($A291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0.64413262028515</v>
      </c>
      <c r="G291" s="23" t="n">
        <f aca="false">(+VLOOKUP($A291,FIXED_CHARTER_COST,HLOOKUP(G$7,FIXED_CHARTER_COST,2,0)+1,0)+VLOOKUP($A291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0.783672168884444</v>
      </c>
      <c r="H291" s="23" t="n">
        <f aca="false">(+VLOOKUP($A291,FIXED_CHARTER_COST,HLOOKUP(H$7,FIXED_CHARTER_COST,2,0)+1,0)+VLOOKUP($A291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91" s="23" t="n">
        <f aca="false">(+VLOOKUP($A291,FIXED_CHARTER_COST,HLOOKUP(I$7,FIXED_CHARTER_COST,2,0)+1,0)+VLOOKUP($A291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92" customFormat="false" ht="12.75" hidden="false" customHeight="false" outlineLevel="0" collapsed="false">
      <c r="A292" s="22" t="n">
        <f aca="false">+SHIPS!B308</f>
        <v>45292</v>
      </c>
      <c r="B292" s="23" t="n">
        <f aca="false">(+VLOOKUP($A292,FIXED_CHARTER_COST,HLOOKUP(B$7,FIXED_CHARTER_COST,2,0)+1,0)+VLOOKUP($A292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92" s="23" t="n">
        <f aca="false">(+VLOOKUP($A292,FIXED_CHARTER_COST,HLOOKUP(C$7,FIXED_CHARTER_COST,2,0)+1,0)+VLOOKUP($A292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92" s="23" t="n">
        <f aca="false">(+VLOOKUP($A292,FIXED_CHARTER_COST,HLOOKUP(D$7,FIXED_CHARTER_COST,2,0)+1,0)+VLOOKUP($A292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0.352319254241259</v>
      </c>
      <c r="E292" s="23" t="n">
        <f aca="false">(+VLOOKUP($A292,FIXED_CHARTER_COST,HLOOKUP(E$7,FIXED_CHARTER_COST,2,0)+1,0)+VLOOKUP($A292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0.384381200215377</v>
      </c>
      <c r="F292" s="23" t="n">
        <f aca="false">(+VLOOKUP($A292,FIXED_CHARTER_COST,HLOOKUP(F$7,FIXED_CHARTER_COST,2,0)+1,0)+VLOOKUP($A292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0.644380150422703</v>
      </c>
      <c r="G292" s="23" t="n">
        <f aca="false">(+VLOOKUP($A292,FIXED_CHARTER_COST,HLOOKUP(G$7,FIXED_CHARTER_COST,2,0)+1,0)+VLOOKUP($A292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0.783978634769033</v>
      </c>
      <c r="H292" s="23" t="n">
        <f aca="false">(+VLOOKUP($A292,FIXED_CHARTER_COST,HLOOKUP(H$7,FIXED_CHARTER_COST,2,0)+1,0)+VLOOKUP($A292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92" s="23" t="n">
        <f aca="false">(+VLOOKUP($A292,FIXED_CHARTER_COST,HLOOKUP(I$7,FIXED_CHARTER_COST,2,0)+1,0)+VLOOKUP($A292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93" customFormat="false" ht="12.75" hidden="false" customHeight="false" outlineLevel="0" collapsed="false">
      <c r="A293" s="22" t="n">
        <f aca="false">+SHIPS!B309</f>
        <v>45323</v>
      </c>
      <c r="B293" s="23" t="n">
        <f aca="false">(+VLOOKUP($A293,FIXED_CHARTER_COST,HLOOKUP(B$7,FIXED_CHARTER_COST,2,0)+1,0)+VLOOKUP($A293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93" s="23" t="n">
        <f aca="false">(+VLOOKUP($A293,FIXED_CHARTER_COST,HLOOKUP(C$7,FIXED_CHARTER_COST,2,0)+1,0)+VLOOKUP($A293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93" s="23" t="n">
        <f aca="false">(+VLOOKUP($A293,FIXED_CHARTER_COST,HLOOKUP(D$7,FIXED_CHARTER_COST,2,0)+1,0)+VLOOKUP($A293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0.352460994712882</v>
      </c>
      <c r="E293" s="23" t="n">
        <f aca="false">(+VLOOKUP($A293,FIXED_CHARTER_COST,HLOOKUP(E$7,FIXED_CHARTER_COST,2,0)+1,0)+VLOOKUP($A293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0.384534752392968</v>
      </c>
      <c r="F293" s="23" t="n">
        <f aca="false">(+VLOOKUP($A293,FIXED_CHARTER_COST,HLOOKUP(F$7,FIXED_CHARTER_COST,2,0)+1,0)+VLOOKUP($A293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0.644628196248043</v>
      </c>
      <c r="G293" s="23" t="n">
        <f aca="false">(+VLOOKUP($A293,FIXED_CHARTER_COST,HLOOKUP(G$7,FIXED_CHARTER_COST,2,0)+1,0)+VLOOKUP($A293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0.784285739124216</v>
      </c>
      <c r="H293" s="23" t="n">
        <f aca="false">(+VLOOKUP($A293,FIXED_CHARTER_COST,HLOOKUP(H$7,FIXED_CHARTER_COST,2,0)+1,0)+VLOOKUP($A293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93" s="23" t="n">
        <f aca="false">(+VLOOKUP($A293,FIXED_CHARTER_COST,HLOOKUP(I$7,FIXED_CHARTER_COST,2,0)+1,0)+VLOOKUP($A293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94" customFormat="false" ht="12.75" hidden="false" customHeight="false" outlineLevel="0" collapsed="false">
      <c r="A294" s="22" t="n">
        <f aca="false">+SHIPS!B310</f>
        <v>45352</v>
      </c>
      <c r="B294" s="23" t="n">
        <f aca="false">(+VLOOKUP($A294,FIXED_CHARTER_COST,HLOOKUP(B$7,FIXED_CHARTER_COST,2,0)+1,0)+VLOOKUP($A294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94" s="23" t="n">
        <f aca="false">(+VLOOKUP($A294,FIXED_CHARTER_COST,HLOOKUP(C$7,FIXED_CHARTER_COST,2,0)+1,0)+VLOOKUP($A294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94" s="23" t="n">
        <f aca="false">(+VLOOKUP($A294,FIXED_CHARTER_COST,HLOOKUP(D$7,FIXED_CHARTER_COST,2,0)+1,0)+VLOOKUP($A294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0.352603030477154</v>
      </c>
      <c r="E294" s="23" t="n">
        <f aca="false">(+VLOOKUP($A294,FIXED_CHARTER_COST,HLOOKUP(E$7,FIXED_CHARTER_COST,2,0)+1,0)+VLOOKUP($A294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0.384688624470929</v>
      </c>
      <c r="F294" s="23" t="n">
        <f aca="false">(+VLOOKUP($A294,FIXED_CHARTER_COST,HLOOKUP(F$7,FIXED_CHARTER_COST,2,0)+1,0)+VLOOKUP($A294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0.644876758835518</v>
      </c>
      <c r="G294" s="23" t="n">
        <f aca="false">(+VLOOKUP($A294,FIXED_CHARTER_COST,HLOOKUP(G$7,FIXED_CHARTER_COST,2,0)+1,0)+VLOOKUP($A294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0.784593483280138</v>
      </c>
      <c r="H294" s="23" t="n">
        <f aca="false">(+VLOOKUP($A294,FIXED_CHARTER_COST,HLOOKUP(H$7,FIXED_CHARTER_COST,2,0)+1,0)+VLOOKUP($A294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94" s="23" t="n">
        <f aca="false">(+VLOOKUP($A294,FIXED_CHARTER_COST,HLOOKUP(I$7,FIXED_CHARTER_COST,2,0)+1,0)+VLOOKUP($A294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95" customFormat="false" ht="12.75" hidden="false" customHeight="false" outlineLevel="0" collapsed="false">
      <c r="A295" s="22" t="n">
        <f aca="false">+SHIPS!B311</f>
        <v>45383</v>
      </c>
      <c r="B295" s="23" t="n">
        <f aca="false">(+VLOOKUP($A295,FIXED_CHARTER_COST,HLOOKUP(B$7,FIXED_CHARTER_COST,2,0)+1,0)+VLOOKUP($A295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95" s="23" t="n">
        <f aca="false">(+VLOOKUP($A295,FIXED_CHARTER_COST,HLOOKUP(C$7,FIXED_CHARTER_COST,2,0)+1,0)+VLOOKUP($A295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95" s="23" t="n">
        <f aca="false">(+VLOOKUP($A295,FIXED_CHARTER_COST,HLOOKUP(D$7,FIXED_CHARTER_COST,2,0)+1,0)+VLOOKUP($A295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0.352745362149268</v>
      </c>
      <c r="E295" s="23" t="n">
        <f aca="false">(+VLOOKUP($A295,FIXED_CHARTER_COST,HLOOKUP(E$7,FIXED_CHARTER_COST,2,0)+1,0)+VLOOKUP($A295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0.38484281711572</v>
      </c>
      <c r="F295" s="23" t="n">
        <f aca="false">(+VLOOKUP($A295,FIXED_CHARTER_COST,HLOOKUP(F$7,FIXED_CHARTER_COST,2,0)+1,0)+VLOOKUP($A295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0.645125839261718</v>
      </c>
      <c r="G295" s="23" t="n">
        <f aca="false">(+VLOOKUP($A295,FIXED_CHARTER_COST,HLOOKUP(G$7,FIXED_CHARTER_COST,2,0)+1,0)+VLOOKUP($A295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0.784901868569719</v>
      </c>
      <c r="H295" s="23" t="n">
        <f aca="false">(+VLOOKUP($A295,FIXED_CHARTER_COST,HLOOKUP(H$7,FIXED_CHARTER_COST,2,0)+1,0)+VLOOKUP($A295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95" s="23" t="n">
        <f aca="false">(+VLOOKUP($A295,FIXED_CHARTER_COST,HLOOKUP(I$7,FIXED_CHARTER_COST,2,0)+1,0)+VLOOKUP($A295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96" customFormat="false" ht="12.75" hidden="false" customHeight="false" outlineLevel="0" collapsed="false">
      <c r="A296" s="22" t="n">
        <f aca="false">+SHIPS!B312</f>
        <v>45413</v>
      </c>
      <c r="B296" s="23" t="n">
        <f aca="false">(+VLOOKUP($A296,FIXED_CHARTER_COST,HLOOKUP(B$7,FIXED_CHARTER_COST,2,0)+1,0)+VLOOKUP($A296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96" s="23" t="n">
        <f aca="false">(+VLOOKUP($A296,FIXED_CHARTER_COST,HLOOKUP(C$7,FIXED_CHARTER_COST,2,0)+1,0)+VLOOKUP($A296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96" s="23" t="n">
        <f aca="false">(+VLOOKUP($A296,FIXED_CHARTER_COST,HLOOKUP(D$7,FIXED_CHARTER_COST,2,0)+1,0)+VLOOKUP($A296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0.352887990345699</v>
      </c>
      <c r="E296" s="23" t="n">
        <f aca="false">(+VLOOKUP($A296,FIXED_CHARTER_COST,HLOOKUP(E$7,FIXED_CHARTER_COST,2,0)+1,0)+VLOOKUP($A296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0.384997330995187</v>
      </c>
      <c r="F296" s="23" t="n">
        <f aca="false">(+VLOOKUP($A296,FIXED_CHARTER_COST,HLOOKUP(F$7,FIXED_CHARTER_COST,2,0)+1,0)+VLOOKUP($A296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0.645375438605472</v>
      </c>
      <c r="G296" s="23" t="n">
        <f aca="false">(+VLOOKUP($A296,FIXED_CHARTER_COST,HLOOKUP(G$7,FIXED_CHARTER_COST,2,0)+1,0)+VLOOKUP($A296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0.785210896328653</v>
      </c>
      <c r="H296" s="23" t="n">
        <f aca="false">(+VLOOKUP($A296,FIXED_CHARTER_COST,HLOOKUP(H$7,FIXED_CHARTER_COST,2,0)+1,0)+VLOOKUP($A296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96" s="23" t="n">
        <f aca="false">(+VLOOKUP($A296,FIXED_CHARTER_COST,HLOOKUP(I$7,FIXED_CHARTER_COST,2,0)+1,0)+VLOOKUP($A296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97" customFormat="false" ht="12.75" hidden="false" customHeight="false" outlineLevel="0" collapsed="false">
      <c r="A297" s="22" t="n">
        <f aca="false">+SHIPS!B313</f>
        <v>45444</v>
      </c>
      <c r="B297" s="23" t="n">
        <f aca="false">(+VLOOKUP($A297,FIXED_CHARTER_COST,HLOOKUP(B$7,FIXED_CHARTER_COST,2,0)+1,0)+VLOOKUP($A297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97" s="23" t="n">
        <f aca="false">(+VLOOKUP($A297,FIXED_CHARTER_COST,HLOOKUP(C$7,FIXED_CHARTER_COST,2,0)+1,0)+VLOOKUP($A297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97" s="23" t="n">
        <f aca="false">(+VLOOKUP($A297,FIXED_CHARTER_COST,HLOOKUP(D$7,FIXED_CHARTER_COST,2,0)+1,0)+VLOOKUP($A297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0.353030915684206</v>
      </c>
      <c r="E297" s="23" t="n">
        <f aca="false">(+VLOOKUP($A297,FIXED_CHARTER_COST,HLOOKUP(E$7,FIXED_CHARTER_COST,2,0)+1,0)+VLOOKUP($A297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0.385152166778569</v>
      </c>
      <c r="F297" s="23" t="n">
        <f aca="false">(+VLOOKUP($A297,FIXED_CHARTER_COST,HLOOKUP(F$7,FIXED_CHARTER_COST,2,0)+1,0)+VLOOKUP($A297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0.64562555794786</v>
      </c>
      <c r="G297" s="23" t="n">
        <f aca="false">(+VLOOKUP($A297,FIXED_CHARTER_COST,HLOOKUP(G$7,FIXED_CHARTER_COST,2,0)+1,0)+VLOOKUP($A297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0.785520567895418</v>
      </c>
      <c r="H297" s="23" t="n">
        <f aca="false">(+VLOOKUP($A297,FIXED_CHARTER_COST,HLOOKUP(H$7,FIXED_CHARTER_COST,2,0)+1,0)+VLOOKUP($A297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97" s="23" t="n">
        <f aca="false">(+VLOOKUP($A297,FIXED_CHARTER_COST,HLOOKUP(I$7,FIXED_CHARTER_COST,2,0)+1,0)+VLOOKUP($A297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98" customFormat="false" ht="12.75" hidden="false" customHeight="false" outlineLevel="0" collapsed="false">
      <c r="A298" s="22" t="n">
        <f aca="false">+SHIPS!B314</f>
        <v>45474</v>
      </c>
      <c r="B298" s="23" t="n">
        <f aca="false">(+VLOOKUP($A298,FIXED_CHARTER_COST,HLOOKUP(B$7,FIXED_CHARTER_COST,2,0)+1,0)+VLOOKUP($A298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98" s="23" t="n">
        <f aca="false">(+VLOOKUP($A298,FIXED_CHARTER_COST,HLOOKUP(C$7,FIXED_CHARTER_COST,2,0)+1,0)+VLOOKUP($A298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98" s="23" t="n">
        <f aca="false">(+VLOOKUP($A298,FIXED_CHARTER_COST,HLOOKUP(D$7,FIXED_CHARTER_COST,2,0)+1,0)+VLOOKUP($A298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0.353174138783835</v>
      </c>
      <c r="E298" s="23" t="n">
        <f aca="false">(+VLOOKUP($A298,FIXED_CHARTER_COST,HLOOKUP(E$7,FIXED_CHARTER_COST,2,0)+1,0)+VLOOKUP($A298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0.3853073251365</v>
      </c>
      <c r="F298" s="23" t="n">
        <f aca="false">(+VLOOKUP($A298,FIXED_CHARTER_COST,HLOOKUP(F$7,FIXED_CHARTER_COST,2,0)+1,0)+VLOOKUP($A298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0.64587619837221</v>
      </c>
      <c r="G298" s="23" t="n">
        <f aca="false">(+VLOOKUP($A298,FIXED_CHARTER_COST,HLOOKUP(G$7,FIXED_CHARTER_COST,2,0)+1,0)+VLOOKUP($A298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0.78583088461128</v>
      </c>
      <c r="H298" s="23" t="n">
        <f aca="false">(+VLOOKUP($A298,FIXED_CHARTER_COST,HLOOKUP(H$7,FIXED_CHARTER_COST,2,0)+1,0)+VLOOKUP($A298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98" s="23" t="n">
        <f aca="false">(+VLOOKUP($A298,FIXED_CHARTER_COST,HLOOKUP(I$7,FIXED_CHARTER_COST,2,0)+1,0)+VLOOKUP($A298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299" customFormat="false" ht="12.75" hidden="false" customHeight="false" outlineLevel="0" collapsed="false">
      <c r="A299" s="22" t="n">
        <f aca="false">+SHIPS!B315</f>
        <v>45505</v>
      </c>
      <c r="B299" s="23" t="n">
        <f aca="false">(+VLOOKUP($A299,FIXED_CHARTER_COST,HLOOKUP(B$7,FIXED_CHARTER_COST,2,0)+1,0)+VLOOKUP($A299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299" s="23" t="n">
        <f aca="false">(+VLOOKUP($A299,FIXED_CHARTER_COST,HLOOKUP(C$7,FIXED_CHARTER_COST,2,0)+1,0)+VLOOKUP($A299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299" s="23" t="n">
        <f aca="false">(+VLOOKUP($A299,FIXED_CHARTER_COST,HLOOKUP(D$7,FIXED_CHARTER_COST,2,0)+1,0)+VLOOKUP($A299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0.353317660264921</v>
      </c>
      <c r="E299" s="23" t="n">
        <f aca="false">(+VLOOKUP($A299,FIXED_CHARTER_COST,HLOOKUP(E$7,FIXED_CHARTER_COST,2,0)+1,0)+VLOOKUP($A299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0.385462806741011</v>
      </c>
      <c r="F299" s="23" t="n">
        <f aca="false">(+VLOOKUP($A299,FIXED_CHARTER_COST,HLOOKUP(F$7,FIXED_CHARTER_COST,2,0)+1,0)+VLOOKUP($A299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0.646127360964111</v>
      </c>
      <c r="G299" s="23" t="n">
        <f aca="false">(+VLOOKUP($A299,FIXED_CHARTER_COST,HLOOKUP(G$7,FIXED_CHARTER_COST,2,0)+1,0)+VLOOKUP($A299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0.786141847820301</v>
      </c>
      <c r="H299" s="23" t="n">
        <f aca="false">(+VLOOKUP($A299,FIXED_CHARTER_COST,HLOOKUP(H$7,FIXED_CHARTER_COST,2,0)+1,0)+VLOOKUP($A299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299" s="23" t="n">
        <f aca="false">(+VLOOKUP($A299,FIXED_CHARTER_COST,HLOOKUP(I$7,FIXED_CHARTER_COST,2,0)+1,0)+VLOOKUP($A299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300" customFormat="false" ht="12.75" hidden="false" customHeight="false" outlineLevel="0" collapsed="false">
      <c r="A300" s="22" t="n">
        <f aca="false">+SHIPS!B316</f>
        <v>45536</v>
      </c>
      <c r="B300" s="23" t="n">
        <f aca="false">(+VLOOKUP($A300,FIXED_CHARTER_COST,HLOOKUP(B$7,FIXED_CHARTER_COST,2,0)+1,0)+VLOOKUP($A300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300" s="23" t="n">
        <f aca="false">(+VLOOKUP($A300,FIXED_CHARTER_COST,HLOOKUP(C$7,FIXED_CHARTER_COST,2,0)+1,0)+VLOOKUP($A300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300" s="23" t="n">
        <f aca="false">(+VLOOKUP($A300,FIXED_CHARTER_COST,HLOOKUP(D$7,FIXED_CHARTER_COST,2,0)+1,0)+VLOOKUP($A300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0.353461480749093</v>
      </c>
      <c r="E300" s="23" t="n">
        <f aca="false">(+VLOOKUP($A300,FIXED_CHARTER_COST,HLOOKUP(E$7,FIXED_CHARTER_COST,2,0)+1,0)+VLOOKUP($A300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0.38561861226553</v>
      </c>
      <c r="F300" s="23" t="n">
        <f aca="false">(+VLOOKUP($A300,FIXED_CHARTER_COST,HLOOKUP(F$7,FIXED_CHARTER_COST,2,0)+1,0)+VLOOKUP($A300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0.646379046811412</v>
      </c>
      <c r="G300" s="23" t="n">
        <f aca="false">(+VLOOKUP($A300,FIXED_CHARTER_COST,HLOOKUP(G$7,FIXED_CHARTER_COST,2,0)+1,0)+VLOOKUP($A300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0.78645345886934</v>
      </c>
      <c r="H300" s="23" t="n">
        <f aca="false">(+VLOOKUP($A300,FIXED_CHARTER_COST,HLOOKUP(H$7,FIXED_CHARTER_COST,2,0)+1,0)+VLOOKUP($A300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300" s="23" t="n">
        <f aca="false">(+VLOOKUP($A300,FIXED_CHARTER_COST,HLOOKUP(I$7,FIXED_CHARTER_COST,2,0)+1,0)+VLOOKUP($A300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301" customFormat="false" ht="12.75" hidden="false" customHeight="false" outlineLevel="0" collapsed="false">
      <c r="A301" s="22" t="n">
        <f aca="false">+SHIPS!B317</f>
        <v>45566</v>
      </c>
      <c r="B301" s="23" t="n">
        <f aca="false">(+VLOOKUP($A301,FIXED_CHARTER_COST,HLOOKUP(B$7,FIXED_CHARTER_COST,2,0)+1,0)+VLOOKUP($A301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301" s="23" t="n">
        <f aca="false">(+VLOOKUP($A301,FIXED_CHARTER_COST,HLOOKUP(C$7,FIXED_CHARTER_COST,2,0)+1,0)+VLOOKUP($A301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301" s="23" t="n">
        <f aca="false">(+VLOOKUP($A301,FIXED_CHARTER_COST,HLOOKUP(D$7,FIXED_CHARTER_COST,2,0)+1,0)+VLOOKUP($A301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0.353605600859274</v>
      </c>
      <c r="E301" s="23" t="n">
        <f aca="false">(+VLOOKUP($A301,FIXED_CHARTER_COST,HLOOKUP(E$7,FIXED_CHARTER_COST,2,0)+1,0)+VLOOKUP($A301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0.385774742384893</v>
      </c>
      <c r="F301" s="23" t="n">
        <f aca="false">(+VLOOKUP($A301,FIXED_CHARTER_COST,HLOOKUP(F$7,FIXED_CHARTER_COST,2,0)+1,0)+VLOOKUP($A301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0.646631257004228</v>
      </c>
      <c r="G301" s="23" t="n">
        <f aca="false">(+VLOOKUP($A301,FIXED_CHARTER_COST,HLOOKUP(G$7,FIXED_CHARTER_COST,2,0)+1,0)+VLOOKUP($A301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0.786765719108065</v>
      </c>
      <c r="H301" s="23" t="n">
        <f aca="false">(+VLOOKUP($A301,FIXED_CHARTER_COST,HLOOKUP(H$7,FIXED_CHARTER_COST,2,0)+1,0)+VLOOKUP($A301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301" s="23" t="n">
        <f aca="false">(+VLOOKUP($A301,FIXED_CHARTER_COST,HLOOKUP(I$7,FIXED_CHARTER_COST,2,0)+1,0)+VLOOKUP($A301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302" customFormat="false" ht="12.75" hidden="false" customHeight="false" outlineLevel="0" collapsed="false">
      <c r="A302" s="22" t="n">
        <f aca="false">+SHIPS!B318</f>
        <v>45597</v>
      </c>
      <c r="B302" s="23" t="n">
        <f aca="false">(+VLOOKUP($A302,FIXED_CHARTER_COST,HLOOKUP(B$7,FIXED_CHARTER_COST,2,0)+1,0)+VLOOKUP($A302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302" s="23" t="n">
        <f aca="false">(+VLOOKUP($A302,FIXED_CHARTER_COST,HLOOKUP(C$7,FIXED_CHARTER_COST,2,0)+1,0)+VLOOKUP($A302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302" s="23" t="n">
        <f aca="false">(+VLOOKUP($A302,FIXED_CHARTER_COST,HLOOKUP(D$7,FIXED_CHARTER_COST,2,0)+1,0)+VLOOKUP($A302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0.353750021219684</v>
      </c>
      <c r="E302" s="23" t="n">
        <f aca="false">(+VLOOKUP($A302,FIXED_CHARTER_COST,HLOOKUP(E$7,FIXED_CHARTER_COST,2,0)+1,0)+VLOOKUP($A302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0.385931197775337</v>
      </c>
      <c r="F302" s="23" t="n">
        <f aca="false">(+VLOOKUP($A302,FIXED_CHARTER_COST,HLOOKUP(F$7,FIXED_CHARTER_COST,2,0)+1,0)+VLOOKUP($A302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0.646883992634946</v>
      </c>
      <c r="G302" s="23" t="n">
        <f aca="false">(+VLOOKUP($A302,FIXED_CHARTER_COST,HLOOKUP(G$7,FIXED_CHARTER_COST,2,0)+1,0)+VLOOKUP($A302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0.787078629888953</v>
      </c>
      <c r="H302" s="23" t="n">
        <f aca="false">(+VLOOKUP($A302,FIXED_CHARTER_COST,HLOOKUP(H$7,FIXED_CHARTER_COST,2,0)+1,0)+VLOOKUP($A302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302" s="23" t="n">
        <f aca="false">(+VLOOKUP($A302,FIXED_CHARTER_COST,HLOOKUP(I$7,FIXED_CHARTER_COST,2,0)+1,0)+VLOOKUP($A302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303" customFormat="false" ht="12.75" hidden="false" customHeight="false" outlineLevel="0" collapsed="false">
      <c r="A303" s="22" t="n">
        <f aca="false">+SHIPS!B319</f>
        <v>45627</v>
      </c>
      <c r="B303" s="23" t="n">
        <f aca="false">(+VLOOKUP($A303,FIXED_CHARTER_COST,HLOOKUP(B$7,FIXED_CHARTER_COST,2,0)+1,0)+VLOOKUP($A303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303" s="23" t="n">
        <f aca="false">(+VLOOKUP($A303,FIXED_CHARTER_COST,HLOOKUP(C$7,FIXED_CHARTER_COST,2,0)+1,0)+VLOOKUP($A303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303" s="23" t="n">
        <f aca="false">(+VLOOKUP($A303,FIXED_CHARTER_COST,HLOOKUP(D$7,FIXED_CHARTER_COST,2,0)+1,0)+VLOOKUP($A303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0.353894742455845</v>
      </c>
      <c r="E303" s="23" t="n">
        <f aca="false">(+VLOOKUP($A303,FIXED_CHARTER_COST,HLOOKUP(E$7,FIXED_CHARTER_COST,2,0)+1,0)+VLOOKUP($A303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0.386087979114512</v>
      </c>
      <c r="F303" s="23" t="n">
        <f aca="false">(+VLOOKUP($A303,FIXED_CHARTER_COST,HLOOKUP(F$7,FIXED_CHARTER_COST,2,0)+1,0)+VLOOKUP($A303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0.647137254798228</v>
      </c>
      <c r="G303" s="23" t="n">
        <f aca="false">(+VLOOKUP($A303,FIXED_CHARTER_COST,HLOOKUP(G$7,FIXED_CHARTER_COST,2,0)+1,0)+VLOOKUP($A303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0.787392192567303</v>
      </c>
      <c r="H303" s="23" t="n">
        <f aca="false">(+VLOOKUP($A303,FIXED_CHARTER_COST,HLOOKUP(H$7,FIXED_CHARTER_COST,2,0)+1,0)+VLOOKUP($A303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303" s="23" t="n">
        <f aca="false">(+VLOOKUP($A303,FIXED_CHARTER_COST,HLOOKUP(I$7,FIXED_CHARTER_COST,2,0)+1,0)+VLOOKUP($A303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304" customFormat="false" ht="12.75" hidden="false" customHeight="false" outlineLevel="0" collapsed="false">
      <c r="A304" s="22" t="n">
        <f aca="false">+SHIPS!B320</f>
        <v>45658</v>
      </c>
      <c r="B304" s="23" t="n">
        <f aca="false">(+VLOOKUP($A304,FIXED_CHARTER_COST,HLOOKUP(B$7,FIXED_CHARTER_COST,2,0)+1,0)+VLOOKUP($A304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304" s="23" t="n">
        <f aca="false">(+VLOOKUP($A304,FIXED_CHARTER_COST,HLOOKUP(C$7,FIXED_CHARTER_COST,2,0)+1,0)+VLOOKUP($A304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304" s="23" t="n">
        <f aca="false">(+VLOOKUP($A304,FIXED_CHARTER_COST,HLOOKUP(D$7,FIXED_CHARTER_COST,2,0)+1,0)+VLOOKUP($A304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0.354039765194582</v>
      </c>
      <c r="E304" s="23" t="n">
        <f aca="false">(+VLOOKUP($A304,FIXED_CHARTER_COST,HLOOKUP(E$7,FIXED_CHARTER_COST,2,0)+1,0)+VLOOKUP($A304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0.386245087081476</v>
      </c>
      <c r="F304" s="23" t="n">
        <f aca="false">(+VLOOKUP($A304,FIXED_CHARTER_COST,HLOOKUP(F$7,FIXED_CHARTER_COST,2,0)+1,0)+VLOOKUP($A304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0.647391044591017</v>
      </c>
      <c r="G304" s="23" t="n">
        <f aca="false">(+VLOOKUP($A304,FIXED_CHARTER_COST,HLOOKUP(G$7,FIXED_CHARTER_COST,2,0)+1,0)+VLOOKUP($A304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0.787706408501231</v>
      </c>
      <c r="H304" s="23" t="n">
        <f aca="false">(+VLOOKUP($A304,FIXED_CHARTER_COST,HLOOKUP(H$7,FIXED_CHARTER_COST,2,0)+1,0)+VLOOKUP($A304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304" s="23" t="n">
        <f aca="false">(+VLOOKUP($A304,FIXED_CHARTER_COST,HLOOKUP(I$7,FIXED_CHARTER_COST,2,0)+1,0)+VLOOKUP($A304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305" customFormat="false" ht="12.75" hidden="false" customHeight="false" outlineLevel="0" collapsed="false">
      <c r="A305" s="22" t="n">
        <f aca="false">+SHIPS!B321</f>
        <v>45689</v>
      </c>
      <c r="B305" s="23" t="n">
        <f aca="false">(+VLOOKUP($A305,FIXED_CHARTER_COST,HLOOKUP(B$7,FIXED_CHARTER_COST,2,0)+1,0)+VLOOKUP($A305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305" s="23" t="n">
        <f aca="false">(+VLOOKUP($A305,FIXED_CHARTER_COST,HLOOKUP(C$7,FIXED_CHARTER_COST,2,0)+1,0)+VLOOKUP($A305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305" s="23" t="n">
        <f aca="false">(+VLOOKUP($A305,FIXED_CHARTER_COST,HLOOKUP(D$7,FIXED_CHARTER_COST,2,0)+1,0)+VLOOKUP($A305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0.354185090064024</v>
      </c>
      <c r="E305" s="23" t="n">
        <f aca="false">(+VLOOKUP($A305,FIXED_CHARTER_COST,HLOOKUP(E$7,FIXED_CHARTER_COST,2,0)+1,0)+VLOOKUP($A305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0.386402522356705</v>
      </c>
      <c r="F305" s="23" t="n">
        <f aca="false">(+VLOOKUP($A305,FIXED_CHARTER_COST,HLOOKUP(F$7,FIXED_CHARTER_COST,2,0)+1,0)+VLOOKUP($A305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0.64764536311254</v>
      </c>
      <c r="G305" s="23" t="n">
        <f aca="false">(+VLOOKUP($A305,FIXED_CHARTER_COST,HLOOKUP(G$7,FIXED_CHARTER_COST,2,0)+1,0)+VLOOKUP($A305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0.788021279051689</v>
      </c>
      <c r="H305" s="23" t="n">
        <f aca="false">(+VLOOKUP($A305,FIXED_CHARTER_COST,HLOOKUP(H$7,FIXED_CHARTER_COST,2,0)+1,0)+VLOOKUP($A305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305" s="23" t="n">
        <f aca="false">(+VLOOKUP($A305,FIXED_CHARTER_COST,HLOOKUP(I$7,FIXED_CHARTER_COST,2,0)+1,0)+VLOOKUP($A305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306" customFormat="false" ht="12.75" hidden="false" customHeight="false" outlineLevel="0" collapsed="false">
      <c r="A306" s="22" t="n">
        <f aca="false">+SHIPS!B322</f>
        <v>45717</v>
      </c>
      <c r="B306" s="23" t="n">
        <f aca="false">(+VLOOKUP($A306,FIXED_CHARTER_COST,HLOOKUP(B$7,FIXED_CHARTER_COST,2,0)+1,0)+VLOOKUP($A306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306" s="23" t="n">
        <f aca="false">(+VLOOKUP($A306,FIXED_CHARTER_COST,HLOOKUP(C$7,FIXED_CHARTER_COST,2,0)+1,0)+VLOOKUP($A306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306" s="23" t="n">
        <f aca="false">(+VLOOKUP($A306,FIXED_CHARTER_COST,HLOOKUP(D$7,FIXED_CHARTER_COST,2,0)+1,0)+VLOOKUP($A306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0.35433071769361</v>
      </c>
      <c r="E306" s="23" t="n">
        <f aca="false">(+VLOOKUP($A306,FIXED_CHARTER_COST,HLOOKUP(E$7,FIXED_CHARTER_COST,2,0)+1,0)+VLOOKUP($A306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0.38656028562209</v>
      </c>
      <c r="F306" s="23" t="n">
        <f aca="false">(+VLOOKUP($A306,FIXED_CHARTER_COST,HLOOKUP(F$7,FIXED_CHARTER_COST,2,0)+1,0)+VLOOKUP($A306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0.647900211464317</v>
      </c>
      <c r="G306" s="23" t="n">
        <f aca="false">(+VLOOKUP($A306,FIXED_CHARTER_COST,HLOOKUP(G$7,FIXED_CHARTER_COST,2,0)+1,0)+VLOOKUP($A306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0.78833680558246</v>
      </c>
      <c r="H306" s="23" t="n">
        <f aca="false">(+VLOOKUP($A306,FIXED_CHARTER_COST,HLOOKUP(H$7,FIXED_CHARTER_COST,2,0)+1,0)+VLOOKUP($A306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306" s="23" t="n">
        <f aca="false">(+VLOOKUP($A306,FIXED_CHARTER_COST,HLOOKUP(I$7,FIXED_CHARTER_COST,2,0)+1,0)+VLOOKUP($A306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307" customFormat="false" ht="12.75" hidden="false" customHeight="false" outlineLevel="0" collapsed="false">
      <c r="A307" s="22" t="n">
        <f aca="false">+SHIPS!B323</f>
        <v>45748</v>
      </c>
      <c r="B307" s="23" t="n">
        <f aca="false">(+VLOOKUP($A307,FIXED_CHARTER_COST,HLOOKUP(B$7,FIXED_CHARTER_COST,2,0)+1,0)+VLOOKUP($A307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307" s="23" t="n">
        <f aca="false">(+VLOOKUP($A307,FIXED_CHARTER_COST,HLOOKUP(C$7,FIXED_CHARTER_COST,2,0)+1,0)+VLOOKUP($A307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307" s="23" t="n">
        <f aca="false">(+VLOOKUP($A307,FIXED_CHARTER_COST,HLOOKUP(D$7,FIXED_CHARTER_COST,2,0)+1,0)+VLOOKUP($A307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0.354476648714092</v>
      </c>
      <c r="E307" s="23" t="n">
        <f aca="false">(+VLOOKUP($A307,FIXED_CHARTER_COST,HLOOKUP(E$7,FIXED_CHARTER_COST,2,0)+1,0)+VLOOKUP($A307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0.386718377560946</v>
      </c>
      <c r="F307" s="23" t="n">
        <f aca="false">(+VLOOKUP($A307,FIXED_CHARTER_COST,HLOOKUP(F$7,FIXED_CHARTER_COST,2,0)+1,0)+VLOOKUP($A307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0.64815559075016</v>
      </c>
      <c r="G307" s="23" t="n">
        <f aca="false">(+VLOOKUP($A307,FIXED_CHARTER_COST,HLOOKUP(G$7,FIXED_CHARTER_COST,2,0)+1,0)+VLOOKUP($A307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0.788652989460171</v>
      </c>
      <c r="H307" s="23" t="n">
        <f aca="false">(+VLOOKUP($A307,FIXED_CHARTER_COST,HLOOKUP(H$7,FIXED_CHARTER_COST,2,0)+1,0)+VLOOKUP($A307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307" s="23" t="n">
        <f aca="false">(+VLOOKUP($A307,FIXED_CHARTER_COST,HLOOKUP(I$7,FIXED_CHARTER_COST,2,0)+1,0)+VLOOKUP($A307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308" customFormat="false" ht="12.75" hidden="false" customHeight="false" outlineLevel="0" collapsed="false">
      <c r="A308" s="22" t="n">
        <f aca="false">+SHIPS!B324</f>
        <v>45778</v>
      </c>
      <c r="B308" s="23" t="n">
        <f aca="false">(+VLOOKUP($A308,FIXED_CHARTER_COST,HLOOKUP(B$7,FIXED_CHARTER_COST,2,0)+1,0)+VLOOKUP($A308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308" s="23" t="n">
        <f aca="false">(+VLOOKUP($A308,FIXED_CHARTER_COST,HLOOKUP(C$7,FIXED_CHARTER_COST,2,0)+1,0)+VLOOKUP($A308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308" s="23" t="n">
        <f aca="false">(+VLOOKUP($A308,FIXED_CHARTER_COST,HLOOKUP(D$7,FIXED_CHARTER_COST,2,0)+1,0)+VLOOKUP($A308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0.354622883757533</v>
      </c>
      <c r="E308" s="23" t="n">
        <f aca="false">(+VLOOKUP($A308,FIXED_CHARTER_COST,HLOOKUP(E$7,FIXED_CHARTER_COST,2,0)+1,0)+VLOOKUP($A308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0.386876798858007</v>
      </c>
      <c r="F308" s="23" t="n">
        <f aca="false">(+VLOOKUP($A308,FIXED_CHARTER_COST,HLOOKUP(F$7,FIXED_CHARTER_COST,2,0)+1,0)+VLOOKUP($A308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0.648411502076182</v>
      </c>
      <c r="G308" s="23" t="n">
        <f aca="false">(+VLOOKUP($A308,FIXED_CHARTER_COST,HLOOKUP(G$7,FIXED_CHARTER_COST,2,0)+1,0)+VLOOKUP($A308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0.788969832054293</v>
      </c>
      <c r="H308" s="23" t="n">
        <f aca="false">(+VLOOKUP($A308,FIXED_CHARTER_COST,HLOOKUP(H$7,FIXED_CHARTER_COST,2,0)+1,0)+VLOOKUP($A308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308" s="23" t="n">
        <f aca="false">(+VLOOKUP($A308,FIXED_CHARTER_COST,HLOOKUP(I$7,FIXED_CHARTER_COST,2,0)+1,0)+VLOOKUP($A308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309" customFormat="false" ht="12.75" hidden="false" customHeight="false" outlineLevel="0" collapsed="false">
      <c r="A309" s="22" t="n">
        <f aca="false">+SHIPS!B325</f>
        <v>45809</v>
      </c>
      <c r="B309" s="23" t="n">
        <f aca="false">(+VLOOKUP($A309,FIXED_CHARTER_COST,HLOOKUP(B$7,FIXED_CHARTER_COST,2,0)+1,0)+VLOOKUP($A309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309" s="23" t="n">
        <f aca="false">(+VLOOKUP($A309,FIXED_CHARTER_COST,HLOOKUP(C$7,FIXED_CHARTER_COST,2,0)+1,0)+VLOOKUP($A309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309" s="23" t="n">
        <f aca="false">(+VLOOKUP($A309,FIXED_CHARTER_COST,HLOOKUP(D$7,FIXED_CHARTER_COST,2,0)+1,0)+VLOOKUP($A309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0.354769423457315</v>
      </c>
      <c r="E309" s="23" t="n">
        <f aca="false">(+VLOOKUP($A309,FIXED_CHARTER_COST,HLOOKUP(E$7,FIXED_CHARTER_COST,2,0)+1,0)+VLOOKUP($A309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0.387035550199437</v>
      </c>
      <c r="F309" s="23" t="n">
        <f aca="false">(+VLOOKUP($A309,FIXED_CHARTER_COST,HLOOKUP(F$7,FIXED_CHARTER_COST,2,0)+1,0)+VLOOKUP($A309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0.6486679465508</v>
      </c>
      <c r="G309" s="23" t="n">
        <f aca="false">(+VLOOKUP($A309,FIXED_CHARTER_COST,HLOOKUP(G$7,FIXED_CHARTER_COST,2,0)+1,0)+VLOOKUP($A309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0.789287334737153</v>
      </c>
      <c r="H309" s="23" t="n">
        <f aca="false">(+VLOOKUP($A309,FIXED_CHARTER_COST,HLOOKUP(H$7,FIXED_CHARTER_COST,2,0)+1,0)+VLOOKUP($A309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309" s="23" t="n">
        <f aca="false">(+VLOOKUP($A309,FIXED_CHARTER_COST,HLOOKUP(I$7,FIXED_CHARTER_COST,2,0)+1,0)+VLOOKUP($A309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310" customFormat="false" ht="12.75" hidden="false" customHeight="false" outlineLevel="0" collapsed="false">
      <c r="A310" s="22" t="n">
        <f aca="false">+SHIPS!B326</f>
        <v>45839</v>
      </c>
      <c r="B310" s="23" t="n">
        <f aca="false">(+VLOOKUP($A310,FIXED_CHARTER_COST,HLOOKUP(B$7,FIXED_CHARTER_COST,2,0)+1,0)+VLOOKUP($A310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310" s="23" t="n">
        <f aca="false">(+VLOOKUP($A310,FIXED_CHARTER_COST,HLOOKUP(C$7,FIXED_CHARTER_COST,2,0)+1,0)+VLOOKUP($A310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310" s="23" t="n">
        <f aca="false">(+VLOOKUP($A310,FIXED_CHARTER_COST,HLOOKUP(D$7,FIXED_CHARTER_COST,2,0)+1,0)+VLOOKUP($A310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0.354916268448138</v>
      </c>
      <c r="E310" s="23" t="n">
        <f aca="false">(+VLOOKUP($A310,FIXED_CHARTER_COST,HLOOKUP(E$7,FIXED_CHARTER_COST,2,0)+1,0)+VLOOKUP($A310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0.387194632272828</v>
      </c>
      <c r="F310" s="23" t="n">
        <f aca="false">(+VLOOKUP($A310,FIXED_CHARTER_COST,HLOOKUP(F$7,FIXED_CHARTER_COST,2,0)+1,0)+VLOOKUP($A310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0.64892492528474</v>
      </c>
      <c r="G310" s="23" t="n">
        <f aca="false">(+VLOOKUP($A310,FIXED_CHARTER_COST,HLOOKUP(G$7,FIXED_CHARTER_COST,2,0)+1,0)+VLOOKUP($A310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0.789605498883936</v>
      </c>
      <c r="H310" s="23" t="n">
        <f aca="false">(+VLOOKUP($A310,FIXED_CHARTER_COST,HLOOKUP(H$7,FIXED_CHARTER_COST,2,0)+1,0)+VLOOKUP($A310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310" s="23" t="n">
        <f aca="false">(+VLOOKUP($A310,FIXED_CHARTER_COST,HLOOKUP(I$7,FIXED_CHARTER_COST,2,0)+1,0)+VLOOKUP($A310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311" customFormat="false" ht="12.75" hidden="false" customHeight="false" outlineLevel="0" collapsed="false">
      <c r="A311" s="22" t="n">
        <f aca="false">+SHIPS!B327</f>
        <v>45870</v>
      </c>
      <c r="B311" s="23" t="n">
        <f aca="false">(+VLOOKUP($A311,FIXED_CHARTER_COST,HLOOKUP(B$7,FIXED_CHARTER_COST,2,0)+1,0)+VLOOKUP($A311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311" s="23" t="n">
        <f aca="false">(+VLOOKUP($A311,FIXED_CHARTER_COST,HLOOKUP(C$7,FIXED_CHARTER_COST,2,0)+1,0)+VLOOKUP($A311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311" s="23" t="n">
        <f aca="false">(+VLOOKUP($A311,FIXED_CHARTER_COST,HLOOKUP(D$7,FIXED_CHARTER_COST,2,0)+1,0)+VLOOKUP($A311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0.355063419366025</v>
      </c>
      <c r="E311" s="23" t="n">
        <f aca="false">(+VLOOKUP($A311,FIXED_CHARTER_COST,HLOOKUP(E$7,FIXED_CHARTER_COST,2,0)+1,0)+VLOOKUP($A311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0.387354045767206</v>
      </c>
      <c r="F311" s="23" t="n">
        <f aca="false">(+VLOOKUP($A311,FIXED_CHARTER_COST,HLOOKUP(F$7,FIXED_CHARTER_COST,2,0)+1,0)+VLOOKUP($A311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0.649182439391042</v>
      </c>
      <c r="G311" s="23" t="n">
        <f aca="false">(+VLOOKUP($A311,FIXED_CHARTER_COST,HLOOKUP(G$7,FIXED_CHARTER_COST,2,0)+1,0)+VLOOKUP($A311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0.789924325872691</v>
      </c>
      <c r="H311" s="23" t="n">
        <f aca="false">(+VLOOKUP($A311,FIXED_CHARTER_COST,HLOOKUP(H$7,FIXED_CHARTER_COST,2,0)+1,0)+VLOOKUP($A311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311" s="23" t="n">
        <f aca="false">(+VLOOKUP($A311,FIXED_CHARTER_COST,HLOOKUP(I$7,FIXED_CHARTER_COST,2,0)+1,0)+VLOOKUP($A311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312" customFormat="false" ht="12.75" hidden="false" customHeight="false" outlineLevel="0" collapsed="false">
      <c r="A312" s="22" t="n">
        <f aca="false">+SHIPS!B328</f>
        <v>45901</v>
      </c>
      <c r="B312" s="23" t="n">
        <f aca="false">(+VLOOKUP($A312,FIXED_CHARTER_COST,HLOOKUP(B$7,FIXED_CHARTER_COST,2,0)+1,0)+VLOOKUP($A312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312" s="23" t="n">
        <f aca="false">(+VLOOKUP($A312,FIXED_CHARTER_COST,HLOOKUP(C$7,FIXED_CHARTER_COST,2,0)+1,0)+VLOOKUP($A312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312" s="23" t="n">
        <f aca="false">(+VLOOKUP($A312,FIXED_CHARTER_COST,HLOOKUP(D$7,FIXED_CHARTER_COST,2,0)+1,0)+VLOOKUP($A312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0.355210876848324</v>
      </c>
      <c r="E312" s="23" t="n">
        <f aca="false">(+VLOOKUP($A312,FIXED_CHARTER_COST,HLOOKUP(E$7,FIXED_CHARTER_COST,2,0)+1,0)+VLOOKUP($A312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0.38751379137303</v>
      </c>
      <c r="F312" s="23" t="n">
        <f aca="false">(+VLOOKUP($A312,FIXED_CHARTER_COST,HLOOKUP(F$7,FIXED_CHARTER_COST,2,0)+1,0)+VLOOKUP($A312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0.649440489985066</v>
      </c>
      <c r="G312" s="23" t="n">
        <f aca="false">(+VLOOKUP($A312,FIXED_CHARTER_COST,HLOOKUP(G$7,FIXED_CHARTER_COST,2,0)+1,0)+VLOOKUP($A312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0.79024381708434</v>
      </c>
      <c r="H312" s="23" t="n">
        <f aca="false">(+VLOOKUP($A312,FIXED_CHARTER_COST,HLOOKUP(H$7,FIXED_CHARTER_COST,2,0)+1,0)+VLOOKUP($A312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312" s="23" t="n">
        <f aca="false">(+VLOOKUP($A312,FIXED_CHARTER_COST,HLOOKUP(I$7,FIXED_CHARTER_COST,2,0)+1,0)+VLOOKUP($A312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313" customFormat="false" ht="12.75" hidden="false" customHeight="false" outlineLevel="0" collapsed="false">
      <c r="A313" s="22" t="n">
        <f aca="false">+SHIPS!B329</f>
        <v>45931</v>
      </c>
      <c r="B313" s="23" t="n">
        <f aca="false">(+VLOOKUP($A313,FIXED_CHARTER_COST,HLOOKUP(B$7,FIXED_CHARTER_COST,2,0)+1,0)+VLOOKUP($A313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313" s="23" t="n">
        <f aca="false">(+VLOOKUP($A313,FIXED_CHARTER_COST,HLOOKUP(C$7,FIXED_CHARTER_COST,2,0)+1,0)+VLOOKUP($A313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313" s="23" t="n">
        <f aca="false">(+VLOOKUP($A313,FIXED_CHARTER_COST,HLOOKUP(D$7,FIXED_CHARTER_COST,2,0)+1,0)+VLOOKUP($A313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0.355358641533711</v>
      </c>
      <c r="E313" s="23" t="n">
        <f aca="false">(+VLOOKUP($A313,FIXED_CHARTER_COST,HLOOKUP(E$7,FIXED_CHARTER_COST,2,0)+1,0)+VLOOKUP($A313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0.3876738697822</v>
      </c>
      <c r="F313" s="23" t="n">
        <f aca="false">(+VLOOKUP($A313,FIXED_CHARTER_COST,HLOOKUP(F$7,FIXED_CHARTER_COST,2,0)+1,0)+VLOOKUP($A313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0.649699078184494</v>
      </c>
      <c r="G313" s="23" t="n">
        <f aca="false">(+VLOOKUP($A313,FIXED_CHARTER_COST,HLOOKUP(G$7,FIXED_CHARTER_COST,2,0)+1,0)+VLOOKUP($A313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0.790563973902679</v>
      </c>
      <c r="H313" s="23" t="n">
        <f aca="false">(+VLOOKUP($A313,FIXED_CHARTER_COST,HLOOKUP(H$7,FIXED_CHARTER_COST,2,0)+1,0)+VLOOKUP($A313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313" s="23" t="n">
        <f aca="false">(+VLOOKUP($A313,FIXED_CHARTER_COST,HLOOKUP(I$7,FIXED_CHARTER_COST,2,0)+1,0)+VLOOKUP($A313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314" customFormat="false" ht="12.75" hidden="false" customHeight="false" outlineLevel="0" collapsed="false">
      <c r="A314" s="22" t="n">
        <f aca="false">+SHIPS!B330</f>
        <v>45962</v>
      </c>
      <c r="B314" s="23" t="n">
        <f aca="false">(+VLOOKUP($A314,FIXED_CHARTER_COST,HLOOKUP(B$7,FIXED_CHARTER_COST,2,0)+1,0)+VLOOKUP($A314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314" s="23" t="n">
        <f aca="false">(+VLOOKUP($A314,FIXED_CHARTER_COST,HLOOKUP(C$7,FIXED_CHARTER_COST,2,0)+1,0)+VLOOKUP($A314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314" s="23" t="n">
        <f aca="false">(+VLOOKUP($A314,FIXED_CHARTER_COST,HLOOKUP(D$7,FIXED_CHARTER_COST,2,0)+1,0)+VLOOKUP($A314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0.355506714062193</v>
      </c>
      <c r="E314" s="23" t="n">
        <f aca="false">(+VLOOKUP($A314,FIXED_CHARTER_COST,HLOOKUP(E$7,FIXED_CHARTER_COST,2,0)+1,0)+VLOOKUP($A314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0.387834281688055</v>
      </c>
      <c r="F314" s="23" t="n">
        <f aca="false">(+VLOOKUP($A314,FIXED_CHARTER_COST,HLOOKUP(F$7,FIXED_CHARTER_COST,2,0)+1,0)+VLOOKUP($A314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0.649958205109337</v>
      </c>
      <c r="G314" s="23" t="n">
        <f aca="false">(+VLOOKUP($A314,FIXED_CHARTER_COST,HLOOKUP(G$7,FIXED_CHARTER_COST,2,0)+1,0)+VLOOKUP($A314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0.79088479771439</v>
      </c>
      <c r="H314" s="23" t="n">
        <f aca="false">(+VLOOKUP($A314,FIXED_CHARTER_COST,HLOOKUP(H$7,FIXED_CHARTER_COST,2,0)+1,0)+VLOOKUP($A314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314" s="23" t="n">
        <f aca="false">(+VLOOKUP($A314,FIXED_CHARTER_COST,HLOOKUP(I$7,FIXED_CHARTER_COST,2,0)+1,0)+VLOOKUP($A314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315" customFormat="false" ht="12.75" hidden="false" customHeight="false" outlineLevel="0" collapsed="false">
      <c r="A315" s="22" t="n">
        <f aca="false">+SHIPS!B331</f>
        <v>45992</v>
      </c>
      <c r="B315" s="23" t="n">
        <f aca="false">(+VLOOKUP($A315,FIXED_CHARTER_COST,HLOOKUP(B$7,FIXED_CHARTER_COST,2,0)+1,0)+VLOOKUP($A315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315" s="23" t="n">
        <f aca="false">(+VLOOKUP($A315,FIXED_CHARTER_COST,HLOOKUP(C$7,FIXED_CHARTER_COST,2,0)+1,0)+VLOOKUP($A315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315" s="23" t="n">
        <f aca="false">(+VLOOKUP($A315,FIXED_CHARTER_COST,HLOOKUP(D$7,FIXED_CHARTER_COST,2,0)+1,0)+VLOOKUP($A315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0.35565509507511</v>
      </c>
      <c r="E315" s="23" t="n">
        <f aca="false">(+VLOOKUP($A315,FIXED_CHARTER_COST,HLOOKUP(E$7,FIXED_CHARTER_COST,2,0)+1,0)+VLOOKUP($A315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0.387995027785381</v>
      </c>
      <c r="F315" s="23" t="n">
        <f aca="false">(+VLOOKUP($A315,FIXED_CHARTER_COST,HLOOKUP(F$7,FIXED_CHARTER_COST,2,0)+1,0)+VLOOKUP($A315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0.650217871881941</v>
      </c>
      <c r="G315" s="23" t="n">
        <f aca="false">(+VLOOKUP($A315,FIXED_CHARTER_COST,HLOOKUP(G$7,FIXED_CHARTER_COST,2,0)+1,0)+VLOOKUP($A315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0.791206289909042</v>
      </c>
      <c r="H315" s="23" t="n">
        <f aca="false">(+VLOOKUP($A315,FIXED_CHARTER_COST,HLOOKUP(H$7,FIXED_CHARTER_COST,2,0)+1,0)+VLOOKUP($A315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315" s="23" t="n">
        <f aca="false">(+VLOOKUP($A315,FIXED_CHARTER_COST,HLOOKUP(I$7,FIXED_CHARTER_COST,2,0)+1,0)+VLOOKUP($A315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316" customFormat="false" ht="12.75" hidden="false" customHeight="false" outlineLevel="0" collapsed="false">
      <c r="A316" s="24" t="n">
        <f aca="false">+SHIPS!B332</f>
        <v>46023</v>
      </c>
      <c r="B316" s="23" t="n">
        <f aca="false">(+VLOOKUP($A316,FIXED_CHARTER_COST,HLOOKUP(B$7,FIXED_CHARTER_COST,2,0)+1,0)+VLOOKUP($A316,OM_CHARTER_COST,HLOOKUP(B$7,OM_CHARTER_COST,2,0)+1,0))/VLOOKUP(B$8,SHIP_ROUTE_PER_DAY,HLOOKUP(B$7,SHIP_ROUTE_PER_DAY,2,0)+7,0)+INDEX(bunker_cost,MATCH(B$8,bunker_cost_route,0),MATCH(B$7,bunker_cost_ship,0))/INDEX(SHIPS,MATCH("capacity mmbtu",ship_specs,0),MATCH(B$7,ship_name,0))+(INDEX(PORT_CHARGES,MATCH(B$4,PORTS,0),MATCH(B$7,PORT_CHARGE_SHIPS,0))+INDEX(PORT_CHARGES,MATCH(B$5,PORTS,0),MATCH(B$7,PORT_CHARGE_SHIPS,0))+IF(B$6="suez",INDEX(PORT_CHARGES,MATCH(B$6,PORTS,0),MATCH(B$7,PORT_CHARGE_SHIPS,0)),0))/INDEX(SHIPS,MATCH("capacity mmbtu",ship_specs,0),MATCH(B$7,ship_name,0))+HLOOKUP(B$7,FREIGHT!$A$5:$H$23,3,0)</f>
        <v>0.627096369195123</v>
      </c>
      <c r="C316" s="23" t="n">
        <f aca="false">(+VLOOKUP($A316,FIXED_CHARTER_COST,HLOOKUP(C$7,FIXED_CHARTER_COST,2,0)+1,0)+VLOOKUP($A316,OM_CHARTER_COST,HLOOKUP(C$7,OM_CHARTER_COST,2,0)+1,0))/VLOOKUP(C$8,SHIP_ROUTE_PER_DAY,HLOOKUP(C$7,SHIP_ROUTE_PER_DAY,2,0)+7,0)+INDEX(bunker_cost,MATCH(C$8,bunker_cost_route,0),MATCH(C$7,bunker_cost_ship,0))/INDEX(SHIPS,MATCH("capacity mmbtu",ship_specs,0),MATCH(C$7,ship_name,0))+(INDEX(PORT_CHARGES,MATCH(C$4,PORTS,0),MATCH(C$7,PORT_CHARGE_SHIPS,0))+INDEX(PORT_CHARGES,MATCH(C$5,PORTS,0),MATCH(C$7,PORT_CHARGE_SHIPS,0))+IF(C$6="suez",INDEX(PORT_CHARGES,MATCH(C$6,PORTS,0),MATCH(C$7,PORT_CHARGE_SHIPS,0)),0))/INDEX(SHIPS,MATCH("capacity mmbtu",ship_specs,0),MATCH(C$7,ship_name,0))+HLOOKUP(C$7,FREIGHT!$A$5:$H$23,3,0)</f>
        <v>0.671123265929425</v>
      </c>
      <c r="D316" s="23" t="n">
        <f aca="false">(+VLOOKUP($A316,FIXED_CHARTER_COST,HLOOKUP(D$7,FIXED_CHARTER_COST,2,0)+1,0)+VLOOKUP($A316,OM_CHARTER_COST,HLOOKUP(D$7,OM_CHARTER_COST,2,0)+1,0))/VLOOKUP(D$8,SHIP_ROUTE_PER_DAY,HLOOKUP(D$7,SHIP_ROUTE_PER_DAY,2,0)+7,0)+INDEX(bunker_cost,MATCH(D$8,bunker_cost_route,0),MATCH(D$7,bunker_cost_ship,0))/INDEX(SHIPS,MATCH("capacity mmbtu",ship_specs,0),MATCH(D$7,ship_name,0))+(INDEX(PORT_CHARGES,MATCH(D$4,PORTS,0),MATCH(D$7,PORT_CHARGE_SHIPS,0))+INDEX(PORT_CHARGES,MATCH(D$5,PORTS,0),MATCH(D$7,PORT_CHARGE_SHIPS,0))+IF(D$6="suez",INDEX(PORT_CHARGES,MATCH(D$6,PORTS,0),MATCH(D$7,PORT_CHARGE_SHIPS,0)),0))/INDEX(SHIPS,MATCH("capacity mmbtu",ship_specs,0),MATCH(D$7,ship_name,0))+HLOOKUP(D$7,FREIGHT!$A$5:$H$23,3,0)</f>
        <v>0.0907775766961173</v>
      </c>
      <c r="E316" s="23" t="n">
        <f aca="false">(+VLOOKUP($A316,FIXED_CHARTER_COST,HLOOKUP(E$7,FIXED_CHARTER_COST,2,0)+1,0)+VLOOKUP($A316,OM_CHARTER_COST,HLOOKUP(E$7,OM_CHARTER_COST,2,0)+1,0))/VLOOKUP(E$8,SHIP_ROUTE_PER_DAY,HLOOKUP(E$7,SHIP_ROUTE_PER_DAY,2,0)+7,0)+INDEX(bunker_cost,MATCH(E$8,bunker_cost_route,0),MATCH(E$7,bunker_cost_ship,0))/INDEX(SHIPS,MATCH("capacity mmbtu",ship_specs,0),MATCH(E$7,ship_name,0))+(INDEX(PORT_CHARGES,MATCH(E$4,PORTS,0),MATCH(E$7,PORT_CHARGE_SHIPS,0))+INDEX(PORT_CHARGES,MATCH(E$5,PORTS,0),MATCH(E$7,PORT_CHARGE_SHIPS,0))+IF(E$6="suez",INDEX(PORT_CHARGES,MATCH(E$6,PORTS,0),MATCH(E$7,PORT_CHARGE_SHIPS,0)),0))/INDEX(SHIPS,MATCH("capacity mmbtu",ship_specs,0),MATCH(E$7,ship_name,0))+HLOOKUP(E$7,FREIGHT!$A$5:$H$23,3,0)</f>
        <v>0.101044382874806</v>
      </c>
      <c r="F316" s="23" t="n">
        <f aca="false">(+VLOOKUP($A316,FIXED_CHARTER_COST,HLOOKUP(F$7,FIXED_CHARTER_COST,2,0)+1,0)+VLOOKUP($A316,OM_CHARTER_COST,HLOOKUP(F$7,OM_CHARTER_COST,2,0)+1,0))/VLOOKUP(F$8,SHIP_ROUTE_PER_DAY,HLOOKUP(F$7,SHIP_ROUTE_PER_DAY,2,0)+7,0)+INDEX(bunker_cost,MATCH(F$8,bunker_cost_route,0),MATCH(F$7,bunker_cost_ship,0))/INDEX(SHIPS,MATCH("capacity mmbtu",ship_specs,0),MATCH(F$7,ship_name,0))+(INDEX(PORT_CHARGES,MATCH(F$4,PORTS,0),MATCH(F$7,PORT_CHARGE_SHIPS,0))+INDEX(PORT_CHARGES,MATCH(F$5,PORTS,0),MATCH(F$7,PORT_CHARGE_SHIPS,0))+IF(F$6="suez",INDEX(PORT_CHARGES,MATCH(F$6,PORTS,0),MATCH(F$7,PORT_CHARGE_SHIPS,0)),0))/INDEX(SHIPS,MATCH("capacity mmbtu",ship_specs,0),MATCH(F$7,ship_name,0))+HLOOKUP(F$7,FREIGHT!$A$5:$H$23,3,0)</f>
        <v>0.186682214718704</v>
      </c>
      <c r="G316" s="23" t="n">
        <f aca="false">(+VLOOKUP($A316,FIXED_CHARTER_COST,HLOOKUP(G$7,FIXED_CHARTER_COST,2,0)+1,0)+VLOOKUP($A316,OM_CHARTER_COST,HLOOKUP(G$7,OM_CHARTER_COST,2,0)+1,0))/VLOOKUP(G$8,SHIP_ROUTE_PER_DAY,HLOOKUP(G$7,SHIP_ROUTE_PER_DAY,2,0)+7,0)+INDEX(bunker_cost,MATCH(G$8,bunker_cost_route,0),MATCH(G$7,bunker_cost_ship,0))/INDEX(SHIPS,MATCH("capacity mmbtu",ship_specs,0),MATCH(G$7,ship_name,0))+(INDEX(PORT_CHARGES,MATCH(G$4,PORTS,0),MATCH(G$7,PORT_CHARGE_SHIPS,0))+INDEX(PORT_CHARGES,MATCH(G$5,PORTS,0),MATCH(G$7,PORT_CHARGE_SHIPS,0))+IF(G$6="suez",INDEX(PORT_CHARGES,MATCH(G$6,PORTS,0),MATCH(G$7,PORT_CHARGE_SHIPS,0)),0))/INDEX(SHIPS,MATCH("capacity mmbtu",ship_specs,0),MATCH(G$7,ship_name,0))+HLOOKUP(G$7,FREIGHT!$A$5:$H$23,3,0)</f>
        <v>0.217305000087892</v>
      </c>
      <c r="H316" s="23" t="n">
        <f aca="false">(+VLOOKUP($A316,FIXED_CHARTER_COST,HLOOKUP(H$7,FIXED_CHARTER_COST,2,0)+1,0)+VLOOKUP($A316,OM_CHARTER_COST,HLOOKUP(H$7,OM_CHARTER_COST,2,0)+1,0))/VLOOKUP(H$8,SHIP_ROUTE_PER_DAY,HLOOKUP(H$7,SHIP_ROUTE_PER_DAY,2,0)+7,0)+INDEX(bunker_cost,MATCH(H$8,bunker_cost_route,0),MATCH(H$7,bunker_cost_ship,0))/INDEX(SHIPS,MATCH("capacity mmbtu",ship_specs,0),MATCH(H$7,ship_name,0))+(INDEX(PORT_CHARGES,MATCH(H$4,PORTS,0),MATCH(H$7,PORT_CHARGE_SHIPS,0))+INDEX(PORT_CHARGES,MATCH(H$5,PORTS,0),MATCH(H$7,PORT_CHARGE_SHIPS,0))+IF(H$6="suez",INDEX(PORT_CHARGES,MATCH(H$6,PORTS,0),MATCH(H$7,PORT_CHARGE_SHIPS,0)),0))/INDEX(SHIPS,MATCH("capacity mmbtu",ship_specs,0),MATCH(H$7,ship_name,0))+HLOOKUP(H$7,FREIGHT!$A$5:$H$23,3,0)</f>
        <v>0.265817887856284</v>
      </c>
      <c r="I316" s="23" t="n">
        <f aca="false">(+VLOOKUP($A316,FIXED_CHARTER_COST,HLOOKUP(I$7,FIXED_CHARTER_COST,2,0)+1,0)+VLOOKUP($A316,OM_CHARTER_COST,HLOOKUP(I$7,OM_CHARTER_COST,2,0)+1,0))/VLOOKUP(I$8,SHIP_ROUTE_PER_DAY,HLOOKUP(I$7,SHIP_ROUTE_PER_DAY,2,0)+7,0)+INDEX(bunker_cost,MATCH(I$8,bunker_cost_route,0),MATCH(I$7,bunker_cost_ship,0))/INDEX(SHIPS,MATCH("capacity mmbtu",ship_specs,0),MATCH(I$7,ship_name,0))+(INDEX(PORT_CHARGES,MATCH(I$4,PORTS,0),MATCH(I$7,PORT_CHARGE_SHIPS,0))+INDEX(PORT_CHARGES,MATCH(I$5,PORTS,0),MATCH(I$7,PORT_CHARGE_SHIPS,0))+IF(I$6="suez",INDEX(PORT_CHARGES,MATCH(I$6,PORTS,0),MATCH(I$7,PORT_CHARGE_SHIPS,0)),0))/INDEX(SHIPS,MATCH("capacity mmbtu",ship_specs,0),MATCH(I$7,ship_name,0))+HLOOKUP(I$7,FREIGHT!$A$5:$H$23,3,0)</f>
        <v>0.309844784590586</v>
      </c>
    </row>
    <row r="317" customFormat="false" ht="12.75" hidden="false" customHeight="false" outlineLevel="0" collapsed="false">
      <c r="A317" s="25"/>
    </row>
    <row r="318" customFormat="false" ht="12.75" hidden="false" customHeight="false" outlineLevel="0" collapsed="false">
      <c r="A318" s="25"/>
    </row>
    <row r="319" customFormat="false" ht="12.75" hidden="false" customHeight="false" outlineLevel="0" collapsed="false">
      <c r="A319" s="25"/>
    </row>
    <row r="320" customFormat="false" ht="12.75" hidden="false" customHeight="false" outlineLevel="0" collapsed="false">
      <c r="A320" s="25"/>
    </row>
    <row r="321" customFormat="false" ht="12.75" hidden="false" customHeight="false" outlineLevel="0" collapsed="false">
      <c r="A321" s="25"/>
    </row>
    <row r="322" customFormat="false" ht="12.75" hidden="false" customHeight="false" outlineLevel="0" collapsed="false">
      <c r="A322" s="25"/>
    </row>
    <row r="323" customFormat="false" ht="12.75" hidden="false" customHeight="false" outlineLevel="0" collapsed="false">
      <c r="A323" s="25"/>
    </row>
    <row r="324" customFormat="false" ht="12.75" hidden="false" customHeight="false" outlineLevel="0" collapsed="false">
      <c r="A324" s="25"/>
    </row>
    <row r="325" customFormat="false" ht="12.75" hidden="false" customHeight="false" outlineLevel="0" collapsed="false">
      <c r="A325" s="25"/>
    </row>
    <row r="326" customFormat="false" ht="12.75" hidden="false" customHeight="false" outlineLevel="0" collapsed="false">
      <c r="A326" s="25"/>
    </row>
    <row r="327" customFormat="false" ht="12.75" hidden="false" customHeight="false" outlineLevel="0" collapsed="false">
      <c r="A327" s="25"/>
    </row>
    <row r="328" customFormat="false" ht="12.75" hidden="false" customHeight="false" outlineLevel="0" collapsed="false">
      <c r="A328" s="25"/>
    </row>
    <row r="329" customFormat="false" ht="12.75" hidden="false" customHeight="false" outlineLevel="0" collapsed="false">
      <c r="A329" s="25"/>
    </row>
    <row r="330" customFormat="false" ht="12.75" hidden="false" customHeight="false" outlineLevel="0" collapsed="false">
      <c r="A330" s="25"/>
    </row>
    <row r="331" customFormat="false" ht="12.75" hidden="false" customHeight="false" outlineLevel="0" collapsed="false">
      <c r="A331" s="25"/>
    </row>
    <row r="332" customFormat="false" ht="12.75" hidden="false" customHeight="false" outlineLevel="0" collapsed="false">
      <c r="A332" s="25"/>
    </row>
    <row r="333" customFormat="false" ht="12.75" hidden="false" customHeight="false" outlineLevel="0" collapsed="false">
      <c r="A333" s="25"/>
    </row>
    <row r="334" customFormat="false" ht="12.75" hidden="false" customHeight="false" outlineLevel="0" collapsed="false">
      <c r="A334" s="25"/>
    </row>
    <row r="335" customFormat="false" ht="12.75" hidden="false" customHeight="false" outlineLevel="0" collapsed="false">
      <c r="A335" s="25"/>
    </row>
    <row r="336" customFormat="false" ht="12.75" hidden="false" customHeight="false" outlineLevel="0" collapsed="false">
      <c r="A336" s="25"/>
    </row>
    <row r="337" customFormat="false" ht="12.75" hidden="false" customHeight="false" outlineLevel="0" collapsed="false">
      <c r="A337" s="25"/>
    </row>
    <row r="338" customFormat="false" ht="12.75" hidden="false" customHeight="false" outlineLevel="0" collapsed="false">
      <c r="A338" s="25"/>
    </row>
    <row r="339" customFormat="false" ht="12.75" hidden="false" customHeight="false" outlineLevel="0" collapsed="false">
      <c r="A339" s="25"/>
    </row>
    <row r="340" customFormat="false" ht="12.75" hidden="false" customHeight="false" outlineLevel="0" collapsed="false">
      <c r="A340" s="25"/>
    </row>
    <row r="341" customFormat="false" ht="12.75" hidden="false" customHeight="false" outlineLevel="0" collapsed="false">
      <c r="A341" s="25"/>
    </row>
    <row r="342" customFormat="false" ht="12.75" hidden="false" customHeight="false" outlineLevel="0" collapsed="false">
      <c r="A342" s="25"/>
    </row>
    <row r="343" customFormat="false" ht="12.75" hidden="false" customHeight="false" outlineLevel="0" collapsed="false">
      <c r="A343" s="25"/>
    </row>
    <row r="344" customFormat="false" ht="12.75" hidden="false" customHeight="false" outlineLevel="0" collapsed="false">
      <c r="A344" s="25"/>
    </row>
    <row r="345" customFormat="false" ht="12.75" hidden="false" customHeight="false" outlineLevel="0" collapsed="false">
      <c r="A345" s="25"/>
    </row>
    <row r="346" customFormat="false" ht="12.75" hidden="false" customHeight="false" outlineLevel="0" collapsed="false">
      <c r="A346" s="2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F34"/>
  <sheetViews>
    <sheetView showFormulas="false" showGridLines="fals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28"/>
    <col collapsed="false" customWidth="true" hidden="false" outlineLevel="0" max="2" min="2" style="0" width="16.42"/>
    <col collapsed="false" customWidth="true" hidden="false" outlineLevel="0" max="3" min="3" style="0" width="14.99"/>
    <col collapsed="false" customWidth="true" hidden="false" outlineLevel="0" max="4" min="4" style="0" width="20.56"/>
    <col collapsed="false" customWidth="true" hidden="false" outlineLevel="0" max="6" min="5" style="0" width="17.14"/>
  </cols>
  <sheetData>
    <row r="2" customFormat="false" ht="12.75" hidden="false" customHeight="false" outlineLevel="0" collapsed="false">
      <c r="A2" s="436" t="s">
        <v>68</v>
      </c>
      <c r="B2" s="436"/>
      <c r="C2" s="436"/>
      <c r="D2" s="436"/>
      <c r="E2" s="291" t="s">
        <v>147</v>
      </c>
      <c r="F2" s="291"/>
    </row>
    <row r="3" customFormat="false" ht="12.75" hidden="false" customHeight="false" outlineLevel="0" collapsed="false">
      <c r="A3" s="442" t="s">
        <v>148</v>
      </c>
      <c r="B3" s="442"/>
      <c r="C3" s="442"/>
      <c r="D3" s="442"/>
      <c r="E3" s="443" t="s">
        <v>148</v>
      </c>
      <c r="F3" s="443"/>
    </row>
    <row r="4" customFormat="false" ht="12.75" hidden="false" customHeight="false" outlineLevel="0" collapsed="false">
      <c r="A4" s="444"/>
      <c r="B4" s="310"/>
      <c r="C4" s="310"/>
      <c r="D4" s="310"/>
      <c r="E4" s="444"/>
      <c r="F4" s="378"/>
    </row>
    <row r="5" customFormat="false" ht="12.75" hidden="false" customHeight="false" outlineLevel="0" collapsed="false">
      <c r="A5" s="445" t="s">
        <v>149</v>
      </c>
      <c r="B5" s="446" t="str">
        <f aca="false">+'ELBA BOOK'!G6</f>
        <v>HG</v>
      </c>
      <c r="C5" s="446" t="str">
        <f aca="false">+'ELBA BOOK'!X6</f>
        <v>EXMAR</v>
      </c>
      <c r="D5" s="446" t="str">
        <f aca="false">+'ELBA BOOK'!AO6</f>
        <v>EXMAR</v>
      </c>
      <c r="E5" s="447"/>
      <c r="F5" s="448"/>
    </row>
    <row r="6" customFormat="false" ht="12.75" hidden="false" customHeight="false" outlineLevel="0" collapsed="false">
      <c r="A6" s="449" t="s">
        <v>150</v>
      </c>
      <c r="B6" s="450" t="str">
        <f aca="false">+'ELBA BOOK'!G4</f>
        <v>ALGERIA</v>
      </c>
      <c r="C6" s="450" t="str">
        <f aca="false">+'ELBA BOOK'!X4</f>
        <v>ALGERIA</v>
      </c>
      <c r="D6" s="450" t="str">
        <f aca="false">+'ELBA BOOK'!AO4</f>
        <v>VENEZUELA</v>
      </c>
      <c r="E6" s="451"/>
      <c r="F6" s="452"/>
    </row>
    <row r="7" customFormat="false" ht="12.75" hidden="false" customHeight="false" outlineLevel="0" collapsed="false">
      <c r="A7" s="449" t="s">
        <v>151</v>
      </c>
      <c r="B7" s="453" t="str">
        <f aca="false">+'ELBA BOOK'!G5</f>
        <v>ELBA</v>
      </c>
      <c r="C7" s="453" t="str">
        <f aca="false">+'ELBA BOOK'!X5</f>
        <v>ELBA</v>
      </c>
      <c r="D7" s="453" t="str">
        <f aca="false">+'ELBA BOOK'!AO5</f>
        <v>ELBA</v>
      </c>
      <c r="E7" s="451"/>
      <c r="F7" s="452"/>
    </row>
    <row r="8" customFormat="false" ht="12.75" hidden="false" customHeight="false" outlineLevel="0" collapsed="false">
      <c r="A8" s="454" t="s">
        <v>8</v>
      </c>
      <c r="B8" s="455" t="str">
        <f aca="false">+IF('ELBA BOOK'!G7="","",'ELBA BOOK'!G7)</f>
        <v/>
      </c>
      <c r="C8" s="455" t="str">
        <f aca="false">+IF('ELBA BOOK'!X7="","",'ELBA BOOK'!X7)</f>
        <v/>
      </c>
      <c r="D8" s="455" t="str">
        <f aca="false">+IF('ELBA BOOK'!AO7="","",'ELBA BOOK'!AO7)</f>
        <v/>
      </c>
      <c r="E8" s="456" t="s">
        <v>11</v>
      </c>
      <c r="F8" s="457" t="s">
        <v>12</v>
      </c>
    </row>
    <row r="9" customFormat="false" ht="12.75" hidden="false" customHeight="false" outlineLevel="0" collapsed="false">
      <c r="A9" s="234" t="n">
        <v>2000</v>
      </c>
      <c r="B9" s="349" t="n">
        <f aca="false">(1-(SUMIF('ELBA BOOK'!$D$18:$D$323,$A9,'ELBA BOOK'!$H$18:$H$323)/INDEX(UNLOAD_CAPACITY,MATCH(CONCATENATE(B$6,B$7,B$8),UNLOAD_CAPACITY_ROUTES,0),MATCH(B$5,UNLOAD_CAPACITY_SHIPS,0))))*365</f>
        <v>365</v>
      </c>
      <c r="C9" s="349" t="n">
        <f aca="false">(1-(SUMIF('ELBA BOOK'!$D$18:$D$323,$A9,'ELBA BOOK'!$Y$18:$Y$323)/INDEX(UNLOAD_CAPACITY,MATCH(CONCATENATE(C$6,C$7,C$8),UNLOAD_CAPACITY_ROUTES,0),MATCH(C$5,UNLOAD_CAPACITY_SHIPS,0))))*365</f>
        <v>365</v>
      </c>
      <c r="D9" s="349" t="n">
        <f aca="false">(1-(SUMIF('ELBA BOOK'!$D$18:$D$323,$A9,'ELBA BOOK'!$AP$18:$AP$323)/INDEX(UNLOAD_CAPACITY,MATCH(CONCATENATE(D$6,D$7,D$8),UNLOAD_CAPACITY_ROUTES,0),MATCH(D$5,UNLOAD_CAPACITY_SHIPS,0))))*365</f>
        <v>365</v>
      </c>
      <c r="E9" s="458" t="n">
        <f aca="false">ROUND(+B9,0)</f>
        <v>365</v>
      </c>
      <c r="F9" s="439" t="n">
        <f aca="false">ROUND(365.25-((365.25-C9)+365.25-D9),0)</f>
        <v>365</v>
      </c>
    </row>
    <row r="10" customFormat="false" ht="12.75" hidden="false" customHeight="false" outlineLevel="0" collapsed="false">
      <c r="A10" s="400" t="n">
        <v>2001</v>
      </c>
      <c r="B10" s="401" t="n">
        <f aca="false">(1-(SUMIF('ELBA BOOK'!$D$18:$D$323,$A10,'ELBA BOOK'!$H$18:$H$323)/INDEX(UNLOAD_CAPACITY,MATCH(CONCATENATE(B$6,B$7,B$8),UNLOAD_CAPACITY_ROUTES,0),MATCH(B$5,UNLOAD_CAPACITY_SHIPS,0))))*365</f>
        <v>365</v>
      </c>
      <c r="C10" s="401" t="n">
        <f aca="false">(1-(SUMIF('ELBA BOOK'!$D$18:$D$323,$A10,'ELBA BOOK'!$Y$18:$Y$323)/INDEX(UNLOAD_CAPACITY,MATCH(CONCATENATE(C$6,C$7,C$8),UNLOAD_CAPACITY_ROUTES,0),MATCH(C$5,UNLOAD_CAPACITY_SHIPS,0))))*365</f>
        <v>365</v>
      </c>
      <c r="D10" s="401" t="n">
        <f aca="false">(1-(SUMIF('ELBA BOOK'!$D$18:$D$323,$A10,'ELBA BOOK'!$AP$18:$AP$323)/INDEX(UNLOAD_CAPACITY,MATCH(CONCATENATE(D$6,D$7,D$8),UNLOAD_CAPACITY_ROUTES,0),MATCH(D$5,UNLOAD_CAPACITY_SHIPS,0))))*365</f>
        <v>365</v>
      </c>
      <c r="E10" s="330" t="n">
        <f aca="false">ROUND(+B10,0)</f>
        <v>365</v>
      </c>
      <c r="F10" s="459" t="n">
        <f aca="false">ROUND(365.25-((365.25-C10)+365.25-D10),0)</f>
        <v>365</v>
      </c>
    </row>
    <row r="11" customFormat="false" ht="12.75" hidden="false" customHeight="false" outlineLevel="0" collapsed="false">
      <c r="A11" s="318" t="n">
        <v>2002</v>
      </c>
      <c r="B11" s="403" t="n">
        <f aca="false">(1-(SUMIF('ELBA BOOK'!$D$18:$D$323,$A11,'ELBA BOOK'!$H$18:$H$323)/INDEX(UNLOAD_CAPACITY,MATCH(CONCATENATE(B$6,B$7,B$8),UNLOAD_CAPACITY_ROUTES,0),MATCH(B$5,UNLOAD_CAPACITY_SHIPS,0))))*365</f>
        <v>90.1882272416153</v>
      </c>
      <c r="C11" s="403" t="n">
        <f aca="false">(1-(SUMIF('ELBA BOOK'!$D$18:$D$323,$A11,'ELBA BOOK'!$Y$18:$Y$323)/INDEX(UNLOAD_CAPACITY,MATCH(CONCATENATE(C$6,C$7,C$8),UNLOAD_CAPACITY_ROUTES,0),MATCH(C$5,UNLOAD_CAPACITY_SHIPS,0))))*365</f>
        <v>365</v>
      </c>
      <c r="D11" s="403" t="n">
        <f aca="false">(1-(SUMIF('ELBA BOOK'!$D$18:$D$323,$A11,'ELBA BOOK'!$AP$18:$AP$323)/INDEX(UNLOAD_CAPACITY,MATCH(CONCATENATE(D$6,D$7,D$8),UNLOAD_CAPACITY_ROUTES,0),MATCH(D$5,UNLOAD_CAPACITY_SHIPS,0))))*365</f>
        <v>365</v>
      </c>
      <c r="E11" s="348" t="n">
        <f aca="false">ROUND(+B11,0)</f>
        <v>90</v>
      </c>
      <c r="F11" s="460" t="n">
        <f aca="false">ROUND(365.25-((365.25-C11)+365.25-D11),0)</f>
        <v>365</v>
      </c>
    </row>
    <row r="12" customFormat="false" ht="12.75" hidden="false" customHeight="false" outlineLevel="0" collapsed="false">
      <c r="A12" s="318" t="n">
        <v>2003</v>
      </c>
      <c r="B12" s="403" t="n">
        <f aca="false">(1-(SUMIF('ELBA BOOK'!$D$18:$D$323,$A12,'ELBA BOOK'!$H$18:$H$323)/INDEX(UNLOAD_CAPACITY,MATCH(CONCATENATE(B$6,B$7,B$8),UNLOAD_CAPACITY_ROUTES,0),MATCH(B$5,UNLOAD_CAPACITY_SHIPS,0))))*365</f>
        <v>0.249828884325842</v>
      </c>
      <c r="C12" s="403" t="n">
        <f aca="false">(1-(SUMIF('ELBA BOOK'!$D$18:$D$323,$A12,'ELBA BOOK'!$Y$18:$Y$323)/INDEX(UNLOAD_CAPACITY,MATCH(CONCATENATE(C$6,C$7,C$8),UNLOAD_CAPACITY_ROUTES,0),MATCH(C$5,UNLOAD_CAPACITY_SHIPS,0))))*365</f>
        <v>164.850110507211</v>
      </c>
      <c r="D12" s="403" t="n">
        <f aca="false">(1-(SUMIF('ELBA BOOK'!$D$18:$D$323,$A12,'ELBA BOOK'!$AP$18:$AP$323)/INDEX(UNLOAD_CAPACITY,MATCH(CONCATENATE(D$6,D$7,D$8),UNLOAD_CAPACITY_ROUTES,0),MATCH(D$5,UNLOAD_CAPACITY_SHIPS,0))))*365</f>
        <v>365</v>
      </c>
      <c r="E12" s="348" t="n">
        <f aca="false">ROUND(+B12,0)</f>
        <v>0</v>
      </c>
      <c r="F12" s="460" t="n">
        <f aca="false">ROUND(365.25-((365.25-C12)+365.25-D12),0)</f>
        <v>165</v>
      </c>
    </row>
    <row r="13" customFormat="false" ht="12.75" hidden="false" customHeight="false" outlineLevel="0" collapsed="false">
      <c r="A13" s="318" t="n">
        <v>2004</v>
      </c>
      <c r="B13" s="403" t="n">
        <f aca="false">(1-(SUMIF('ELBA BOOK'!$D$18:$D$323,$A13,'ELBA BOOK'!$H$18:$H$323)/INDEX(UNLOAD_CAPACITY,MATCH(CONCATENATE(B$6,B$7,B$8),UNLOAD_CAPACITY_ROUTES,0),MATCH(B$5,UNLOAD_CAPACITY_SHIPS,0))))*365</f>
        <v>365</v>
      </c>
      <c r="C13" s="403" t="n">
        <f aca="false">(1-(SUMIF('ELBA BOOK'!$D$18:$D$323,$A13,'ELBA BOOK'!$Y$18:$Y$323)/INDEX(UNLOAD_CAPACITY,MATCH(CONCATENATE(C$6,C$7,C$8),UNLOAD_CAPACITY_ROUTES,0),MATCH(C$5,UNLOAD_CAPACITY_SHIPS,0))))*365</f>
        <v>365</v>
      </c>
      <c r="D13" s="403" t="n">
        <f aca="false">(1-(SUMIF('ELBA BOOK'!$D$18:$D$323,$A13,'ELBA BOOK'!$AP$18:$AP$323)/INDEX(UNLOAD_CAPACITY,MATCH(CONCATENATE(D$6,D$7,D$8),UNLOAD_CAPACITY_ROUTES,0),MATCH(D$5,UNLOAD_CAPACITY_SHIPS,0))))*365</f>
        <v>127.413908414991</v>
      </c>
      <c r="E13" s="348" t="n">
        <f aca="false">ROUND(+B13,0)</f>
        <v>365</v>
      </c>
      <c r="F13" s="460" t="n">
        <f aca="false">ROUND(365.25-((365.25-C13)+365.25-D13),0)</f>
        <v>127</v>
      </c>
    </row>
    <row r="14" customFormat="false" ht="12.75" hidden="false" customHeight="false" outlineLevel="0" collapsed="false">
      <c r="A14" s="411" t="n">
        <v>2005</v>
      </c>
      <c r="B14" s="412" t="n">
        <f aca="false">(1-(SUMIF('ELBA BOOK'!$D$18:$D$323,$A14,'ELBA BOOK'!$H$18:$H$323)/INDEX(UNLOAD_CAPACITY,MATCH(CONCATENATE(B$6,B$7,B$8),UNLOAD_CAPACITY_ROUTES,0),MATCH(B$5,UNLOAD_CAPACITY_SHIPS,0))))*365</f>
        <v>365</v>
      </c>
      <c r="C14" s="412" t="n">
        <f aca="false">(1-(SUMIF('ELBA BOOK'!$D$18:$D$323,$A14,'ELBA BOOK'!$Y$18:$Y$323)/INDEX(UNLOAD_CAPACITY,MATCH(CONCATENATE(C$6,C$7,C$8),UNLOAD_CAPACITY_ROUTES,0),MATCH(C$5,UNLOAD_CAPACITY_SHIPS,0))))*365</f>
        <v>365</v>
      </c>
      <c r="D14" s="412" t="n">
        <f aca="false">(1-(SUMIF('ELBA BOOK'!$D$18:$D$323,$A14,'ELBA BOOK'!$AP$18:$AP$323)/INDEX(UNLOAD_CAPACITY,MATCH(CONCATENATE(D$6,D$7,D$8),UNLOAD_CAPACITY_ROUTES,0),MATCH(D$5,UNLOAD_CAPACITY_SHIPS,0))))*365</f>
        <v>128.063050741726</v>
      </c>
      <c r="E14" s="362" t="n">
        <f aca="false">ROUND(+B14,0)</f>
        <v>365</v>
      </c>
      <c r="F14" s="461" t="n">
        <f aca="false">ROUND(365.25-((365.25-C14)+365.25-D14),0)</f>
        <v>128</v>
      </c>
    </row>
    <row r="15" customFormat="false" ht="12.75" hidden="false" customHeight="false" outlineLevel="0" collapsed="false">
      <c r="A15" s="234" t="n">
        <v>2006</v>
      </c>
      <c r="B15" s="349" t="n">
        <f aca="false">(1-(SUMIF('ELBA BOOK'!$D$18:$D$323,$A15,'ELBA BOOK'!$H$18:$H$323)/INDEX(UNLOAD_CAPACITY,MATCH(CONCATENATE(B$6,B$7,B$8),UNLOAD_CAPACITY_ROUTES,0),MATCH(B$5,UNLOAD_CAPACITY_SHIPS,0))))*365</f>
        <v>365</v>
      </c>
      <c r="C15" s="349" t="n">
        <f aca="false">(1-(SUMIF('ELBA BOOK'!$D$18:$D$323,$A15,'ELBA BOOK'!$Y$18:$Y$323)/INDEX(UNLOAD_CAPACITY,MATCH(CONCATENATE(C$6,C$7,C$8),UNLOAD_CAPACITY_ROUTES,0),MATCH(C$5,UNLOAD_CAPACITY_SHIPS,0))))*365</f>
        <v>365</v>
      </c>
      <c r="D15" s="349" t="n">
        <f aca="false">(1-(SUMIF('ELBA BOOK'!$D$18:$D$323,$A15,'ELBA BOOK'!$AP$18:$AP$323)/INDEX(UNLOAD_CAPACITY,MATCH(CONCATENATE(D$6,D$7,D$8),UNLOAD_CAPACITY_ROUTES,0),MATCH(D$5,UNLOAD_CAPACITY_SHIPS,0))))*365</f>
        <v>128.063050741726</v>
      </c>
      <c r="E15" s="458" t="n">
        <f aca="false">ROUND(+B15,0)</f>
        <v>365</v>
      </c>
      <c r="F15" s="439" t="n">
        <f aca="false">ROUND(365.25-((365.25-C15)+365.25-D15),0)</f>
        <v>128</v>
      </c>
    </row>
    <row r="16" customFormat="false" ht="12.75" hidden="false" customHeight="false" outlineLevel="0" collapsed="false">
      <c r="A16" s="234" t="n">
        <v>2007</v>
      </c>
      <c r="B16" s="349" t="n">
        <f aca="false">(1-(SUMIF('ELBA BOOK'!$D$18:$D$323,$A16,'ELBA BOOK'!$H$18:$H$323)/INDEX(UNLOAD_CAPACITY,MATCH(CONCATENATE(B$6,B$7,B$8),UNLOAD_CAPACITY_ROUTES,0),MATCH(B$5,UNLOAD_CAPACITY_SHIPS,0))))*365</f>
        <v>365</v>
      </c>
      <c r="C16" s="349" t="n">
        <f aca="false">(1-(SUMIF('ELBA BOOK'!$D$18:$D$323,$A16,'ELBA BOOK'!$Y$18:$Y$323)/INDEX(UNLOAD_CAPACITY,MATCH(CONCATENATE(C$6,C$7,C$8),UNLOAD_CAPACITY_ROUTES,0),MATCH(C$5,UNLOAD_CAPACITY_SHIPS,0))))*365</f>
        <v>365</v>
      </c>
      <c r="D16" s="349" t="n">
        <f aca="false">(1-(SUMIF('ELBA BOOK'!$D$18:$D$323,$A16,'ELBA BOOK'!$AP$18:$AP$323)/INDEX(UNLOAD_CAPACITY,MATCH(CONCATENATE(D$6,D$7,D$8),UNLOAD_CAPACITY_ROUTES,0),MATCH(D$5,UNLOAD_CAPACITY_SHIPS,0))))*365</f>
        <v>128.063050741726</v>
      </c>
      <c r="E16" s="458" t="n">
        <f aca="false">ROUND(+B16,0)</f>
        <v>365</v>
      </c>
      <c r="F16" s="439" t="n">
        <f aca="false">ROUND(365.25-((365.25-C16)+365.25-D16),0)</f>
        <v>128</v>
      </c>
    </row>
    <row r="17" customFormat="false" ht="12.75" hidden="false" customHeight="false" outlineLevel="0" collapsed="false">
      <c r="A17" s="234" t="n">
        <v>2008</v>
      </c>
      <c r="B17" s="349" t="n">
        <f aca="false">(1-(SUMIF('ELBA BOOK'!$D$18:$D$323,$A17,'ELBA BOOK'!$H$18:$H$323)/INDEX(UNLOAD_CAPACITY,MATCH(CONCATENATE(B$6,B$7,B$8),UNLOAD_CAPACITY_ROUTES,0),MATCH(B$5,UNLOAD_CAPACITY_SHIPS,0))))*365</f>
        <v>365</v>
      </c>
      <c r="C17" s="349" t="n">
        <f aca="false">(1-(SUMIF('ELBA BOOK'!$D$18:$D$323,$A17,'ELBA BOOK'!$Y$18:$Y$323)/INDEX(UNLOAD_CAPACITY,MATCH(CONCATENATE(C$6,C$7,C$8),UNLOAD_CAPACITY_ROUTES,0),MATCH(C$5,UNLOAD_CAPACITY_SHIPS,0))))*365</f>
        <v>365</v>
      </c>
      <c r="D17" s="349" t="n">
        <f aca="false">(1-(SUMIF('ELBA BOOK'!$D$18:$D$323,$A17,'ELBA BOOK'!$AP$18:$AP$323)/INDEX(UNLOAD_CAPACITY,MATCH(CONCATENATE(D$6,D$7,D$8),UNLOAD_CAPACITY_ROUTES,0),MATCH(D$5,UNLOAD_CAPACITY_SHIPS,0))))*365</f>
        <v>127.413908414991</v>
      </c>
      <c r="E17" s="458" t="n">
        <f aca="false">ROUND(+B17,0)</f>
        <v>365</v>
      </c>
      <c r="F17" s="439" t="n">
        <f aca="false">ROUND(365.25-((365.25-C17)+365.25-D17),0)</f>
        <v>127</v>
      </c>
    </row>
    <row r="18" customFormat="false" ht="12.75" hidden="false" customHeight="false" outlineLevel="0" collapsed="false">
      <c r="A18" s="234" t="n">
        <v>2009</v>
      </c>
      <c r="B18" s="349" t="n">
        <f aca="false">(1-(SUMIF('ELBA BOOK'!$D$18:$D$323,$A18,'ELBA BOOK'!$H$18:$H$323)/INDEX(UNLOAD_CAPACITY,MATCH(CONCATENATE(B$6,B$7,B$8),UNLOAD_CAPACITY_ROUTES,0),MATCH(B$5,UNLOAD_CAPACITY_SHIPS,0))))*365</f>
        <v>365</v>
      </c>
      <c r="C18" s="349" t="n">
        <f aca="false">(1-(SUMIF('ELBA BOOK'!$D$18:$D$323,$A18,'ELBA BOOK'!$Y$18:$Y$323)/INDEX(UNLOAD_CAPACITY,MATCH(CONCATENATE(C$6,C$7,C$8),UNLOAD_CAPACITY_ROUTES,0),MATCH(C$5,UNLOAD_CAPACITY_SHIPS,0))))*365</f>
        <v>365</v>
      </c>
      <c r="D18" s="349" t="n">
        <f aca="false">(1-(SUMIF('ELBA BOOK'!$D$18:$D$323,$A18,'ELBA BOOK'!$AP$18:$AP$323)/INDEX(UNLOAD_CAPACITY,MATCH(CONCATENATE(D$6,D$7,D$8),UNLOAD_CAPACITY_ROUTES,0),MATCH(D$5,UNLOAD_CAPACITY_SHIPS,0))))*365</f>
        <v>128.063050741726</v>
      </c>
      <c r="E18" s="458" t="n">
        <f aca="false">ROUND(+B18,0)</f>
        <v>365</v>
      </c>
      <c r="F18" s="439" t="n">
        <f aca="false">ROUND(365.25-((365.25-C18)+365.25-D18),0)</f>
        <v>128</v>
      </c>
    </row>
    <row r="19" customFormat="false" ht="12.75" hidden="false" customHeight="false" outlineLevel="0" collapsed="false">
      <c r="A19" s="242" t="n">
        <v>2010</v>
      </c>
      <c r="B19" s="363" t="n">
        <f aca="false">(1-(SUMIF('ELBA BOOK'!$D$18:$D$323,$A19,'ELBA BOOK'!$H$18:$H$323)/INDEX(UNLOAD_CAPACITY,MATCH(CONCATENATE(B$6,B$7,B$8),UNLOAD_CAPACITY_ROUTES,0),MATCH(B$5,UNLOAD_CAPACITY_SHIPS,0))))*365</f>
        <v>365</v>
      </c>
      <c r="C19" s="363" t="n">
        <f aca="false">(1-(SUMIF('ELBA BOOK'!$D$18:$D$323,$A19,'ELBA BOOK'!$Y$18:$Y$323)/INDEX(UNLOAD_CAPACITY,MATCH(CONCATENATE(C$6,C$7,C$8),UNLOAD_CAPACITY_ROUTES,0),MATCH(C$5,UNLOAD_CAPACITY_SHIPS,0))))*365</f>
        <v>365</v>
      </c>
      <c r="D19" s="363" t="n">
        <f aca="false">(1-(SUMIF('ELBA BOOK'!$D$18:$D$323,$A19,'ELBA BOOK'!$AP$18:$AP$323)/INDEX(UNLOAD_CAPACITY,MATCH(CONCATENATE(D$6,D$7,D$8),UNLOAD_CAPACITY_ROUTES,0),MATCH(D$5,UNLOAD_CAPACITY_SHIPS,0))))*365</f>
        <v>128.063050741726</v>
      </c>
      <c r="E19" s="462" t="n">
        <f aca="false">ROUND(+B19,0)</f>
        <v>365</v>
      </c>
      <c r="F19" s="441" t="n">
        <f aca="false">ROUND(365.25-((365.25-C19)+365.25-D19),0)</f>
        <v>128</v>
      </c>
    </row>
    <row r="20" customFormat="false" ht="12.75" hidden="false" customHeight="false" outlineLevel="0" collapsed="false">
      <c r="A20" s="400" t="n">
        <v>2011</v>
      </c>
      <c r="B20" s="401" t="n">
        <f aca="false">(1-(SUMIF('ELBA BOOK'!$D$18:$D$323,$A20,'ELBA BOOK'!$H$18:$H$323)/INDEX(UNLOAD_CAPACITY,MATCH(CONCATENATE(B$6,B$7,B$8),UNLOAD_CAPACITY_ROUTES,0),MATCH(B$5,UNLOAD_CAPACITY_SHIPS,0))))*365</f>
        <v>365</v>
      </c>
      <c r="C20" s="401" t="n">
        <f aca="false">(1-(SUMIF('ELBA BOOK'!$D$18:$D$323,$A20,'ELBA BOOK'!$Y$18:$Y$323)/INDEX(UNLOAD_CAPACITY,MATCH(CONCATENATE(C$6,C$7,C$8),UNLOAD_CAPACITY_ROUTES,0),MATCH(C$5,UNLOAD_CAPACITY_SHIPS,0))))*365</f>
        <v>365</v>
      </c>
      <c r="D20" s="401" t="n">
        <f aca="false">(1-(SUMIF('ELBA BOOK'!$D$18:$D$323,$A20,'ELBA BOOK'!$AP$18:$AP$323)/INDEX(UNLOAD_CAPACITY,MATCH(CONCATENATE(D$6,D$7,D$8),UNLOAD_CAPACITY_ROUTES,0),MATCH(D$5,UNLOAD_CAPACITY_SHIPS,0))))*365</f>
        <v>128.063050741726</v>
      </c>
      <c r="E20" s="330" t="n">
        <f aca="false">ROUND(+B20,0)</f>
        <v>365</v>
      </c>
      <c r="F20" s="459" t="n">
        <f aca="false">ROUND(365.25-((365.25-C20)+365.25-D20),0)</f>
        <v>128</v>
      </c>
    </row>
    <row r="21" customFormat="false" ht="12.75" hidden="false" customHeight="false" outlineLevel="0" collapsed="false">
      <c r="A21" s="318" t="n">
        <v>2012</v>
      </c>
      <c r="B21" s="403" t="n">
        <f aca="false">(1-(SUMIF('ELBA BOOK'!$D$18:$D$323,$A21,'ELBA BOOK'!$H$18:$H$323)/INDEX(UNLOAD_CAPACITY,MATCH(CONCATENATE(B$6,B$7,B$8),UNLOAD_CAPACITY_ROUTES,0),MATCH(B$5,UNLOAD_CAPACITY_SHIPS,0))))*365</f>
        <v>365</v>
      </c>
      <c r="C21" s="403" t="n">
        <f aca="false">(1-(SUMIF('ELBA BOOK'!$D$18:$D$323,$A21,'ELBA BOOK'!$Y$18:$Y$323)/INDEX(UNLOAD_CAPACITY,MATCH(CONCATENATE(C$6,C$7,C$8),UNLOAD_CAPACITY_ROUTES,0),MATCH(C$5,UNLOAD_CAPACITY_SHIPS,0))))*365</f>
        <v>365</v>
      </c>
      <c r="D21" s="403" t="n">
        <f aca="false">(1-(SUMIF('ELBA BOOK'!$D$18:$D$323,$A21,'ELBA BOOK'!$AP$18:$AP$323)/INDEX(UNLOAD_CAPACITY,MATCH(CONCATENATE(D$6,D$7,D$8),UNLOAD_CAPACITY_ROUTES,0),MATCH(D$5,UNLOAD_CAPACITY_SHIPS,0))))*365</f>
        <v>127.413908414991</v>
      </c>
      <c r="E21" s="348" t="n">
        <f aca="false">ROUND(+B21,0)</f>
        <v>365</v>
      </c>
      <c r="F21" s="460" t="n">
        <f aca="false">ROUND(365.25-((365.25-C21)+365.25-D21),0)</f>
        <v>127</v>
      </c>
    </row>
    <row r="22" customFormat="false" ht="12.75" hidden="false" customHeight="false" outlineLevel="0" collapsed="false">
      <c r="A22" s="318" t="n">
        <v>2013</v>
      </c>
      <c r="B22" s="403" t="n">
        <f aca="false">(1-(SUMIF('ELBA BOOK'!$D$18:$D$323,$A22,'ELBA BOOK'!$H$18:$H$323)/INDEX(UNLOAD_CAPACITY,MATCH(CONCATENATE(B$6,B$7,B$8),UNLOAD_CAPACITY_ROUTES,0),MATCH(B$5,UNLOAD_CAPACITY_SHIPS,0))))*365</f>
        <v>365</v>
      </c>
      <c r="C22" s="403" t="n">
        <f aca="false">(1-(SUMIF('ELBA BOOK'!$D$18:$D$323,$A22,'ELBA BOOK'!$Y$18:$Y$323)/INDEX(UNLOAD_CAPACITY,MATCH(CONCATENATE(C$6,C$7,C$8),UNLOAD_CAPACITY_ROUTES,0),MATCH(C$5,UNLOAD_CAPACITY_SHIPS,0))))*365</f>
        <v>365</v>
      </c>
      <c r="D22" s="403" t="n">
        <f aca="false">(1-(SUMIF('ELBA BOOK'!$D$18:$D$323,$A22,'ELBA BOOK'!$AP$18:$AP$323)/INDEX(UNLOAD_CAPACITY,MATCH(CONCATENATE(D$6,D$7,D$8),UNLOAD_CAPACITY_ROUTES,0),MATCH(D$5,UNLOAD_CAPACITY_SHIPS,0))))*365</f>
        <v>128.063050741726</v>
      </c>
      <c r="E22" s="348" t="n">
        <f aca="false">ROUND(+B22,0)</f>
        <v>365</v>
      </c>
      <c r="F22" s="460" t="n">
        <f aca="false">ROUND(365.25-((365.25-C22)+365.25-D22),0)</f>
        <v>128</v>
      </c>
    </row>
    <row r="23" customFormat="false" ht="12.75" hidden="false" customHeight="false" outlineLevel="0" collapsed="false">
      <c r="A23" s="318" t="n">
        <v>2014</v>
      </c>
      <c r="B23" s="403" t="n">
        <f aca="false">(1-(SUMIF('ELBA BOOK'!$D$18:$D$323,$A23,'ELBA BOOK'!$H$18:$H$323)/INDEX(UNLOAD_CAPACITY,MATCH(CONCATENATE(B$6,B$7,B$8),UNLOAD_CAPACITY_ROUTES,0),MATCH(B$5,UNLOAD_CAPACITY_SHIPS,0))))*365</f>
        <v>365</v>
      </c>
      <c r="C23" s="403" t="n">
        <f aca="false">(1-(SUMIF('ELBA BOOK'!$D$18:$D$323,$A23,'ELBA BOOK'!$Y$18:$Y$323)/INDEX(UNLOAD_CAPACITY,MATCH(CONCATENATE(C$6,C$7,C$8),UNLOAD_CAPACITY_ROUTES,0),MATCH(C$5,UNLOAD_CAPACITY_SHIPS,0))))*365</f>
        <v>365</v>
      </c>
      <c r="D23" s="403" t="n">
        <f aca="false">(1-(SUMIF('ELBA BOOK'!$D$18:$D$323,$A23,'ELBA BOOK'!$AP$18:$AP$323)/INDEX(UNLOAD_CAPACITY,MATCH(CONCATENATE(D$6,D$7,D$8),UNLOAD_CAPACITY_ROUTES,0),MATCH(D$5,UNLOAD_CAPACITY_SHIPS,0))))*365</f>
        <v>128.063050741726</v>
      </c>
      <c r="E23" s="348" t="n">
        <f aca="false">ROUND(+B23,0)</f>
        <v>365</v>
      </c>
      <c r="F23" s="460" t="n">
        <f aca="false">ROUND(365.25-((365.25-C23)+365.25-D23),0)</f>
        <v>128</v>
      </c>
    </row>
    <row r="24" customFormat="false" ht="12.75" hidden="false" customHeight="false" outlineLevel="0" collapsed="false">
      <c r="A24" s="411" t="n">
        <v>2015</v>
      </c>
      <c r="B24" s="412" t="n">
        <f aca="false">(1-(SUMIF('ELBA BOOK'!$D$18:$D$323,$A24,'ELBA BOOK'!$H$18:$H$323)/INDEX(UNLOAD_CAPACITY,MATCH(CONCATENATE(B$6,B$7,B$8),UNLOAD_CAPACITY_ROUTES,0),MATCH(B$5,UNLOAD_CAPACITY_SHIPS,0))))*365</f>
        <v>365</v>
      </c>
      <c r="C24" s="412" t="n">
        <f aca="false">(1-(SUMIF('ELBA BOOK'!$D$18:$D$323,$A24,'ELBA BOOK'!$Y$18:$Y$323)/INDEX(UNLOAD_CAPACITY,MATCH(CONCATENATE(C$6,C$7,C$8),UNLOAD_CAPACITY_ROUTES,0),MATCH(C$5,UNLOAD_CAPACITY_SHIPS,0))))*365</f>
        <v>365</v>
      </c>
      <c r="D24" s="412" t="n">
        <f aca="false">(1-(SUMIF('ELBA BOOK'!$D$18:$D$323,$A24,'ELBA BOOK'!$AP$18:$AP$323)/INDEX(UNLOAD_CAPACITY,MATCH(CONCATENATE(D$6,D$7,D$8),UNLOAD_CAPACITY_ROUTES,0),MATCH(D$5,UNLOAD_CAPACITY_SHIPS,0))))*365</f>
        <v>128.063050741726</v>
      </c>
      <c r="E24" s="362" t="n">
        <f aca="false">ROUND(+B24,0)</f>
        <v>365</v>
      </c>
      <c r="F24" s="461" t="n">
        <f aca="false">ROUND(365.25-((365.25-C24)+365.25-D24),0)</f>
        <v>128</v>
      </c>
    </row>
    <row r="25" customFormat="false" ht="12.75" hidden="false" customHeight="false" outlineLevel="0" collapsed="false">
      <c r="A25" s="234" t="n">
        <v>2016</v>
      </c>
      <c r="B25" s="349" t="n">
        <f aca="false">(1-(SUMIF('ELBA BOOK'!$D$18:$D$323,$A25,'ELBA BOOK'!$H$18:$H$323)/INDEX(UNLOAD_CAPACITY,MATCH(CONCATENATE(B$6,B$7,B$8),UNLOAD_CAPACITY_ROUTES,0),MATCH(B$5,UNLOAD_CAPACITY_SHIPS,0))))*365</f>
        <v>365</v>
      </c>
      <c r="C25" s="349" t="n">
        <f aca="false">(1-(SUMIF('ELBA BOOK'!$D$18:$D$323,$A25,'ELBA BOOK'!$Y$18:$Y$323)/INDEX(UNLOAD_CAPACITY,MATCH(CONCATENATE(C$6,C$7,C$8),UNLOAD_CAPACITY_ROUTES,0),MATCH(C$5,UNLOAD_CAPACITY_SHIPS,0))))*365</f>
        <v>365</v>
      </c>
      <c r="D25" s="349" t="n">
        <f aca="false">(1-(SUMIF('ELBA BOOK'!$D$18:$D$323,$A25,'ELBA BOOK'!$AP$18:$AP$323)/INDEX(UNLOAD_CAPACITY,MATCH(CONCATENATE(D$6,D$7,D$8),UNLOAD_CAPACITY_ROUTES,0),MATCH(D$5,UNLOAD_CAPACITY_SHIPS,0))))*365</f>
        <v>127.413908414991</v>
      </c>
      <c r="E25" s="458" t="n">
        <f aca="false">ROUND(+B25,0)</f>
        <v>365</v>
      </c>
      <c r="F25" s="439" t="n">
        <f aca="false">ROUND(365.25-((365.25-C25)+365.25-D25),0)</f>
        <v>127</v>
      </c>
    </row>
    <row r="26" customFormat="false" ht="12.75" hidden="false" customHeight="false" outlineLevel="0" collapsed="false">
      <c r="A26" s="234" t="n">
        <v>2017</v>
      </c>
      <c r="B26" s="349" t="n">
        <f aca="false">(1-(SUMIF('ELBA BOOK'!$D$18:$D$323,$A26,'ELBA BOOK'!$H$18:$H$323)/INDEX(UNLOAD_CAPACITY,MATCH(CONCATENATE(B$6,B$7,B$8),UNLOAD_CAPACITY_ROUTES,0),MATCH(B$5,UNLOAD_CAPACITY_SHIPS,0))))*365</f>
        <v>365</v>
      </c>
      <c r="C26" s="349" t="n">
        <f aca="false">(1-(SUMIF('ELBA BOOK'!$D$18:$D$323,$A26,'ELBA BOOK'!$Y$18:$Y$323)/INDEX(UNLOAD_CAPACITY,MATCH(CONCATENATE(C$6,C$7,C$8),UNLOAD_CAPACITY_ROUTES,0),MATCH(C$5,UNLOAD_CAPACITY_SHIPS,0))))*365</f>
        <v>365</v>
      </c>
      <c r="D26" s="349" t="n">
        <f aca="false">(1-(SUMIF('ELBA BOOK'!$D$18:$D$323,$A26,'ELBA BOOK'!$AP$18:$AP$323)/INDEX(UNLOAD_CAPACITY,MATCH(CONCATENATE(D$6,D$7,D$8),UNLOAD_CAPACITY_ROUTES,0),MATCH(D$5,UNLOAD_CAPACITY_SHIPS,0))))*365</f>
        <v>128.063050741726</v>
      </c>
      <c r="E26" s="458" t="n">
        <f aca="false">ROUND(+B26,0)</f>
        <v>365</v>
      </c>
      <c r="F26" s="439" t="n">
        <f aca="false">ROUND(365.25-((365.25-C26)+365.25-D26),0)</f>
        <v>128</v>
      </c>
    </row>
    <row r="27" customFormat="false" ht="12.75" hidden="false" customHeight="false" outlineLevel="0" collapsed="false">
      <c r="A27" s="234" t="n">
        <v>2018</v>
      </c>
      <c r="B27" s="349" t="n">
        <f aca="false">(1-(SUMIF('ELBA BOOK'!$D$18:$D$323,$A27,'ELBA BOOK'!$H$18:$H$323)/INDEX(UNLOAD_CAPACITY,MATCH(CONCATENATE(B$6,B$7,B$8),UNLOAD_CAPACITY_ROUTES,0),MATCH(B$5,UNLOAD_CAPACITY_SHIPS,0))))*365</f>
        <v>365</v>
      </c>
      <c r="C27" s="349" t="n">
        <f aca="false">(1-(SUMIF('ELBA BOOK'!$D$18:$D$323,$A27,'ELBA BOOK'!$Y$18:$Y$323)/INDEX(UNLOAD_CAPACITY,MATCH(CONCATENATE(C$6,C$7,C$8),UNLOAD_CAPACITY_ROUTES,0),MATCH(C$5,UNLOAD_CAPACITY_SHIPS,0))))*365</f>
        <v>365</v>
      </c>
      <c r="D27" s="349" t="n">
        <f aca="false">(1-(SUMIF('ELBA BOOK'!$D$18:$D$323,$A27,'ELBA BOOK'!$AP$18:$AP$323)/INDEX(UNLOAD_CAPACITY,MATCH(CONCATENATE(D$6,D$7,D$8),UNLOAD_CAPACITY_ROUTES,0),MATCH(D$5,UNLOAD_CAPACITY_SHIPS,0))))*365</f>
        <v>128.063050741726</v>
      </c>
      <c r="E27" s="458" t="n">
        <f aca="false">ROUND(+B27,0)</f>
        <v>365</v>
      </c>
      <c r="F27" s="439" t="n">
        <f aca="false">ROUND(365.25-((365.25-C27)+365.25-D27),0)</f>
        <v>128</v>
      </c>
    </row>
    <row r="28" customFormat="false" ht="12.75" hidden="false" customHeight="false" outlineLevel="0" collapsed="false">
      <c r="A28" s="234" t="n">
        <v>2019</v>
      </c>
      <c r="B28" s="349" t="n">
        <f aca="false">(1-(SUMIF('ELBA BOOK'!$D$18:$D$323,$A28,'ELBA BOOK'!$H$18:$H$323)/INDEX(UNLOAD_CAPACITY,MATCH(CONCATENATE(B$6,B$7,B$8),UNLOAD_CAPACITY_ROUTES,0),MATCH(B$5,UNLOAD_CAPACITY_SHIPS,0))))*365</f>
        <v>365</v>
      </c>
      <c r="C28" s="349" t="n">
        <f aca="false">(1-(SUMIF('ELBA BOOK'!$D$18:$D$323,$A28,'ELBA BOOK'!$Y$18:$Y$323)/INDEX(UNLOAD_CAPACITY,MATCH(CONCATENATE(C$6,C$7,C$8),UNLOAD_CAPACITY_ROUTES,0),MATCH(C$5,UNLOAD_CAPACITY_SHIPS,0))))*365</f>
        <v>365</v>
      </c>
      <c r="D28" s="349" t="n">
        <f aca="false">(1-(SUMIF('ELBA BOOK'!$D$18:$D$323,$A28,'ELBA BOOK'!$AP$18:$AP$323)/INDEX(UNLOAD_CAPACITY,MATCH(CONCATENATE(D$6,D$7,D$8),UNLOAD_CAPACITY_ROUTES,0),MATCH(D$5,UNLOAD_CAPACITY_SHIPS,0))))*365</f>
        <v>306.57719059385</v>
      </c>
      <c r="E28" s="458" t="n">
        <f aca="false">ROUND(+B28,0)</f>
        <v>365</v>
      </c>
      <c r="F28" s="439" t="n">
        <f aca="false">ROUND(365.25-((365.25-C28)+365.25-D28),0)</f>
        <v>306</v>
      </c>
    </row>
    <row r="29" customFormat="false" ht="12.75" hidden="false" customHeight="false" outlineLevel="0" collapsed="false">
      <c r="A29" s="242" t="n">
        <v>2020</v>
      </c>
      <c r="B29" s="363" t="n">
        <f aca="false">(1-(SUMIF('ELBA BOOK'!$D$18:$D$323,$A29,'ELBA BOOK'!$H$18:$H$323)/INDEX(UNLOAD_CAPACITY,MATCH(CONCATENATE(B$6,B$7,B$8),UNLOAD_CAPACITY_ROUTES,0),MATCH(B$5,UNLOAD_CAPACITY_SHIPS,0))))*365</f>
        <v>365</v>
      </c>
      <c r="C29" s="363" t="n">
        <f aca="false">(1-(SUMIF('ELBA BOOK'!$D$18:$D$323,$A29,'ELBA BOOK'!$Y$18:$Y$323)/INDEX(UNLOAD_CAPACITY,MATCH(CONCATENATE(C$6,C$7,C$8),UNLOAD_CAPACITY_ROUTES,0),MATCH(C$5,UNLOAD_CAPACITY_SHIPS,0))))*365</f>
        <v>365</v>
      </c>
      <c r="D29" s="363" t="n">
        <f aca="false">(1-(SUMIF('ELBA BOOK'!$D$18:$D$323,$A29,'ELBA BOOK'!$AP$18:$AP$323)/INDEX(UNLOAD_CAPACITY,MATCH(CONCATENATE(D$6,D$7,D$8),UNLOAD_CAPACITY_ROUTES,0),MATCH(D$5,UNLOAD_CAPACITY_SHIPS,0))))*365</f>
        <v>365</v>
      </c>
      <c r="E29" s="462" t="n">
        <f aca="false">ROUND(+B29,0)</f>
        <v>365</v>
      </c>
      <c r="F29" s="441" t="n">
        <f aca="false">ROUND(365.25-((365.25-C29)+365.25-D29),0)</f>
        <v>365</v>
      </c>
    </row>
    <row r="30" customFormat="false" ht="12.75" hidden="false" customHeight="false" outlineLevel="0" collapsed="false">
      <c r="A30" s="318" t="n">
        <v>2021</v>
      </c>
      <c r="B30" s="403" t="n">
        <f aca="false">(1-(SUMIF('ELBA BOOK'!$D$18:$D$323,$A30,'ELBA BOOK'!$H$18:$H$323)/INDEX(UNLOAD_CAPACITY,MATCH(CONCATENATE(B$6,B$7,B$8),UNLOAD_CAPACITY_ROUTES,0),MATCH(B$5,UNLOAD_CAPACITY_SHIPS,0))))*365</f>
        <v>365</v>
      </c>
      <c r="C30" s="403" t="n">
        <f aca="false">(1-(SUMIF('ELBA BOOK'!$D$18:$D$323,$A30,'ELBA BOOK'!$Y$18:$Y$323)/INDEX(UNLOAD_CAPACITY,MATCH(CONCATENATE(C$6,C$7,C$8),UNLOAD_CAPACITY_ROUTES,0),MATCH(C$5,UNLOAD_CAPACITY_SHIPS,0))))*365</f>
        <v>365</v>
      </c>
      <c r="D30" s="403" t="n">
        <f aca="false">(1-(SUMIF('ELBA BOOK'!$D$18:$D$323,$A30,'ELBA BOOK'!$AP$18:$AP$323)/INDEX(UNLOAD_CAPACITY,MATCH(CONCATENATE(D$6,D$7,D$8),UNLOAD_CAPACITY_ROUTES,0),MATCH(D$5,UNLOAD_CAPACITY_SHIPS,0))))*365</f>
        <v>365</v>
      </c>
      <c r="E30" s="348" t="n">
        <f aca="false">ROUND(+B30,0)</f>
        <v>365</v>
      </c>
      <c r="F30" s="460" t="n">
        <f aca="false">ROUND(365.25-((365.25-C30)+365.25-D30),0)</f>
        <v>365</v>
      </c>
    </row>
    <row r="31" customFormat="false" ht="12.75" hidden="false" customHeight="false" outlineLevel="0" collapsed="false">
      <c r="A31" s="318" t="n">
        <v>2022</v>
      </c>
      <c r="B31" s="403" t="n">
        <f aca="false">(1-(SUMIF('ELBA BOOK'!$D$18:$D$323,$A31,'ELBA BOOK'!$H$18:$H$323)/INDEX(UNLOAD_CAPACITY,MATCH(CONCATENATE(B$6,B$7,B$8),UNLOAD_CAPACITY_ROUTES,0),MATCH(B$5,UNLOAD_CAPACITY_SHIPS,0))))*365</f>
        <v>365</v>
      </c>
      <c r="C31" s="403" t="n">
        <f aca="false">(1-(SUMIF('ELBA BOOK'!$D$18:$D$323,$A31,'ELBA BOOK'!$Y$18:$Y$323)/INDEX(UNLOAD_CAPACITY,MATCH(CONCATENATE(C$6,C$7,C$8),UNLOAD_CAPACITY_ROUTES,0),MATCH(C$5,UNLOAD_CAPACITY_SHIPS,0))))*365</f>
        <v>365</v>
      </c>
      <c r="D31" s="403" t="n">
        <f aca="false">(1-(SUMIF('ELBA BOOK'!$D$18:$D$323,$A31,'ELBA BOOK'!$AP$18:$AP$323)/INDEX(UNLOAD_CAPACITY,MATCH(CONCATENATE(D$6,D$7,D$8),UNLOAD_CAPACITY_ROUTES,0),MATCH(D$5,UNLOAD_CAPACITY_SHIPS,0))))*365</f>
        <v>365</v>
      </c>
      <c r="E31" s="348" t="n">
        <f aca="false">ROUND(+B31,0)</f>
        <v>365</v>
      </c>
      <c r="F31" s="460" t="n">
        <f aca="false">ROUND(365.25-((365.25-C31)+365.25-D31),0)</f>
        <v>365</v>
      </c>
    </row>
    <row r="32" customFormat="false" ht="12.75" hidden="false" customHeight="false" outlineLevel="0" collapsed="false">
      <c r="A32" s="318" t="n">
        <v>2023</v>
      </c>
      <c r="B32" s="403" t="n">
        <f aca="false">(1-(SUMIF('ELBA BOOK'!$D$18:$D$323,$A32,'ELBA BOOK'!$H$18:$H$323)/INDEX(UNLOAD_CAPACITY,MATCH(CONCATENATE(B$6,B$7,B$8),UNLOAD_CAPACITY_ROUTES,0),MATCH(B$5,UNLOAD_CAPACITY_SHIPS,0))))*365</f>
        <v>365</v>
      </c>
      <c r="C32" s="403" t="n">
        <f aca="false">(1-(SUMIF('ELBA BOOK'!$D$18:$D$323,$A32,'ELBA BOOK'!$Y$18:$Y$323)/INDEX(UNLOAD_CAPACITY,MATCH(CONCATENATE(C$6,C$7,C$8),UNLOAD_CAPACITY_ROUTES,0),MATCH(C$5,UNLOAD_CAPACITY_SHIPS,0))))*365</f>
        <v>365</v>
      </c>
      <c r="D32" s="403" t="n">
        <f aca="false">(1-(SUMIF('ELBA BOOK'!$D$18:$D$323,$A32,'ELBA BOOK'!$AP$18:$AP$323)/INDEX(UNLOAD_CAPACITY,MATCH(CONCATENATE(D$6,D$7,D$8),UNLOAD_CAPACITY_ROUTES,0),MATCH(D$5,UNLOAD_CAPACITY_SHIPS,0))))*365</f>
        <v>365</v>
      </c>
      <c r="E32" s="348" t="n">
        <f aca="false">ROUND(+B32,0)</f>
        <v>365</v>
      </c>
      <c r="F32" s="460" t="n">
        <f aca="false">ROUND(365.25-((365.25-C32)+365.25-D32),0)</f>
        <v>365</v>
      </c>
    </row>
    <row r="33" customFormat="false" ht="12.75" hidden="false" customHeight="false" outlineLevel="0" collapsed="false">
      <c r="A33" s="318" t="n">
        <v>2024</v>
      </c>
      <c r="B33" s="403" t="n">
        <f aca="false">(1-(SUMIF('ELBA BOOK'!$D$18:$D$323,$A33,'ELBA BOOK'!$H$18:$H$323)/INDEX(UNLOAD_CAPACITY,MATCH(CONCATENATE(B$6,B$7,B$8),UNLOAD_CAPACITY_ROUTES,0),MATCH(B$5,UNLOAD_CAPACITY_SHIPS,0))))*365</f>
        <v>365</v>
      </c>
      <c r="C33" s="403" t="n">
        <f aca="false">(1-(SUMIF('ELBA BOOK'!$D$18:$D$323,$A33,'ELBA BOOK'!$Y$18:$Y$323)/INDEX(UNLOAD_CAPACITY,MATCH(CONCATENATE(C$6,C$7,C$8),UNLOAD_CAPACITY_ROUTES,0),MATCH(C$5,UNLOAD_CAPACITY_SHIPS,0))))*365</f>
        <v>365</v>
      </c>
      <c r="D33" s="403" t="n">
        <f aca="false">(1-(SUMIF('ELBA BOOK'!$D$18:$D$323,$A33,'ELBA BOOK'!$AP$18:$AP$323)/INDEX(UNLOAD_CAPACITY,MATCH(CONCATENATE(D$6,D$7,D$8),UNLOAD_CAPACITY_ROUTES,0),MATCH(D$5,UNLOAD_CAPACITY_SHIPS,0))))*365</f>
        <v>365</v>
      </c>
      <c r="E33" s="348" t="n">
        <f aca="false">ROUND(+B33,0)</f>
        <v>365</v>
      </c>
      <c r="F33" s="460" t="n">
        <f aca="false">ROUND(365.25-((365.25-C33)+365.25-D33),0)</f>
        <v>365</v>
      </c>
    </row>
    <row r="34" customFormat="false" ht="12.75" hidden="false" customHeight="false" outlineLevel="0" collapsed="false">
      <c r="A34" s="411" t="n">
        <v>2025</v>
      </c>
      <c r="B34" s="412" t="n">
        <f aca="false">(1-(SUMIF('ELBA BOOK'!$D$18:$D$323,$A34,'ELBA BOOK'!$H$18:$H$323)/INDEX(UNLOAD_CAPACITY,MATCH(CONCATENATE(B$6,B$7,B$8),UNLOAD_CAPACITY_ROUTES,0),MATCH(B$5,UNLOAD_CAPACITY_SHIPS,0))))*365</f>
        <v>365</v>
      </c>
      <c r="C34" s="412" t="n">
        <f aca="false">(1-(SUMIF('ELBA BOOK'!$D$18:$D$323,$A34,'ELBA BOOK'!$Y$18:$Y$323)/INDEX(UNLOAD_CAPACITY,MATCH(CONCATENATE(C$6,C$7,C$8),UNLOAD_CAPACITY_ROUTES,0),MATCH(C$5,UNLOAD_CAPACITY_SHIPS,0))))*365</f>
        <v>365</v>
      </c>
      <c r="D34" s="412" t="n">
        <f aca="false">(1-(SUMIF('ELBA BOOK'!$D$18:$D$323,$A34,'ELBA BOOK'!$AP$18:$AP$323)/INDEX(UNLOAD_CAPACITY,MATCH(CONCATENATE(D$6,D$7,D$8),UNLOAD_CAPACITY_ROUTES,0),MATCH(D$5,UNLOAD_CAPACITY_SHIPS,0))))*365</f>
        <v>365</v>
      </c>
      <c r="E34" s="362" t="n">
        <f aca="false">ROUND(+B34,0)</f>
        <v>365</v>
      </c>
      <c r="F34" s="461" t="n">
        <f aca="false">ROUND(365.25-((365.25-C34)+365.25-D34),0)</f>
        <v>365</v>
      </c>
    </row>
  </sheetData>
  <mergeCells count="4">
    <mergeCell ref="A2:D2"/>
    <mergeCell ref="E2:F2"/>
    <mergeCell ref="A3:D3"/>
    <mergeCell ref="E3:F3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D95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5" activeCellId="0" sqref="A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27" width="30.56"/>
    <col collapsed="false" customWidth="true" hidden="false" outlineLevel="0" max="2" min="2" style="0" width="13.28"/>
    <col collapsed="false" customWidth="true" hidden="false" outlineLevel="0" max="4" min="3" style="0" width="19.7"/>
    <col collapsed="false" customWidth="true" hidden="false" outlineLevel="0" max="5" min="5" style="0" width="15.85"/>
    <col collapsed="false" customWidth="true" hidden="false" outlineLevel="0" max="6" min="6" style="0" width="17.42"/>
    <col collapsed="false" customWidth="true" hidden="false" outlineLevel="0" max="7" min="7" style="0" width="17.28"/>
    <col collapsed="false" customWidth="true" hidden="false" outlineLevel="0" max="9" min="8" style="0" width="16.84"/>
    <col collapsed="false" customWidth="true" hidden="false" outlineLevel="0" max="11" min="10" style="0" width="17.28"/>
    <col collapsed="false" customWidth="true" hidden="false" outlineLevel="0" max="13" min="12" style="0" width="16.7"/>
    <col collapsed="false" customWidth="true" hidden="false" outlineLevel="0" max="15" min="14" style="0" width="16.42"/>
    <col collapsed="false" customWidth="true" hidden="false" outlineLevel="0" max="16" min="16" style="0" width="19.7"/>
    <col collapsed="false" customWidth="true" hidden="false" outlineLevel="0" max="17" min="17" style="0" width="14.85"/>
    <col collapsed="false" customWidth="true" hidden="false" outlineLevel="0" max="18" min="18" style="0" width="19.14"/>
    <col collapsed="false" customWidth="true" hidden="false" outlineLevel="0" max="20" min="19" style="0" width="17.42"/>
    <col collapsed="false" customWidth="true" hidden="false" outlineLevel="0" max="21" min="21" style="0" width="16.84"/>
    <col collapsed="false" customWidth="true" hidden="false" outlineLevel="0" max="23" min="22" style="0" width="19.28"/>
    <col collapsed="false" customWidth="true" hidden="false" outlineLevel="0" max="25" min="24" style="0" width="16.7"/>
    <col collapsed="false" customWidth="true" hidden="false" outlineLevel="0" max="26" min="26" style="0" width="18.14"/>
    <col collapsed="false" customWidth="true" hidden="false" outlineLevel="0" max="28" min="27" style="0" width="18.85"/>
    <col collapsed="false" customWidth="true" hidden="false" outlineLevel="0" max="30" min="29" style="0" width="17.14"/>
    <col collapsed="false" customWidth="true" hidden="false" outlineLevel="0" max="31" min="31" style="0" width="19.28"/>
    <col collapsed="false" customWidth="true" hidden="false" outlineLevel="0" max="32" min="32" style="0" width="13.7"/>
    <col collapsed="false" customWidth="true" hidden="false" outlineLevel="0" max="34" min="33" style="0" width="13.41"/>
    <col collapsed="false" customWidth="true" hidden="false" outlineLevel="0" max="36" min="35" style="0" width="19.56"/>
    <col collapsed="false" customWidth="true" hidden="false" outlineLevel="0" max="38" min="37" style="0" width="16.28"/>
    <col collapsed="false" customWidth="true" hidden="false" outlineLevel="0" max="40" min="39" style="0" width="16.42"/>
    <col collapsed="false" customWidth="true" hidden="false" outlineLevel="0" max="42" min="41" style="0" width="17.85"/>
    <col collapsed="false" customWidth="true" hidden="false" outlineLevel="0" max="44" min="43" style="0" width="16.7"/>
    <col collapsed="false" customWidth="true" hidden="false" outlineLevel="0" max="46" min="45" style="0" width="17.14"/>
    <col collapsed="false" customWidth="true" hidden="false" outlineLevel="0" max="47" min="47" style="0" width="12.85"/>
    <col collapsed="false" customWidth="true" hidden="false" outlineLevel="0" max="48" min="48" style="0" width="13.14"/>
    <col collapsed="false" customWidth="true" hidden="false" outlineLevel="0" max="49" min="49" style="0" width="15.85"/>
    <col collapsed="false" customWidth="true" hidden="false" outlineLevel="0" max="50" min="50" style="0" width="15.7"/>
    <col collapsed="false" customWidth="true" hidden="false" outlineLevel="0" max="51" min="51" style="0" width="17.7"/>
    <col collapsed="false" customWidth="true" hidden="false" outlineLevel="0" max="53" min="52" style="0" width="18.56"/>
    <col collapsed="false" customWidth="true" hidden="false" outlineLevel="0" max="54" min="54" style="0" width="18.85"/>
    <col collapsed="false" customWidth="true" hidden="false" outlineLevel="0" max="56" min="55" style="0" width="20.13"/>
    <col collapsed="false" customWidth="true" hidden="false" outlineLevel="0" max="57" min="57" style="0" width="15.41"/>
    <col collapsed="false" customWidth="true" hidden="false" outlineLevel="0" max="58" min="58" style="0" width="12.85"/>
    <col collapsed="false" customWidth="true" hidden="false" outlineLevel="0" max="60" min="59" style="0" width="13.56"/>
    <col collapsed="false" customWidth="true" hidden="false" outlineLevel="0" max="61" min="61" style="0" width="17.42"/>
    <col collapsed="false" customWidth="true" hidden="false" outlineLevel="0" max="62" min="62" style="0" width="14.99"/>
    <col collapsed="false" customWidth="true" hidden="false" outlineLevel="0" max="63" min="63" style="0" width="15.41"/>
    <col collapsed="false" customWidth="true" hidden="false" outlineLevel="0" max="64" min="64" style="0" width="11.7"/>
    <col collapsed="false" customWidth="true" hidden="false" outlineLevel="0" max="65" min="65" style="0" width="14.28"/>
    <col collapsed="false" customWidth="true" hidden="false" outlineLevel="0" max="68" min="66" style="0" width="8.28"/>
    <col collapsed="false" customWidth="true" hidden="false" outlineLevel="0" max="69" min="69" style="0" width="20.13"/>
    <col collapsed="false" customWidth="true" hidden="false" outlineLevel="0" max="74" min="70" style="0" width="8.28"/>
  </cols>
  <sheetData>
    <row r="2" customFormat="false" ht="12.75" hidden="false" customHeight="false" outlineLevel="0" collapsed="false">
      <c r="A2" s="127" t="s">
        <v>152</v>
      </c>
      <c r="B2" s="127" t="n">
        <v>7</v>
      </c>
    </row>
    <row r="3" customFormat="false" ht="13.5" hidden="false" customHeight="false" outlineLevel="0" collapsed="false">
      <c r="B3" s="127"/>
    </row>
    <row r="4" customFormat="false" ht="13.5" hidden="false" customHeight="false" outlineLevel="0" collapsed="false">
      <c r="A4" s="127" t="s">
        <v>153</v>
      </c>
      <c r="B4" s="463" t="n">
        <v>36731</v>
      </c>
    </row>
    <row r="5" customFormat="false" ht="12.75" hidden="false" customHeight="false" outlineLevel="0" collapsed="false">
      <c r="A5" s="127" t="s">
        <v>154</v>
      </c>
      <c r="B5" s="464" t="n">
        <f aca="false">EOMONTH(CurveDate,-1)</f>
        <v>36707</v>
      </c>
    </row>
    <row r="7" customFormat="false" ht="12.75" hidden="false" customHeight="false" outlineLevel="0" collapsed="false">
      <c r="A7" s="127" t="s">
        <v>155</v>
      </c>
      <c r="B7" s="43" t="s">
        <v>156</v>
      </c>
      <c r="C7" s="465" t="s">
        <v>157</v>
      </c>
      <c r="D7" s="465" t="s">
        <v>157</v>
      </c>
      <c r="E7" s="465" t="s">
        <v>85</v>
      </c>
      <c r="F7" s="465" t="s">
        <v>85</v>
      </c>
      <c r="G7" s="43" t="s">
        <v>158</v>
      </c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43"/>
      <c r="EO7" s="43"/>
      <c r="EP7" s="43"/>
      <c r="EQ7" s="43"/>
      <c r="ER7" s="43"/>
      <c r="ES7" s="43"/>
      <c r="ET7" s="43"/>
      <c r="EU7" s="43"/>
      <c r="EV7" s="43"/>
      <c r="EW7" s="43"/>
      <c r="EX7" s="43"/>
      <c r="EY7" s="43"/>
      <c r="EZ7" s="43"/>
      <c r="FA7" s="43"/>
      <c r="FB7" s="43"/>
      <c r="FC7" s="43"/>
      <c r="FD7" s="43"/>
      <c r="FE7" s="43"/>
      <c r="FF7" s="43"/>
      <c r="FG7" s="43"/>
      <c r="FH7" s="43"/>
      <c r="FI7" s="43"/>
      <c r="FJ7" s="43"/>
      <c r="FK7" s="43"/>
      <c r="FL7" s="43"/>
      <c r="FM7" s="43"/>
      <c r="FN7" s="43"/>
      <c r="FO7" s="43"/>
      <c r="FP7" s="43"/>
      <c r="FQ7" s="43"/>
      <c r="FR7" s="43"/>
      <c r="FS7" s="43"/>
      <c r="FT7" s="43"/>
      <c r="FU7" s="43"/>
      <c r="FV7" s="43"/>
      <c r="FW7" s="43"/>
      <c r="FX7" s="43"/>
      <c r="FY7" s="43"/>
      <c r="FZ7" s="43"/>
      <c r="GA7" s="43"/>
      <c r="GB7" s="43"/>
      <c r="GC7" s="43"/>
      <c r="GD7" s="43"/>
      <c r="GE7" s="43"/>
      <c r="GF7" s="43"/>
      <c r="GG7" s="43"/>
      <c r="GH7" s="43"/>
      <c r="GI7" s="43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</row>
    <row r="8" customFormat="false" ht="12.75" hidden="false" customHeight="false" outlineLevel="0" collapsed="false">
      <c r="A8" s="127" t="s">
        <v>159</v>
      </c>
      <c r="B8" s="43" t="s">
        <v>160</v>
      </c>
      <c r="C8" s="43" t="s">
        <v>161</v>
      </c>
      <c r="D8" s="43" t="s">
        <v>162</v>
      </c>
      <c r="E8" s="43" t="s">
        <v>161</v>
      </c>
      <c r="F8" s="43" t="s">
        <v>161</v>
      </c>
      <c r="G8" s="43" t="s">
        <v>161</v>
      </c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</row>
    <row r="9" customFormat="false" ht="12.75" hidden="false" customHeight="false" outlineLevel="0" collapsed="false">
      <c r="A9" s="127" t="s">
        <v>163</v>
      </c>
      <c r="B9" s="43" t="s">
        <v>164</v>
      </c>
      <c r="C9" s="43" t="s">
        <v>165</v>
      </c>
      <c r="D9" s="43" t="s">
        <v>165</v>
      </c>
      <c r="E9" s="43" t="s">
        <v>166</v>
      </c>
      <c r="F9" s="43" t="s">
        <v>167</v>
      </c>
      <c r="G9" s="43" t="s">
        <v>165</v>
      </c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</row>
    <row r="10" customFormat="false" ht="12.75" hidden="false" customHeight="false" outlineLevel="0" collapsed="false">
      <c r="A10" s="466" t="n">
        <f aca="false">+FirstMonth</f>
        <v>36707</v>
      </c>
      <c r="B10" s="467"/>
      <c r="C10" s="467"/>
      <c r="D10" s="467"/>
      <c r="E10" s="467"/>
      <c r="F10" s="467"/>
      <c r="G10" s="467"/>
      <c r="H10" s="467"/>
      <c r="I10" s="467"/>
      <c r="J10" s="467"/>
      <c r="K10" s="467"/>
      <c r="L10" s="467"/>
      <c r="M10" s="467"/>
      <c r="N10" s="467"/>
      <c r="O10" s="467"/>
      <c r="P10" s="467"/>
      <c r="Q10" s="467"/>
      <c r="R10" s="467"/>
      <c r="S10" s="467"/>
      <c r="T10" s="467"/>
      <c r="U10" s="467"/>
      <c r="V10" s="467"/>
      <c r="W10" s="467"/>
      <c r="X10" s="467"/>
      <c r="Y10" s="467"/>
      <c r="Z10" s="467"/>
      <c r="AA10" s="467"/>
      <c r="AB10" s="467"/>
      <c r="AC10" s="467"/>
      <c r="AD10" s="467"/>
      <c r="AE10" s="467"/>
      <c r="AF10" s="467"/>
      <c r="AG10" s="467"/>
      <c r="AH10" s="467"/>
      <c r="AI10" s="467"/>
      <c r="AJ10" s="467"/>
      <c r="AK10" s="467"/>
      <c r="AL10" s="467"/>
      <c r="AM10" s="467"/>
      <c r="AN10" s="467"/>
      <c r="AO10" s="467"/>
      <c r="AP10" s="467"/>
      <c r="AQ10" s="467"/>
      <c r="AR10" s="467"/>
      <c r="AS10" s="467"/>
      <c r="AT10" s="467"/>
      <c r="AU10" s="467"/>
      <c r="AV10" s="467"/>
      <c r="AW10" s="467"/>
      <c r="AX10" s="467"/>
      <c r="AY10" s="467"/>
      <c r="AZ10" s="467"/>
      <c r="BA10" s="467"/>
      <c r="BB10" s="467"/>
      <c r="BC10" s="467"/>
      <c r="BD10" s="467"/>
      <c r="BE10" s="467"/>
      <c r="BF10" s="467"/>
      <c r="BG10" s="467"/>
      <c r="BH10" s="467"/>
      <c r="BI10" s="467"/>
      <c r="BJ10" s="467"/>
      <c r="BK10" s="467"/>
      <c r="BL10" s="467"/>
      <c r="BM10" s="467"/>
    </row>
    <row r="11" customFormat="false" ht="12.75" hidden="false" customHeight="false" outlineLevel="0" collapsed="false">
      <c r="A11" s="464" t="n">
        <f aca="false">EOMONTH(A10,0)+1</f>
        <v>36708</v>
      </c>
      <c r="B11" s="467" t="n">
        <v>1</v>
      </c>
      <c r="C11" s="467" t="n">
        <v>4.369</v>
      </c>
      <c r="D11" s="467" t="n">
        <v>0.6</v>
      </c>
      <c r="E11" s="467" t="n">
        <v>-0.009</v>
      </c>
      <c r="F11" s="467" t="n">
        <v>0.005</v>
      </c>
      <c r="G11" s="467" t="n">
        <v>122.5</v>
      </c>
      <c r="H11" s="467"/>
      <c r="I11" s="467"/>
      <c r="J11" s="467"/>
      <c r="K11" s="467"/>
      <c r="L11" s="467"/>
      <c r="M11" s="467"/>
      <c r="N11" s="467"/>
      <c r="O11" s="467"/>
      <c r="P11" s="467"/>
      <c r="Q11" s="467"/>
      <c r="R11" s="467"/>
      <c r="S11" s="467"/>
      <c r="T11" s="467"/>
      <c r="U11" s="467"/>
      <c r="V11" s="467"/>
      <c r="W11" s="467"/>
      <c r="X11" s="467"/>
      <c r="Y11" s="467"/>
      <c r="Z11" s="467"/>
      <c r="AA11" s="467"/>
      <c r="AB11" s="467"/>
      <c r="AC11" s="467"/>
      <c r="AD11" s="467"/>
      <c r="AE11" s="467"/>
      <c r="AF11" s="467"/>
      <c r="AG11" s="467"/>
      <c r="AH11" s="467"/>
      <c r="AI11" s="467"/>
      <c r="AJ11" s="467"/>
      <c r="AK11" s="467"/>
      <c r="AL11" s="467"/>
      <c r="AM11" s="467"/>
      <c r="AN11" s="467"/>
      <c r="AO11" s="467"/>
      <c r="AP11" s="467"/>
      <c r="AQ11" s="467"/>
      <c r="AR11" s="467"/>
      <c r="AS11" s="467"/>
      <c r="AT11" s="467"/>
      <c r="AU11" s="467"/>
      <c r="AV11" s="467"/>
      <c r="AW11" s="467"/>
      <c r="AX11" s="467"/>
      <c r="AY11" s="467"/>
      <c r="AZ11" s="467"/>
      <c r="BA11" s="467"/>
      <c r="BB11" s="467"/>
      <c r="BC11" s="467"/>
      <c r="BD11" s="467"/>
      <c r="BE11" s="467"/>
      <c r="BF11" s="467"/>
      <c r="BG11" s="467"/>
      <c r="BH11" s="467"/>
      <c r="BI11" s="467"/>
      <c r="BJ11" s="467"/>
      <c r="BK11" s="467"/>
      <c r="BL11" s="467"/>
    </row>
    <row r="12" customFormat="false" ht="12.75" hidden="false" customHeight="false" outlineLevel="0" collapsed="false">
      <c r="A12" s="464" t="n">
        <f aca="false">EOMONTH(A11,0)+1</f>
        <v>36739</v>
      </c>
      <c r="B12" s="467" t="n">
        <v>0.067741348072035</v>
      </c>
      <c r="C12" s="467" t="n">
        <v>3.715</v>
      </c>
      <c r="D12" s="467" t="n">
        <v>0.58</v>
      </c>
      <c r="E12" s="467" t="n">
        <v>0</v>
      </c>
      <c r="F12" s="467" t="n">
        <v>0</v>
      </c>
      <c r="G12" s="467" t="n">
        <v>123</v>
      </c>
      <c r="H12" s="467"/>
      <c r="I12" s="467"/>
      <c r="J12" s="467"/>
      <c r="K12" s="467"/>
      <c r="L12" s="467"/>
      <c r="M12" s="467"/>
      <c r="N12" s="467"/>
      <c r="O12" s="467"/>
      <c r="P12" s="467"/>
      <c r="Q12" s="467"/>
      <c r="R12" s="467"/>
      <c r="S12" s="467"/>
      <c r="T12" s="467"/>
      <c r="U12" s="467"/>
      <c r="V12" s="467"/>
      <c r="W12" s="467"/>
      <c r="X12" s="467"/>
      <c r="Y12" s="467"/>
      <c r="Z12" s="467"/>
      <c r="AA12" s="467"/>
      <c r="AB12" s="467"/>
      <c r="AC12" s="467"/>
      <c r="AD12" s="467"/>
      <c r="AE12" s="467"/>
      <c r="AF12" s="467"/>
      <c r="AG12" s="467"/>
      <c r="AH12" s="467"/>
      <c r="AI12" s="467"/>
      <c r="AJ12" s="467"/>
      <c r="AK12" s="467"/>
      <c r="AL12" s="467"/>
      <c r="AM12" s="467"/>
      <c r="AN12" s="467"/>
      <c r="AO12" s="467"/>
      <c r="AP12" s="467"/>
      <c r="AQ12" s="467"/>
      <c r="AR12" s="467"/>
      <c r="AS12" s="467"/>
      <c r="AT12" s="467"/>
      <c r="AU12" s="467"/>
      <c r="AV12" s="467"/>
      <c r="AW12" s="467"/>
      <c r="AX12" s="467"/>
      <c r="AY12" s="467"/>
      <c r="AZ12" s="467"/>
      <c r="BA12" s="467"/>
      <c r="BB12" s="467"/>
      <c r="BC12" s="467"/>
      <c r="BD12" s="467"/>
      <c r="BE12" s="467"/>
      <c r="BF12" s="467"/>
      <c r="BG12" s="467"/>
      <c r="BH12" s="467"/>
      <c r="BI12" s="467"/>
      <c r="BJ12" s="467"/>
      <c r="BK12" s="467"/>
      <c r="BL12" s="467"/>
    </row>
    <row r="13" customFormat="false" ht="12.75" hidden="false" customHeight="false" outlineLevel="0" collapsed="false">
      <c r="A13" s="464" t="n">
        <f aca="false">EOMONTH(A12,0)+1</f>
        <v>36770</v>
      </c>
      <c r="B13" s="467" t="n">
        <v>0.068048812714454</v>
      </c>
      <c r="C13" s="467" t="n">
        <v>3.725</v>
      </c>
      <c r="D13" s="467" t="n">
        <v>0.63</v>
      </c>
      <c r="E13" s="467" t="n">
        <v>0</v>
      </c>
      <c r="F13" s="467" t="n">
        <v>0</v>
      </c>
      <c r="G13" s="467" t="n">
        <v>122.75</v>
      </c>
      <c r="H13" s="467"/>
      <c r="I13" s="467"/>
      <c r="J13" s="467"/>
      <c r="K13" s="467"/>
      <c r="L13" s="467"/>
      <c r="M13" s="467"/>
      <c r="N13" s="467"/>
      <c r="O13" s="467"/>
      <c r="P13" s="467"/>
      <c r="Q13" s="467"/>
      <c r="R13" s="467"/>
      <c r="S13" s="467"/>
      <c r="T13" s="467"/>
      <c r="U13" s="467"/>
      <c r="V13" s="467"/>
      <c r="W13" s="467"/>
      <c r="X13" s="467"/>
      <c r="Y13" s="467"/>
      <c r="Z13" s="467"/>
      <c r="AA13" s="467"/>
      <c r="AB13" s="467"/>
      <c r="AC13" s="467"/>
      <c r="AD13" s="467"/>
      <c r="AE13" s="467"/>
      <c r="AF13" s="467"/>
      <c r="AG13" s="467"/>
      <c r="AH13" s="467"/>
      <c r="AI13" s="467"/>
      <c r="AJ13" s="467"/>
      <c r="AK13" s="467"/>
      <c r="AL13" s="467"/>
      <c r="AM13" s="467"/>
      <c r="AN13" s="467"/>
      <c r="AO13" s="467"/>
      <c r="AP13" s="467"/>
      <c r="AQ13" s="467"/>
      <c r="AR13" s="467"/>
      <c r="AS13" s="467"/>
      <c r="AT13" s="467"/>
      <c r="AU13" s="467"/>
      <c r="AV13" s="467"/>
      <c r="AW13" s="467"/>
      <c r="AX13" s="467"/>
      <c r="AY13" s="467"/>
      <c r="AZ13" s="467"/>
      <c r="BA13" s="467"/>
      <c r="BB13" s="467"/>
      <c r="BC13" s="467"/>
      <c r="BD13" s="467"/>
      <c r="BE13" s="467"/>
      <c r="BF13" s="467"/>
      <c r="BG13" s="467"/>
      <c r="BH13" s="467"/>
      <c r="BI13" s="467"/>
      <c r="BJ13" s="467"/>
      <c r="BK13" s="467"/>
      <c r="BL13" s="467"/>
    </row>
    <row r="14" customFormat="false" ht="12.75" hidden="false" customHeight="false" outlineLevel="0" collapsed="false">
      <c r="A14" s="464" t="n">
        <f aca="false">EOMONTH(A13,0)+1</f>
        <v>36800</v>
      </c>
      <c r="B14" s="467" t="n">
        <v>0.068307378972657</v>
      </c>
      <c r="C14" s="467" t="n">
        <v>3.732</v>
      </c>
      <c r="D14" s="467" t="n">
        <v>0.63</v>
      </c>
      <c r="E14" s="467" t="n">
        <v>0</v>
      </c>
      <c r="F14" s="467" t="n">
        <v>0</v>
      </c>
      <c r="G14" s="467" t="n">
        <v>123.75</v>
      </c>
      <c r="H14" s="467"/>
      <c r="I14" s="467"/>
      <c r="J14" s="467"/>
      <c r="K14" s="467"/>
      <c r="L14" s="467"/>
      <c r="M14" s="467"/>
      <c r="N14" s="467"/>
      <c r="O14" s="467"/>
      <c r="P14" s="467"/>
      <c r="Q14" s="467"/>
      <c r="R14" s="467"/>
      <c r="S14" s="467"/>
      <c r="T14" s="467"/>
      <c r="U14" s="467"/>
      <c r="V14" s="467"/>
      <c r="W14" s="467"/>
      <c r="X14" s="467"/>
      <c r="Y14" s="467"/>
      <c r="Z14" s="467"/>
      <c r="AA14" s="467"/>
      <c r="AB14" s="467"/>
      <c r="AC14" s="467"/>
      <c r="AD14" s="467"/>
      <c r="AE14" s="467"/>
      <c r="AF14" s="467"/>
      <c r="AG14" s="467"/>
      <c r="AH14" s="467"/>
      <c r="AI14" s="467"/>
      <c r="AJ14" s="467"/>
      <c r="AK14" s="467"/>
      <c r="AL14" s="467"/>
      <c r="AM14" s="467"/>
      <c r="AN14" s="467"/>
      <c r="AO14" s="467"/>
      <c r="AP14" s="467"/>
      <c r="AQ14" s="467"/>
      <c r="AR14" s="467"/>
      <c r="AS14" s="467"/>
      <c r="AT14" s="467"/>
      <c r="AU14" s="467"/>
      <c r="AV14" s="467"/>
      <c r="AW14" s="467"/>
      <c r="AX14" s="467"/>
      <c r="AY14" s="467"/>
      <c r="AZ14" s="467"/>
      <c r="BA14" s="467"/>
      <c r="BB14" s="467"/>
      <c r="BC14" s="467"/>
      <c r="BD14" s="467"/>
      <c r="BE14" s="467"/>
      <c r="BF14" s="467"/>
      <c r="BG14" s="467"/>
      <c r="BH14" s="467"/>
      <c r="BI14" s="467"/>
      <c r="BJ14" s="467"/>
      <c r="BK14" s="467"/>
      <c r="BL14" s="467"/>
    </row>
    <row r="15" customFormat="false" ht="12.75" hidden="false" customHeight="false" outlineLevel="0" collapsed="false">
      <c r="A15" s="464" t="n">
        <f aca="false">EOMONTH(A14,0)+1</f>
        <v>36831</v>
      </c>
      <c r="B15" s="467" t="n">
        <v>0.068694480919292</v>
      </c>
      <c r="C15" s="467" t="n">
        <v>3.81</v>
      </c>
      <c r="D15" s="467" t="n">
        <v>0.6425</v>
      </c>
      <c r="E15" s="467" t="n">
        <v>0.005</v>
      </c>
      <c r="F15" s="467" t="n">
        <v>0</v>
      </c>
      <c r="G15" s="467" t="n">
        <v>123.75</v>
      </c>
      <c r="H15" s="467"/>
      <c r="I15" s="467"/>
      <c r="J15" s="467"/>
      <c r="K15" s="467"/>
      <c r="L15" s="467"/>
      <c r="M15" s="467"/>
      <c r="N15" s="467"/>
      <c r="O15" s="467"/>
      <c r="P15" s="467"/>
      <c r="Q15" s="467"/>
      <c r="R15" s="467"/>
      <c r="S15" s="467"/>
      <c r="T15" s="467"/>
      <c r="U15" s="467"/>
      <c r="V15" s="467"/>
      <c r="W15" s="467"/>
      <c r="X15" s="467"/>
      <c r="Y15" s="467"/>
      <c r="Z15" s="467"/>
      <c r="AA15" s="467"/>
      <c r="AB15" s="467"/>
      <c r="AC15" s="467"/>
      <c r="AD15" s="467"/>
      <c r="AE15" s="467"/>
      <c r="AF15" s="467"/>
      <c r="AG15" s="467"/>
      <c r="AH15" s="467"/>
      <c r="AI15" s="467"/>
      <c r="AJ15" s="467"/>
      <c r="AK15" s="467"/>
      <c r="AL15" s="467"/>
      <c r="AM15" s="467"/>
      <c r="AN15" s="467"/>
      <c r="AO15" s="467"/>
      <c r="AP15" s="467"/>
      <c r="AQ15" s="467"/>
      <c r="AR15" s="467"/>
      <c r="AS15" s="467"/>
      <c r="AT15" s="467"/>
      <c r="AU15" s="467"/>
      <c r="AV15" s="467"/>
      <c r="AW15" s="467"/>
      <c r="AX15" s="467"/>
      <c r="AY15" s="467"/>
      <c r="AZ15" s="467"/>
      <c r="BA15" s="467"/>
      <c r="BB15" s="467"/>
      <c r="BC15" s="467"/>
      <c r="BD15" s="467"/>
      <c r="BE15" s="467"/>
      <c r="BF15" s="467"/>
      <c r="BG15" s="467"/>
      <c r="BH15" s="467"/>
      <c r="BI15" s="467"/>
      <c r="BJ15" s="467"/>
      <c r="BK15" s="467"/>
      <c r="BL15" s="467"/>
    </row>
    <row r="16" customFormat="false" ht="12.75" hidden="false" customHeight="false" outlineLevel="0" collapsed="false">
      <c r="A16" s="464" t="n">
        <f aca="false">EOMONTH(A15,0)+1</f>
        <v>36861</v>
      </c>
      <c r="B16" s="467" t="n">
        <v>0.068881816359694</v>
      </c>
      <c r="C16" s="467" t="n">
        <v>3.892</v>
      </c>
      <c r="D16" s="467" t="n">
        <v>0.6525</v>
      </c>
      <c r="E16" s="467" t="n">
        <v>0.005</v>
      </c>
      <c r="F16" s="467" t="n">
        <v>0</v>
      </c>
      <c r="G16" s="467" t="n">
        <v>123.75</v>
      </c>
      <c r="H16" s="467"/>
      <c r="I16" s="467"/>
      <c r="J16" s="467"/>
      <c r="K16" s="467"/>
      <c r="L16" s="467"/>
      <c r="M16" s="467"/>
      <c r="N16" s="467"/>
      <c r="O16" s="467"/>
      <c r="P16" s="467"/>
      <c r="Q16" s="467"/>
      <c r="R16" s="467"/>
      <c r="S16" s="467"/>
      <c r="T16" s="467"/>
      <c r="U16" s="467"/>
      <c r="V16" s="467"/>
      <c r="W16" s="467"/>
      <c r="X16" s="467"/>
      <c r="Y16" s="467"/>
      <c r="Z16" s="467"/>
      <c r="AA16" s="467"/>
      <c r="AB16" s="467"/>
      <c r="AC16" s="467"/>
      <c r="AD16" s="467"/>
      <c r="AE16" s="467"/>
      <c r="AF16" s="467"/>
      <c r="AG16" s="467"/>
      <c r="AH16" s="467"/>
      <c r="AI16" s="467"/>
      <c r="AJ16" s="467"/>
      <c r="AK16" s="467"/>
      <c r="AL16" s="467"/>
      <c r="AM16" s="467"/>
      <c r="AN16" s="467"/>
      <c r="AO16" s="467"/>
      <c r="AP16" s="467"/>
      <c r="AQ16" s="467"/>
      <c r="AR16" s="467"/>
      <c r="AS16" s="467"/>
      <c r="AT16" s="467"/>
      <c r="AU16" s="467"/>
      <c r="AV16" s="467"/>
      <c r="AW16" s="467"/>
      <c r="AX16" s="467"/>
      <c r="AY16" s="467"/>
      <c r="AZ16" s="467"/>
      <c r="BA16" s="467"/>
      <c r="BB16" s="467"/>
      <c r="BC16" s="467"/>
      <c r="BD16" s="467"/>
      <c r="BE16" s="467"/>
      <c r="BF16" s="467"/>
      <c r="BG16" s="467"/>
      <c r="BH16" s="467"/>
      <c r="BI16" s="467"/>
      <c r="BJ16" s="467"/>
      <c r="BK16" s="467"/>
      <c r="BL16" s="467"/>
    </row>
    <row r="17" customFormat="false" ht="12.75" hidden="false" customHeight="false" outlineLevel="0" collapsed="false">
      <c r="A17" s="464" t="n">
        <f aca="false">EOMONTH(A16,0)+1</f>
        <v>36892</v>
      </c>
      <c r="B17" s="467" t="n">
        <v>0.069111166945366</v>
      </c>
      <c r="C17" s="467" t="n">
        <v>3.89</v>
      </c>
      <c r="D17" s="467" t="n">
        <v>0.66</v>
      </c>
      <c r="E17" s="467" t="n">
        <v>0.005</v>
      </c>
      <c r="F17" s="467" t="n">
        <v>0</v>
      </c>
      <c r="G17" s="467" t="n">
        <v>123.317</v>
      </c>
      <c r="H17" s="467"/>
      <c r="I17" s="467"/>
      <c r="J17" s="467"/>
      <c r="K17" s="467"/>
      <c r="L17" s="467"/>
      <c r="M17" s="467"/>
      <c r="N17" s="467"/>
      <c r="O17" s="467"/>
      <c r="P17" s="467"/>
      <c r="Q17" s="467"/>
      <c r="R17" s="467"/>
      <c r="S17" s="467"/>
      <c r="T17" s="467"/>
      <c r="U17" s="467"/>
      <c r="V17" s="467"/>
      <c r="W17" s="467"/>
      <c r="X17" s="467"/>
      <c r="Y17" s="467"/>
      <c r="Z17" s="467"/>
      <c r="AA17" s="467"/>
      <c r="AB17" s="467"/>
      <c r="AC17" s="467"/>
      <c r="AD17" s="467"/>
      <c r="AE17" s="467"/>
      <c r="AF17" s="467"/>
      <c r="AG17" s="467"/>
      <c r="AH17" s="467"/>
      <c r="AI17" s="467"/>
      <c r="AJ17" s="467"/>
      <c r="AK17" s="467"/>
      <c r="AL17" s="467"/>
      <c r="AM17" s="467"/>
      <c r="AN17" s="467"/>
      <c r="AO17" s="467"/>
      <c r="AP17" s="467"/>
      <c r="AQ17" s="467"/>
      <c r="AR17" s="467"/>
      <c r="AS17" s="467"/>
      <c r="AT17" s="467"/>
      <c r="AU17" s="467"/>
      <c r="AV17" s="467"/>
      <c r="AW17" s="467"/>
      <c r="AX17" s="467"/>
      <c r="AY17" s="467"/>
      <c r="AZ17" s="467"/>
      <c r="BA17" s="467"/>
      <c r="BB17" s="467"/>
      <c r="BC17" s="467"/>
      <c r="BD17" s="467"/>
      <c r="BE17" s="467"/>
      <c r="BF17" s="467"/>
      <c r="BG17" s="467"/>
      <c r="BH17" s="467"/>
      <c r="BI17" s="467"/>
      <c r="BJ17" s="467"/>
      <c r="BK17" s="467"/>
      <c r="BL17" s="467"/>
    </row>
    <row r="18" customFormat="false" ht="12.75" hidden="false" customHeight="false" outlineLevel="0" collapsed="false">
      <c r="A18" s="464" t="n">
        <f aca="false">EOMONTH(A17,0)+1</f>
        <v>36923</v>
      </c>
      <c r="B18" s="467" t="n">
        <v>0.069397154366051</v>
      </c>
      <c r="C18" s="467" t="n">
        <v>3.735</v>
      </c>
      <c r="D18" s="467" t="n">
        <v>0.635</v>
      </c>
      <c r="E18" s="467" t="n">
        <v>0.005</v>
      </c>
      <c r="F18" s="467" t="n">
        <v>0</v>
      </c>
      <c r="G18" s="467" t="n">
        <v>121.183</v>
      </c>
      <c r="H18" s="467"/>
      <c r="I18" s="467"/>
      <c r="J18" s="467"/>
      <c r="K18" s="467"/>
      <c r="L18" s="467"/>
      <c r="M18" s="467"/>
      <c r="N18" s="467"/>
      <c r="O18" s="467"/>
      <c r="P18" s="467"/>
      <c r="Q18" s="467"/>
      <c r="R18" s="467"/>
      <c r="S18" s="467"/>
      <c r="T18" s="467"/>
      <c r="U18" s="467"/>
      <c r="V18" s="467"/>
      <c r="W18" s="467"/>
      <c r="X18" s="467"/>
      <c r="Y18" s="467"/>
      <c r="Z18" s="467"/>
      <c r="AA18" s="467"/>
      <c r="AB18" s="467"/>
      <c r="AC18" s="467"/>
      <c r="AD18" s="467"/>
      <c r="AE18" s="467"/>
      <c r="AF18" s="467"/>
      <c r="AG18" s="467"/>
      <c r="AH18" s="467"/>
      <c r="AI18" s="467"/>
      <c r="AJ18" s="467"/>
      <c r="AK18" s="467"/>
      <c r="AL18" s="467"/>
      <c r="AM18" s="467"/>
      <c r="AN18" s="467"/>
      <c r="AO18" s="467"/>
      <c r="AP18" s="467"/>
      <c r="AQ18" s="467"/>
      <c r="AR18" s="467"/>
      <c r="AS18" s="467"/>
      <c r="AT18" s="467"/>
      <c r="AU18" s="467"/>
      <c r="AV18" s="467"/>
      <c r="AW18" s="467"/>
      <c r="AX18" s="467"/>
      <c r="AY18" s="467"/>
      <c r="AZ18" s="467"/>
      <c r="BA18" s="467"/>
      <c r="BB18" s="467"/>
      <c r="BC18" s="467"/>
      <c r="BD18" s="467"/>
      <c r="BE18" s="467"/>
      <c r="BF18" s="467"/>
      <c r="BG18" s="467"/>
      <c r="BH18" s="467"/>
      <c r="BI18" s="467"/>
      <c r="BJ18" s="467"/>
      <c r="BK18" s="467"/>
      <c r="BL18" s="467"/>
    </row>
    <row r="19" customFormat="false" ht="12.75" hidden="false" customHeight="false" outlineLevel="0" collapsed="false">
      <c r="A19" s="464" t="n">
        <f aca="false">EOMONTH(A18,0)+1</f>
        <v>36951</v>
      </c>
      <c r="B19" s="467" t="n">
        <v>0.069655465607987</v>
      </c>
      <c r="C19" s="467" t="n">
        <v>3.585</v>
      </c>
      <c r="D19" s="467" t="n">
        <v>0.5675</v>
      </c>
      <c r="E19" s="467" t="n">
        <v>0.005</v>
      </c>
      <c r="F19" s="467" t="n">
        <v>0</v>
      </c>
      <c r="G19" s="467" t="n">
        <v>119.444</v>
      </c>
      <c r="H19" s="467"/>
      <c r="I19" s="467"/>
      <c r="J19" s="467"/>
      <c r="K19" s="467"/>
      <c r="L19" s="467"/>
      <c r="M19" s="467"/>
      <c r="N19" s="467"/>
      <c r="O19" s="467"/>
      <c r="P19" s="467"/>
      <c r="Q19" s="467"/>
      <c r="R19" s="467"/>
      <c r="S19" s="467"/>
      <c r="T19" s="467"/>
      <c r="U19" s="467"/>
      <c r="V19" s="467"/>
      <c r="W19" s="467"/>
      <c r="X19" s="467"/>
      <c r="Y19" s="467"/>
      <c r="Z19" s="467"/>
      <c r="AA19" s="467"/>
      <c r="AB19" s="467"/>
      <c r="AC19" s="467"/>
      <c r="AD19" s="467"/>
      <c r="AE19" s="467"/>
      <c r="AF19" s="467"/>
      <c r="AG19" s="467"/>
      <c r="AH19" s="467"/>
      <c r="AI19" s="467"/>
      <c r="AJ19" s="467"/>
      <c r="AK19" s="467"/>
      <c r="AL19" s="467"/>
      <c r="AM19" s="467"/>
      <c r="AN19" s="467"/>
      <c r="AO19" s="467"/>
      <c r="AP19" s="467"/>
      <c r="AQ19" s="467"/>
      <c r="AR19" s="467"/>
      <c r="AS19" s="467"/>
      <c r="AT19" s="467"/>
      <c r="AU19" s="467"/>
      <c r="AV19" s="467"/>
      <c r="AW19" s="467"/>
      <c r="AX19" s="467"/>
      <c r="AY19" s="467"/>
      <c r="AZ19" s="467"/>
      <c r="BA19" s="467"/>
      <c r="BB19" s="467"/>
      <c r="BC19" s="467"/>
      <c r="BD19" s="467"/>
      <c r="BE19" s="467"/>
      <c r="BF19" s="467"/>
      <c r="BG19" s="467"/>
      <c r="BH19" s="467"/>
      <c r="BI19" s="467"/>
      <c r="BJ19" s="467"/>
      <c r="BK19" s="467"/>
      <c r="BL19" s="467"/>
    </row>
    <row r="20" customFormat="false" ht="12.75" hidden="false" customHeight="false" outlineLevel="0" collapsed="false">
      <c r="A20" s="464" t="n">
        <f aca="false">EOMONTH(A19,0)+1</f>
        <v>36982</v>
      </c>
      <c r="B20" s="467" t="n">
        <v>0.069880071022267</v>
      </c>
      <c r="C20" s="467" t="n">
        <v>3.44</v>
      </c>
      <c r="D20" s="467" t="n">
        <v>0.48</v>
      </c>
      <c r="E20" s="467" t="n">
        <v>0.005</v>
      </c>
      <c r="F20" s="467" t="n">
        <v>0</v>
      </c>
      <c r="G20" s="467" t="n">
        <v>116.335</v>
      </c>
      <c r="H20" s="467"/>
      <c r="I20" s="467"/>
      <c r="J20" s="467"/>
      <c r="K20" s="467"/>
      <c r="L20" s="467"/>
      <c r="M20" s="467"/>
      <c r="N20" s="467"/>
      <c r="O20" s="467"/>
      <c r="P20" s="467"/>
      <c r="Q20" s="467"/>
      <c r="R20" s="467"/>
      <c r="S20" s="467"/>
      <c r="T20" s="467"/>
      <c r="U20" s="467"/>
      <c r="V20" s="467"/>
      <c r="W20" s="467"/>
      <c r="X20" s="467"/>
      <c r="Y20" s="467"/>
      <c r="Z20" s="467"/>
      <c r="AA20" s="467"/>
      <c r="AB20" s="467"/>
      <c r="AC20" s="467"/>
      <c r="AD20" s="467"/>
      <c r="AE20" s="467"/>
      <c r="AF20" s="467"/>
      <c r="AG20" s="467"/>
      <c r="AH20" s="467"/>
      <c r="AI20" s="467"/>
      <c r="AJ20" s="467"/>
      <c r="AK20" s="467"/>
      <c r="AL20" s="467"/>
      <c r="AM20" s="467"/>
      <c r="AN20" s="467"/>
      <c r="AO20" s="467"/>
      <c r="AP20" s="467"/>
      <c r="AQ20" s="467"/>
      <c r="AR20" s="467"/>
      <c r="AS20" s="467"/>
      <c r="AT20" s="467"/>
      <c r="AU20" s="467"/>
      <c r="AV20" s="467"/>
      <c r="AW20" s="467"/>
      <c r="AX20" s="467"/>
      <c r="AY20" s="467"/>
      <c r="AZ20" s="467"/>
      <c r="BA20" s="467"/>
      <c r="BB20" s="467"/>
      <c r="BC20" s="467"/>
      <c r="BD20" s="467"/>
      <c r="BE20" s="467"/>
      <c r="BF20" s="467"/>
      <c r="BG20" s="467"/>
      <c r="BH20" s="467"/>
      <c r="BI20" s="467"/>
      <c r="BJ20" s="467"/>
      <c r="BK20" s="467"/>
      <c r="BL20" s="467"/>
    </row>
    <row r="21" customFormat="false" ht="12.75" hidden="false" customHeight="false" outlineLevel="0" collapsed="false">
      <c r="A21" s="464" t="n">
        <f aca="false">EOMONTH(A20,0)+1</f>
        <v>37012</v>
      </c>
      <c r="B21" s="467" t="n">
        <v>0.069993204989047</v>
      </c>
      <c r="C21" s="467" t="n">
        <v>3.409</v>
      </c>
      <c r="D21" s="467" t="n">
        <v>0.425</v>
      </c>
      <c r="E21" s="467" t="n">
        <v>0.005</v>
      </c>
      <c r="F21" s="467" t="n">
        <v>0</v>
      </c>
      <c r="G21" s="467" t="n">
        <v>114.673</v>
      </c>
      <c r="H21" s="467"/>
      <c r="I21" s="467"/>
      <c r="J21" s="467"/>
      <c r="K21" s="467"/>
      <c r="L21" s="467"/>
      <c r="M21" s="467"/>
      <c r="N21" s="467"/>
      <c r="O21" s="467"/>
      <c r="P21" s="467"/>
      <c r="Q21" s="467"/>
      <c r="R21" s="467"/>
      <c r="S21" s="467"/>
      <c r="T21" s="467"/>
      <c r="U21" s="467"/>
      <c r="V21" s="467"/>
      <c r="W21" s="467"/>
      <c r="X21" s="467"/>
      <c r="Y21" s="467"/>
      <c r="Z21" s="467"/>
      <c r="AA21" s="467"/>
      <c r="AB21" s="467"/>
      <c r="AC21" s="467"/>
      <c r="AD21" s="467"/>
      <c r="AE21" s="467"/>
      <c r="AF21" s="467"/>
      <c r="AG21" s="467"/>
      <c r="AH21" s="467"/>
      <c r="AI21" s="467"/>
      <c r="AJ21" s="467"/>
      <c r="AK21" s="467"/>
      <c r="AL21" s="467"/>
      <c r="AM21" s="467"/>
      <c r="AN21" s="467"/>
      <c r="AO21" s="467"/>
      <c r="AP21" s="467"/>
      <c r="AQ21" s="467"/>
      <c r="AR21" s="467"/>
      <c r="AS21" s="467"/>
      <c r="AT21" s="467"/>
      <c r="AU21" s="467"/>
      <c r="AV21" s="467"/>
      <c r="AW21" s="467"/>
      <c r="AX21" s="467"/>
      <c r="AY21" s="467"/>
      <c r="AZ21" s="467"/>
      <c r="BA21" s="467"/>
      <c r="BB21" s="467"/>
      <c r="BC21" s="467"/>
      <c r="BD21" s="467"/>
      <c r="BE21" s="467"/>
      <c r="BF21" s="467"/>
      <c r="BG21" s="467"/>
      <c r="BH21" s="467"/>
      <c r="BI21" s="467"/>
      <c r="BJ21" s="467"/>
      <c r="BK21" s="467"/>
      <c r="BL21" s="467"/>
    </row>
    <row r="22" customFormat="false" ht="12.75" hidden="false" customHeight="false" outlineLevel="0" collapsed="false">
      <c r="A22" s="464" t="n">
        <f aca="false">EOMONTH(A21,0)+1</f>
        <v>37043</v>
      </c>
      <c r="B22" s="467" t="n">
        <v>0.070110110092498</v>
      </c>
      <c r="C22" s="467" t="n">
        <v>3.399</v>
      </c>
      <c r="D22" s="467" t="n">
        <v>0.42</v>
      </c>
      <c r="E22" s="467" t="n">
        <v>0.005</v>
      </c>
      <c r="F22" s="467" t="n">
        <v>0</v>
      </c>
      <c r="G22" s="467" t="n">
        <v>113.027</v>
      </c>
      <c r="H22" s="467"/>
      <c r="I22" s="467"/>
      <c r="J22" s="467"/>
      <c r="K22" s="467"/>
      <c r="L22" s="467"/>
      <c r="M22" s="467"/>
      <c r="N22" s="467"/>
      <c r="O22" s="467"/>
      <c r="P22" s="467"/>
      <c r="Q22" s="467"/>
      <c r="R22" s="467"/>
      <c r="S22" s="467"/>
      <c r="T22" s="467"/>
      <c r="U22" s="467"/>
      <c r="V22" s="467"/>
      <c r="W22" s="467"/>
      <c r="X22" s="467"/>
      <c r="Y22" s="467"/>
      <c r="Z22" s="467"/>
      <c r="AA22" s="467"/>
      <c r="AB22" s="467"/>
      <c r="AC22" s="467"/>
      <c r="AD22" s="467"/>
      <c r="AE22" s="467"/>
      <c r="AF22" s="467"/>
      <c r="AG22" s="467"/>
      <c r="AH22" s="467"/>
      <c r="AI22" s="467"/>
      <c r="AJ22" s="467"/>
      <c r="AK22" s="467"/>
      <c r="AL22" s="467"/>
      <c r="AM22" s="467"/>
      <c r="AN22" s="467"/>
      <c r="AO22" s="467"/>
      <c r="AP22" s="467"/>
      <c r="AQ22" s="467"/>
      <c r="AR22" s="467"/>
      <c r="AS22" s="467"/>
      <c r="AT22" s="467"/>
      <c r="AU22" s="467"/>
      <c r="AV22" s="467"/>
      <c r="AW22" s="467"/>
      <c r="AX22" s="467"/>
      <c r="AY22" s="467"/>
      <c r="AZ22" s="467"/>
      <c r="BA22" s="467"/>
      <c r="BB22" s="467"/>
      <c r="BC22" s="467"/>
      <c r="BD22" s="467"/>
      <c r="BE22" s="467"/>
      <c r="BF22" s="467"/>
      <c r="BG22" s="467"/>
      <c r="BH22" s="467"/>
      <c r="BI22" s="467"/>
      <c r="BJ22" s="467"/>
      <c r="BK22" s="467"/>
      <c r="BL22" s="467"/>
    </row>
    <row r="23" customFormat="false" ht="12.75" hidden="false" customHeight="false" outlineLevel="0" collapsed="false">
      <c r="A23" s="464" t="n">
        <f aca="false">EOMONTH(A22,0)+1</f>
        <v>37073</v>
      </c>
      <c r="B23" s="467" t="n">
        <v>0.0702147889035</v>
      </c>
      <c r="C23" s="467" t="n">
        <v>3.389</v>
      </c>
      <c r="D23" s="467" t="n">
        <v>0.4175</v>
      </c>
      <c r="E23" s="467" t="n">
        <v>0.005</v>
      </c>
      <c r="F23" s="467" t="n">
        <v>0</v>
      </c>
      <c r="G23" s="467" t="n">
        <v>112.487</v>
      </c>
      <c r="H23" s="467"/>
      <c r="I23" s="467"/>
      <c r="J23" s="467"/>
      <c r="K23" s="467"/>
      <c r="L23" s="467"/>
      <c r="M23" s="467"/>
      <c r="N23" s="467"/>
      <c r="O23" s="467"/>
      <c r="P23" s="467"/>
      <c r="Q23" s="467"/>
      <c r="R23" s="467"/>
      <c r="S23" s="467"/>
      <c r="T23" s="467"/>
      <c r="U23" s="467"/>
      <c r="V23" s="467"/>
      <c r="W23" s="467"/>
      <c r="X23" s="467"/>
      <c r="Y23" s="467"/>
      <c r="Z23" s="467"/>
      <c r="AA23" s="467"/>
      <c r="AB23" s="467"/>
      <c r="AC23" s="467"/>
      <c r="AD23" s="467"/>
      <c r="AE23" s="467"/>
      <c r="AF23" s="467"/>
      <c r="AG23" s="467"/>
      <c r="AH23" s="467"/>
      <c r="AI23" s="467"/>
      <c r="AJ23" s="467"/>
      <c r="AK23" s="467"/>
      <c r="AL23" s="467"/>
      <c r="AM23" s="467"/>
      <c r="AN23" s="467"/>
      <c r="AO23" s="467"/>
      <c r="AP23" s="467"/>
      <c r="AQ23" s="467"/>
      <c r="AR23" s="467"/>
      <c r="AS23" s="467"/>
      <c r="AT23" s="467"/>
      <c r="AU23" s="467"/>
      <c r="AV23" s="467"/>
      <c r="AW23" s="467"/>
      <c r="AX23" s="467"/>
      <c r="AY23" s="467"/>
      <c r="AZ23" s="467"/>
      <c r="BA23" s="467"/>
      <c r="BB23" s="467"/>
      <c r="BC23" s="467"/>
      <c r="BD23" s="467"/>
      <c r="BE23" s="467"/>
      <c r="BF23" s="467"/>
      <c r="BG23" s="467"/>
      <c r="BH23" s="467"/>
      <c r="BI23" s="467"/>
      <c r="BJ23" s="467"/>
      <c r="BK23" s="467"/>
      <c r="BL23" s="467"/>
    </row>
    <row r="24" customFormat="false" ht="12.75" hidden="false" customHeight="false" outlineLevel="0" collapsed="false">
      <c r="A24" s="464" t="n">
        <f aca="false">EOMONTH(A23,0)+1</f>
        <v>37104</v>
      </c>
      <c r="B24" s="467" t="n">
        <v>0.070307065970443</v>
      </c>
      <c r="C24" s="467" t="n">
        <v>3.389</v>
      </c>
      <c r="D24" s="467" t="n">
        <v>0.4175</v>
      </c>
      <c r="E24" s="467" t="n">
        <v>0.005</v>
      </c>
      <c r="F24" s="467" t="n">
        <v>0</v>
      </c>
      <c r="G24" s="467" t="n">
        <v>111.327</v>
      </c>
      <c r="H24" s="467"/>
      <c r="I24" s="467"/>
      <c r="J24" s="467"/>
      <c r="K24" s="467"/>
      <c r="L24" s="467"/>
      <c r="M24" s="467"/>
      <c r="N24" s="467"/>
      <c r="O24" s="467"/>
      <c r="P24" s="467"/>
      <c r="Q24" s="467"/>
      <c r="R24" s="467"/>
      <c r="S24" s="467"/>
      <c r="T24" s="467"/>
      <c r="U24" s="467"/>
      <c r="V24" s="467"/>
      <c r="W24" s="467"/>
      <c r="X24" s="467"/>
      <c r="Y24" s="467"/>
      <c r="Z24" s="467"/>
      <c r="AA24" s="467"/>
      <c r="AB24" s="467"/>
      <c r="AC24" s="467"/>
      <c r="AD24" s="467"/>
      <c r="AE24" s="467"/>
      <c r="AF24" s="467"/>
      <c r="AG24" s="467"/>
      <c r="AH24" s="467"/>
      <c r="AI24" s="467"/>
      <c r="AJ24" s="467"/>
      <c r="AK24" s="467"/>
      <c r="AL24" s="467"/>
      <c r="AM24" s="467"/>
      <c r="AN24" s="467"/>
      <c r="AO24" s="467"/>
      <c r="AP24" s="467"/>
      <c r="AQ24" s="467"/>
      <c r="AR24" s="467"/>
      <c r="AS24" s="467"/>
      <c r="AT24" s="467"/>
      <c r="AU24" s="467"/>
      <c r="AV24" s="467"/>
      <c r="AW24" s="467"/>
      <c r="AX24" s="467"/>
      <c r="AY24" s="467"/>
      <c r="AZ24" s="467"/>
      <c r="BA24" s="467"/>
      <c r="BB24" s="467"/>
      <c r="BC24" s="467"/>
      <c r="BD24" s="467"/>
      <c r="BE24" s="467"/>
      <c r="BF24" s="467"/>
      <c r="BG24" s="467"/>
      <c r="BH24" s="467"/>
      <c r="BI24" s="467"/>
      <c r="BJ24" s="467"/>
      <c r="BK24" s="467"/>
      <c r="BL24" s="467"/>
    </row>
    <row r="25" customFormat="false" ht="12.75" hidden="false" customHeight="false" outlineLevel="0" collapsed="false">
      <c r="A25" s="464" t="n">
        <f aca="false">EOMONTH(A24,0)+1</f>
        <v>37135</v>
      </c>
      <c r="B25" s="467" t="n">
        <v>0.070399343040201</v>
      </c>
      <c r="C25" s="467" t="n">
        <v>3.379</v>
      </c>
      <c r="D25" s="467" t="n">
        <v>0.4175</v>
      </c>
      <c r="E25" s="467" t="n">
        <v>0.005</v>
      </c>
      <c r="F25" s="467" t="n">
        <v>0</v>
      </c>
      <c r="G25" s="467" t="n">
        <v>110.3</v>
      </c>
      <c r="H25" s="467"/>
      <c r="I25" s="467"/>
      <c r="J25" s="467"/>
      <c r="K25" s="467"/>
      <c r="L25" s="467"/>
      <c r="M25" s="467"/>
      <c r="N25" s="467"/>
      <c r="O25" s="467"/>
      <c r="P25" s="467"/>
      <c r="Q25" s="467"/>
      <c r="R25" s="467"/>
      <c r="S25" s="467"/>
      <c r="T25" s="467"/>
      <c r="U25" s="467"/>
      <c r="V25" s="467"/>
      <c r="W25" s="467"/>
      <c r="X25" s="467"/>
      <c r="Y25" s="467"/>
      <c r="Z25" s="467"/>
      <c r="AA25" s="467"/>
      <c r="AB25" s="467"/>
      <c r="AC25" s="467"/>
      <c r="AD25" s="467"/>
      <c r="AE25" s="467"/>
      <c r="AF25" s="467"/>
      <c r="AG25" s="467"/>
      <c r="AH25" s="467"/>
      <c r="AI25" s="467"/>
      <c r="AJ25" s="467"/>
      <c r="AK25" s="467"/>
      <c r="AL25" s="467"/>
      <c r="AM25" s="467"/>
      <c r="AN25" s="467"/>
      <c r="AO25" s="467"/>
      <c r="AP25" s="467"/>
      <c r="AQ25" s="467"/>
      <c r="AR25" s="467"/>
      <c r="AS25" s="467"/>
      <c r="AT25" s="467"/>
      <c r="AU25" s="467"/>
      <c r="AV25" s="467"/>
      <c r="AW25" s="467"/>
      <c r="AX25" s="467"/>
      <c r="AY25" s="467"/>
      <c r="AZ25" s="467"/>
      <c r="BA25" s="467"/>
      <c r="BB25" s="467"/>
      <c r="BC25" s="467"/>
      <c r="BD25" s="467"/>
      <c r="BE25" s="467"/>
      <c r="BF25" s="467"/>
      <c r="BG25" s="467"/>
      <c r="BH25" s="467"/>
      <c r="BI25" s="467"/>
      <c r="BJ25" s="467"/>
      <c r="BK25" s="467"/>
      <c r="BL25" s="467"/>
    </row>
    <row r="26" customFormat="false" ht="12.75" hidden="false" customHeight="false" outlineLevel="0" collapsed="false">
      <c r="A26" s="464" t="n">
        <f aca="false">EOMONTH(A25,0)+1</f>
        <v>37165</v>
      </c>
      <c r="B26" s="467" t="n">
        <v>0.070478404083171</v>
      </c>
      <c r="C26" s="467" t="n">
        <v>3.404</v>
      </c>
      <c r="D26" s="467" t="n">
        <v>0.42</v>
      </c>
      <c r="E26" s="467" t="n">
        <v>0.005</v>
      </c>
      <c r="F26" s="467" t="n">
        <v>0</v>
      </c>
      <c r="G26" s="467" t="n">
        <v>112.978</v>
      </c>
      <c r="H26" s="467"/>
      <c r="I26" s="467"/>
      <c r="J26" s="467"/>
      <c r="K26" s="467"/>
      <c r="L26" s="467"/>
      <c r="M26" s="467"/>
      <c r="N26" s="467"/>
      <c r="O26" s="467"/>
      <c r="P26" s="467"/>
      <c r="Q26" s="467"/>
      <c r="R26" s="467"/>
      <c r="S26" s="467"/>
      <c r="T26" s="467"/>
      <c r="U26" s="467"/>
      <c r="V26" s="467"/>
      <c r="W26" s="467"/>
      <c r="X26" s="467"/>
      <c r="Y26" s="467"/>
      <c r="Z26" s="467"/>
      <c r="AA26" s="467"/>
      <c r="AB26" s="467"/>
      <c r="AC26" s="467"/>
      <c r="AD26" s="467"/>
      <c r="AE26" s="467"/>
      <c r="AF26" s="467"/>
      <c r="AG26" s="467"/>
      <c r="AH26" s="467"/>
      <c r="AI26" s="467"/>
      <c r="AJ26" s="467"/>
      <c r="AK26" s="467"/>
      <c r="AL26" s="467"/>
      <c r="AM26" s="467"/>
      <c r="AN26" s="467"/>
      <c r="AO26" s="467"/>
      <c r="AP26" s="467"/>
      <c r="AQ26" s="467"/>
      <c r="AR26" s="467"/>
      <c r="AS26" s="467"/>
      <c r="AT26" s="467"/>
      <c r="AU26" s="467"/>
      <c r="AV26" s="467"/>
      <c r="AW26" s="467"/>
      <c r="AX26" s="467"/>
      <c r="AY26" s="467"/>
      <c r="AZ26" s="467"/>
      <c r="BA26" s="467"/>
      <c r="BB26" s="467"/>
      <c r="BC26" s="467"/>
      <c r="BD26" s="467"/>
      <c r="BE26" s="467"/>
      <c r="BF26" s="467"/>
      <c r="BG26" s="467"/>
      <c r="BH26" s="467"/>
      <c r="BI26" s="467"/>
      <c r="BJ26" s="467"/>
      <c r="BK26" s="467"/>
      <c r="BL26" s="467"/>
    </row>
    <row r="27" customFormat="false" ht="12.75" hidden="false" customHeight="false" outlineLevel="0" collapsed="false">
      <c r="A27" s="464" t="n">
        <f aca="false">EOMONTH(A26,0)+1</f>
        <v>37196</v>
      </c>
      <c r="B27" s="467" t="n">
        <v>0.070543334070211</v>
      </c>
      <c r="C27" s="467" t="n">
        <v>3.52</v>
      </c>
      <c r="D27" s="467" t="n">
        <v>0.45</v>
      </c>
      <c r="E27" s="467" t="n">
        <v>0.005</v>
      </c>
      <c r="F27" s="467" t="n">
        <v>0</v>
      </c>
      <c r="G27" s="467" t="n">
        <v>111.864</v>
      </c>
      <c r="H27" s="467"/>
      <c r="I27" s="467"/>
      <c r="J27" s="467"/>
      <c r="K27" s="467"/>
      <c r="L27" s="467"/>
      <c r="M27" s="467"/>
      <c r="N27" s="467"/>
      <c r="O27" s="467"/>
      <c r="P27" s="467"/>
      <c r="Q27" s="467"/>
      <c r="R27" s="467"/>
      <c r="S27" s="467"/>
      <c r="T27" s="467"/>
      <c r="U27" s="467"/>
      <c r="V27" s="467"/>
      <c r="W27" s="467"/>
      <c r="X27" s="467"/>
      <c r="Y27" s="467"/>
      <c r="Z27" s="467"/>
      <c r="AA27" s="467"/>
      <c r="AB27" s="467"/>
      <c r="AC27" s="467"/>
      <c r="AD27" s="467"/>
      <c r="AE27" s="467"/>
      <c r="AF27" s="467"/>
      <c r="AG27" s="467"/>
      <c r="AH27" s="467"/>
      <c r="AI27" s="467"/>
      <c r="AJ27" s="467"/>
      <c r="AK27" s="467"/>
      <c r="AL27" s="467"/>
      <c r="AM27" s="467"/>
      <c r="AN27" s="467"/>
      <c r="AO27" s="467"/>
      <c r="AP27" s="467"/>
      <c r="AQ27" s="467"/>
      <c r="AR27" s="467"/>
      <c r="AS27" s="467"/>
      <c r="AT27" s="467"/>
      <c r="AU27" s="467"/>
      <c r="AV27" s="467"/>
      <c r="AW27" s="467"/>
      <c r="AX27" s="467"/>
      <c r="AY27" s="467"/>
      <c r="AZ27" s="467"/>
      <c r="BA27" s="467"/>
      <c r="BB27" s="467"/>
      <c r="BC27" s="467"/>
      <c r="BD27" s="467"/>
      <c r="BE27" s="467"/>
      <c r="BF27" s="467"/>
      <c r="BG27" s="467"/>
      <c r="BH27" s="467"/>
      <c r="BI27" s="467"/>
      <c r="BJ27" s="467"/>
      <c r="BK27" s="467"/>
      <c r="BL27" s="467"/>
    </row>
    <row r="28" customFormat="false" ht="12.75" hidden="false" customHeight="false" outlineLevel="0" collapsed="false">
      <c r="A28" s="464" t="n">
        <f aca="false">EOMONTH(A27,0)+1</f>
        <v>37226</v>
      </c>
      <c r="B28" s="467" t="n">
        <v>0.070606169542866</v>
      </c>
      <c r="C28" s="467" t="n">
        <v>3.63</v>
      </c>
      <c r="D28" s="467" t="n">
        <v>0.4525</v>
      </c>
      <c r="E28" s="467" t="n">
        <v>0.005</v>
      </c>
      <c r="F28" s="467" t="n">
        <v>0</v>
      </c>
      <c r="G28" s="467" t="n">
        <v>110.592</v>
      </c>
      <c r="H28" s="467"/>
      <c r="I28" s="467"/>
      <c r="J28" s="467"/>
      <c r="K28" s="467"/>
      <c r="L28" s="467"/>
      <c r="M28" s="467"/>
      <c r="N28" s="467"/>
      <c r="O28" s="467"/>
      <c r="P28" s="467"/>
      <c r="Q28" s="467"/>
      <c r="R28" s="467"/>
      <c r="S28" s="467"/>
      <c r="T28" s="467"/>
      <c r="U28" s="467"/>
      <c r="V28" s="467"/>
      <c r="W28" s="467"/>
      <c r="X28" s="467"/>
      <c r="Y28" s="467"/>
      <c r="Z28" s="467"/>
      <c r="AA28" s="467"/>
      <c r="AB28" s="467"/>
      <c r="AC28" s="467"/>
      <c r="AD28" s="467"/>
      <c r="AE28" s="467"/>
      <c r="AF28" s="467"/>
      <c r="AG28" s="467"/>
      <c r="AH28" s="467"/>
      <c r="AI28" s="467"/>
      <c r="AJ28" s="467"/>
      <c r="AK28" s="467"/>
      <c r="AL28" s="467"/>
      <c r="AM28" s="467"/>
      <c r="AN28" s="467"/>
      <c r="AO28" s="467"/>
      <c r="AP28" s="467"/>
      <c r="AQ28" s="467"/>
      <c r="AR28" s="467"/>
      <c r="AS28" s="467"/>
      <c r="AT28" s="467"/>
      <c r="AU28" s="467"/>
      <c r="AV28" s="467"/>
      <c r="AW28" s="467"/>
      <c r="AX28" s="467"/>
      <c r="AY28" s="467"/>
      <c r="AZ28" s="467"/>
      <c r="BA28" s="467"/>
      <c r="BB28" s="467"/>
      <c r="BC28" s="467"/>
      <c r="BD28" s="467"/>
      <c r="BE28" s="467"/>
      <c r="BF28" s="467"/>
      <c r="BG28" s="467"/>
      <c r="BH28" s="467"/>
      <c r="BI28" s="467"/>
      <c r="BJ28" s="467"/>
      <c r="BK28" s="467"/>
      <c r="BL28" s="467"/>
      <c r="BQ28" s="43"/>
      <c r="BR28" s="43"/>
    </row>
    <row r="29" customFormat="false" ht="12.75" hidden="false" customHeight="false" outlineLevel="0" collapsed="false">
      <c r="A29" s="464" t="n">
        <f aca="false">EOMONTH(A28,0)+1</f>
        <v>37257</v>
      </c>
      <c r="B29" s="467" t="n">
        <v>0.070674686513092</v>
      </c>
      <c r="C29" s="467" t="n">
        <v>3.65</v>
      </c>
      <c r="D29" s="467" t="n">
        <v>0.455</v>
      </c>
      <c r="E29" s="467" t="n">
        <v>0.005</v>
      </c>
      <c r="F29" s="467" t="n">
        <v>0</v>
      </c>
      <c r="G29" s="467" t="n">
        <v>120.881</v>
      </c>
      <c r="H29" s="467"/>
      <c r="I29" s="467"/>
      <c r="J29" s="467"/>
      <c r="K29" s="467"/>
      <c r="L29" s="467"/>
      <c r="M29" s="467"/>
      <c r="N29" s="467"/>
      <c r="O29" s="467"/>
      <c r="P29" s="467"/>
      <c r="Q29" s="467"/>
      <c r="R29" s="467"/>
      <c r="S29" s="467"/>
      <c r="T29" s="467"/>
      <c r="U29" s="467"/>
      <c r="V29" s="467"/>
      <c r="W29" s="467"/>
      <c r="X29" s="467"/>
      <c r="Y29" s="467"/>
      <c r="Z29" s="467"/>
      <c r="AA29" s="467"/>
      <c r="AB29" s="467"/>
      <c r="AC29" s="467"/>
      <c r="AD29" s="467"/>
      <c r="AE29" s="467"/>
      <c r="AF29" s="467"/>
      <c r="AG29" s="467"/>
      <c r="AH29" s="467"/>
      <c r="AI29" s="467"/>
      <c r="AJ29" s="467"/>
      <c r="AK29" s="467"/>
      <c r="AL29" s="467"/>
      <c r="AM29" s="467"/>
      <c r="AN29" s="467"/>
      <c r="AO29" s="467"/>
      <c r="AP29" s="467"/>
      <c r="AQ29" s="467"/>
      <c r="AR29" s="467"/>
      <c r="AS29" s="467"/>
      <c r="AT29" s="467"/>
      <c r="AU29" s="467"/>
      <c r="AV29" s="467"/>
      <c r="AW29" s="467"/>
      <c r="AX29" s="467"/>
      <c r="AY29" s="467"/>
      <c r="AZ29" s="467"/>
      <c r="BA29" s="467"/>
      <c r="BB29" s="467"/>
      <c r="BC29" s="467"/>
      <c r="BD29" s="467"/>
      <c r="BE29" s="467"/>
      <c r="BF29" s="467"/>
      <c r="BG29" s="467"/>
      <c r="BH29" s="467"/>
      <c r="BI29" s="467"/>
      <c r="BJ29" s="467"/>
      <c r="BK29" s="467"/>
      <c r="BL29" s="467"/>
      <c r="BQ29" s="43"/>
      <c r="BR29" s="43"/>
    </row>
    <row r="30" customFormat="false" ht="12.75" hidden="false" customHeight="false" outlineLevel="0" collapsed="false">
      <c r="A30" s="464" t="n">
        <f aca="false">EOMONTH(A29,0)+1</f>
        <v>37288</v>
      </c>
      <c r="B30" s="467" t="n">
        <v>0.070748170073293</v>
      </c>
      <c r="C30" s="467" t="n">
        <v>3.515</v>
      </c>
      <c r="D30" s="467" t="n">
        <v>0.445</v>
      </c>
      <c r="E30" s="467" t="n">
        <v>0.005</v>
      </c>
      <c r="F30" s="467" t="n">
        <v>0</v>
      </c>
      <c r="G30" s="467" t="n">
        <v>119.609</v>
      </c>
      <c r="H30" s="467"/>
      <c r="I30" s="467"/>
      <c r="J30" s="467"/>
      <c r="K30" s="467"/>
      <c r="L30" s="467"/>
      <c r="M30" s="467"/>
      <c r="N30" s="467"/>
      <c r="O30" s="467"/>
      <c r="P30" s="467"/>
      <c r="Q30" s="467"/>
      <c r="R30" s="467"/>
      <c r="S30" s="467"/>
      <c r="T30" s="467"/>
      <c r="U30" s="467"/>
      <c r="V30" s="467"/>
      <c r="W30" s="467"/>
      <c r="X30" s="467"/>
      <c r="Y30" s="467"/>
      <c r="Z30" s="467"/>
      <c r="AA30" s="467"/>
      <c r="AB30" s="467"/>
      <c r="AC30" s="467"/>
      <c r="AD30" s="467"/>
      <c r="AE30" s="467"/>
      <c r="AF30" s="467"/>
      <c r="AG30" s="467"/>
      <c r="AH30" s="467"/>
      <c r="AI30" s="467"/>
      <c r="AJ30" s="467"/>
      <c r="AK30" s="467"/>
      <c r="AL30" s="467"/>
      <c r="AM30" s="467"/>
      <c r="AN30" s="467"/>
      <c r="AO30" s="467"/>
      <c r="AP30" s="467"/>
      <c r="AQ30" s="467"/>
      <c r="AR30" s="467"/>
      <c r="AS30" s="467"/>
      <c r="AT30" s="467"/>
      <c r="AU30" s="467"/>
      <c r="AV30" s="467"/>
      <c r="AW30" s="467"/>
      <c r="AX30" s="467"/>
      <c r="AY30" s="467"/>
      <c r="AZ30" s="467"/>
      <c r="BA30" s="467"/>
      <c r="BB30" s="467"/>
      <c r="BC30" s="467"/>
      <c r="BD30" s="467"/>
      <c r="BE30" s="467"/>
      <c r="BF30" s="467"/>
      <c r="BG30" s="467"/>
      <c r="BH30" s="467"/>
      <c r="BI30" s="467"/>
      <c r="BJ30" s="467"/>
      <c r="BK30" s="467"/>
      <c r="BL30" s="467"/>
    </row>
    <row r="31" customFormat="false" ht="12.75" hidden="false" customHeight="false" outlineLevel="0" collapsed="false">
      <c r="A31" s="464" t="n">
        <f aca="false">EOMONTH(A30,0)+1</f>
        <v>37316</v>
      </c>
      <c r="B31" s="467" t="n">
        <v>0.070814542322751</v>
      </c>
      <c r="C31" s="467" t="n">
        <v>3.38</v>
      </c>
      <c r="D31" s="467" t="n">
        <v>0.4175</v>
      </c>
      <c r="E31" s="467" t="n">
        <v>0.005</v>
      </c>
      <c r="F31" s="467" t="n">
        <v>0</v>
      </c>
      <c r="G31" s="467" t="n">
        <v>118.437</v>
      </c>
      <c r="H31" s="467"/>
      <c r="I31" s="467"/>
      <c r="J31" s="467"/>
      <c r="K31" s="467"/>
      <c r="L31" s="467"/>
      <c r="M31" s="467"/>
      <c r="N31" s="467"/>
      <c r="O31" s="467"/>
      <c r="P31" s="467"/>
      <c r="Q31" s="467"/>
      <c r="R31" s="467"/>
      <c r="S31" s="467"/>
      <c r="T31" s="467"/>
      <c r="U31" s="467"/>
      <c r="V31" s="467"/>
      <c r="W31" s="467"/>
      <c r="X31" s="467"/>
      <c r="Y31" s="467"/>
      <c r="Z31" s="467"/>
      <c r="AA31" s="467"/>
      <c r="AB31" s="467"/>
      <c r="AC31" s="467"/>
      <c r="AD31" s="467"/>
      <c r="AE31" s="467"/>
      <c r="AF31" s="467"/>
      <c r="AG31" s="467"/>
      <c r="AH31" s="467"/>
      <c r="AI31" s="467"/>
      <c r="AJ31" s="467"/>
      <c r="AK31" s="467"/>
      <c r="AL31" s="467"/>
      <c r="AM31" s="467"/>
      <c r="AN31" s="467"/>
      <c r="AO31" s="467"/>
      <c r="AP31" s="467"/>
      <c r="AQ31" s="467"/>
      <c r="AR31" s="467"/>
      <c r="AS31" s="467"/>
      <c r="AT31" s="467"/>
      <c r="AU31" s="467"/>
      <c r="AV31" s="467"/>
      <c r="AW31" s="467"/>
      <c r="AX31" s="467"/>
      <c r="AY31" s="467"/>
      <c r="AZ31" s="467"/>
      <c r="BA31" s="467"/>
      <c r="BB31" s="467"/>
      <c r="BC31" s="467"/>
      <c r="BD31" s="467"/>
      <c r="BE31" s="467"/>
      <c r="BF31" s="467"/>
      <c r="BG31" s="467"/>
      <c r="BH31" s="467"/>
      <c r="BI31" s="467"/>
      <c r="BJ31" s="467"/>
      <c r="BK31" s="467"/>
      <c r="BL31" s="467"/>
    </row>
    <row r="32" customFormat="false" ht="12.75" hidden="false" customHeight="false" outlineLevel="0" collapsed="false">
      <c r="A32" s="464" t="n">
        <f aca="false">EOMONTH(A31,0)+1</f>
        <v>37347</v>
      </c>
      <c r="B32" s="467" t="n">
        <v>0.07086749010135</v>
      </c>
      <c r="C32" s="467" t="n">
        <v>3.24</v>
      </c>
      <c r="D32" s="467" t="n">
        <v>0.35</v>
      </c>
      <c r="E32" s="467" t="n">
        <v>0.006</v>
      </c>
      <c r="F32" s="467" t="n">
        <v>0</v>
      </c>
      <c r="G32" s="467" t="n">
        <v>117.261</v>
      </c>
      <c r="H32" s="467"/>
      <c r="I32" s="467"/>
      <c r="J32" s="467"/>
      <c r="K32" s="467"/>
      <c r="L32" s="467"/>
      <c r="M32" s="467"/>
      <c r="N32" s="467"/>
      <c r="O32" s="467"/>
      <c r="P32" s="467"/>
      <c r="Q32" s="467"/>
      <c r="R32" s="467"/>
      <c r="S32" s="467"/>
      <c r="T32" s="467"/>
      <c r="U32" s="467"/>
      <c r="V32" s="467"/>
      <c r="W32" s="467"/>
      <c r="X32" s="467"/>
      <c r="Y32" s="467"/>
      <c r="Z32" s="467"/>
      <c r="AA32" s="467"/>
      <c r="AB32" s="467"/>
      <c r="AC32" s="467"/>
      <c r="AD32" s="467"/>
      <c r="AE32" s="467"/>
      <c r="AF32" s="467"/>
      <c r="AG32" s="467"/>
      <c r="AH32" s="467"/>
      <c r="AI32" s="467"/>
      <c r="AJ32" s="467"/>
      <c r="AK32" s="467"/>
      <c r="AL32" s="467"/>
      <c r="AM32" s="467"/>
      <c r="AN32" s="467"/>
      <c r="AO32" s="467"/>
      <c r="AP32" s="467"/>
      <c r="AQ32" s="467"/>
      <c r="AR32" s="467"/>
      <c r="AS32" s="467"/>
      <c r="AT32" s="467"/>
      <c r="AU32" s="467"/>
      <c r="AV32" s="467"/>
      <c r="AW32" s="467"/>
      <c r="AX32" s="467"/>
      <c r="AY32" s="467"/>
      <c r="AZ32" s="467"/>
      <c r="BA32" s="467"/>
      <c r="BB32" s="467"/>
      <c r="BC32" s="467"/>
      <c r="BD32" s="467"/>
      <c r="BE32" s="467"/>
      <c r="BF32" s="467"/>
      <c r="BG32" s="467"/>
      <c r="BH32" s="467"/>
      <c r="BI32" s="467"/>
      <c r="BJ32" s="467"/>
      <c r="BK32" s="467"/>
      <c r="BL32" s="467"/>
    </row>
    <row r="33" customFormat="false" ht="12.75" hidden="false" customHeight="false" outlineLevel="0" collapsed="false">
      <c r="A33" s="464" t="n">
        <f aca="false">EOMONTH(A32,0)+1</f>
        <v>37377</v>
      </c>
      <c r="B33" s="467" t="n">
        <v>0.070888552750499</v>
      </c>
      <c r="C33" s="467" t="n">
        <v>3.205</v>
      </c>
      <c r="D33" s="467" t="n">
        <v>0.335</v>
      </c>
      <c r="E33" s="467" t="n">
        <v>0.006</v>
      </c>
      <c r="F33" s="467" t="n">
        <v>0</v>
      </c>
      <c r="G33" s="467" t="n">
        <v>116.326</v>
      </c>
      <c r="H33" s="467"/>
      <c r="I33" s="467"/>
      <c r="J33" s="467"/>
      <c r="K33" s="467"/>
      <c r="L33" s="467"/>
      <c r="M33" s="467"/>
      <c r="N33" s="467"/>
      <c r="O33" s="467"/>
      <c r="P33" s="467"/>
      <c r="Q33" s="467"/>
      <c r="R33" s="467"/>
      <c r="S33" s="467"/>
      <c r="T33" s="467"/>
      <c r="U33" s="467"/>
      <c r="V33" s="467"/>
      <c r="W33" s="467"/>
      <c r="X33" s="467"/>
      <c r="Y33" s="467"/>
      <c r="Z33" s="467"/>
      <c r="AA33" s="467"/>
      <c r="AB33" s="467"/>
      <c r="AC33" s="467"/>
      <c r="AD33" s="467"/>
      <c r="AE33" s="467"/>
      <c r="AF33" s="467"/>
      <c r="AG33" s="467"/>
      <c r="AH33" s="467"/>
      <c r="AI33" s="467"/>
      <c r="AJ33" s="467"/>
      <c r="AK33" s="467"/>
      <c r="AL33" s="467"/>
      <c r="AM33" s="467"/>
      <c r="AN33" s="467"/>
      <c r="AO33" s="467"/>
      <c r="AP33" s="467"/>
      <c r="AQ33" s="467"/>
      <c r="AR33" s="467"/>
      <c r="AS33" s="467"/>
      <c r="AT33" s="467"/>
      <c r="AU33" s="467"/>
      <c r="AV33" s="467"/>
      <c r="AW33" s="467"/>
      <c r="AX33" s="467"/>
      <c r="AY33" s="467"/>
      <c r="AZ33" s="467"/>
      <c r="BA33" s="467"/>
      <c r="BB33" s="467"/>
      <c r="BC33" s="467"/>
      <c r="BD33" s="467"/>
      <c r="BE33" s="467"/>
      <c r="BF33" s="467"/>
      <c r="BG33" s="467"/>
      <c r="BH33" s="467"/>
      <c r="BI33" s="467"/>
      <c r="BJ33" s="467"/>
      <c r="BK33" s="467"/>
      <c r="BL33" s="467"/>
    </row>
    <row r="34" customFormat="false" ht="12.75" hidden="false" customHeight="false" outlineLevel="0" collapsed="false">
      <c r="A34" s="464" t="n">
        <f aca="false">EOMONTH(A33,0)+1</f>
        <v>37408</v>
      </c>
      <c r="B34" s="467" t="n">
        <v>0.070910317488108</v>
      </c>
      <c r="C34" s="467" t="n">
        <v>3.195</v>
      </c>
      <c r="D34" s="467" t="n">
        <v>0.3325</v>
      </c>
      <c r="E34" s="467" t="n">
        <v>0.006</v>
      </c>
      <c r="F34" s="467" t="n">
        <v>0</v>
      </c>
      <c r="G34" s="467" t="n">
        <v>115.528</v>
      </c>
      <c r="H34" s="467"/>
      <c r="I34" s="467"/>
      <c r="J34" s="467"/>
      <c r="K34" s="467"/>
      <c r="L34" s="467"/>
      <c r="M34" s="467"/>
      <c r="N34" s="467"/>
      <c r="O34" s="467"/>
      <c r="P34" s="467"/>
      <c r="Q34" s="467"/>
      <c r="R34" s="467"/>
      <c r="S34" s="467"/>
      <c r="T34" s="467"/>
      <c r="U34" s="467"/>
      <c r="V34" s="467"/>
      <c r="W34" s="467"/>
      <c r="X34" s="467"/>
      <c r="Y34" s="467"/>
      <c r="Z34" s="467"/>
      <c r="AA34" s="467"/>
      <c r="AB34" s="467"/>
      <c r="AC34" s="467"/>
      <c r="AD34" s="467"/>
      <c r="AE34" s="467"/>
      <c r="AF34" s="467"/>
      <c r="AG34" s="467"/>
      <c r="AH34" s="467"/>
      <c r="AI34" s="467"/>
      <c r="AJ34" s="467"/>
      <c r="AK34" s="467"/>
      <c r="AL34" s="467"/>
      <c r="AM34" s="467"/>
      <c r="AN34" s="467"/>
      <c r="AO34" s="467"/>
      <c r="AP34" s="467"/>
      <c r="AQ34" s="467"/>
      <c r="AR34" s="467"/>
      <c r="AS34" s="467"/>
      <c r="AT34" s="467"/>
      <c r="AU34" s="467"/>
      <c r="AV34" s="467"/>
      <c r="AW34" s="467"/>
      <c r="AX34" s="467"/>
      <c r="AY34" s="467"/>
      <c r="AZ34" s="467"/>
      <c r="BA34" s="467"/>
      <c r="BB34" s="467"/>
      <c r="BC34" s="467"/>
      <c r="BD34" s="467"/>
      <c r="BE34" s="467"/>
      <c r="BF34" s="467"/>
      <c r="BG34" s="467"/>
      <c r="BH34" s="467"/>
      <c r="BI34" s="467"/>
      <c r="BJ34" s="467"/>
      <c r="BK34" s="467"/>
      <c r="BL34" s="467"/>
    </row>
    <row r="35" customFormat="false" ht="12.75" hidden="false" customHeight="false" outlineLevel="0" collapsed="false">
      <c r="A35" s="464" t="n">
        <f aca="false">EOMONTH(A34,0)+1</f>
        <v>37438</v>
      </c>
      <c r="B35" s="467" t="n">
        <v>0.07092964762038</v>
      </c>
      <c r="C35" s="467" t="n">
        <v>3.195</v>
      </c>
      <c r="D35" s="467" t="n">
        <v>0.33</v>
      </c>
      <c r="E35" s="467" t="n">
        <v>0.006</v>
      </c>
      <c r="F35" s="467" t="n">
        <v>0</v>
      </c>
      <c r="G35" s="467" t="n">
        <v>114.845</v>
      </c>
      <c r="H35" s="467"/>
      <c r="I35" s="467"/>
      <c r="J35" s="467"/>
      <c r="K35" s="467"/>
      <c r="L35" s="467"/>
      <c r="M35" s="467"/>
      <c r="N35" s="467"/>
      <c r="O35" s="467"/>
      <c r="P35" s="467"/>
      <c r="Q35" s="467"/>
      <c r="R35" s="467"/>
      <c r="S35" s="467"/>
      <c r="T35" s="467"/>
      <c r="U35" s="467"/>
      <c r="V35" s="467"/>
      <c r="W35" s="467"/>
      <c r="X35" s="467"/>
      <c r="Y35" s="467"/>
      <c r="Z35" s="467"/>
      <c r="AA35" s="467"/>
      <c r="AB35" s="467"/>
      <c r="AC35" s="467"/>
      <c r="AD35" s="467"/>
      <c r="AE35" s="467"/>
      <c r="AF35" s="467"/>
      <c r="AG35" s="467"/>
      <c r="AH35" s="467"/>
      <c r="AI35" s="467"/>
      <c r="AJ35" s="467"/>
      <c r="AK35" s="467"/>
      <c r="AL35" s="467"/>
      <c r="AM35" s="467"/>
      <c r="AN35" s="467"/>
      <c r="AO35" s="467"/>
      <c r="AP35" s="467"/>
      <c r="AQ35" s="467"/>
      <c r="AR35" s="467"/>
      <c r="AS35" s="467"/>
      <c r="AT35" s="467"/>
      <c r="AU35" s="467"/>
      <c r="AV35" s="467"/>
      <c r="AW35" s="467"/>
      <c r="AX35" s="467"/>
      <c r="AY35" s="467"/>
      <c r="AZ35" s="467"/>
      <c r="BA35" s="467"/>
      <c r="BB35" s="467"/>
      <c r="BC35" s="467"/>
      <c r="BD35" s="467"/>
      <c r="BE35" s="467"/>
      <c r="BF35" s="467"/>
      <c r="BG35" s="467"/>
      <c r="BH35" s="467"/>
      <c r="BI35" s="467"/>
      <c r="BJ35" s="467"/>
      <c r="BK35" s="467"/>
      <c r="BL35" s="467"/>
    </row>
    <row r="36" customFormat="false" ht="12.75" hidden="false" customHeight="false" outlineLevel="0" collapsed="false">
      <c r="A36" s="464" t="n">
        <f aca="false">EOMONTH(A35,0)+1</f>
        <v>37469</v>
      </c>
      <c r="B36" s="467" t="n">
        <v>0.070946770197311</v>
      </c>
      <c r="C36" s="467" t="n">
        <v>3.195</v>
      </c>
      <c r="D36" s="467" t="n">
        <v>0.33</v>
      </c>
      <c r="E36" s="467" t="n">
        <v>0.006</v>
      </c>
      <c r="F36" s="467" t="n">
        <v>0</v>
      </c>
      <c r="G36" s="467" t="n">
        <v>114.12</v>
      </c>
      <c r="H36" s="467"/>
      <c r="I36" s="467"/>
      <c r="J36" s="467"/>
      <c r="K36" s="467"/>
      <c r="L36" s="467"/>
      <c r="M36" s="467"/>
      <c r="N36" s="467"/>
      <c r="O36" s="467"/>
      <c r="P36" s="467"/>
      <c r="Q36" s="467"/>
      <c r="R36" s="467"/>
      <c r="S36" s="467"/>
      <c r="T36" s="467"/>
      <c r="U36" s="467"/>
      <c r="V36" s="467"/>
      <c r="W36" s="467"/>
      <c r="X36" s="467"/>
      <c r="Y36" s="467"/>
      <c r="Z36" s="467"/>
      <c r="AA36" s="467"/>
      <c r="AB36" s="467"/>
      <c r="AC36" s="467"/>
      <c r="AD36" s="467"/>
      <c r="AE36" s="467"/>
      <c r="AF36" s="467"/>
      <c r="AG36" s="467"/>
      <c r="AH36" s="467"/>
      <c r="AI36" s="467"/>
      <c r="AJ36" s="467"/>
      <c r="AK36" s="467"/>
      <c r="AL36" s="467"/>
      <c r="AM36" s="467"/>
      <c r="AN36" s="467"/>
      <c r="AO36" s="467"/>
      <c r="AP36" s="467"/>
      <c r="AQ36" s="467"/>
      <c r="AR36" s="467"/>
      <c r="AS36" s="467"/>
      <c r="AT36" s="467"/>
      <c r="AU36" s="467"/>
      <c r="AV36" s="467"/>
      <c r="AW36" s="467"/>
      <c r="AX36" s="467"/>
      <c r="AY36" s="467"/>
      <c r="AZ36" s="467"/>
      <c r="BA36" s="467"/>
      <c r="BB36" s="467"/>
      <c r="BC36" s="467"/>
      <c r="BD36" s="467"/>
      <c r="BE36" s="467"/>
      <c r="BF36" s="467"/>
      <c r="BG36" s="467"/>
      <c r="BH36" s="467"/>
      <c r="BI36" s="467"/>
      <c r="BJ36" s="467"/>
      <c r="BK36" s="467"/>
      <c r="BL36" s="467"/>
    </row>
    <row r="37" customFormat="false" ht="12.75" hidden="false" customHeight="false" outlineLevel="0" collapsed="false">
      <c r="A37" s="464" t="n">
        <f aca="false">EOMONTH(A36,0)+1</f>
        <v>37500</v>
      </c>
      <c r="B37" s="467" t="n">
        <v>0.070963892774338</v>
      </c>
      <c r="C37" s="467" t="n">
        <v>3.185</v>
      </c>
      <c r="D37" s="467" t="n">
        <v>0.33</v>
      </c>
      <c r="E37" s="467" t="n">
        <v>0.006</v>
      </c>
      <c r="F37" s="467" t="n">
        <v>0</v>
      </c>
      <c r="G37" s="467" t="n">
        <v>113.291</v>
      </c>
      <c r="H37" s="467"/>
      <c r="I37" s="467"/>
      <c r="J37" s="467"/>
      <c r="K37" s="467"/>
      <c r="L37" s="467"/>
      <c r="M37" s="467"/>
      <c r="N37" s="467"/>
      <c r="O37" s="467"/>
      <c r="P37" s="467"/>
      <c r="Q37" s="467"/>
      <c r="R37" s="467"/>
      <c r="S37" s="467"/>
      <c r="T37" s="467"/>
      <c r="U37" s="467"/>
      <c r="V37" s="467"/>
      <c r="W37" s="467"/>
      <c r="X37" s="467"/>
      <c r="Y37" s="467"/>
      <c r="Z37" s="467"/>
      <c r="AA37" s="467"/>
      <c r="AB37" s="467"/>
      <c r="AC37" s="467"/>
      <c r="AD37" s="467"/>
      <c r="AE37" s="467"/>
      <c r="AF37" s="467"/>
      <c r="AG37" s="467"/>
      <c r="AH37" s="467"/>
      <c r="AI37" s="467"/>
      <c r="AJ37" s="467"/>
      <c r="AK37" s="467"/>
      <c r="AL37" s="467"/>
      <c r="AM37" s="467"/>
      <c r="AN37" s="467"/>
      <c r="AO37" s="467"/>
      <c r="AP37" s="467"/>
      <c r="AQ37" s="467"/>
      <c r="AR37" s="467"/>
      <c r="AS37" s="467"/>
      <c r="AT37" s="467"/>
      <c r="AU37" s="467"/>
      <c r="AV37" s="467"/>
      <c r="AW37" s="467"/>
      <c r="AX37" s="467"/>
      <c r="AY37" s="467"/>
      <c r="AZ37" s="467"/>
      <c r="BA37" s="467"/>
      <c r="BB37" s="467"/>
      <c r="BC37" s="467"/>
      <c r="BD37" s="467"/>
      <c r="BE37" s="467"/>
      <c r="BF37" s="467"/>
      <c r="BG37" s="467"/>
      <c r="BH37" s="467"/>
      <c r="BI37" s="467"/>
      <c r="BJ37" s="467"/>
      <c r="BK37" s="467"/>
      <c r="BL37" s="467"/>
    </row>
    <row r="38" customFormat="false" ht="12.75" hidden="false" customHeight="false" outlineLevel="0" collapsed="false">
      <c r="A38" s="464" t="n">
        <f aca="false">EOMONTH(A37,0)+1</f>
        <v>37530</v>
      </c>
      <c r="B38" s="467" t="n">
        <v>0.070978377180669</v>
      </c>
      <c r="C38" s="467" t="n">
        <v>3.205</v>
      </c>
      <c r="D38" s="467" t="n">
        <v>0.335</v>
      </c>
      <c r="E38" s="467" t="n">
        <v>0.006</v>
      </c>
      <c r="F38" s="467" t="n">
        <v>0</v>
      </c>
      <c r="G38" s="467" t="n">
        <v>112.622</v>
      </c>
      <c r="H38" s="467"/>
      <c r="I38" s="467"/>
      <c r="J38" s="467"/>
      <c r="K38" s="467"/>
      <c r="L38" s="467"/>
      <c r="M38" s="467"/>
      <c r="N38" s="467"/>
      <c r="O38" s="467"/>
      <c r="P38" s="467"/>
      <c r="Q38" s="467"/>
      <c r="R38" s="467"/>
      <c r="S38" s="467"/>
      <c r="T38" s="467"/>
      <c r="U38" s="467"/>
      <c r="V38" s="467"/>
      <c r="W38" s="467"/>
      <c r="X38" s="467"/>
      <c r="Y38" s="467"/>
      <c r="Z38" s="467"/>
      <c r="AA38" s="467"/>
      <c r="AB38" s="467"/>
      <c r="AC38" s="467"/>
      <c r="AD38" s="467"/>
      <c r="AE38" s="467"/>
      <c r="AF38" s="467"/>
      <c r="AG38" s="467"/>
      <c r="AH38" s="467"/>
      <c r="AI38" s="467"/>
      <c r="AJ38" s="467"/>
      <c r="AK38" s="467"/>
      <c r="AL38" s="467"/>
      <c r="AM38" s="467"/>
      <c r="AN38" s="467"/>
      <c r="AO38" s="467"/>
      <c r="AP38" s="467"/>
      <c r="AQ38" s="467"/>
      <c r="AR38" s="467"/>
      <c r="AS38" s="467"/>
      <c r="AT38" s="467"/>
      <c r="AU38" s="467"/>
      <c r="AV38" s="467"/>
      <c r="AW38" s="467"/>
      <c r="AX38" s="467"/>
      <c r="AY38" s="467"/>
      <c r="AZ38" s="467"/>
      <c r="BA38" s="467"/>
      <c r="BB38" s="467"/>
      <c r="BC38" s="467"/>
      <c r="BD38" s="467"/>
      <c r="BE38" s="467"/>
      <c r="BF38" s="467"/>
      <c r="BG38" s="467"/>
      <c r="BH38" s="467"/>
      <c r="BI38" s="467"/>
      <c r="BJ38" s="467"/>
      <c r="BK38" s="467"/>
      <c r="BL38" s="467"/>
    </row>
    <row r="39" customFormat="false" ht="12.75" hidden="false" customHeight="false" outlineLevel="0" collapsed="false">
      <c r="A39" s="464" t="n">
        <f aca="false">EOMONTH(A38,0)+1</f>
        <v>37561</v>
      </c>
      <c r="B39" s="467" t="n">
        <v>0.070990350597544</v>
      </c>
      <c r="C39" s="467" t="n">
        <v>3.314</v>
      </c>
      <c r="D39" s="467" t="n">
        <v>0.34</v>
      </c>
      <c r="E39" s="467" t="n">
        <v>0.006</v>
      </c>
      <c r="F39" s="467" t="n">
        <v>0</v>
      </c>
      <c r="G39" s="467" t="n">
        <v>111.924</v>
      </c>
      <c r="H39" s="467"/>
      <c r="I39" s="467"/>
      <c r="J39" s="467"/>
      <c r="K39" s="467"/>
      <c r="L39" s="467"/>
      <c r="M39" s="467"/>
      <c r="N39" s="467"/>
      <c r="O39" s="467"/>
      <c r="P39" s="467"/>
      <c r="Q39" s="467"/>
      <c r="R39" s="467"/>
      <c r="S39" s="467"/>
      <c r="T39" s="467"/>
      <c r="U39" s="467"/>
      <c r="V39" s="467"/>
      <c r="W39" s="467"/>
      <c r="X39" s="467"/>
      <c r="Y39" s="467"/>
      <c r="Z39" s="467"/>
      <c r="AA39" s="467"/>
      <c r="AB39" s="467"/>
      <c r="AC39" s="467"/>
      <c r="AD39" s="467"/>
      <c r="AE39" s="467"/>
      <c r="AF39" s="467"/>
      <c r="AG39" s="467"/>
      <c r="AH39" s="467"/>
      <c r="AI39" s="467"/>
      <c r="AJ39" s="467"/>
      <c r="AK39" s="467"/>
      <c r="AL39" s="467"/>
      <c r="AM39" s="467"/>
      <c r="AN39" s="467"/>
      <c r="AO39" s="467"/>
      <c r="AP39" s="467"/>
      <c r="AQ39" s="467"/>
      <c r="AR39" s="467"/>
      <c r="AS39" s="467"/>
      <c r="AT39" s="467"/>
      <c r="AU39" s="467"/>
      <c r="AV39" s="467"/>
      <c r="AW39" s="467"/>
      <c r="AX39" s="467"/>
      <c r="AY39" s="467"/>
      <c r="AZ39" s="467"/>
      <c r="BA39" s="467"/>
      <c r="BB39" s="467"/>
      <c r="BC39" s="467"/>
      <c r="BD39" s="467"/>
      <c r="BE39" s="467"/>
      <c r="BF39" s="467"/>
      <c r="BG39" s="467"/>
      <c r="BH39" s="467"/>
      <c r="BI39" s="467"/>
      <c r="BJ39" s="467"/>
      <c r="BK39" s="467"/>
      <c r="BL39" s="467"/>
    </row>
    <row r="40" customFormat="false" ht="12.75" hidden="false" customHeight="false" outlineLevel="0" collapsed="false">
      <c r="A40" s="464" t="n">
        <f aca="false">EOMONTH(A39,0)+1</f>
        <v>37591</v>
      </c>
      <c r="B40" s="467" t="n">
        <v>0.071001937775211</v>
      </c>
      <c r="C40" s="467" t="n">
        <v>3.419</v>
      </c>
      <c r="D40" s="467" t="n">
        <v>0.3425</v>
      </c>
      <c r="E40" s="467" t="n">
        <v>0.006</v>
      </c>
      <c r="F40" s="467" t="n">
        <v>0</v>
      </c>
      <c r="G40" s="467" t="n">
        <v>111.268</v>
      </c>
      <c r="H40" s="467"/>
      <c r="I40" s="467"/>
      <c r="J40" s="467"/>
      <c r="K40" s="467"/>
      <c r="L40" s="467"/>
      <c r="M40" s="467"/>
      <c r="N40" s="467"/>
      <c r="O40" s="467"/>
      <c r="P40" s="467"/>
      <c r="Q40" s="467"/>
      <c r="R40" s="467"/>
      <c r="S40" s="467"/>
      <c r="T40" s="467"/>
      <c r="U40" s="467"/>
      <c r="V40" s="467"/>
      <c r="W40" s="467"/>
      <c r="X40" s="467"/>
      <c r="Y40" s="467"/>
      <c r="Z40" s="467"/>
      <c r="AA40" s="467"/>
      <c r="AB40" s="467"/>
      <c r="AC40" s="467"/>
      <c r="AD40" s="467"/>
      <c r="AE40" s="467"/>
      <c r="AF40" s="467"/>
      <c r="AG40" s="467"/>
      <c r="AH40" s="467"/>
      <c r="AI40" s="467"/>
      <c r="AJ40" s="467"/>
      <c r="AK40" s="467"/>
      <c r="AL40" s="467"/>
      <c r="AM40" s="467"/>
      <c r="AN40" s="467"/>
      <c r="AO40" s="467"/>
      <c r="AP40" s="467"/>
      <c r="AQ40" s="467"/>
      <c r="AR40" s="467"/>
      <c r="AS40" s="467"/>
      <c r="AT40" s="467"/>
      <c r="AU40" s="467"/>
      <c r="AV40" s="467"/>
      <c r="AW40" s="467"/>
      <c r="AX40" s="467"/>
      <c r="AY40" s="467"/>
      <c r="AZ40" s="467"/>
      <c r="BA40" s="467"/>
      <c r="BB40" s="467"/>
      <c r="BC40" s="467"/>
      <c r="BD40" s="467"/>
      <c r="BE40" s="467"/>
      <c r="BF40" s="467"/>
      <c r="BG40" s="467"/>
      <c r="BH40" s="467"/>
      <c r="BI40" s="467"/>
      <c r="BJ40" s="467"/>
      <c r="BK40" s="467"/>
      <c r="BL40" s="467"/>
    </row>
    <row r="41" customFormat="false" ht="12.75" hidden="false" customHeight="false" outlineLevel="0" collapsed="false">
      <c r="A41" s="464" t="n">
        <f aca="false">EOMONTH(A40,0)+1</f>
        <v>37622</v>
      </c>
      <c r="B41" s="467" t="n">
        <v>0.07101883887975</v>
      </c>
      <c r="C41" s="467" t="n">
        <v>3.44</v>
      </c>
      <c r="D41" s="467" t="n">
        <v>0.335</v>
      </c>
      <c r="E41" s="467" t="n">
        <v>0.005</v>
      </c>
      <c r="F41" s="467" t="n">
        <v>0</v>
      </c>
      <c r="G41" s="467" t="n">
        <v>113.743</v>
      </c>
      <c r="H41" s="467"/>
      <c r="I41" s="467"/>
      <c r="J41" s="467"/>
      <c r="K41" s="467"/>
      <c r="L41" s="467"/>
      <c r="M41" s="467"/>
      <c r="N41" s="467"/>
      <c r="O41" s="467"/>
      <c r="P41" s="467"/>
      <c r="Q41" s="467"/>
      <c r="R41" s="467"/>
      <c r="S41" s="467"/>
      <c r="T41" s="467"/>
      <c r="U41" s="467"/>
      <c r="V41" s="467"/>
      <c r="W41" s="467"/>
      <c r="X41" s="467"/>
      <c r="Y41" s="467"/>
      <c r="Z41" s="467"/>
      <c r="AA41" s="467"/>
      <c r="AB41" s="467"/>
      <c r="AC41" s="467"/>
      <c r="AD41" s="467"/>
      <c r="AE41" s="467"/>
      <c r="AF41" s="467"/>
      <c r="AG41" s="467"/>
      <c r="AH41" s="467"/>
      <c r="AI41" s="467"/>
      <c r="AJ41" s="467"/>
      <c r="AK41" s="467"/>
      <c r="AL41" s="467"/>
      <c r="AM41" s="467"/>
      <c r="AN41" s="467"/>
      <c r="AO41" s="467"/>
      <c r="AP41" s="467"/>
      <c r="AQ41" s="467"/>
      <c r="AR41" s="467"/>
      <c r="AS41" s="467"/>
      <c r="AT41" s="467"/>
      <c r="AU41" s="467"/>
      <c r="AV41" s="467"/>
      <c r="AW41" s="467"/>
      <c r="AX41" s="467"/>
      <c r="AY41" s="467"/>
      <c r="AZ41" s="467"/>
      <c r="BA41" s="467"/>
      <c r="BB41" s="467"/>
      <c r="BC41" s="467"/>
      <c r="BD41" s="467"/>
      <c r="BE41" s="467"/>
      <c r="BF41" s="467"/>
      <c r="BG41" s="467"/>
      <c r="BH41" s="467"/>
      <c r="BI41" s="467"/>
      <c r="BJ41" s="467"/>
      <c r="BK41" s="467"/>
      <c r="BL41" s="467"/>
    </row>
    <row r="42" customFormat="false" ht="12.75" hidden="false" customHeight="false" outlineLevel="0" collapsed="false">
      <c r="A42" s="464" t="n">
        <f aca="false">EOMONTH(A41,0)+1</f>
        <v>37653</v>
      </c>
      <c r="B42" s="467" t="n">
        <v>0.071041723605048</v>
      </c>
      <c r="C42" s="467" t="n">
        <v>3.31</v>
      </c>
      <c r="D42" s="467" t="n">
        <v>0.335</v>
      </c>
      <c r="E42" s="467" t="n">
        <v>0.005</v>
      </c>
      <c r="F42" s="467" t="n">
        <v>0</v>
      </c>
      <c r="G42" s="467" t="n">
        <v>113.146</v>
      </c>
      <c r="H42" s="467"/>
      <c r="I42" s="467"/>
      <c r="J42" s="467"/>
      <c r="K42" s="467"/>
      <c r="L42" s="467"/>
      <c r="M42" s="467"/>
      <c r="N42" s="467"/>
      <c r="O42" s="467"/>
      <c r="P42" s="467"/>
      <c r="Q42" s="467"/>
      <c r="R42" s="467"/>
      <c r="S42" s="467"/>
      <c r="T42" s="467"/>
      <c r="U42" s="467"/>
      <c r="V42" s="467"/>
      <c r="W42" s="467"/>
      <c r="X42" s="467"/>
      <c r="Y42" s="467"/>
      <c r="Z42" s="467"/>
      <c r="AA42" s="467"/>
      <c r="AB42" s="467"/>
      <c r="AC42" s="467"/>
      <c r="AD42" s="467"/>
      <c r="AE42" s="467"/>
      <c r="AF42" s="467"/>
      <c r="AG42" s="467"/>
      <c r="AH42" s="467"/>
      <c r="AI42" s="467"/>
      <c r="AJ42" s="467"/>
      <c r="AK42" s="467"/>
      <c r="AL42" s="467"/>
      <c r="AM42" s="467"/>
      <c r="AN42" s="467"/>
      <c r="AO42" s="467"/>
      <c r="AP42" s="467"/>
      <c r="AQ42" s="467"/>
      <c r="AR42" s="467"/>
      <c r="AS42" s="467"/>
      <c r="AT42" s="467"/>
      <c r="AU42" s="467"/>
      <c r="AV42" s="467"/>
      <c r="AW42" s="467"/>
      <c r="AX42" s="467"/>
      <c r="AY42" s="467"/>
      <c r="AZ42" s="467"/>
      <c r="BA42" s="467"/>
      <c r="BB42" s="467"/>
      <c r="BC42" s="467"/>
      <c r="BD42" s="467"/>
      <c r="BE42" s="467"/>
      <c r="BF42" s="467"/>
      <c r="BG42" s="467"/>
      <c r="BH42" s="467"/>
      <c r="BI42" s="467"/>
      <c r="BJ42" s="467"/>
      <c r="BK42" s="467"/>
      <c r="BL42" s="467"/>
    </row>
    <row r="43" customFormat="false" ht="12.75" hidden="false" customHeight="false" outlineLevel="0" collapsed="false">
      <c r="A43" s="464" t="n">
        <f aca="false">EOMONTH(A42,0)+1</f>
        <v>37681</v>
      </c>
      <c r="B43" s="467" t="n">
        <v>0.071062393679659</v>
      </c>
      <c r="C43" s="467" t="n">
        <v>3.17</v>
      </c>
      <c r="D43" s="467" t="n">
        <v>0.3275</v>
      </c>
      <c r="E43" s="467" t="n">
        <v>0.005</v>
      </c>
      <c r="F43" s="467" t="n">
        <v>0</v>
      </c>
      <c r="G43" s="467" t="n">
        <v>112.475</v>
      </c>
      <c r="H43" s="467"/>
      <c r="I43" s="467"/>
      <c r="J43" s="467"/>
      <c r="K43" s="467"/>
      <c r="L43" s="467"/>
      <c r="M43" s="467"/>
      <c r="N43" s="467"/>
      <c r="O43" s="467"/>
      <c r="P43" s="467"/>
      <c r="Q43" s="467"/>
      <c r="R43" s="467"/>
      <c r="S43" s="467"/>
      <c r="T43" s="467"/>
      <c r="U43" s="467"/>
      <c r="V43" s="467"/>
      <c r="W43" s="467"/>
      <c r="X43" s="467"/>
      <c r="Y43" s="467"/>
      <c r="Z43" s="467"/>
      <c r="AA43" s="467"/>
      <c r="AB43" s="467"/>
      <c r="AC43" s="467"/>
      <c r="AD43" s="467"/>
      <c r="AE43" s="467"/>
      <c r="AF43" s="467"/>
      <c r="AG43" s="467"/>
      <c r="AH43" s="467"/>
      <c r="AI43" s="467"/>
      <c r="AJ43" s="467"/>
      <c r="AK43" s="467"/>
      <c r="AL43" s="467"/>
      <c r="AM43" s="467"/>
      <c r="AN43" s="467"/>
      <c r="AO43" s="467"/>
      <c r="AP43" s="467"/>
      <c r="AQ43" s="467"/>
      <c r="AR43" s="467"/>
      <c r="AS43" s="467"/>
      <c r="AT43" s="467"/>
      <c r="AU43" s="467"/>
      <c r="AV43" s="467"/>
      <c r="AW43" s="467"/>
      <c r="AX43" s="467"/>
      <c r="AY43" s="467"/>
      <c r="AZ43" s="467"/>
      <c r="BA43" s="467"/>
      <c r="BB43" s="467"/>
      <c r="BC43" s="467"/>
      <c r="BD43" s="467"/>
      <c r="BE43" s="467"/>
      <c r="BF43" s="467"/>
      <c r="BG43" s="467"/>
      <c r="BH43" s="467"/>
      <c r="BI43" s="467"/>
      <c r="BJ43" s="467"/>
      <c r="BK43" s="467"/>
      <c r="BL43" s="467"/>
    </row>
    <row r="44" customFormat="false" ht="12.75" hidden="false" customHeight="false" outlineLevel="0" collapsed="false">
      <c r="A44" s="464" t="n">
        <f aca="false">EOMONTH(A43,0)+1</f>
        <v>37712</v>
      </c>
      <c r="B44" s="467" t="n">
        <v>0.071076451505119</v>
      </c>
      <c r="C44" s="467" t="n">
        <v>3.03</v>
      </c>
      <c r="D44" s="467" t="n">
        <v>0.315</v>
      </c>
      <c r="E44" s="467" t="n">
        <v>0.005</v>
      </c>
      <c r="F44" s="467" t="n">
        <v>0</v>
      </c>
      <c r="G44" s="467" t="n">
        <v>111.804</v>
      </c>
      <c r="H44" s="467"/>
      <c r="I44" s="467"/>
      <c r="J44" s="467"/>
      <c r="K44" s="467"/>
      <c r="L44" s="467"/>
      <c r="M44" s="467"/>
      <c r="N44" s="467"/>
      <c r="O44" s="467"/>
      <c r="P44" s="467"/>
      <c r="Q44" s="467"/>
      <c r="R44" s="467"/>
      <c r="S44" s="467"/>
      <c r="T44" s="467"/>
      <c r="U44" s="467"/>
      <c r="V44" s="467"/>
      <c r="W44" s="467"/>
      <c r="X44" s="467"/>
      <c r="Y44" s="467"/>
      <c r="Z44" s="467"/>
      <c r="AA44" s="467"/>
      <c r="AB44" s="467"/>
      <c r="AC44" s="467"/>
      <c r="AD44" s="467"/>
      <c r="AE44" s="467"/>
      <c r="AF44" s="467"/>
      <c r="AG44" s="467"/>
      <c r="AH44" s="467"/>
      <c r="AI44" s="467"/>
      <c r="AJ44" s="467"/>
      <c r="AK44" s="467"/>
      <c r="AL44" s="467"/>
      <c r="AM44" s="467"/>
      <c r="AN44" s="467"/>
      <c r="AO44" s="467"/>
      <c r="AP44" s="467"/>
      <c r="AQ44" s="467"/>
      <c r="AR44" s="467"/>
      <c r="AS44" s="467"/>
      <c r="AT44" s="467"/>
      <c r="AU44" s="467"/>
      <c r="AV44" s="467"/>
      <c r="AW44" s="467"/>
      <c r="AX44" s="467"/>
      <c r="AY44" s="467"/>
      <c r="AZ44" s="467"/>
      <c r="BA44" s="467"/>
      <c r="BB44" s="467"/>
      <c r="BC44" s="467"/>
      <c r="BD44" s="467"/>
      <c r="BE44" s="467"/>
      <c r="BF44" s="467"/>
      <c r="BG44" s="467"/>
      <c r="BH44" s="467"/>
      <c r="BI44" s="467"/>
      <c r="BJ44" s="467"/>
      <c r="BK44" s="467"/>
      <c r="BL44" s="467"/>
    </row>
    <row r="45" customFormat="false" ht="12.75" hidden="false" customHeight="false" outlineLevel="0" collapsed="false">
      <c r="A45" s="464" t="n">
        <f aca="false">EOMONTH(A44,0)+1</f>
        <v>37742</v>
      </c>
      <c r="B45" s="467" t="n">
        <v>0.071078281380432</v>
      </c>
      <c r="C45" s="467" t="n">
        <v>3.015</v>
      </c>
      <c r="D45" s="467" t="n">
        <v>0.31</v>
      </c>
      <c r="E45" s="467" t="n">
        <v>0.005</v>
      </c>
      <c r="F45" s="467" t="n">
        <v>0</v>
      </c>
      <c r="G45" s="467" t="n">
        <v>107.468</v>
      </c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  <c r="S45" s="467"/>
      <c r="T45" s="467"/>
      <c r="U45" s="467"/>
      <c r="V45" s="467"/>
      <c r="W45" s="467"/>
      <c r="X45" s="467"/>
      <c r="Y45" s="467"/>
      <c r="Z45" s="467"/>
      <c r="AA45" s="467"/>
      <c r="AB45" s="467"/>
      <c r="AC45" s="467"/>
      <c r="AD45" s="467"/>
      <c r="AE45" s="467"/>
      <c r="AF45" s="467"/>
      <c r="AG45" s="467"/>
      <c r="AH45" s="467"/>
      <c r="AI45" s="467"/>
      <c r="AJ45" s="467"/>
      <c r="AK45" s="467"/>
      <c r="AL45" s="467"/>
      <c r="AM45" s="467"/>
      <c r="AN45" s="467"/>
      <c r="AO45" s="467"/>
      <c r="AP45" s="467"/>
      <c r="AQ45" s="467"/>
      <c r="AR45" s="467"/>
      <c r="AS45" s="467"/>
      <c r="AT45" s="467"/>
      <c r="AU45" s="467"/>
      <c r="AV45" s="467"/>
      <c r="AW45" s="467"/>
      <c r="AX45" s="467"/>
      <c r="AY45" s="467"/>
      <c r="AZ45" s="467"/>
      <c r="BA45" s="467"/>
      <c r="BB45" s="467"/>
      <c r="BC45" s="467"/>
      <c r="BD45" s="467"/>
      <c r="BE45" s="467"/>
      <c r="BF45" s="467"/>
      <c r="BG45" s="467"/>
      <c r="BH45" s="467"/>
      <c r="BI45" s="467"/>
      <c r="BJ45" s="467"/>
      <c r="BK45" s="467"/>
      <c r="BL45" s="467"/>
    </row>
    <row r="46" customFormat="false" ht="12.75" hidden="false" customHeight="false" outlineLevel="0" collapsed="false">
      <c r="A46" s="464" t="n">
        <f aca="false">EOMONTH(A45,0)+1</f>
        <v>37773</v>
      </c>
      <c r="B46" s="467" t="n">
        <v>0.07108017225159</v>
      </c>
      <c r="C46" s="467" t="n">
        <v>3.045</v>
      </c>
      <c r="D46" s="467" t="n">
        <v>0.3075</v>
      </c>
      <c r="E46" s="467" t="n">
        <v>0.005</v>
      </c>
      <c r="F46" s="467" t="n">
        <v>0</v>
      </c>
      <c r="G46" s="467" t="n">
        <v>106.697</v>
      </c>
      <c r="H46" s="467"/>
      <c r="I46" s="467"/>
      <c r="J46" s="467"/>
      <c r="K46" s="467"/>
      <c r="L46" s="467"/>
      <c r="M46" s="467"/>
      <c r="N46" s="467"/>
      <c r="O46" s="467"/>
      <c r="P46" s="467"/>
      <c r="Q46" s="467"/>
      <c r="R46" s="467"/>
      <c r="S46" s="467"/>
      <c r="T46" s="467"/>
      <c r="U46" s="467"/>
      <c r="V46" s="467"/>
      <c r="W46" s="467"/>
      <c r="X46" s="467"/>
      <c r="Y46" s="467"/>
      <c r="Z46" s="467"/>
      <c r="AA46" s="467"/>
      <c r="AB46" s="467"/>
      <c r="AC46" s="467"/>
      <c r="AD46" s="467"/>
      <c r="AE46" s="467"/>
      <c r="AF46" s="467"/>
      <c r="AG46" s="467"/>
      <c r="AH46" s="467"/>
      <c r="AI46" s="467"/>
      <c r="AJ46" s="467"/>
      <c r="AK46" s="467"/>
      <c r="AL46" s="467"/>
      <c r="AM46" s="467"/>
      <c r="AN46" s="467"/>
      <c r="AO46" s="467"/>
      <c r="AP46" s="467"/>
      <c r="AQ46" s="467"/>
      <c r="AR46" s="467"/>
      <c r="AS46" s="467"/>
      <c r="AT46" s="467"/>
      <c r="AU46" s="467"/>
      <c r="AV46" s="467"/>
      <c r="AW46" s="467"/>
      <c r="AX46" s="467"/>
      <c r="AY46" s="467"/>
      <c r="AZ46" s="467"/>
      <c r="BA46" s="467"/>
      <c r="BB46" s="467"/>
      <c r="BC46" s="467"/>
      <c r="BD46" s="467"/>
      <c r="BE46" s="467"/>
      <c r="BF46" s="467"/>
      <c r="BG46" s="467"/>
      <c r="BH46" s="467"/>
      <c r="BI46" s="467"/>
      <c r="BJ46" s="467"/>
      <c r="BK46" s="467"/>
      <c r="BL46" s="467"/>
    </row>
    <row r="47" customFormat="false" ht="12.75" hidden="false" customHeight="false" outlineLevel="0" collapsed="false">
      <c r="A47" s="464" t="n">
        <f aca="false">EOMONTH(A46,0)+1</f>
        <v>37803</v>
      </c>
      <c r="B47" s="467" t="n">
        <v>0.071082674655184</v>
      </c>
      <c r="C47" s="467" t="n">
        <v>3.045</v>
      </c>
      <c r="D47" s="467" t="n">
        <v>0.3075</v>
      </c>
      <c r="E47" s="467" t="n">
        <v>0.005</v>
      </c>
      <c r="F47" s="467" t="n">
        <v>0</v>
      </c>
      <c r="G47" s="467" t="n">
        <v>105.905</v>
      </c>
      <c r="H47" s="467"/>
      <c r="I47" s="467"/>
      <c r="J47" s="467"/>
      <c r="K47" s="467"/>
      <c r="L47" s="467"/>
      <c r="M47" s="467"/>
      <c r="N47" s="467"/>
      <c r="O47" s="467"/>
      <c r="P47" s="467"/>
      <c r="Q47" s="467"/>
      <c r="R47" s="467"/>
      <c r="S47" s="467"/>
      <c r="T47" s="467"/>
      <c r="U47" s="467"/>
      <c r="V47" s="467"/>
      <c r="W47" s="467"/>
      <c r="X47" s="467"/>
      <c r="Y47" s="467"/>
      <c r="Z47" s="467"/>
      <c r="AA47" s="467"/>
      <c r="AB47" s="467"/>
      <c r="AC47" s="467"/>
      <c r="AD47" s="467"/>
      <c r="AE47" s="467"/>
      <c r="AF47" s="467"/>
      <c r="AG47" s="467"/>
      <c r="AH47" s="467"/>
      <c r="AI47" s="467"/>
      <c r="AJ47" s="467"/>
      <c r="AK47" s="467"/>
      <c r="AL47" s="467"/>
      <c r="AM47" s="467"/>
      <c r="AN47" s="467"/>
      <c r="AO47" s="467"/>
      <c r="AP47" s="467"/>
      <c r="AQ47" s="467"/>
      <c r="AR47" s="467"/>
      <c r="AS47" s="467"/>
      <c r="AT47" s="467"/>
      <c r="AU47" s="467"/>
      <c r="AV47" s="467"/>
      <c r="AW47" s="467"/>
      <c r="AX47" s="467"/>
      <c r="AY47" s="467"/>
      <c r="AZ47" s="467"/>
      <c r="BA47" s="467"/>
      <c r="BB47" s="467"/>
      <c r="BC47" s="467"/>
      <c r="BD47" s="467"/>
      <c r="BE47" s="467"/>
      <c r="BF47" s="467"/>
      <c r="BG47" s="467"/>
      <c r="BH47" s="467"/>
      <c r="BI47" s="467"/>
      <c r="BJ47" s="467"/>
      <c r="BK47" s="467"/>
      <c r="BL47" s="467"/>
    </row>
    <row r="48" customFormat="false" ht="12.75" hidden="false" customHeight="false" outlineLevel="0" collapsed="false">
      <c r="A48" s="464" t="n">
        <f aca="false">EOMONTH(A47,0)+1</f>
        <v>37834</v>
      </c>
      <c r="B48" s="467" t="n">
        <v>0.071086227545837</v>
      </c>
      <c r="C48" s="467" t="n">
        <v>3.105</v>
      </c>
      <c r="D48" s="467" t="n">
        <v>0.3075</v>
      </c>
      <c r="E48" s="467" t="n">
        <v>0.005</v>
      </c>
      <c r="F48" s="467" t="n">
        <v>0</v>
      </c>
      <c r="G48" s="467" t="n">
        <v>105.133</v>
      </c>
      <c r="H48" s="467"/>
      <c r="I48" s="467"/>
      <c r="J48" s="467"/>
      <c r="K48" s="467"/>
      <c r="L48" s="467"/>
      <c r="M48" s="467"/>
      <c r="N48" s="467"/>
      <c r="O48" s="467"/>
      <c r="P48" s="467"/>
      <c r="Q48" s="467"/>
      <c r="R48" s="467"/>
      <c r="S48" s="467"/>
      <c r="T48" s="467"/>
      <c r="U48" s="467"/>
      <c r="V48" s="467"/>
      <c r="W48" s="467"/>
      <c r="X48" s="467"/>
      <c r="Y48" s="467"/>
      <c r="Z48" s="467"/>
      <c r="AA48" s="467"/>
      <c r="AB48" s="467"/>
      <c r="AC48" s="467"/>
      <c r="AD48" s="467"/>
      <c r="AE48" s="467"/>
      <c r="AF48" s="467"/>
      <c r="AG48" s="467"/>
      <c r="AH48" s="467"/>
      <c r="AI48" s="467"/>
      <c r="AJ48" s="467"/>
      <c r="AK48" s="467"/>
      <c r="AL48" s="467"/>
      <c r="AM48" s="467"/>
      <c r="AN48" s="467"/>
      <c r="AO48" s="467"/>
      <c r="AP48" s="467"/>
      <c r="AQ48" s="467"/>
      <c r="AR48" s="467"/>
      <c r="AS48" s="467"/>
      <c r="AT48" s="467"/>
      <c r="AU48" s="467"/>
      <c r="AV48" s="467"/>
      <c r="AW48" s="467"/>
      <c r="AX48" s="467"/>
      <c r="AY48" s="467"/>
      <c r="AZ48" s="467"/>
      <c r="BA48" s="467"/>
      <c r="BB48" s="467"/>
      <c r="BC48" s="467"/>
      <c r="BD48" s="467"/>
      <c r="BE48" s="467"/>
      <c r="BF48" s="467"/>
      <c r="BG48" s="467"/>
      <c r="BH48" s="467"/>
      <c r="BI48" s="467"/>
      <c r="BJ48" s="467"/>
      <c r="BK48" s="467"/>
      <c r="BL48" s="467"/>
    </row>
    <row r="49" customFormat="false" ht="12.75" hidden="false" customHeight="false" outlineLevel="0" collapsed="false">
      <c r="A49" s="464" t="n">
        <f aca="false">EOMONTH(A48,0)+1</f>
        <v>37865</v>
      </c>
      <c r="B49" s="467" t="n">
        <v>0.071089780436495</v>
      </c>
      <c r="C49" s="467" t="n">
        <v>3.095</v>
      </c>
      <c r="D49" s="467" t="n">
        <v>0.3075</v>
      </c>
      <c r="E49" s="467" t="n">
        <v>0.005</v>
      </c>
      <c r="F49" s="467" t="n">
        <v>0</v>
      </c>
      <c r="G49" s="467" t="n">
        <v>104.309</v>
      </c>
      <c r="H49" s="467"/>
      <c r="I49" s="467"/>
      <c r="J49" s="467"/>
      <c r="K49" s="467"/>
      <c r="L49" s="467"/>
      <c r="M49" s="467"/>
      <c r="N49" s="467"/>
      <c r="O49" s="467"/>
      <c r="P49" s="467"/>
      <c r="Q49" s="467"/>
      <c r="R49" s="467"/>
      <c r="S49" s="467"/>
      <c r="T49" s="467"/>
      <c r="U49" s="467"/>
      <c r="V49" s="467"/>
      <c r="W49" s="467"/>
      <c r="X49" s="467"/>
      <c r="Y49" s="467"/>
      <c r="Z49" s="467"/>
      <c r="AA49" s="467"/>
      <c r="AB49" s="467"/>
      <c r="AC49" s="467"/>
      <c r="AD49" s="467"/>
      <c r="AE49" s="467"/>
      <c r="AF49" s="467"/>
      <c r="AG49" s="467"/>
      <c r="AH49" s="467"/>
      <c r="AI49" s="467"/>
      <c r="AJ49" s="467"/>
      <c r="AK49" s="467"/>
      <c r="AL49" s="467"/>
      <c r="AM49" s="467"/>
      <c r="AN49" s="467"/>
      <c r="AO49" s="467"/>
      <c r="AP49" s="467"/>
      <c r="AQ49" s="467"/>
      <c r="AR49" s="467"/>
      <c r="AS49" s="467"/>
      <c r="AT49" s="467"/>
      <c r="AU49" s="467"/>
      <c r="AV49" s="467"/>
      <c r="AW49" s="467"/>
      <c r="AX49" s="467"/>
      <c r="AY49" s="467"/>
      <c r="AZ49" s="467"/>
      <c r="BA49" s="467"/>
      <c r="BB49" s="467"/>
      <c r="BC49" s="467"/>
      <c r="BD49" s="467"/>
      <c r="BE49" s="467"/>
      <c r="BF49" s="467"/>
      <c r="BG49" s="467"/>
      <c r="BH49" s="467"/>
      <c r="BI49" s="467"/>
      <c r="BJ49" s="467"/>
      <c r="BK49" s="467"/>
      <c r="BL49" s="467"/>
    </row>
    <row r="50" customFormat="false" ht="12.75" hidden="false" customHeight="false" outlineLevel="0" collapsed="false">
      <c r="A50" s="464" t="n">
        <f aca="false">EOMONTH(A49,0)+1</f>
        <v>37895</v>
      </c>
      <c r="B50" s="467" t="n">
        <v>0.071093404512285</v>
      </c>
      <c r="C50" s="467" t="n">
        <v>3.115</v>
      </c>
      <c r="D50" s="467" t="n">
        <v>0.3075</v>
      </c>
      <c r="E50" s="467" t="n">
        <v>0.005</v>
      </c>
      <c r="F50" s="467" t="n">
        <v>0</v>
      </c>
      <c r="G50" s="467" t="n">
        <v>103.854</v>
      </c>
      <c r="H50" s="467"/>
      <c r="I50" s="467"/>
      <c r="J50" s="467"/>
      <c r="K50" s="467"/>
      <c r="L50" s="467"/>
      <c r="M50" s="467"/>
      <c r="N50" s="467"/>
      <c r="O50" s="467"/>
      <c r="P50" s="467"/>
      <c r="Q50" s="467"/>
      <c r="R50" s="467"/>
      <c r="S50" s="467"/>
      <c r="T50" s="467"/>
      <c r="U50" s="467"/>
      <c r="V50" s="467"/>
      <c r="W50" s="467"/>
      <c r="X50" s="467"/>
      <c r="Y50" s="467"/>
      <c r="Z50" s="467"/>
      <c r="AA50" s="467"/>
      <c r="AB50" s="467"/>
      <c r="AC50" s="467"/>
      <c r="AD50" s="467"/>
      <c r="AE50" s="467"/>
      <c r="AF50" s="467"/>
      <c r="AG50" s="467"/>
      <c r="AH50" s="467"/>
      <c r="AI50" s="467"/>
      <c r="AJ50" s="467"/>
      <c r="AK50" s="467"/>
      <c r="AL50" s="467"/>
      <c r="AM50" s="467"/>
      <c r="AN50" s="467"/>
      <c r="AO50" s="467"/>
      <c r="AP50" s="467"/>
      <c r="AQ50" s="467"/>
      <c r="AR50" s="467"/>
      <c r="AS50" s="467"/>
      <c r="AT50" s="467"/>
      <c r="AU50" s="467"/>
      <c r="AV50" s="467"/>
      <c r="AW50" s="467"/>
      <c r="AX50" s="467"/>
      <c r="AY50" s="467"/>
      <c r="AZ50" s="467"/>
      <c r="BA50" s="467"/>
      <c r="BB50" s="467"/>
      <c r="BC50" s="467"/>
      <c r="BD50" s="467"/>
      <c r="BE50" s="467"/>
      <c r="BF50" s="467"/>
      <c r="BG50" s="467"/>
      <c r="BH50" s="467"/>
      <c r="BI50" s="467"/>
      <c r="BJ50" s="467"/>
      <c r="BK50" s="467"/>
      <c r="BL50" s="467"/>
    </row>
    <row r="51" customFormat="false" ht="12.75" hidden="false" customHeight="false" outlineLevel="0" collapsed="false">
      <c r="A51" s="464" t="n">
        <f aca="false">EOMONTH(A50,0)+1</f>
        <v>37926</v>
      </c>
      <c r="B51" s="467" t="n">
        <v>0.071097382802968</v>
      </c>
      <c r="C51" s="467" t="n">
        <v>3.224</v>
      </c>
      <c r="D51" s="467" t="n">
        <v>0.3175</v>
      </c>
      <c r="E51" s="467" t="n">
        <v>0.005</v>
      </c>
      <c r="F51" s="467" t="n">
        <v>0</v>
      </c>
      <c r="G51" s="467" t="n">
        <v>103.242</v>
      </c>
      <c r="H51" s="467"/>
      <c r="I51" s="467"/>
      <c r="J51" s="467"/>
      <c r="K51" s="467"/>
      <c r="L51" s="467"/>
      <c r="M51" s="467"/>
      <c r="N51" s="467"/>
      <c r="O51" s="467"/>
      <c r="P51" s="467"/>
      <c r="Q51" s="467"/>
      <c r="R51" s="467"/>
      <c r="S51" s="467"/>
      <c r="T51" s="467"/>
      <c r="U51" s="467"/>
      <c r="V51" s="467"/>
      <c r="W51" s="467"/>
      <c r="X51" s="467"/>
      <c r="Y51" s="467"/>
      <c r="Z51" s="467"/>
      <c r="AA51" s="467"/>
      <c r="AB51" s="467"/>
      <c r="AC51" s="467"/>
      <c r="AD51" s="467"/>
      <c r="AE51" s="467"/>
      <c r="AF51" s="467"/>
      <c r="AG51" s="467"/>
      <c r="AH51" s="467"/>
      <c r="AI51" s="467"/>
      <c r="AJ51" s="467"/>
      <c r="AK51" s="467"/>
      <c r="AL51" s="467"/>
      <c r="AM51" s="467"/>
      <c r="AN51" s="467"/>
      <c r="AO51" s="467"/>
      <c r="AP51" s="467"/>
      <c r="AQ51" s="467"/>
      <c r="AR51" s="467"/>
      <c r="AS51" s="467"/>
      <c r="AT51" s="467"/>
      <c r="AU51" s="467"/>
      <c r="AV51" s="467"/>
      <c r="AW51" s="467"/>
      <c r="AX51" s="467"/>
      <c r="AY51" s="467"/>
      <c r="AZ51" s="467"/>
      <c r="BA51" s="467"/>
      <c r="BB51" s="467"/>
      <c r="BC51" s="467"/>
      <c r="BD51" s="467"/>
      <c r="BE51" s="467"/>
      <c r="BF51" s="467"/>
      <c r="BG51" s="467"/>
      <c r="BH51" s="467"/>
      <c r="BI51" s="467"/>
      <c r="BJ51" s="467"/>
      <c r="BK51" s="467"/>
      <c r="BL51" s="467"/>
    </row>
    <row r="52" customFormat="false" ht="12.75" hidden="false" customHeight="false" outlineLevel="0" collapsed="false">
      <c r="A52" s="464" t="n">
        <f aca="false">EOMONTH(A51,0)+1</f>
        <v>37956</v>
      </c>
      <c r="B52" s="467" t="n">
        <v>0.0711012327617</v>
      </c>
      <c r="C52" s="467" t="n">
        <v>3.329</v>
      </c>
      <c r="D52" s="467" t="n">
        <v>0.32</v>
      </c>
      <c r="E52" s="467" t="n">
        <v>0.005</v>
      </c>
      <c r="F52" s="467" t="n">
        <v>0</v>
      </c>
      <c r="G52" s="467" t="n">
        <v>102.892</v>
      </c>
      <c r="H52" s="467"/>
      <c r="I52" s="467"/>
      <c r="J52" s="467"/>
      <c r="K52" s="467"/>
      <c r="L52" s="467"/>
      <c r="M52" s="467"/>
      <c r="N52" s="467"/>
      <c r="O52" s="467"/>
      <c r="P52" s="467"/>
      <c r="Q52" s="467"/>
      <c r="R52" s="467"/>
      <c r="S52" s="467"/>
      <c r="T52" s="467"/>
      <c r="U52" s="467"/>
      <c r="V52" s="467"/>
      <c r="W52" s="467"/>
      <c r="X52" s="467"/>
      <c r="Y52" s="467"/>
      <c r="Z52" s="467"/>
      <c r="AA52" s="467"/>
      <c r="AB52" s="467"/>
      <c r="AC52" s="467"/>
      <c r="AD52" s="467"/>
      <c r="AE52" s="467"/>
      <c r="AF52" s="467"/>
      <c r="AG52" s="467"/>
      <c r="AH52" s="467"/>
      <c r="AI52" s="467"/>
      <c r="AJ52" s="467"/>
      <c r="AK52" s="467"/>
      <c r="AL52" s="467"/>
      <c r="AM52" s="467"/>
      <c r="AN52" s="467"/>
      <c r="AO52" s="467"/>
      <c r="AP52" s="467"/>
      <c r="AQ52" s="467"/>
      <c r="AR52" s="467"/>
      <c r="AS52" s="467"/>
      <c r="AT52" s="467"/>
      <c r="AU52" s="467"/>
      <c r="AV52" s="467"/>
      <c r="AW52" s="467"/>
      <c r="AX52" s="467"/>
      <c r="AY52" s="467"/>
      <c r="AZ52" s="467"/>
      <c r="BA52" s="467"/>
      <c r="BB52" s="467"/>
      <c r="BC52" s="467"/>
      <c r="BD52" s="467"/>
      <c r="BE52" s="467"/>
      <c r="BF52" s="467"/>
      <c r="BG52" s="467"/>
      <c r="BH52" s="467"/>
      <c r="BI52" s="467"/>
      <c r="BJ52" s="467"/>
      <c r="BK52" s="467"/>
      <c r="BL52" s="467"/>
    </row>
    <row r="53" customFormat="false" ht="12.75" hidden="false" customHeight="false" outlineLevel="0" collapsed="false">
      <c r="A53" s="464" t="n">
        <f aca="false">EOMONTH(A52,0)+1</f>
        <v>37987</v>
      </c>
      <c r="B53" s="467" t="n">
        <v>0.071110992920143</v>
      </c>
      <c r="C53" s="467" t="n">
        <v>3.407</v>
      </c>
      <c r="D53" s="467" t="n">
        <v>0.34</v>
      </c>
      <c r="E53" s="467" t="n">
        <v>0.005</v>
      </c>
      <c r="F53" s="467" t="n">
        <v>0</v>
      </c>
      <c r="G53" s="467" t="n">
        <v>108.071</v>
      </c>
      <c r="H53" s="467"/>
      <c r="I53" s="467"/>
      <c r="J53" s="467"/>
      <c r="K53" s="467"/>
      <c r="L53" s="467"/>
      <c r="M53" s="467"/>
      <c r="N53" s="467"/>
      <c r="O53" s="467"/>
      <c r="P53" s="467"/>
      <c r="Q53" s="467"/>
      <c r="R53" s="467"/>
      <c r="S53" s="467"/>
      <c r="T53" s="467"/>
      <c r="U53" s="467"/>
      <c r="V53" s="467"/>
      <c r="W53" s="467"/>
      <c r="X53" s="467"/>
      <c r="Y53" s="467"/>
      <c r="Z53" s="467"/>
      <c r="AA53" s="467"/>
      <c r="AB53" s="467"/>
      <c r="AC53" s="467"/>
      <c r="AD53" s="467"/>
      <c r="AE53" s="467"/>
      <c r="AF53" s="467"/>
      <c r="AG53" s="467"/>
      <c r="AH53" s="467"/>
      <c r="AI53" s="467"/>
      <c r="AJ53" s="467"/>
      <c r="AK53" s="467"/>
      <c r="AL53" s="467"/>
      <c r="AM53" s="467"/>
      <c r="AN53" s="467"/>
      <c r="AO53" s="467"/>
      <c r="AP53" s="467"/>
      <c r="AQ53" s="467"/>
      <c r="AR53" s="467"/>
      <c r="AS53" s="467"/>
      <c r="AT53" s="467"/>
      <c r="AU53" s="467"/>
      <c r="AV53" s="467"/>
      <c r="AW53" s="467"/>
      <c r="AX53" s="467"/>
      <c r="AY53" s="467"/>
      <c r="AZ53" s="467"/>
      <c r="BA53" s="467"/>
      <c r="BB53" s="467"/>
      <c r="BC53" s="467"/>
      <c r="BD53" s="467"/>
      <c r="BE53" s="467"/>
      <c r="BF53" s="467"/>
      <c r="BG53" s="467"/>
      <c r="BH53" s="467"/>
      <c r="BI53" s="467"/>
      <c r="BJ53" s="467"/>
      <c r="BK53" s="467"/>
      <c r="BL53" s="467"/>
    </row>
    <row r="54" customFormat="false" ht="12.75" hidden="false" customHeight="false" outlineLevel="0" collapsed="false">
      <c r="A54" s="464" t="n">
        <f aca="false">EOMONTH(A53,0)+1</f>
        <v>38018</v>
      </c>
      <c r="B54" s="467" t="n">
        <v>0.071126920404248</v>
      </c>
      <c r="C54" s="467" t="n">
        <v>3.281</v>
      </c>
      <c r="D54" s="467" t="n">
        <v>0.33</v>
      </c>
      <c r="E54" s="467" t="n">
        <v>0.005</v>
      </c>
      <c r="F54" s="467" t="n">
        <v>0</v>
      </c>
      <c r="G54" s="467" t="n">
        <v>107.772</v>
      </c>
      <c r="H54" s="467"/>
      <c r="I54" s="467"/>
      <c r="J54" s="467"/>
      <c r="K54" s="467"/>
      <c r="L54" s="467"/>
      <c r="M54" s="467"/>
      <c r="N54" s="467"/>
      <c r="O54" s="467"/>
      <c r="P54" s="467"/>
      <c r="Q54" s="467"/>
      <c r="R54" s="467"/>
      <c r="S54" s="467"/>
      <c r="T54" s="467"/>
      <c r="U54" s="467"/>
      <c r="V54" s="467"/>
      <c r="W54" s="467"/>
      <c r="X54" s="467"/>
      <c r="Y54" s="467"/>
      <c r="Z54" s="467"/>
      <c r="AA54" s="467"/>
      <c r="AB54" s="467"/>
      <c r="AC54" s="467"/>
      <c r="AD54" s="467"/>
      <c r="AE54" s="467"/>
      <c r="AF54" s="467"/>
      <c r="AG54" s="467"/>
      <c r="AH54" s="467"/>
      <c r="AI54" s="467"/>
      <c r="AJ54" s="467"/>
      <c r="AK54" s="467"/>
      <c r="AL54" s="467"/>
      <c r="AM54" s="467"/>
      <c r="AN54" s="467"/>
      <c r="AO54" s="467"/>
      <c r="AP54" s="467"/>
      <c r="AQ54" s="467"/>
      <c r="AR54" s="467"/>
      <c r="AS54" s="467"/>
      <c r="AT54" s="467"/>
      <c r="AU54" s="467"/>
      <c r="AV54" s="467"/>
      <c r="AW54" s="467"/>
      <c r="AX54" s="467"/>
      <c r="AY54" s="467"/>
      <c r="AZ54" s="467"/>
      <c r="BA54" s="467"/>
      <c r="BB54" s="467"/>
      <c r="BC54" s="467"/>
      <c r="BD54" s="467"/>
      <c r="BE54" s="467"/>
      <c r="BF54" s="467"/>
      <c r="BG54" s="467"/>
      <c r="BH54" s="467"/>
      <c r="BI54" s="467"/>
      <c r="BJ54" s="467"/>
      <c r="BK54" s="467"/>
      <c r="BL54" s="467"/>
    </row>
    <row r="55" customFormat="false" ht="12.75" hidden="false" customHeight="false" outlineLevel="0" collapsed="false">
      <c r="A55" s="464" t="n">
        <f aca="false">EOMONTH(A54,0)+1</f>
        <v>38047</v>
      </c>
      <c r="B55" s="467" t="n">
        <v>0.07114182030881</v>
      </c>
      <c r="C55" s="467" t="n">
        <v>3.144</v>
      </c>
      <c r="D55" s="467" t="n">
        <v>0.325</v>
      </c>
      <c r="E55" s="467" t="n">
        <v>0.005</v>
      </c>
      <c r="F55" s="467" t="n">
        <v>0</v>
      </c>
      <c r="G55" s="467" t="n">
        <v>107.394</v>
      </c>
      <c r="H55" s="467"/>
      <c r="I55" s="467"/>
      <c r="J55" s="467"/>
      <c r="K55" s="467"/>
      <c r="L55" s="467"/>
      <c r="M55" s="467"/>
      <c r="N55" s="467"/>
      <c r="O55" s="467"/>
      <c r="P55" s="467"/>
      <c r="Q55" s="467"/>
      <c r="R55" s="467"/>
      <c r="S55" s="467"/>
      <c r="T55" s="467"/>
      <c r="U55" s="467"/>
      <c r="V55" s="467"/>
      <c r="W55" s="467"/>
      <c r="X55" s="467"/>
      <c r="Y55" s="467"/>
      <c r="Z55" s="467"/>
      <c r="AA55" s="467"/>
      <c r="AB55" s="467"/>
      <c r="AC55" s="467"/>
      <c r="AD55" s="467"/>
      <c r="AE55" s="467"/>
      <c r="AF55" s="467"/>
      <c r="AG55" s="467"/>
      <c r="AH55" s="467"/>
      <c r="AI55" s="467"/>
      <c r="AJ55" s="467"/>
      <c r="AK55" s="467"/>
      <c r="AL55" s="467"/>
      <c r="AM55" s="467"/>
      <c r="AN55" s="467"/>
      <c r="AO55" s="467"/>
      <c r="AP55" s="467"/>
      <c r="AQ55" s="467"/>
      <c r="AR55" s="467"/>
      <c r="AS55" s="467"/>
      <c r="AT55" s="467"/>
      <c r="AU55" s="467"/>
      <c r="AV55" s="467"/>
      <c r="AW55" s="467"/>
      <c r="AX55" s="467"/>
      <c r="AY55" s="467"/>
      <c r="AZ55" s="467"/>
      <c r="BA55" s="467"/>
      <c r="BB55" s="467"/>
      <c r="BC55" s="467"/>
      <c r="BD55" s="467"/>
      <c r="BE55" s="467"/>
      <c r="BF55" s="467"/>
      <c r="BG55" s="467"/>
      <c r="BH55" s="467"/>
      <c r="BI55" s="467"/>
      <c r="BJ55" s="467"/>
      <c r="BK55" s="467"/>
      <c r="BL55" s="467"/>
    </row>
    <row r="56" customFormat="false" ht="12.75" hidden="false" customHeight="false" outlineLevel="0" collapsed="false">
      <c r="A56" s="464" t="n">
        <f aca="false">EOMONTH(A55,0)+1</f>
        <v>38078</v>
      </c>
      <c r="B56" s="467" t="n">
        <v>0.07115146442233</v>
      </c>
      <c r="C56" s="467" t="n">
        <v>3.007</v>
      </c>
      <c r="D56" s="467" t="n">
        <v>0.305</v>
      </c>
      <c r="E56" s="467" t="n">
        <v>0.005</v>
      </c>
      <c r="F56" s="467" t="n">
        <v>0</v>
      </c>
      <c r="G56" s="467" t="n">
        <v>106.308</v>
      </c>
      <c r="H56" s="467"/>
      <c r="I56" s="467"/>
      <c r="J56" s="467"/>
      <c r="K56" s="467"/>
      <c r="L56" s="467"/>
      <c r="M56" s="467"/>
      <c r="N56" s="467"/>
      <c r="O56" s="467"/>
      <c r="P56" s="467"/>
      <c r="Q56" s="467"/>
      <c r="R56" s="467"/>
      <c r="S56" s="467"/>
      <c r="T56" s="467"/>
      <c r="U56" s="467"/>
      <c r="V56" s="467"/>
      <c r="W56" s="467"/>
      <c r="X56" s="467"/>
      <c r="Y56" s="467"/>
      <c r="Z56" s="467"/>
      <c r="AA56" s="467"/>
      <c r="AB56" s="467"/>
      <c r="AC56" s="467"/>
      <c r="AD56" s="467"/>
      <c r="AE56" s="467"/>
      <c r="AF56" s="467"/>
      <c r="AG56" s="467"/>
      <c r="AH56" s="467"/>
      <c r="AI56" s="467"/>
      <c r="AJ56" s="467"/>
      <c r="AK56" s="467"/>
      <c r="AL56" s="467"/>
      <c r="AM56" s="467"/>
      <c r="AN56" s="467"/>
      <c r="AO56" s="467"/>
      <c r="AP56" s="467"/>
      <c r="AQ56" s="467"/>
      <c r="AR56" s="467"/>
      <c r="AS56" s="467"/>
      <c r="AT56" s="467"/>
      <c r="AU56" s="467"/>
      <c r="AV56" s="467"/>
      <c r="AW56" s="467"/>
      <c r="AX56" s="467"/>
      <c r="AY56" s="467"/>
      <c r="AZ56" s="467"/>
      <c r="BA56" s="467"/>
      <c r="BB56" s="467"/>
      <c r="BC56" s="467"/>
      <c r="BD56" s="467"/>
      <c r="BE56" s="467"/>
      <c r="BF56" s="467"/>
      <c r="BG56" s="467"/>
      <c r="BH56" s="467"/>
      <c r="BI56" s="467"/>
      <c r="BJ56" s="467"/>
      <c r="BK56" s="467"/>
      <c r="BL56" s="467"/>
    </row>
    <row r="57" customFormat="false" ht="12.75" hidden="false" customHeight="false" outlineLevel="0" collapsed="false">
      <c r="A57" s="464" t="n">
        <f aca="false">EOMONTH(A56,0)+1</f>
        <v>38108</v>
      </c>
      <c r="B57" s="467" t="n">
        <v>0.071154311375311</v>
      </c>
      <c r="C57" s="467" t="n">
        <v>2.993</v>
      </c>
      <c r="D57" s="467" t="n">
        <v>0.305</v>
      </c>
      <c r="E57" s="467" t="n">
        <v>0.005</v>
      </c>
      <c r="F57" s="467" t="n">
        <v>0</v>
      </c>
      <c r="G57" s="467" t="n">
        <v>105.975</v>
      </c>
      <c r="H57" s="467"/>
      <c r="I57" s="467"/>
      <c r="J57" s="467"/>
      <c r="K57" s="467"/>
      <c r="L57" s="467"/>
      <c r="M57" s="467"/>
      <c r="N57" s="467"/>
      <c r="O57" s="467"/>
      <c r="P57" s="467"/>
      <c r="Q57" s="467"/>
      <c r="R57" s="467"/>
      <c r="S57" s="467"/>
      <c r="T57" s="467"/>
      <c r="U57" s="467"/>
      <c r="V57" s="467"/>
      <c r="W57" s="467"/>
      <c r="X57" s="467"/>
      <c r="Y57" s="467"/>
      <c r="Z57" s="467"/>
      <c r="AA57" s="467"/>
      <c r="AB57" s="467"/>
      <c r="AC57" s="467"/>
      <c r="AD57" s="467"/>
      <c r="AE57" s="467"/>
      <c r="AF57" s="467"/>
      <c r="AG57" s="467"/>
      <c r="AH57" s="467"/>
      <c r="AI57" s="467"/>
      <c r="AJ57" s="467"/>
      <c r="AK57" s="467"/>
      <c r="AL57" s="467"/>
      <c r="AM57" s="467"/>
      <c r="AN57" s="467"/>
      <c r="AO57" s="467"/>
      <c r="AP57" s="467"/>
      <c r="AQ57" s="467"/>
      <c r="AR57" s="467"/>
      <c r="AS57" s="467"/>
      <c r="AT57" s="467"/>
      <c r="AU57" s="467"/>
      <c r="AV57" s="467"/>
      <c r="AW57" s="467"/>
      <c r="AX57" s="467"/>
      <c r="AY57" s="467"/>
      <c r="AZ57" s="467"/>
      <c r="BA57" s="467"/>
      <c r="BB57" s="467"/>
      <c r="BC57" s="467"/>
      <c r="BD57" s="467"/>
      <c r="BE57" s="467"/>
      <c r="BF57" s="467"/>
      <c r="BG57" s="467"/>
      <c r="BH57" s="467"/>
      <c r="BI57" s="467"/>
      <c r="BJ57" s="467"/>
      <c r="BK57" s="467"/>
      <c r="BL57" s="467"/>
    </row>
    <row r="58" customFormat="false" ht="12.75" hidden="false" customHeight="false" outlineLevel="0" collapsed="false">
      <c r="A58" s="464" t="n">
        <f aca="false">EOMONTH(A57,0)+1</f>
        <v>38139</v>
      </c>
      <c r="B58" s="467" t="n">
        <v>0.071157253226729</v>
      </c>
      <c r="C58" s="467" t="n">
        <v>3.024</v>
      </c>
      <c r="D58" s="467" t="n">
        <v>0.305</v>
      </c>
      <c r="E58" s="467" t="n">
        <v>0.005</v>
      </c>
      <c r="F58" s="467" t="n">
        <v>0</v>
      </c>
      <c r="G58" s="467" t="n">
        <v>105.62</v>
      </c>
      <c r="H58" s="467"/>
      <c r="I58" s="467"/>
      <c r="J58" s="467"/>
      <c r="K58" s="467"/>
      <c r="L58" s="467"/>
      <c r="M58" s="467"/>
      <c r="N58" s="467"/>
      <c r="O58" s="467"/>
      <c r="P58" s="467"/>
      <c r="Q58" s="467"/>
      <c r="R58" s="467"/>
      <c r="S58" s="467"/>
      <c r="T58" s="467"/>
      <c r="U58" s="467"/>
      <c r="V58" s="467"/>
      <c r="W58" s="467"/>
      <c r="X58" s="467"/>
      <c r="Y58" s="467"/>
      <c r="Z58" s="467"/>
      <c r="AA58" s="467"/>
      <c r="AB58" s="467"/>
      <c r="AC58" s="467"/>
      <c r="AD58" s="467"/>
      <c r="AE58" s="467"/>
      <c r="AF58" s="467"/>
      <c r="AG58" s="467"/>
      <c r="AH58" s="467"/>
      <c r="AI58" s="467"/>
      <c r="AJ58" s="467"/>
      <c r="AK58" s="467"/>
      <c r="AL58" s="467"/>
      <c r="AM58" s="467"/>
      <c r="AN58" s="467"/>
      <c r="AO58" s="467"/>
      <c r="AP58" s="467"/>
      <c r="AQ58" s="467"/>
      <c r="AR58" s="467"/>
      <c r="AS58" s="467"/>
      <c r="AT58" s="467"/>
      <c r="AU58" s="467"/>
      <c r="AV58" s="467"/>
      <c r="AW58" s="467"/>
      <c r="AX58" s="467"/>
      <c r="AY58" s="467"/>
      <c r="AZ58" s="467"/>
      <c r="BA58" s="467"/>
      <c r="BB58" s="467"/>
      <c r="BC58" s="467"/>
      <c r="BD58" s="467"/>
      <c r="BE58" s="467"/>
      <c r="BF58" s="467"/>
      <c r="BG58" s="467"/>
      <c r="BH58" s="467"/>
      <c r="BI58" s="467"/>
      <c r="BJ58" s="467"/>
      <c r="BK58" s="467"/>
      <c r="BL58" s="467"/>
    </row>
    <row r="59" customFormat="false" ht="12.75" hidden="false" customHeight="false" outlineLevel="0" collapsed="false">
      <c r="A59" s="464" t="n">
        <f aca="false">EOMONTH(A58,0)+1</f>
        <v>38169</v>
      </c>
      <c r="B59" s="467" t="n">
        <v>0.071171966017142</v>
      </c>
      <c r="C59" s="467" t="n">
        <v>3.024</v>
      </c>
      <c r="D59" s="467" t="n">
        <v>0.3025</v>
      </c>
      <c r="E59" s="467" t="n">
        <v>0.005</v>
      </c>
      <c r="F59" s="467" t="n">
        <v>0</v>
      </c>
      <c r="G59" s="467" t="n">
        <v>105.424</v>
      </c>
      <c r="H59" s="467"/>
      <c r="I59" s="467"/>
      <c r="J59" s="467"/>
      <c r="K59" s="467"/>
      <c r="L59" s="467"/>
      <c r="M59" s="467"/>
      <c r="N59" s="467"/>
      <c r="O59" s="467"/>
      <c r="P59" s="467"/>
      <c r="Q59" s="467"/>
      <c r="R59" s="467"/>
      <c r="S59" s="467"/>
      <c r="T59" s="467"/>
      <c r="U59" s="467"/>
      <c r="V59" s="467"/>
      <c r="W59" s="467"/>
      <c r="X59" s="467"/>
      <c r="Y59" s="467"/>
      <c r="Z59" s="467"/>
      <c r="AA59" s="467"/>
      <c r="AB59" s="467"/>
      <c r="AC59" s="467"/>
      <c r="AD59" s="467"/>
      <c r="AE59" s="467"/>
      <c r="AF59" s="467"/>
      <c r="AG59" s="467"/>
      <c r="AH59" s="467"/>
      <c r="AI59" s="467"/>
      <c r="AJ59" s="467"/>
      <c r="AK59" s="467"/>
      <c r="AL59" s="467"/>
      <c r="AM59" s="467"/>
      <c r="AN59" s="467"/>
      <c r="AO59" s="467"/>
      <c r="AP59" s="467"/>
      <c r="AQ59" s="467"/>
      <c r="AR59" s="467"/>
      <c r="AS59" s="467"/>
      <c r="AT59" s="467"/>
      <c r="AU59" s="467"/>
      <c r="AV59" s="467"/>
      <c r="AW59" s="467"/>
      <c r="AX59" s="467"/>
      <c r="AY59" s="467"/>
      <c r="AZ59" s="467"/>
      <c r="BA59" s="467"/>
      <c r="BB59" s="467"/>
      <c r="BC59" s="467"/>
      <c r="BD59" s="467"/>
      <c r="BE59" s="467"/>
      <c r="BF59" s="467"/>
      <c r="BG59" s="467"/>
      <c r="BH59" s="467"/>
      <c r="BI59" s="467"/>
      <c r="BJ59" s="467"/>
      <c r="BK59" s="467"/>
      <c r="BL59" s="467"/>
    </row>
    <row r="60" customFormat="false" ht="12.75" hidden="false" customHeight="false" outlineLevel="0" collapsed="false">
      <c r="A60" s="464" t="n">
        <f aca="false">EOMONTH(A59,0)+1</f>
        <v>38200</v>
      </c>
      <c r="B60" s="467" t="n">
        <v>0.071201182223067</v>
      </c>
      <c r="C60" s="467" t="n">
        <v>3.084</v>
      </c>
      <c r="D60" s="467" t="n">
        <v>0.3025</v>
      </c>
      <c r="E60" s="467" t="n">
        <v>0.005</v>
      </c>
      <c r="F60" s="467" t="n">
        <v>0</v>
      </c>
      <c r="G60" s="467" t="n">
        <v>105.095</v>
      </c>
      <c r="H60" s="467"/>
      <c r="I60" s="467"/>
      <c r="J60" s="467"/>
      <c r="K60" s="467"/>
      <c r="L60" s="467"/>
      <c r="M60" s="467"/>
      <c r="N60" s="467"/>
      <c r="O60" s="467"/>
      <c r="P60" s="467"/>
      <c r="Q60" s="467"/>
      <c r="R60" s="467"/>
      <c r="S60" s="467"/>
      <c r="T60" s="467"/>
      <c r="U60" s="467"/>
      <c r="V60" s="467"/>
      <c r="W60" s="467"/>
      <c r="X60" s="467"/>
      <c r="Y60" s="467"/>
      <c r="Z60" s="467"/>
      <c r="AA60" s="467"/>
      <c r="AB60" s="467"/>
      <c r="AC60" s="467"/>
      <c r="AD60" s="467"/>
      <c r="AE60" s="467"/>
      <c r="AF60" s="467"/>
      <c r="AG60" s="467"/>
      <c r="AH60" s="467"/>
      <c r="AI60" s="467"/>
      <c r="AJ60" s="467"/>
      <c r="AK60" s="467"/>
      <c r="AL60" s="467"/>
      <c r="AM60" s="467"/>
      <c r="AN60" s="467"/>
      <c r="AO60" s="467"/>
      <c r="AP60" s="467"/>
      <c r="AQ60" s="467"/>
      <c r="AR60" s="467"/>
      <c r="AS60" s="467"/>
      <c r="AT60" s="467"/>
      <c r="AU60" s="467"/>
      <c r="AV60" s="467"/>
      <c r="AW60" s="467"/>
      <c r="AX60" s="467"/>
      <c r="AY60" s="467"/>
      <c r="AZ60" s="467"/>
      <c r="BA60" s="467"/>
      <c r="BB60" s="467"/>
      <c r="BC60" s="467"/>
      <c r="BD60" s="467"/>
      <c r="BE60" s="467"/>
      <c r="BF60" s="467"/>
      <c r="BG60" s="467"/>
      <c r="BH60" s="467"/>
      <c r="BI60" s="467"/>
      <c r="BJ60" s="467"/>
      <c r="BK60" s="467"/>
      <c r="BL60" s="467"/>
    </row>
    <row r="61" customFormat="false" ht="12.75" hidden="false" customHeight="false" outlineLevel="0" collapsed="false">
      <c r="A61" s="464" t="n">
        <f aca="false">EOMONTH(A60,0)+1</f>
        <v>38231</v>
      </c>
      <c r="B61" s="467" t="n">
        <v>0.071230398429276</v>
      </c>
      <c r="C61" s="467" t="n">
        <v>3.073</v>
      </c>
      <c r="D61" s="467" t="n">
        <v>0.3025</v>
      </c>
      <c r="E61" s="467" t="n">
        <v>0.005</v>
      </c>
      <c r="F61" s="467" t="n">
        <v>0</v>
      </c>
      <c r="G61" s="467" t="n">
        <v>104.736</v>
      </c>
      <c r="H61" s="467"/>
      <c r="I61" s="467"/>
      <c r="J61" s="467"/>
      <c r="K61" s="467"/>
      <c r="L61" s="467"/>
      <c r="M61" s="467"/>
      <c r="N61" s="467"/>
      <c r="O61" s="467"/>
      <c r="P61" s="467"/>
      <c r="Q61" s="467"/>
      <c r="R61" s="467"/>
      <c r="S61" s="467"/>
      <c r="T61" s="467"/>
      <c r="U61" s="467"/>
      <c r="V61" s="467"/>
      <c r="W61" s="467"/>
      <c r="X61" s="467"/>
      <c r="Y61" s="467"/>
      <c r="Z61" s="467"/>
      <c r="AA61" s="467"/>
      <c r="AB61" s="467"/>
      <c r="AC61" s="467"/>
      <c r="AD61" s="467"/>
      <c r="AE61" s="467"/>
      <c r="AF61" s="467"/>
      <c r="AG61" s="467"/>
      <c r="AH61" s="467"/>
      <c r="AI61" s="467"/>
      <c r="AJ61" s="467"/>
      <c r="AK61" s="467"/>
      <c r="AL61" s="467"/>
      <c r="AM61" s="467"/>
      <c r="AN61" s="467"/>
      <c r="AO61" s="467"/>
      <c r="AP61" s="467"/>
      <c r="AQ61" s="467"/>
      <c r="AR61" s="467"/>
      <c r="AS61" s="467"/>
      <c r="AT61" s="467"/>
      <c r="AU61" s="467"/>
      <c r="AV61" s="467"/>
      <c r="AW61" s="467"/>
      <c r="AX61" s="467"/>
      <c r="AY61" s="467"/>
      <c r="AZ61" s="467"/>
      <c r="BA61" s="467"/>
      <c r="BB61" s="467"/>
      <c r="BC61" s="467"/>
      <c r="BD61" s="467"/>
      <c r="BE61" s="467"/>
      <c r="BF61" s="467"/>
      <c r="BG61" s="467"/>
      <c r="BH61" s="467"/>
      <c r="BI61" s="467"/>
      <c r="BJ61" s="467"/>
      <c r="BK61" s="467"/>
      <c r="BL61" s="467"/>
    </row>
    <row r="62" customFormat="false" ht="12.75" hidden="false" customHeight="false" outlineLevel="0" collapsed="false">
      <c r="A62" s="464" t="n">
        <f aca="false">EOMONTH(A61,0)+1</f>
        <v>38261</v>
      </c>
      <c r="B62" s="467" t="n">
        <v>0.071258672177487</v>
      </c>
      <c r="C62" s="467" t="n">
        <v>3.092</v>
      </c>
      <c r="D62" s="467" t="n">
        <v>0.3025</v>
      </c>
      <c r="E62" s="467" t="n">
        <v>0.005</v>
      </c>
      <c r="F62" s="467" t="n">
        <v>0</v>
      </c>
      <c r="G62" s="467" t="n">
        <v>104.844</v>
      </c>
      <c r="H62" s="467"/>
      <c r="I62" s="467"/>
      <c r="J62" s="467"/>
      <c r="K62" s="467"/>
      <c r="L62" s="467"/>
      <c r="M62" s="467"/>
      <c r="N62" s="467"/>
      <c r="O62" s="467"/>
      <c r="P62" s="467"/>
      <c r="Q62" s="467"/>
      <c r="R62" s="467"/>
      <c r="S62" s="467"/>
      <c r="T62" s="467"/>
      <c r="U62" s="467"/>
      <c r="V62" s="467"/>
      <c r="W62" s="467"/>
      <c r="X62" s="467"/>
      <c r="Y62" s="467"/>
      <c r="Z62" s="467"/>
      <c r="AA62" s="467"/>
      <c r="AB62" s="467"/>
      <c r="AC62" s="467"/>
      <c r="AD62" s="467"/>
      <c r="AE62" s="467"/>
      <c r="AF62" s="467"/>
      <c r="AG62" s="467"/>
      <c r="AH62" s="467"/>
      <c r="AI62" s="467"/>
      <c r="AJ62" s="467"/>
      <c r="AK62" s="467"/>
      <c r="AL62" s="467"/>
      <c r="AM62" s="467"/>
      <c r="AN62" s="467"/>
      <c r="AO62" s="467"/>
      <c r="AP62" s="467"/>
      <c r="AQ62" s="467"/>
      <c r="AR62" s="467"/>
      <c r="AS62" s="467"/>
      <c r="AT62" s="467"/>
      <c r="AU62" s="467"/>
      <c r="AV62" s="467"/>
      <c r="AW62" s="467"/>
      <c r="AX62" s="467"/>
      <c r="AY62" s="467"/>
      <c r="AZ62" s="467"/>
      <c r="BA62" s="467"/>
      <c r="BB62" s="467"/>
      <c r="BC62" s="467"/>
      <c r="BD62" s="467"/>
      <c r="BE62" s="467"/>
      <c r="BF62" s="467"/>
      <c r="BG62" s="467"/>
      <c r="BH62" s="467"/>
      <c r="BI62" s="467"/>
      <c r="BJ62" s="467"/>
      <c r="BK62" s="467"/>
      <c r="BL62" s="467"/>
    </row>
    <row r="63" customFormat="false" ht="12.75" hidden="false" customHeight="false" outlineLevel="0" collapsed="false">
      <c r="A63" s="464" t="n">
        <f aca="false">EOMONTH(A62,0)+1</f>
        <v>38292</v>
      </c>
      <c r="B63" s="467" t="n">
        <v>0.07128788838425</v>
      </c>
      <c r="C63" s="467" t="n">
        <v>3.196</v>
      </c>
      <c r="D63" s="467" t="n">
        <v>0.305</v>
      </c>
      <c r="E63" s="467" t="n">
        <v>0.005</v>
      </c>
      <c r="F63" s="467" t="n">
        <v>0</v>
      </c>
      <c r="G63" s="467" t="n">
        <v>104.539</v>
      </c>
      <c r="H63" s="467"/>
      <c r="I63" s="467"/>
      <c r="J63" s="467"/>
      <c r="K63" s="467"/>
      <c r="L63" s="467"/>
      <c r="M63" s="467"/>
      <c r="N63" s="467"/>
      <c r="O63" s="467"/>
      <c r="P63" s="467"/>
      <c r="Q63" s="467"/>
      <c r="R63" s="467"/>
      <c r="S63" s="467"/>
      <c r="T63" s="467"/>
      <c r="U63" s="467"/>
      <c r="V63" s="467"/>
      <c r="W63" s="467"/>
      <c r="X63" s="467"/>
      <c r="Y63" s="467"/>
      <c r="Z63" s="467"/>
      <c r="AA63" s="467"/>
      <c r="AB63" s="467"/>
      <c r="AC63" s="467"/>
      <c r="AD63" s="467"/>
      <c r="AE63" s="467"/>
      <c r="AF63" s="467"/>
      <c r="AG63" s="467"/>
      <c r="AH63" s="467"/>
      <c r="AI63" s="467"/>
      <c r="AJ63" s="467"/>
      <c r="AK63" s="467"/>
      <c r="AL63" s="467"/>
      <c r="AM63" s="467"/>
      <c r="AN63" s="467"/>
      <c r="AO63" s="467"/>
      <c r="AP63" s="467"/>
      <c r="AQ63" s="467"/>
      <c r="AR63" s="467"/>
      <c r="AS63" s="467"/>
      <c r="AT63" s="467"/>
      <c r="AU63" s="467"/>
      <c r="AV63" s="467"/>
      <c r="AW63" s="467"/>
      <c r="AX63" s="467"/>
      <c r="AY63" s="467"/>
      <c r="AZ63" s="467"/>
      <c r="BA63" s="467"/>
      <c r="BB63" s="467"/>
      <c r="BC63" s="467"/>
      <c r="BD63" s="467"/>
      <c r="BE63" s="467"/>
      <c r="BF63" s="467"/>
      <c r="BG63" s="467"/>
      <c r="BH63" s="467"/>
      <c r="BI63" s="467"/>
      <c r="BJ63" s="467"/>
      <c r="BK63" s="467"/>
      <c r="BL63" s="467"/>
    </row>
    <row r="64" customFormat="false" ht="12.75" hidden="false" customHeight="false" outlineLevel="0" collapsed="false">
      <c r="A64" s="464" t="n">
        <f aca="false">EOMONTH(A63,0)+1</f>
        <v>38322</v>
      </c>
      <c r="B64" s="467" t="n">
        <v>0.071316162133</v>
      </c>
      <c r="C64" s="467" t="n">
        <v>3.298</v>
      </c>
      <c r="D64" s="467" t="n">
        <v>0.3075</v>
      </c>
      <c r="E64" s="467" t="n">
        <v>0.005</v>
      </c>
      <c r="F64" s="467" t="n">
        <v>0</v>
      </c>
      <c r="G64" s="467" t="n">
        <v>104.284</v>
      </c>
      <c r="H64" s="467"/>
      <c r="I64" s="467"/>
      <c r="J64" s="467"/>
      <c r="K64" s="467"/>
      <c r="L64" s="467"/>
      <c r="M64" s="467"/>
      <c r="N64" s="467"/>
      <c r="O64" s="467"/>
      <c r="P64" s="467"/>
      <c r="Q64" s="467"/>
      <c r="R64" s="467"/>
      <c r="S64" s="467"/>
      <c r="T64" s="467"/>
      <c r="U64" s="467"/>
      <c r="V64" s="467"/>
      <c r="W64" s="467"/>
      <c r="X64" s="467"/>
      <c r="Y64" s="467"/>
      <c r="Z64" s="467"/>
      <c r="AA64" s="467"/>
      <c r="AB64" s="467"/>
      <c r="AC64" s="467"/>
      <c r="AD64" s="467"/>
      <c r="AE64" s="467"/>
      <c r="AF64" s="467"/>
      <c r="AG64" s="467"/>
      <c r="AH64" s="467"/>
      <c r="AI64" s="467"/>
      <c r="AJ64" s="467"/>
      <c r="AK64" s="467"/>
      <c r="AL64" s="467"/>
      <c r="AM64" s="467"/>
      <c r="AN64" s="467"/>
      <c r="AO64" s="467"/>
      <c r="AP64" s="467"/>
      <c r="AQ64" s="467"/>
      <c r="AR64" s="467"/>
      <c r="AS64" s="467"/>
      <c r="AT64" s="467"/>
      <c r="AU64" s="467"/>
      <c r="AV64" s="467"/>
      <c r="AW64" s="467"/>
      <c r="AX64" s="467"/>
      <c r="AY64" s="467"/>
      <c r="AZ64" s="467"/>
      <c r="BA64" s="467"/>
      <c r="BB64" s="467"/>
      <c r="BC64" s="467"/>
      <c r="BD64" s="467"/>
      <c r="BE64" s="467"/>
      <c r="BF64" s="467"/>
      <c r="BG64" s="467"/>
      <c r="BH64" s="467"/>
      <c r="BI64" s="467"/>
      <c r="BJ64" s="467"/>
      <c r="BK64" s="467"/>
      <c r="BL64" s="467"/>
    </row>
    <row r="65" customFormat="false" ht="12.75" hidden="false" customHeight="false" outlineLevel="0" collapsed="false">
      <c r="A65" s="464" t="n">
        <f aca="false">EOMONTH(A64,0)+1</f>
        <v>38353</v>
      </c>
      <c r="B65" s="467" t="n">
        <v>0.071345378340317</v>
      </c>
      <c r="C65" s="467" t="n">
        <v>3.409</v>
      </c>
      <c r="D65" s="467" t="n">
        <v>0.3125</v>
      </c>
      <c r="E65" s="467" t="n">
        <v>0.005</v>
      </c>
      <c r="F65" s="467" t="n">
        <v>0</v>
      </c>
      <c r="G65" s="467" t="n">
        <v>104.146</v>
      </c>
      <c r="H65" s="467"/>
      <c r="I65" s="467"/>
      <c r="J65" s="467"/>
      <c r="K65" s="467"/>
      <c r="L65" s="467"/>
      <c r="M65" s="467"/>
      <c r="N65" s="467"/>
      <c r="O65" s="467"/>
      <c r="P65" s="467"/>
      <c r="Q65" s="467"/>
      <c r="R65" s="467"/>
      <c r="S65" s="467"/>
      <c r="T65" s="467"/>
      <c r="U65" s="467"/>
      <c r="V65" s="467"/>
      <c r="W65" s="467"/>
      <c r="X65" s="467"/>
      <c r="Y65" s="467"/>
      <c r="Z65" s="467"/>
      <c r="AA65" s="467"/>
      <c r="AB65" s="467"/>
      <c r="AC65" s="467"/>
      <c r="AD65" s="467"/>
      <c r="AE65" s="467"/>
      <c r="AF65" s="467"/>
      <c r="AG65" s="467"/>
      <c r="AH65" s="467"/>
      <c r="AI65" s="467"/>
      <c r="AJ65" s="467"/>
      <c r="AK65" s="467"/>
      <c r="AL65" s="467"/>
      <c r="AM65" s="467"/>
      <c r="AN65" s="467"/>
      <c r="AO65" s="467"/>
      <c r="AP65" s="467"/>
      <c r="AQ65" s="467"/>
      <c r="AR65" s="467"/>
      <c r="AS65" s="467"/>
      <c r="AT65" s="467"/>
      <c r="AU65" s="467"/>
      <c r="AV65" s="467"/>
      <c r="AW65" s="467"/>
      <c r="AX65" s="467"/>
      <c r="AY65" s="467"/>
      <c r="AZ65" s="467"/>
      <c r="BA65" s="467"/>
      <c r="BB65" s="467"/>
      <c r="BC65" s="467"/>
      <c r="BD65" s="467"/>
      <c r="BE65" s="467"/>
      <c r="BF65" s="467"/>
      <c r="BG65" s="467"/>
      <c r="BH65" s="467"/>
      <c r="BI65" s="467"/>
      <c r="BJ65" s="467"/>
      <c r="BK65" s="467"/>
      <c r="BL65" s="467"/>
    </row>
    <row r="66" customFormat="false" ht="12.75" hidden="false" customHeight="false" outlineLevel="0" collapsed="false">
      <c r="A66" s="464" t="n">
        <f aca="false">EOMONTH(A65,0)+1</f>
        <v>38384</v>
      </c>
      <c r="B66" s="467" t="n">
        <v>0.071374594547918</v>
      </c>
      <c r="C66" s="467" t="n">
        <v>3.287</v>
      </c>
      <c r="D66" s="467" t="n">
        <v>0.2975</v>
      </c>
      <c r="E66" s="467" t="n">
        <v>0.005</v>
      </c>
      <c r="F66" s="467" t="n">
        <v>0</v>
      </c>
      <c r="G66" s="467" t="n">
        <v>103.916</v>
      </c>
      <c r="H66" s="467"/>
      <c r="I66" s="467"/>
      <c r="J66" s="467"/>
      <c r="K66" s="467"/>
      <c r="L66" s="467"/>
      <c r="M66" s="467"/>
      <c r="N66" s="467"/>
      <c r="O66" s="467"/>
      <c r="P66" s="467"/>
      <c r="Q66" s="467"/>
      <c r="R66" s="467"/>
      <c r="S66" s="467"/>
      <c r="T66" s="467"/>
      <c r="U66" s="467"/>
      <c r="V66" s="467"/>
      <c r="W66" s="467"/>
      <c r="X66" s="467"/>
      <c r="Y66" s="467"/>
      <c r="Z66" s="467"/>
      <c r="AA66" s="467"/>
      <c r="AB66" s="467"/>
      <c r="AC66" s="467"/>
      <c r="AD66" s="467"/>
      <c r="AE66" s="467"/>
      <c r="AF66" s="467"/>
      <c r="AG66" s="467"/>
      <c r="AH66" s="467"/>
      <c r="AI66" s="467"/>
      <c r="AJ66" s="467"/>
      <c r="AK66" s="467"/>
      <c r="AL66" s="467"/>
      <c r="AM66" s="467"/>
      <c r="AN66" s="467"/>
      <c r="AO66" s="467"/>
      <c r="AP66" s="467"/>
      <c r="AQ66" s="467"/>
      <c r="AR66" s="467"/>
      <c r="AS66" s="467"/>
      <c r="AT66" s="467"/>
      <c r="AU66" s="467"/>
      <c r="AV66" s="467"/>
      <c r="AW66" s="467"/>
      <c r="AX66" s="467"/>
      <c r="AY66" s="467"/>
      <c r="AZ66" s="467"/>
      <c r="BA66" s="467"/>
      <c r="BB66" s="467"/>
      <c r="BC66" s="467"/>
      <c r="BD66" s="467"/>
      <c r="BE66" s="467"/>
      <c r="BF66" s="467"/>
      <c r="BG66" s="467"/>
      <c r="BH66" s="467"/>
      <c r="BI66" s="467"/>
      <c r="BJ66" s="467"/>
      <c r="BK66" s="467"/>
      <c r="BL66" s="467"/>
    </row>
    <row r="67" customFormat="false" ht="12.75" hidden="false" customHeight="false" outlineLevel="0" collapsed="false">
      <c r="A67" s="464" t="n">
        <f aca="false">EOMONTH(A66,0)+1</f>
        <v>38412</v>
      </c>
      <c r="B67" s="467" t="n">
        <v>0.071400983380831</v>
      </c>
      <c r="C67" s="467" t="n">
        <v>3.153</v>
      </c>
      <c r="D67" s="467" t="n">
        <v>0.2925</v>
      </c>
      <c r="E67" s="467" t="n">
        <v>0.005</v>
      </c>
      <c r="F67" s="467" t="n">
        <v>0</v>
      </c>
      <c r="G67" s="467" t="n">
        <v>103.656</v>
      </c>
      <c r="H67" s="467"/>
      <c r="I67" s="467"/>
      <c r="J67" s="467"/>
      <c r="K67" s="467"/>
      <c r="L67" s="467"/>
      <c r="M67" s="467"/>
      <c r="N67" s="467"/>
      <c r="O67" s="467"/>
      <c r="P67" s="467"/>
      <c r="Q67" s="467"/>
      <c r="R67" s="467"/>
      <c r="S67" s="467"/>
      <c r="T67" s="467"/>
      <c r="U67" s="467"/>
      <c r="V67" s="467"/>
      <c r="W67" s="467"/>
      <c r="X67" s="467"/>
      <c r="Y67" s="467"/>
      <c r="Z67" s="467"/>
      <c r="AA67" s="467"/>
      <c r="AB67" s="467"/>
      <c r="AC67" s="467"/>
      <c r="AD67" s="467"/>
      <c r="AE67" s="467"/>
      <c r="AF67" s="467"/>
      <c r="AG67" s="467"/>
      <c r="AH67" s="467"/>
      <c r="AI67" s="467"/>
      <c r="AJ67" s="467"/>
      <c r="AK67" s="467"/>
      <c r="AL67" s="467"/>
      <c r="AM67" s="467"/>
      <c r="AN67" s="467"/>
      <c r="AO67" s="467"/>
      <c r="AP67" s="467"/>
      <c r="AQ67" s="467"/>
      <c r="AR67" s="467"/>
      <c r="AS67" s="467"/>
      <c r="AT67" s="467"/>
      <c r="AU67" s="467"/>
      <c r="AV67" s="467"/>
      <c r="AW67" s="467"/>
      <c r="AX67" s="467"/>
      <c r="AY67" s="467"/>
      <c r="AZ67" s="467"/>
      <c r="BA67" s="467"/>
      <c r="BB67" s="467"/>
      <c r="BC67" s="467"/>
      <c r="BD67" s="467"/>
      <c r="BE67" s="467"/>
      <c r="BF67" s="467"/>
      <c r="BG67" s="467"/>
      <c r="BH67" s="467"/>
      <c r="BI67" s="467"/>
      <c r="BJ67" s="467"/>
      <c r="BK67" s="467"/>
      <c r="BL67" s="467"/>
    </row>
    <row r="68" customFormat="false" ht="12.75" hidden="false" customHeight="false" outlineLevel="0" collapsed="false">
      <c r="A68" s="464" t="n">
        <f aca="false">EOMONTH(A67,0)+1</f>
        <v>38443</v>
      </c>
      <c r="B68" s="467" t="n">
        <v>0.071430199588968</v>
      </c>
      <c r="C68" s="467" t="n">
        <v>3.019</v>
      </c>
      <c r="D68" s="467" t="n">
        <v>0.27</v>
      </c>
      <c r="E68" s="467" t="n">
        <v>0.005</v>
      </c>
      <c r="F68" s="467" t="n">
        <v>0</v>
      </c>
      <c r="G68" s="467" t="n">
        <v>102.689</v>
      </c>
      <c r="H68" s="467"/>
      <c r="I68" s="467"/>
      <c r="J68" s="467"/>
      <c r="K68" s="467"/>
      <c r="L68" s="467"/>
      <c r="M68" s="467"/>
      <c r="N68" s="467"/>
      <c r="O68" s="467"/>
      <c r="P68" s="467"/>
      <c r="Q68" s="467"/>
      <c r="R68" s="467"/>
      <c r="S68" s="467"/>
      <c r="T68" s="467"/>
      <c r="U68" s="467"/>
      <c r="V68" s="467"/>
      <c r="W68" s="467"/>
      <c r="X68" s="467"/>
      <c r="Y68" s="467"/>
      <c r="Z68" s="467"/>
      <c r="AA68" s="467"/>
      <c r="AB68" s="467"/>
      <c r="AC68" s="467"/>
      <c r="AD68" s="467"/>
      <c r="AE68" s="467"/>
      <c r="AF68" s="467"/>
      <c r="AG68" s="467"/>
      <c r="AH68" s="467"/>
      <c r="AI68" s="467"/>
      <c r="AJ68" s="467"/>
      <c r="AK68" s="467"/>
      <c r="AL68" s="467"/>
      <c r="AM68" s="467"/>
      <c r="AN68" s="467"/>
      <c r="AO68" s="467"/>
      <c r="AP68" s="467"/>
      <c r="AQ68" s="467"/>
      <c r="AR68" s="467"/>
      <c r="AS68" s="467"/>
      <c r="AT68" s="467"/>
      <c r="AU68" s="467"/>
      <c r="AV68" s="467"/>
      <c r="AW68" s="467"/>
      <c r="AX68" s="467"/>
      <c r="AY68" s="467"/>
      <c r="AZ68" s="467"/>
      <c r="BA68" s="467"/>
      <c r="BB68" s="467"/>
      <c r="BC68" s="467"/>
      <c r="BD68" s="467"/>
      <c r="BE68" s="467"/>
      <c r="BF68" s="467"/>
      <c r="BG68" s="467"/>
      <c r="BH68" s="467"/>
      <c r="BI68" s="467"/>
      <c r="BJ68" s="467"/>
      <c r="BK68" s="467"/>
      <c r="BL68" s="467"/>
    </row>
    <row r="69" customFormat="false" ht="12.75" hidden="false" customHeight="false" outlineLevel="0" collapsed="false">
      <c r="A69" s="464" t="n">
        <f aca="false">EOMONTH(A68,0)+1</f>
        <v>38473</v>
      </c>
      <c r="B69" s="467" t="n">
        <v>0.071458473339046</v>
      </c>
      <c r="C69" s="467" t="n">
        <v>3.006</v>
      </c>
      <c r="D69" s="467" t="n">
        <v>0.27</v>
      </c>
      <c r="E69" s="467" t="n">
        <v>0.005</v>
      </c>
      <c r="F69" s="467" t="n">
        <v>0</v>
      </c>
      <c r="G69" s="467" t="n">
        <v>102.455</v>
      </c>
      <c r="H69" s="467"/>
      <c r="I69" s="467"/>
      <c r="J69" s="467"/>
      <c r="K69" s="467"/>
      <c r="L69" s="467"/>
      <c r="M69" s="467"/>
      <c r="N69" s="467"/>
      <c r="O69" s="467"/>
      <c r="P69" s="467"/>
      <c r="Q69" s="467"/>
      <c r="R69" s="467"/>
      <c r="S69" s="467"/>
      <c r="T69" s="467"/>
      <c r="U69" s="467"/>
      <c r="V69" s="467"/>
      <c r="W69" s="467"/>
      <c r="X69" s="467"/>
      <c r="Y69" s="467"/>
      <c r="Z69" s="467"/>
      <c r="AA69" s="467"/>
      <c r="AB69" s="467"/>
      <c r="AC69" s="467"/>
      <c r="AD69" s="467"/>
      <c r="AE69" s="467"/>
      <c r="AF69" s="467"/>
      <c r="AG69" s="467"/>
      <c r="AH69" s="467"/>
      <c r="AI69" s="467"/>
      <c r="AJ69" s="467"/>
      <c r="AK69" s="467"/>
      <c r="AL69" s="467"/>
      <c r="AM69" s="467"/>
      <c r="AN69" s="467"/>
      <c r="AO69" s="467"/>
      <c r="AP69" s="467"/>
      <c r="AQ69" s="467"/>
      <c r="AR69" s="467"/>
      <c r="AS69" s="467"/>
      <c r="AT69" s="467"/>
      <c r="AU69" s="467"/>
      <c r="AV69" s="467"/>
      <c r="AW69" s="467"/>
      <c r="AX69" s="467"/>
      <c r="AY69" s="467"/>
      <c r="AZ69" s="467"/>
      <c r="BA69" s="467"/>
      <c r="BB69" s="467"/>
      <c r="BC69" s="467"/>
      <c r="BD69" s="467"/>
      <c r="BE69" s="467"/>
      <c r="BF69" s="467"/>
      <c r="BG69" s="467"/>
      <c r="BH69" s="467"/>
      <c r="BI69" s="467"/>
      <c r="BJ69" s="467"/>
      <c r="BK69" s="467"/>
      <c r="BL69" s="467"/>
    </row>
    <row r="70" customFormat="false" ht="12.75" hidden="false" customHeight="false" outlineLevel="0" collapsed="false">
      <c r="A70" s="464" t="n">
        <f aca="false">EOMONTH(A69,0)+1</f>
        <v>38504</v>
      </c>
      <c r="B70" s="467" t="n">
        <v>0.071487689547738</v>
      </c>
      <c r="C70" s="467" t="n">
        <v>3.038</v>
      </c>
      <c r="D70" s="467" t="n">
        <v>0.27</v>
      </c>
      <c r="E70" s="467" t="n">
        <v>0.005</v>
      </c>
      <c r="F70" s="467" t="n">
        <v>0</v>
      </c>
      <c r="G70" s="467" t="n">
        <v>102.206</v>
      </c>
      <c r="H70" s="467"/>
      <c r="I70" s="467"/>
      <c r="J70" s="467"/>
      <c r="K70" s="467"/>
      <c r="L70" s="467"/>
      <c r="M70" s="467"/>
      <c r="N70" s="467"/>
      <c r="O70" s="467"/>
      <c r="P70" s="467"/>
      <c r="Q70" s="467"/>
      <c r="R70" s="467"/>
      <c r="S70" s="467"/>
      <c r="T70" s="467"/>
      <c r="U70" s="467"/>
      <c r="V70" s="467"/>
      <c r="W70" s="467"/>
      <c r="X70" s="467"/>
      <c r="Y70" s="467"/>
      <c r="Z70" s="467"/>
      <c r="AA70" s="467"/>
      <c r="AB70" s="467"/>
      <c r="AC70" s="467"/>
      <c r="AD70" s="467"/>
      <c r="AE70" s="467"/>
      <c r="AF70" s="467"/>
      <c r="AG70" s="467"/>
      <c r="AH70" s="467"/>
      <c r="AI70" s="467"/>
      <c r="AJ70" s="467"/>
      <c r="AK70" s="467"/>
      <c r="AL70" s="467"/>
      <c r="AM70" s="467"/>
      <c r="AN70" s="467"/>
      <c r="AO70" s="467"/>
      <c r="AP70" s="467"/>
      <c r="AQ70" s="467"/>
      <c r="AR70" s="467"/>
      <c r="AS70" s="467"/>
      <c r="AT70" s="467"/>
      <c r="AU70" s="467"/>
      <c r="AV70" s="467"/>
      <c r="AW70" s="467"/>
      <c r="AX70" s="467"/>
      <c r="AY70" s="467"/>
      <c r="AZ70" s="467"/>
      <c r="BA70" s="467"/>
      <c r="BB70" s="467"/>
      <c r="BC70" s="467"/>
      <c r="BD70" s="467"/>
      <c r="BE70" s="467"/>
      <c r="BF70" s="467"/>
      <c r="BG70" s="467"/>
      <c r="BH70" s="467"/>
      <c r="BI70" s="467"/>
      <c r="BJ70" s="467"/>
      <c r="BK70" s="467"/>
      <c r="BL70" s="467"/>
    </row>
    <row r="71" customFormat="false" ht="12.75" hidden="false" customHeight="false" outlineLevel="0" collapsed="false">
      <c r="A71" s="464" t="n">
        <f aca="false">EOMONTH(A70,0)+1</f>
        <v>38534</v>
      </c>
      <c r="B71" s="467" t="n">
        <v>0.071515963298354</v>
      </c>
      <c r="C71" s="467" t="n">
        <v>3.038</v>
      </c>
      <c r="D71" s="467" t="n">
        <v>0.27</v>
      </c>
      <c r="E71" s="467" t="n">
        <v>0.005</v>
      </c>
      <c r="F71" s="467" t="n">
        <v>0</v>
      </c>
      <c r="G71" s="467" t="n">
        <v>102.119</v>
      </c>
      <c r="H71" s="467"/>
      <c r="I71" s="467"/>
      <c r="J71" s="467"/>
      <c r="K71" s="467"/>
      <c r="L71" s="467"/>
      <c r="M71" s="467"/>
      <c r="N71" s="467"/>
      <c r="O71" s="467"/>
      <c r="P71" s="467"/>
      <c r="Q71" s="467"/>
      <c r="R71" s="467"/>
      <c r="S71" s="467"/>
      <c r="T71" s="467"/>
      <c r="U71" s="467"/>
      <c r="V71" s="467"/>
      <c r="W71" s="467"/>
      <c r="X71" s="467"/>
      <c r="Y71" s="467"/>
      <c r="Z71" s="467"/>
      <c r="AA71" s="467"/>
      <c r="AB71" s="467"/>
      <c r="AC71" s="467"/>
      <c r="AD71" s="467"/>
      <c r="AE71" s="467"/>
      <c r="AF71" s="467"/>
      <c r="AG71" s="467"/>
      <c r="AH71" s="467"/>
      <c r="AI71" s="467"/>
      <c r="AJ71" s="467"/>
      <c r="AK71" s="467"/>
      <c r="AL71" s="467"/>
      <c r="AM71" s="467"/>
      <c r="AN71" s="467"/>
      <c r="AO71" s="467"/>
      <c r="AP71" s="467"/>
      <c r="AQ71" s="467"/>
      <c r="AR71" s="467"/>
      <c r="AS71" s="467"/>
      <c r="AT71" s="467"/>
      <c r="AU71" s="467"/>
      <c r="AV71" s="467"/>
      <c r="AW71" s="467"/>
      <c r="AX71" s="467"/>
      <c r="AY71" s="467"/>
      <c r="AZ71" s="467"/>
      <c r="BA71" s="467"/>
      <c r="BB71" s="467"/>
      <c r="BC71" s="467"/>
      <c r="BD71" s="467"/>
      <c r="BE71" s="467"/>
      <c r="BF71" s="467"/>
      <c r="BG71" s="467"/>
      <c r="BH71" s="467"/>
      <c r="BI71" s="467"/>
      <c r="BJ71" s="467"/>
      <c r="BK71" s="467"/>
      <c r="BL71" s="467"/>
    </row>
    <row r="72" customFormat="false" ht="12.75" hidden="false" customHeight="false" outlineLevel="0" collapsed="false">
      <c r="A72" s="464" t="n">
        <f aca="false">EOMONTH(A71,0)+1</f>
        <v>38565</v>
      </c>
      <c r="B72" s="467" t="n">
        <v>0.071546853272664</v>
      </c>
      <c r="C72" s="467" t="n">
        <v>3.098</v>
      </c>
      <c r="D72" s="467" t="n">
        <v>0.27</v>
      </c>
      <c r="E72" s="467" t="n">
        <v>0.005</v>
      </c>
      <c r="F72" s="467" t="n">
        <v>0</v>
      </c>
      <c r="G72" s="467" t="n">
        <v>101.882</v>
      </c>
      <c r="H72" s="467"/>
      <c r="I72" s="467"/>
      <c r="J72" s="467"/>
      <c r="K72" s="467"/>
      <c r="L72" s="467"/>
      <c r="M72" s="467"/>
      <c r="N72" s="467"/>
      <c r="O72" s="467"/>
      <c r="P72" s="467"/>
      <c r="Q72" s="467"/>
      <c r="R72" s="467"/>
      <c r="S72" s="467"/>
      <c r="T72" s="467"/>
      <c r="U72" s="467"/>
      <c r="V72" s="467"/>
      <c r="W72" s="467"/>
      <c r="X72" s="467"/>
      <c r="Y72" s="467"/>
      <c r="Z72" s="467"/>
      <c r="AA72" s="467"/>
      <c r="AB72" s="467"/>
      <c r="AC72" s="467"/>
      <c r="AD72" s="467"/>
      <c r="AE72" s="467"/>
      <c r="AF72" s="467"/>
      <c r="AG72" s="467"/>
      <c r="AH72" s="467"/>
      <c r="AI72" s="467"/>
      <c r="AJ72" s="467"/>
      <c r="AK72" s="467"/>
      <c r="AL72" s="467"/>
      <c r="AM72" s="467"/>
      <c r="AN72" s="467"/>
      <c r="AO72" s="467"/>
      <c r="AP72" s="467"/>
      <c r="AQ72" s="467"/>
      <c r="AR72" s="467"/>
      <c r="AS72" s="467"/>
      <c r="AT72" s="467"/>
      <c r="AU72" s="467"/>
      <c r="AV72" s="467"/>
      <c r="AW72" s="467"/>
      <c r="AX72" s="467"/>
      <c r="AY72" s="467"/>
      <c r="AZ72" s="467"/>
      <c r="BA72" s="467"/>
      <c r="BB72" s="467"/>
      <c r="BC72" s="467"/>
      <c r="BD72" s="467"/>
      <c r="BE72" s="467"/>
      <c r="BF72" s="467"/>
      <c r="BG72" s="467"/>
      <c r="BH72" s="467"/>
      <c r="BI72" s="467"/>
      <c r="BJ72" s="467"/>
      <c r="BK72" s="467"/>
      <c r="BL72" s="467"/>
    </row>
    <row r="73" customFormat="false" ht="12.75" hidden="false" customHeight="false" outlineLevel="0" collapsed="false">
      <c r="A73" s="464" t="n">
        <f aca="false">EOMONTH(A72,0)+1</f>
        <v>38596</v>
      </c>
      <c r="B73" s="467" t="n">
        <v>0.071584717268468</v>
      </c>
      <c r="C73" s="467" t="n">
        <v>3.086</v>
      </c>
      <c r="D73" s="467" t="n">
        <v>0.27</v>
      </c>
      <c r="E73" s="467" t="n">
        <v>0.005</v>
      </c>
      <c r="F73" s="467" t="n">
        <v>0</v>
      </c>
      <c r="G73" s="467" t="n">
        <v>101.64</v>
      </c>
      <c r="H73" s="467"/>
      <c r="I73" s="467"/>
      <c r="J73" s="467"/>
      <c r="K73" s="467"/>
      <c r="L73" s="467"/>
      <c r="M73" s="467"/>
      <c r="N73" s="467"/>
      <c r="O73" s="467"/>
      <c r="P73" s="467"/>
      <c r="Q73" s="467"/>
      <c r="R73" s="467"/>
      <c r="S73" s="467"/>
      <c r="T73" s="467"/>
      <c r="U73" s="467"/>
      <c r="V73" s="467"/>
      <c r="W73" s="467"/>
      <c r="X73" s="467"/>
      <c r="Y73" s="467"/>
      <c r="Z73" s="467"/>
      <c r="AA73" s="467"/>
      <c r="AB73" s="467"/>
      <c r="AC73" s="467"/>
      <c r="AD73" s="467"/>
      <c r="AE73" s="467"/>
      <c r="AF73" s="467"/>
      <c r="AG73" s="467"/>
      <c r="AH73" s="467"/>
      <c r="AI73" s="467"/>
      <c r="AJ73" s="467"/>
      <c r="AK73" s="467"/>
      <c r="AL73" s="467"/>
      <c r="AM73" s="467"/>
      <c r="AN73" s="467"/>
      <c r="AO73" s="467"/>
      <c r="AP73" s="467"/>
      <c r="AQ73" s="467"/>
      <c r="AR73" s="467"/>
      <c r="AS73" s="467"/>
      <c r="AT73" s="467"/>
      <c r="AU73" s="467"/>
      <c r="AV73" s="467"/>
      <c r="AW73" s="467"/>
      <c r="AX73" s="467"/>
      <c r="AY73" s="467"/>
      <c r="AZ73" s="467"/>
      <c r="BA73" s="467"/>
      <c r="BB73" s="467"/>
      <c r="BC73" s="467"/>
      <c r="BD73" s="467"/>
      <c r="BE73" s="467"/>
      <c r="BF73" s="467"/>
      <c r="BG73" s="467"/>
      <c r="BH73" s="467"/>
      <c r="BI73" s="467"/>
      <c r="BJ73" s="467"/>
      <c r="BK73" s="467"/>
      <c r="BL73" s="467"/>
    </row>
    <row r="74" customFormat="false" ht="12.75" hidden="false" customHeight="false" outlineLevel="0" collapsed="false">
      <c r="A74" s="464" t="n">
        <f aca="false">EOMONTH(A73,0)+1</f>
        <v>38626</v>
      </c>
      <c r="B74" s="467" t="n">
        <v>0.071621359845503</v>
      </c>
      <c r="C74" s="467" t="n">
        <v>3.104</v>
      </c>
      <c r="D74" s="467" t="n">
        <v>0.27</v>
      </c>
      <c r="E74" s="467" t="n">
        <v>0.005</v>
      </c>
      <c r="F74" s="467" t="n">
        <v>0</v>
      </c>
      <c r="G74" s="467" t="n">
        <v>101.855</v>
      </c>
      <c r="H74" s="467"/>
      <c r="I74" s="467"/>
      <c r="J74" s="467"/>
      <c r="K74" s="467"/>
      <c r="L74" s="467"/>
      <c r="M74" s="467"/>
      <c r="N74" s="467"/>
      <c r="O74" s="467"/>
      <c r="P74" s="467"/>
      <c r="Q74" s="467"/>
      <c r="R74" s="467"/>
      <c r="S74" s="467"/>
      <c r="T74" s="467"/>
      <c r="U74" s="467"/>
      <c r="V74" s="467"/>
      <c r="W74" s="467"/>
      <c r="X74" s="467"/>
      <c r="Y74" s="467"/>
      <c r="Z74" s="467"/>
      <c r="AA74" s="467"/>
      <c r="AB74" s="467"/>
      <c r="AC74" s="467"/>
      <c r="AD74" s="467"/>
      <c r="AE74" s="467"/>
      <c r="AF74" s="467"/>
      <c r="AG74" s="467"/>
      <c r="AH74" s="467"/>
      <c r="AI74" s="467"/>
      <c r="AJ74" s="467"/>
      <c r="AK74" s="467"/>
      <c r="AL74" s="467"/>
      <c r="AM74" s="467"/>
      <c r="AN74" s="467"/>
      <c r="AO74" s="467"/>
      <c r="AP74" s="467"/>
      <c r="AQ74" s="467"/>
      <c r="AR74" s="467"/>
      <c r="AS74" s="467"/>
      <c r="AT74" s="467"/>
      <c r="AU74" s="467"/>
      <c r="AV74" s="467"/>
      <c r="AW74" s="467"/>
      <c r="AX74" s="467"/>
      <c r="AY74" s="467"/>
      <c r="AZ74" s="467"/>
      <c r="BA74" s="467"/>
      <c r="BB74" s="467"/>
      <c r="BC74" s="467"/>
      <c r="BD74" s="467"/>
      <c r="BE74" s="467"/>
      <c r="BF74" s="467"/>
      <c r="BG74" s="467"/>
      <c r="BH74" s="467"/>
      <c r="BI74" s="467"/>
      <c r="BJ74" s="467"/>
      <c r="BK74" s="467"/>
      <c r="BL74" s="467"/>
    </row>
    <row r="75" customFormat="false" ht="12.75" hidden="false" customHeight="false" outlineLevel="0" collapsed="false">
      <c r="A75" s="464" t="n">
        <f aca="false">EOMONTH(A74,0)+1</f>
        <v>38657</v>
      </c>
      <c r="B75" s="467" t="n">
        <v>0.071659223842239</v>
      </c>
      <c r="C75" s="467" t="n">
        <v>3.203</v>
      </c>
      <c r="D75" s="467" t="n">
        <v>0.27</v>
      </c>
      <c r="E75" s="467" t="n">
        <v>0.005</v>
      </c>
      <c r="F75" s="467" t="n">
        <v>0</v>
      </c>
      <c r="G75" s="467" t="n">
        <v>101.638</v>
      </c>
      <c r="H75" s="467"/>
      <c r="I75" s="467"/>
      <c r="J75" s="467"/>
      <c r="K75" s="467"/>
      <c r="L75" s="467"/>
      <c r="M75" s="467"/>
      <c r="N75" s="467"/>
      <c r="O75" s="467"/>
      <c r="P75" s="467"/>
      <c r="Q75" s="467"/>
      <c r="R75" s="467"/>
      <c r="S75" s="467"/>
      <c r="T75" s="467"/>
      <c r="U75" s="467"/>
      <c r="V75" s="467"/>
      <c r="W75" s="467"/>
      <c r="X75" s="467"/>
      <c r="Y75" s="467"/>
      <c r="Z75" s="467"/>
      <c r="AA75" s="467"/>
      <c r="AB75" s="467"/>
      <c r="AC75" s="467"/>
      <c r="AD75" s="467"/>
      <c r="AE75" s="467"/>
      <c r="AF75" s="467"/>
      <c r="AG75" s="467"/>
      <c r="AH75" s="467"/>
      <c r="AI75" s="467"/>
      <c r="AJ75" s="467"/>
      <c r="AK75" s="467"/>
      <c r="AL75" s="467"/>
      <c r="AM75" s="467"/>
      <c r="AN75" s="467"/>
      <c r="AO75" s="467"/>
      <c r="AP75" s="467"/>
      <c r="AQ75" s="467"/>
      <c r="AR75" s="467"/>
      <c r="AS75" s="467"/>
      <c r="AT75" s="467"/>
      <c r="AU75" s="467"/>
      <c r="AV75" s="467"/>
      <c r="AW75" s="467"/>
      <c r="AX75" s="467"/>
      <c r="AY75" s="467"/>
      <c r="AZ75" s="467"/>
      <c r="BA75" s="467"/>
      <c r="BB75" s="467"/>
      <c r="BC75" s="467"/>
      <c r="BD75" s="467"/>
      <c r="BE75" s="467"/>
      <c r="BF75" s="467"/>
      <c r="BG75" s="467"/>
      <c r="BH75" s="467"/>
      <c r="BI75" s="467"/>
      <c r="BJ75" s="467"/>
      <c r="BK75" s="467"/>
      <c r="BL75" s="467"/>
    </row>
    <row r="76" customFormat="false" ht="12.75" hidden="false" customHeight="false" outlineLevel="0" collapsed="false">
      <c r="A76" s="464" t="n">
        <f aca="false">EOMONTH(A75,0)+1</f>
        <v>38687</v>
      </c>
      <c r="B76" s="467" t="n">
        <v>0.071695866420177</v>
      </c>
      <c r="C76" s="467" t="n">
        <v>3.302</v>
      </c>
      <c r="D76" s="467" t="n">
        <v>0.2725</v>
      </c>
      <c r="E76" s="467" t="n">
        <v>0.005</v>
      </c>
      <c r="F76" s="467" t="n">
        <v>0</v>
      </c>
      <c r="G76" s="467" t="n">
        <v>101.479</v>
      </c>
      <c r="H76" s="467"/>
      <c r="I76" s="467"/>
      <c r="J76" s="467"/>
      <c r="K76" s="467"/>
      <c r="L76" s="467"/>
      <c r="M76" s="467"/>
      <c r="N76" s="467"/>
      <c r="O76" s="467"/>
      <c r="P76" s="467"/>
      <c r="Q76" s="467"/>
      <c r="R76" s="467"/>
      <c r="S76" s="467"/>
      <c r="T76" s="467"/>
      <c r="U76" s="467"/>
      <c r="V76" s="467"/>
      <c r="W76" s="467"/>
      <c r="X76" s="467"/>
      <c r="Y76" s="467"/>
      <c r="Z76" s="467"/>
      <c r="AA76" s="467"/>
      <c r="AB76" s="467"/>
      <c r="AC76" s="467"/>
      <c r="AD76" s="467"/>
      <c r="AE76" s="467"/>
      <c r="AF76" s="467"/>
      <c r="AG76" s="467"/>
      <c r="AH76" s="467"/>
      <c r="AI76" s="467"/>
      <c r="AJ76" s="467"/>
      <c r="AK76" s="467"/>
      <c r="AL76" s="467"/>
      <c r="AM76" s="467"/>
      <c r="AN76" s="467"/>
      <c r="AO76" s="467"/>
      <c r="AP76" s="467"/>
      <c r="AQ76" s="467"/>
      <c r="AR76" s="467"/>
      <c r="AS76" s="467"/>
      <c r="AT76" s="467"/>
      <c r="AU76" s="467"/>
      <c r="AV76" s="467"/>
      <c r="AW76" s="467"/>
      <c r="AX76" s="467"/>
      <c r="AY76" s="467"/>
      <c r="AZ76" s="467"/>
      <c r="BA76" s="467"/>
      <c r="BB76" s="467"/>
      <c r="BC76" s="467"/>
      <c r="BD76" s="467"/>
      <c r="BE76" s="467"/>
      <c r="BF76" s="467"/>
      <c r="BG76" s="467"/>
      <c r="BH76" s="467"/>
      <c r="BI76" s="467"/>
      <c r="BJ76" s="467"/>
      <c r="BK76" s="467"/>
      <c r="BL76" s="467"/>
    </row>
    <row r="77" customFormat="false" ht="12.75" hidden="false" customHeight="false" outlineLevel="0" collapsed="false">
      <c r="A77" s="464" t="n">
        <f aca="false">EOMONTH(A76,0)+1</f>
        <v>38718</v>
      </c>
      <c r="B77" s="467" t="n">
        <v>0.071733730417844</v>
      </c>
      <c r="C77" s="467" t="n">
        <v>3.426</v>
      </c>
      <c r="D77" s="467" t="n">
        <v>0.2725</v>
      </c>
      <c r="E77" s="467" t="n">
        <v>0.005</v>
      </c>
      <c r="F77" s="467" t="n">
        <v>0</v>
      </c>
      <c r="G77" s="467" t="n">
        <v>101.734</v>
      </c>
      <c r="H77" s="467"/>
      <c r="I77" s="467"/>
      <c r="J77" s="467"/>
      <c r="K77" s="467"/>
      <c r="L77" s="467"/>
      <c r="M77" s="467"/>
      <c r="N77" s="467"/>
      <c r="O77" s="467"/>
      <c r="P77" s="467"/>
      <c r="Q77" s="467"/>
      <c r="R77" s="467"/>
      <c r="S77" s="467"/>
      <c r="T77" s="467"/>
      <c r="U77" s="467"/>
      <c r="V77" s="467"/>
      <c r="W77" s="467"/>
      <c r="X77" s="467"/>
      <c r="Y77" s="467"/>
      <c r="Z77" s="467"/>
      <c r="AA77" s="467"/>
      <c r="AB77" s="467"/>
      <c r="AC77" s="467"/>
      <c r="AD77" s="467"/>
      <c r="AE77" s="467"/>
      <c r="AF77" s="467"/>
      <c r="AG77" s="467"/>
      <c r="AH77" s="467"/>
      <c r="AI77" s="467"/>
      <c r="AJ77" s="467"/>
      <c r="AK77" s="467"/>
      <c r="AL77" s="467"/>
      <c r="AM77" s="467"/>
      <c r="AN77" s="467"/>
      <c r="AO77" s="467"/>
      <c r="AP77" s="467"/>
      <c r="AQ77" s="467"/>
      <c r="AR77" s="467"/>
      <c r="AS77" s="467"/>
      <c r="AT77" s="467"/>
      <c r="AU77" s="467"/>
      <c r="AV77" s="467"/>
      <c r="AW77" s="467"/>
      <c r="AX77" s="467"/>
      <c r="AY77" s="467"/>
      <c r="AZ77" s="467"/>
      <c r="BA77" s="467"/>
      <c r="BB77" s="467"/>
      <c r="BC77" s="467"/>
      <c r="BD77" s="467"/>
      <c r="BE77" s="467"/>
      <c r="BF77" s="467"/>
      <c r="BG77" s="467"/>
      <c r="BH77" s="467"/>
      <c r="BI77" s="467"/>
      <c r="BJ77" s="467"/>
      <c r="BK77" s="467"/>
      <c r="BL77" s="467"/>
    </row>
    <row r="78" customFormat="false" ht="12.75" hidden="false" customHeight="false" outlineLevel="0" collapsed="false">
      <c r="A78" s="464" t="n">
        <f aca="false">EOMONTH(A77,0)+1</f>
        <v>38749</v>
      </c>
      <c r="B78" s="467" t="n">
        <v>0.071771594415986</v>
      </c>
      <c r="C78" s="467" t="n">
        <v>3.308</v>
      </c>
      <c r="D78" s="467" t="n">
        <v>0.2675</v>
      </c>
      <c r="E78" s="467" t="n">
        <v>0.005</v>
      </c>
      <c r="F78" s="467" t="n">
        <v>0</v>
      </c>
      <c r="G78" s="467" t="n">
        <v>101.578</v>
      </c>
      <c r="H78" s="467"/>
      <c r="I78" s="467"/>
      <c r="J78" s="467"/>
      <c r="K78" s="467"/>
      <c r="L78" s="467"/>
      <c r="M78" s="467"/>
      <c r="N78" s="467"/>
      <c r="O78" s="467"/>
      <c r="P78" s="467"/>
      <c r="Q78" s="467"/>
      <c r="R78" s="467"/>
      <c r="S78" s="467"/>
      <c r="T78" s="467"/>
      <c r="U78" s="467"/>
      <c r="V78" s="467"/>
      <c r="W78" s="467"/>
      <c r="X78" s="467"/>
      <c r="Y78" s="467"/>
      <c r="Z78" s="467"/>
      <c r="AA78" s="467"/>
      <c r="AB78" s="467"/>
      <c r="AC78" s="467"/>
      <c r="AD78" s="467"/>
      <c r="AE78" s="467"/>
      <c r="AF78" s="467"/>
      <c r="AG78" s="467"/>
      <c r="AH78" s="467"/>
      <c r="AI78" s="467"/>
      <c r="AJ78" s="467"/>
      <c r="AK78" s="467"/>
      <c r="AL78" s="467"/>
      <c r="AM78" s="467"/>
      <c r="AN78" s="467"/>
      <c r="AO78" s="467"/>
      <c r="AP78" s="467"/>
      <c r="AQ78" s="467"/>
      <c r="AR78" s="467"/>
      <c r="AS78" s="467"/>
      <c r="AT78" s="467"/>
      <c r="AU78" s="467"/>
      <c r="AV78" s="467"/>
      <c r="AW78" s="467"/>
      <c r="AX78" s="467"/>
      <c r="AY78" s="467"/>
      <c r="AZ78" s="467"/>
      <c r="BA78" s="467"/>
      <c r="BB78" s="467"/>
      <c r="BC78" s="467"/>
      <c r="BD78" s="467"/>
      <c r="BE78" s="467"/>
      <c r="BF78" s="467"/>
      <c r="BG78" s="467"/>
      <c r="BH78" s="467"/>
      <c r="BI78" s="467"/>
      <c r="BJ78" s="467"/>
      <c r="BK78" s="467"/>
      <c r="BL78" s="467"/>
    </row>
    <row r="79" customFormat="false" ht="12.75" hidden="false" customHeight="false" outlineLevel="0" collapsed="false">
      <c r="A79" s="464" t="n">
        <f aca="false">EOMONTH(A78,0)+1</f>
        <v>38777</v>
      </c>
      <c r="B79" s="467" t="n">
        <v>0.07180579415665</v>
      </c>
      <c r="C79" s="467" t="n">
        <v>3.177</v>
      </c>
      <c r="D79" s="467" t="n">
        <v>0.26</v>
      </c>
      <c r="E79" s="467" t="n">
        <v>0.005</v>
      </c>
      <c r="F79" s="467" t="n">
        <v>0</v>
      </c>
      <c r="G79" s="467" t="n">
        <v>101.405</v>
      </c>
      <c r="H79" s="467"/>
      <c r="I79" s="467"/>
      <c r="J79" s="467"/>
      <c r="K79" s="467"/>
      <c r="L79" s="467"/>
      <c r="M79" s="467"/>
      <c r="N79" s="467"/>
      <c r="O79" s="467"/>
      <c r="P79" s="467"/>
      <c r="Q79" s="467"/>
      <c r="R79" s="467"/>
      <c r="S79" s="467"/>
      <c r="T79" s="467"/>
      <c r="U79" s="467"/>
      <c r="V79" s="467"/>
      <c r="W79" s="467"/>
      <c r="X79" s="467"/>
      <c r="Y79" s="467"/>
      <c r="Z79" s="467"/>
      <c r="AA79" s="467"/>
      <c r="AB79" s="467"/>
      <c r="AC79" s="467"/>
      <c r="AD79" s="467"/>
      <c r="AE79" s="467"/>
      <c r="AF79" s="467"/>
      <c r="AG79" s="467"/>
      <c r="AH79" s="467"/>
      <c r="AI79" s="467"/>
      <c r="AJ79" s="467"/>
      <c r="AK79" s="467"/>
      <c r="AL79" s="467"/>
      <c r="AM79" s="467"/>
      <c r="AN79" s="467"/>
      <c r="AO79" s="467"/>
      <c r="AP79" s="467"/>
      <c r="AQ79" s="467"/>
      <c r="AR79" s="467"/>
      <c r="AS79" s="467"/>
      <c r="AT79" s="467"/>
      <c r="AU79" s="467"/>
      <c r="AV79" s="467"/>
      <c r="AW79" s="467"/>
      <c r="AX79" s="467"/>
      <c r="AY79" s="467"/>
      <c r="AZ79" s="467"/>
      <c r="BA79" s="467"/>
      <c r="BB79" s="467"/>
      <c r="BC79" s="467"/>
      <c r="BD79" s="467"/>
      <c r="BE79" s="467"/>
      <c r="BF79" s="467"/>
      <c r="BG79" s="467"/>
      <c r="BH79" s="467"/>
      <c r="BI79" s="467"/>
      <c r="BJ79" s="467"/>
      <c r="BK79" s="467"/>
      <c r="BL79" s="467"/>
    </row>
    <row r="80" customFormat="false" ht="12.75" hidden="false" customHeight="false" outlineLevel="0" collapsed="false">
      <c r="A80" s="464" t="n">
        <f aca="false">EOMONTH(A79,0)+1</f>
        <v>38808</v>
      </c>
      <c r="B80" s="467" t="n">
        <v>0.071843658155693</v>
      </c>
      <c r="C80" s="467" t="n">
        <v>3.046</v>
      </c>
      <c r="D80" s="467" t="n">
        <v>0.1575</v>
      </c>
      <c r="E80" s="467" t="n">
        <v>0.005</v>
      </c>
      <c r="F80" s="467" t="n">
        <v>0</v>
      </c>
      <c r="G80" s="467" t="n">
        <v>100.511</v>
      </c>
      <c r="H80" s="467"/>
      <c r="I80" s="467"/>
      <c r="J80" s="467"/>
      <c r="K80" s="467"/>
      <c r="L80" s="467"/>
      <c r="M80" s="467"/>
      <c r="N80" s="467"/>
      <c r="O80" s="467"/>
      <c r="P80" s="467"/>
      <c r="Q80" s="467"/>
      <c r="R80" s="467"/>
      <c r="S80" s="467"/>
      <c r="T80" s="467"/>
      <c r="U80" s="467"/>
      <c r="V80" s="467"/>
      <c r="W80" s="467"/>
      <c r="X80" s="467"/>
      <c r="Y80" s="467"/>
      <c r="Z80" s="467"/>
      <c r="AA80" s="467"/>
      <c r="AB80" s="467"/>
      <c r="AC80" s="467"/>
      <c r="AD80" s="467"/>
      <c r="AE80" s="467"/>
      <c r="AF80" s="467"/>
      <c r="AG80" s="467"/>
      <c r="AH80" s="467"/>
      <c r="AI80" s="467"/>
      <c r="AJ80" s="467"/>
      <c r="AK80" s="467"/>
      <c r="AL80" s="467"/>
      <c r="AM80" s="467"/>
      <c r="AN80" s="467"/>
      <c r="AO80" s="467"/>
      <c r="AP80" s="467"/>
      <c r="AQ80" s="467"/>
      <c r="AR80" s="467"/>
      <c r="AS80" s="467"/>
      <c r="AT80" s="467"/>
      <c r="AU80" s="467"/>
      <c r="AV80" s="467"/>
      <c r="AW80" s="467"/>
      <c r="AX80" s="467"/>
      <c r="AY80" s="467"/>
      <c r="AZ80" s="467"/>
      <c r="BA80" s="467"/>
      <c r="BB80" s="467"/>
      <c r="BC80" s="467"/>
      <c r="BD80" s="467"/>
      <c r="BE80" s="467"/>
      <c r="BF80" s="467"/>
      <c r="BG80" s="467"/>
      <c r="BH80" s="467"/>
      <c r="BI80" s="467"/>
      <c r="BJ80" s="467"/>
      <c r="BK80" s="467"/>
      <c r="BL80" s="467"/>
    </row>
    <row r="81" customFormat="false" ht="12.75" hidden="false" customHeight="false" outlineLevel="0" collapsed="false">
      <c r="A81" s="464" t="n">
        <f aca="false">EOMONTH(A80,0)+1</f>
        <v>38838</v>
      </c>
      <c r="B81" s="467" t="n">
        <v>0.071880300735863</v>
      </c>
      <c r="C81" s="467" t="n">
        <v>3.034</v>
      </c>
      <c r="D81" s="467" t="n">
        <v>0.1575</v>
      </c>
      <c r="E81" s="467" t="n">
        <v>0.005</v>
      </c>
      <c r="F81" s="467" t="n">
        <v>0</v>
      </c>
      <c r="G81" s="467" t="n">
        <v>100.345</v>
      </c>
      <c r="H81" s="467"/>
      <c r="I81" s="467"/>
      <c r="J81" s="467"/>
      <c r="K81" s="467"/>
      <c r="L81" s="467"/>
      <c r="M81" s="467"/>
      <c r="N81" s="467"/>
      <c r="O81" s="467"/>
      <c r="P81" s="467"/>
      <c r="Q81" s="467"/>
      <c r="R81" s="467"/>
      <c r="S81" s="467"/>
      <c r="T81" s="467"/>
      <c r="U81" s="467"/>
      <c r="V81" s="467"/>
      <c r="W81" s="467"/>
      <c r="X81" s="467"/>
      <c r="Y81" s="467"/>
      <c r="Z81" s="467"/>
      <c r="AA81" s="467"/>
      <c r="AB81" s="467"/>
      <c r="AC81" s="467"/>
      <c r="AD81" s="467"/>
      <c r="AE81" s="467"/>
      <c r="AF81" s="467"/>
      <c r="AG81" s="467"/>
      <c r="AH81" s="467"/>
      <c r="AI81" s="467"/>
      <c r="AJ81" s="467"/>
      <c r="AK81" s="467"/>
      <c r="AL81" s="467"/>
      <c r="AM81" s="467"/>
      <c r="AN81" s="467"/>
      <c r="AO81" s="467"/>
      <c r="AP81" s="467"/>
      <c r="AQ81" s="467"/>
      <c r="AR81" s="467"/>
      <c r="AS81" s="467"/>
      <c r="AT81" s="467"/>
      <c r="AU81" s="467"/>
      <c r="AV81" s="467"/>
      <c r="AW81" s="467"/>
      <c r="AX81" s="467"/>
      <c r="AY81" s="467"/>
      <c r="AZ81" s="467"/>
      <c r="BA81" s="467"/>
      <c r="BB81" s="467"/>
      <c r="BC81" s="467"/>
      <c r="BD81" s="467"/>
      <c r="BE81" s="467"/>
      <c r="BF81" s="467"/>
      <c r="BG81" s="467"/>
      <c r="BH81" s="467"/>
      <c r="BI81" s="467"/>
      <c r="BJ81" s="467"/>
      <c r="BK81" s="467"/>
      <c r="BL81" s="467"/>
    </row>
    <row r="82" customFormat="false" ht="12.75" hidden="false" customHeight="false" outlineLevel="0" collapsed="false">
      <c r="A82" s="464" t="n">
        <f aca="false">EOMONTH(A81,0)+1</f>
        <v>38869</v>
      </c>
      <c r="B82" s="467" t="n">
        <v>0.071918164735838</v>
      </c>
      <c r="C82" s="467" t="n">
        <v>3.067</v>
      </c>
      <c r="D82" s="467" t="n">
        <v>0.1575</v>
      </c>
      <c r="E82" s="467" t="n">
        <v>0.005</v>
      </c>
      <c r="F82" s="467" t="n">
        <v>0</v>
      </c>
      <c r="G82" s="467" t="n">
        <v>100.183</v>
      </c>
      <c r="H82" s="467"/>
      <c r="I82" s="467"/>
      <c r="J82" s="467"/>
      <c r="K82" s="467"/>
      <c r="L82" s="467"/>
      <c r="M82" s="467"/>
      <c r="N82" s="467"/>
      <c r="O82" s="467"/>
      <c r="P82" s="467"/>
      <c r="Q82" s="467"/>
      <c r="R82" s="467"/>
      <c r="S82" s="467"/>
      <c r="T82" s="467"/>
      <c r="U82" s="467"/>
      <c r="V82" s="467"/>
      <c r="W82" s="467"/>
      <c r="X82" s="467"/>
      <c r="Y82" s="467"/>
      <c r="Z82" s="467"/>
      <c r="AA82" s="467"/>
      <c r="AB82" s="467"/>
      <c r="AC82" s="467"/>
      <c r="AD82" s="467"/>
      <c r="AE82" s="467"/>
      <c r="AF82" s="467"/>
      <c r="AG82" s="467"/>
      <c r="AH82" s="467"/>
      <c r="AI82" s="467"/>
      <c r="AJ82" s="467"/>
      <c r="AK82" s="467"/>
      <c r="AL82" s="467"/>
      <c r="AM82" s="467"/>
      <c r="AN82" s="467"/>
      <c r="AO82" s="467"/>
      <c r="AP82" s="467"/>
      <c r="AQ82" s="467"/>
      <c r="AR82" s="467"/>
      <c r="AS82" s="467"/>
      <c r="AT82" s="467"/>
      <c r="AU82" s="467"/>
      <c r="AV82" s="467"/>
      <c r="AW82" s="467"/>
      <c r="AX82" s="467"/>
      <c r="AY82" s="467"/>
      <c r="AZ82" s="467"/>
      <c r="BA82" s="467"/>
      <c r="BB82" s="467"/>
      <c r="BC82" s="467"/>
      <c r="BD82" s="467"/>
      <c r="BE82" s="467"/>
      <c r="BF82" s="467"/>
      <c r="BG82" s="467"/>
      <c r="BH82" s="467"/>
      <c r="BI82" s="467"/>
      <c r="BJ82" s="467"/>
      <c r="BK82" s="467"/>
      <c r="BL82" s="467"/>
    </row>
    <row r="83" customFormat="false" ht="12.75" hidden="false" customHeight="false" outlineLevel="0" collapsed="false">
      <c r="A83" s="464" t="n">
        <f aca="false">EOMONTH(A82,0)+1</f>
        <v>38899</v>
      </c>
      <c r="B83" s="467" t="n">
        <v>0.07195480731691</v>
      </c>
      <c r="C83" s="467" t="n">
        <v>3.067</v>
      </c>
      <c r="D83" s="467" t="n">
        <v>0.1575</v>
      </c>
      <c r="E83" s="467" t="n">
        <v>0.005</v>
      </c>
      <c r="F83" s="467" t="n">
        <v>0</v>
      </c>
      <c r="G83" s="467" t="n">
        <v>100.177</v>
      </c>
      <c r="H83" s="467"/>
      <c r="I83" s="467"/>
      <c r="J83" s="467"/>
      <c r="K83" s="467"/>
      <c r="L83" s="467"/>
      <c r="M83" s="467"/>
      <c r="N83" s="467"/>
      <c r="O83" s="467"/>
      <c r="P83" s="467"/>
      <c r="Q83" s="467"/>
      <c r="R83" s="467"/>
      <c r="S83" s="467"/>
      <c r="T83" s="467"/>
      <c r="U83" s="467"/>
      <c r="V83" s="467"/>
      <c r="W83" s="467"/>
      <c r="X83" s="467"/>
      <c r="Y83" s="467"/>
      <c r="Z83" s="467"/>
      <c r="AA83" s="467"/>
      <c r="AB83" s="467"/>
      <c r="AC83" s="467"/>
      <c r="AD83" s="467"/>
      <c r="AE83" s="467"/>
      <c r="AF83" s="467"/>
      <c r="AG83" s="467"/>
      <c r="AH83" s="467"/>
      <c r="AI83" s="467"/>
      <c r="AJ83" s="467"/>
      <c r="AK83" s="467"/>
      <c r="AL83" s="467"/>
      <c r="AM83" s="467"/>
      <c r="AN83" s="467"/>
      <c r="AO83" s="467"/>
      <c r="AP83" s="467"/>
      <c r="AQ83" s="467"/>
      <c r="AR83" s="467"/>
      <c r="AS83" s="467"/>
      <c r="AT83" s="467"/>
      <c r="AU83" s="467"/>
      <c r="AV83" s="467"/>
      <c r="AW83" s="467"/>
      <c r="AX83" s="467"/>
      <c r="AY83" s="467"/>
      <c r="AZ83" s="467"/>
      <c r="BA83" s="467"/>
      <c r="BB83" s="467"/>
      <c r="BC83" s="467"/>
      <c r="BD83" s="467"/>
      <c r="BE83" s="467"/>
      <c r="BF83" s="467"/>
      <c r="BG83" s="467"/>
      <c r="BH83" s="467"/>
      <c r="BI83" s="467"/>
      <c r="BJ83" s="467"/>
      <c r="BK83" s="467"/>
      <c r="BL83" s="467"/>
    </row>
    <row r="84" customFormat="false" ht="12.75" hidden="false" customHeight="false" outlineLevel="0" collapsed="false">
      <c r="A84" s="464" t="n">
        <f aca="false">EOMONTH(A83,0)+1</f>
        <v>38930</v>
      </c>
      <c r="B84" s="467" t="n">
        <v>0.071992671317817</v>
      </c>
      <c r="C84" s="467" t="n">
        <v>3.127</v>
      </c>
      <c r="D84" s="467" t="n">
        <v>0.1575</v>
      </c>
      <c r="E84" s="467" t="n">
        <v>0.005</v>
      </c>
      <c r="F84" s="467" t="n">
        <v>0</v>
      </c>
      <c r="G84" s="467" t="n">
        <v>100.011</v>
      </c>
      <c r="H84" s="467"/>
      <c r="I84" s="467"/>
      <c r="J84" s="467"/>
      <c r="K84" s="467"/>
      <c r="L84" s="467"/>
      <c r="M84" s="467"/>
      <c r="N84" s="467"/>
      <c r="O84" s="467"/>
      <c r="P84" s="467"/>
      <c r="Q84" s="467"/>
      <c r="R84" s="467"/>
      <c r="S84" s="467"/>
      <c r="T84" s="467"/>
      <c r="U84" s="467"/>
      <c r="V84" s="467"/>
      <c r="W84" s="467"/>
      <c r="X84" s="467"/>
      <c r="Y84" s="467"/>
      <c r="Z84" s="467"/>
      <c r="AA84" s="467"/>
      <c r="AB84" s="467"/>
      <c r="AC84" s="467"/>
      <c r="AD84" s="467"/>
      <c r="AE84" s="467"/>
      <c r="AF84" s="467"/>
      <c r="AG84" s="467"/>
      <c r="AH84" s="467"/>
      <c r="AI84" s="467"/>
      <c r="AJ84" s="467"/>
      <c r="AK84" s="467"/>
      <c r="AL84" s="467"/>
      <c r="AM84" s="467"/>
      <c r="AN84" s="467"/>
      <c r="AO84" s="467"/>
      <c r="AP84" s="467"/>
      <c r="AQ84" s="467"/>
      <c r="AR84" s="467"/>
      <c r="AS84" s="467"/>
      <c r="AT84" s="467"/>
      <c r="AU84" s="467"/>
      <c r="AV84" s="467"/>
      <c r="AW84" s="467"/>
      <c r="AX84" s="467"/>
      <c r="AY84" s="467"/>
      <c r="AZ84" s="467"/>
      <c r="BA84" s="467"/>
      <c r="BB84" s="467"/>
      <c r="BC84" s="467"/>
      <c r="BD84" s="467"/>
      <c r="BE84" s="467"/>
      <c r="BF84" s="467"/>
      <c r="BG84" s="467"/>
      <c r="BH84" s="467"/>
      <c r="BI84" s="467"/>
      <c r="BJ84" s="467"/>
      <c r="BK84" s="467"/>
      <c r="BL84" s="467"/>
    </row>
    <row r="85" customFormat="false" ht="12.75" hidden="false" customHeight="false" outlineLevel="0" collapsed="false">
      <c r="A85" s="464" t="n">
        <f aca="false">EOMONTH(A84,0)+1</f>
        <v>38961</v>
      </c>
      <c r="B85" s="467" t="n">
        <v>0.072030535319198</v>
      </c>
      <c r="C85" s="467" t="n">
        <v>3.114</v>
      </c>
      <c r="D85" s="467" t="n">
        <v>0.1575</v>
      </c>
      <c r="E85" s="467" t="n">
        <v>0.005</v>
      </c>
      <c r="F85" s="467" t="n">
        <v>0</v>
      </c>
      <c r="G85" s="467" t="n">
        <v>99.862</v>
      </c>
      <c r="H85" s="467"/>
      <c r="I85" s="467"/>
      <c r="J85" s="467"/>
      <c r="K85" s="467"/>
      <c r="L85" s="467"/>
      <c r="M85" s="467"/>
      <c r="N85" s="467"/>
      <c r="O85" s="467"/>
      <c r="P85" s="467"/>
      <c r="Q85" s="467"/>
      <c r="R85" s="467"/>
      <c r="S85" s="467"/>
      <c r="T85" s="467"/>
      <c r="U85" s="467"/>
      <c r="V85" s="467"/>
      <c r="W85" s="467"/>
      <c r="X85" s="467"/>
      <c r="Y85" s="467"/>
      <c r="Z85" s="467"/>
      <c r="AA85" s="467"/>
      <c r="AB85" s="467"/>
      <c r="AC85" s="467"/>
      <c r="AD85" s="467"/>
      <c r="AE85" s="467"/>
      <c r="AF85" s="467"/>
      <c r="AG85" s="467"/>
      <c r="AH85" s="467"/>
      <c r="AI85" s="467"/>
      <c r="AJ85" s="467"/>
      <c r="AK85" s="467"/>
      <c r="AL85" s="467"/>
      <c r="AM85" s="467"/>
      <c r="AN85" s="467"/>
      <c r="AO85" s="467"/>
      <c r="AP85" s="467"/>
      <c r="AQ85" s="467"/>
      <c r="AR85" s="467"/>
      <c r="AS85" s="467"/>
      <c r="AT85" s="467"/>
      <c r="AU85" s="467"/>
      <c r="AV85" s="467"/>
      <c r="AW85" s="467"/>
      <c r="AX85" s="467"/>
      <c r="AY85" s="467"/>
      <c r="AZ85" s="467"/>
      <c r="BA85" s="467"/>
      <c r="BB85" s="467"/>
      <c r="BC85" s="467"/>
      <c r="BD85" s="467"/>
      <c r="BE85" s="467"/>
      <c r="BF85" s="467"/>
      <c r="BG85" s="467"/>
      <c r="BH85" s="467"/>
      <c r="BI85" s="467"/>
      <c r="BJ85" s="467"/>
      <c r="BK85" s="467"/>
      <c r="BL85" s="467"/>
    </row>
    <row r="86" customFormat="false" ht="12.75" hidden="false" customHeight="false" outlineLevel="0" collapsed="false">
      <c r="A86" s="464" t="n">
        <f aca="false">EOMONTH(A85,0)+1</f>
        <v>38991</v>
      </c>
      <c r="B86" s="467" t="n">
        <v>0.07206717790163</v>
      </c>
      <c r="C86" s="467" t="n">
        <v>3.131</v>
      </c>
      <c r="D86" s="467" t="n">
        <v>0.1575</v>
      </c>
      <c r="E86" s="467" t="n">
        <v>0.005</v>
      </c>
      <c r="F86" s="467" t="n">
        <v>0</v>
      </c>
      <c r="G86" s="467" t="n">
        <v>100.155</v>
      </c>
      <c r="H86" s="467"/>
      <c r="I86" s="467"/>
      <c r="J86" s="467"/>
      <c r="K86" s="467"/>
      <c r="L86" s="467"/>
      <c r="M86" s="467"/>
      <c r="N86" s="467"/>
      <c r="O86" s="467"/>
      <c r="P86" s="467"/>
      <c r="Q86" s="467"/>
      <c r="R86" s="467"/>
      <c r="S86" s="467"/>
      <c r="T86" s="467"/>
      <c r="U86" s="467"/>
      <c r="V86" s="467"/>
      <c r="W86" s="467"/>
      <c r="X86" s="467"/>
      <c r="Y86" s="467"/>
      <c r="Z86" s="467"/>
      <c r="AA86" s="467"/>
      <c r="AB86" s="467"/>
      <c r="AC86" s="467"/>
      <c r="AD86" s="467"/>
      <c r="AE86" s="467"/>
      <c r="AF86" s="467"/>
      <c r="AG86" s="467"/>
      <c r="AH86" s="467"/>
      <c r="AI86" s="467"/>
      <c r="AJ86" s="467"/>
      <c r="AK86" s="467"/>
      <c r="AL86" s="467"/>
      <c r="AM86" s="467"/>
      <c r="AN86" s="467"/>
      <c r="AO86" s="467"/>
      <c r="AP86" s="467"/>
      <c r="AQ86" s="467"/>
      <c r="AR86" s="467"/>
      <c r="AS86" s="467"/>
      <c r="AT86" s="467"/>
      <c r="AU86" s="467"/>
      <c r="AV86" s="467"/>
      <c r="AW86" s="467"/>
      <c r="AX86" s="467"/>
      <c r="AY86" s="467"/>
      <c r="AZ86" s="467"/>
      <c r="BA86" s="467"/>
      <c r="BB86" s="467"/>
      <c r="BC86" s="467"/>
      <c r="BD86" s="467"/>
      <c r="BE86" s="467"/>
      <c r="BF86" s="467"/>
      <c r="BG86" s="467"/>
      <c r="BH86" s="467"/>
      <c r="BI86" s="467"/>
      <c r="BJ86" s="467"/>
      <c r="BK86" s="467"/>
      <c r="BL86" s="467"/>
    </row>
    <row r="87" customFormat="false" ht="12.75" hidden="false" customHeight="false" outlineLevel="0" collapsed="false">
      <c r="A87" s="464" t="n">
        <f aca="false">EOMONTH(A86,0)+1</f>
        <v>39022</v>
      </c>
      <c r="B87" s="467" t="n">
        <v>0.072105041903943</v>
      </c>
      <c r="C87" s="467" t="n">
        <v>3.225</v>
      </c>
      <c r="D87" s="467" t="n">
        <v>0.1575</v>
      </c>
      <c r="E87" s="467" t="n">
        <v>0.005</v>
      </c>
      <c r="F87" s="467" t="n">
        <v>0</v>
      </c>
      <c r="G87" s="467" t="n">
        <v>100.133</v>
      </c>
      <c r="H87" s="467"/>
      <c r="I87" s="467"/>
      <c r="J87" s="467"/>
      <c r="K87" s="467"/>
      <c r="L87" s="467"/>
      <c r="M87" s="467"/>
      <c r="N87" s="467"/>
      <c r="O87" s="467"/>
      <c r="P87" s="467"/>
      <c r="Q87" s="467"/>
      <c r="R87" s="467"/>
      <c r="S87" s="467"/>
      <c r="T87" s="467"/>
      <c r="U87" s="467"/>
      <c r="V87" s="467"/>
      <c r="W87" s="467"/>
      <c r="X87" s="467"/>
      <c r="Y87" s="467"/>
      <c r="Z87" s="467"/>
      <c r="AA87" s="467"/>
      <c r="AB87" s="467"/>
      <c r="AC87" s="467"/>
      <c r="AD87" s="467"/>
      <c r="AE87" s="467"/>
      <c r="AF87" s="467"/>
      <c r="AG87" s="467"/>
      <c r="AH87" s="467"/>
      <c r="AI87" s="467"/>
      <c r="AJ87" s="467"/>
      <c r="AK87" s="467"/>
      <c r="AL87" s="467"/>
      <c r="AM87" s="467"/>
      <c r="AN87" s="467"/>
      <c r="AO87" s="467"/>
      <c r="AP87" s="467"/>
      <c r="AQ87" s="467"/>
      <c r="AR87" s="467"/>
      <c r="AS87" s="467"/>
      <c r="AT87" s="467"/>
      <c r="AU87" s="467"/>
      <c r="AV87" s="467"/>
      <c r="AW87" s="467"/>
      <c r="AX87" s="467"/>
      <c r="AY87" s="467"/>
      <c r="AZ87" s="467"/>
      <c r="BA87" s="467"/>
      <c r="BB87" s="467"/>
      <c r="BC87" s="467"/>
      <c r="BD87" s="467"/>
      <c r="BE87" s="467"/>
      <c r="BF87" s="467"/>
      <c r="BG87" s="467"/>
      <c r="BH87" s="467"/>
      <c r="BI87" s="467"/>
      <c r="BJ87" s="467"/>
      <c r="BK87" s="467"/>
      <c r="BL87" s="467"/>
    </row>
    <row r="88" customFormat="false" ht="12.75" hidden="false" customHeight="false" outlineLevel="0" collapsed="false">
      <c r="A88" s="464" t="n">
        <f aca="false">EOMONTH(A87,0)+1</f>
        <v>39052</v>
      </c>
      <c r="B88" s="467" t="n">
        <v>0.072141684487276</v>
      </c>
      <c r="C88" s="467" t="n">
        <v>3.321</v>
      </c>
      <c r="D88" s="467" t="n">
        <v>0.1575</v>
      </c>
      <c r="E88" s="467" t="n">
        <v>0.005</v>
      </c>
      <c r="F88" s="467" t="n">
        <v>0</v>
      </c>
      <c r="G88" s="467" t="n">
        <v>100.356</v>
      </c>
      <c r="H88" s="467"/>
      <c r="I88" s="467"/>
      <c r="J88" s="467"/>
      <c r="K88" s="467"/>
      <c r="L88" s="467"/>
      <c r="M88" s="467"/>
      <c r="N88" s="467"/>
      <c r="O88" s="467"/>
      <c r="P88" s="467"/>
      <c r="Q88" s="467"/>
      <c r="R88" s="467"/>
      <c r="S88" s="467"/>
      <c r="T88" s="467"/>
      <c r="U88" s="467"/>
      <c r="V88" s="467"/>
      <c r="W88" s="467"/>
      <c r="X88" s="467"/>
      <c r="Y88" s="467"/>
      <c r="Z88" s="467"/>
      <c r="AA88" s="467"/>
      <c r="AB88" s="467"/>
      <c r="AC88" s="467"/>
      <c r="AD88" s="467"/>
      <c r="AE88" s="467"/>
      <c r="AF88" s="467"/>
      <c r="AG88" s="467"/>
      <c r="AH88" s="467"/>
      <c r="AI88" s="467"/>
      <c r="AJ88" s="467"/>
      <c r="AK88" s="467"/>
      <c r="AL88" s="467"/>
      <c r="AM88" s="467"/>
      <c r="AN88" s="467"/>
      <c r="AO88" s="467"/>
      <c r="AP88" s="467"/>
      <c r="AQ88" s="467"/>
      <c r="AR88" s="467"/>
      <c r="AS88" s="467"/>
      <c r="AT88" s="467"/>
      <c r="AU88" s="467"/>
      <c r="AV88" s="467"/>
      <c r="AW88" s="467"/>
      <c r="AX88" s="467"/>
      <c r="AY88" s="467"/>
      <c r="AZ88" s="467"/>
      <c r="BA88" s="467"/>
      <c r="BB88" s="467"/>
      <c r="BC88" s="467"/>
      <c r="BD88" s="467"/>
      <c r="BE88" s="467"/>
      <c r="BF88" s="467"/>
      <c r="BG88" s="467"/>
      <c r="BH88" s="467"/>
      <c r="BI88" s="467"/>
      <c r="BJ88" s="467"/>
      <c r="BK88" s="467"/>
      <c r="BL88" s="467"/>
    </row>
    <row r="89" customFormat="false" ht="12.75" hidden="false" customHeight="false" outlineLevel="0" collapsed="false">
      <c r="A89" s="464" t="n">
        <f aca="false">EOMONTH(A88,0)+1</f>
        <v>39083</v>
      </c>
      <c r="B89" s="467" t="n">
        <v>0.072179548490521</v>
      </c>
      <c r="C89" s="467" t="n">
        <v>3.453</v>
      </c>
      <c r="D89" s="467" t="n">
        <v>0.1575</v>
      </c>
      <c r="E89" s="467" t="n">
        <v>0.005</v>
      </c>
      <c r="F89" s="467" t="n">
        <v>0.005</v>
      </c>
      <c r="G89" s="467" t="n">
        <v>100.699</v>
      </c>
      <c r="H89" s="467"/>
      <c r="I89" s="467"/>
      <c r="J89" s="467"/>
      <c r="K89" s="467"/>
      <c r="L89" s="467"/>
      <c r="M89" s="467"/>
      <c r="N89" s="467"/>
      <c r="O89" s="467"/>
      <c r="P89" s="467"/>
      <c r="Q89" s="467"/>
      <c r="R89" s="467"/>
      <c r="S89" s="467"/>
      <c r="T89" s="467"/>
      <c r="U89" s="467"/>
      <c r="V89" s="467"/>
      <c r="W89" s="467"/>
      <c r="X89" s="467"/>
      <c r="Y89" s="467"/>
      <c r="Z89" s="467"/>
      <c r="AA89" s="467"/>
      <c r="AB89" s="467"/>
      <c r="AC89" s="467"/>
      <c r="AD89" s="467"/>
      <c r="AE89" s="467"/>
      <c r="AF89" s="467"/>
      <c r="AG89" s="467"/>
      <c r="AH89" s="467"/>
      <c r="AI89" s="467"/>
      <c r="AJ89" s="467"/>
      <c r="AK89" s="467"/>
      <c r="AL89" s="467"/>
      <c r="AM89" s="467"/>
      <c r="AN89" s="467"/>
      <c r="AO89" s="467"/>
      <c r="AP89" s="467"/>
      <c r="AQ89" s="467"/>
      <c r="AR89" s="467"/>
      <c r="AS89" s="467"/>
      <c r="AT89" s="467"/>
      <c r="AU89" s="467"/>
      <c r="AV89" s="467"/>
      <c r="AW89" s="467"/>
      <c r="AX89" s="467"/>
      <c r="AY89" s="467"/>
      <c r="AZ89" s="467"/>
      <c r="BA89" s="467"/>
      <c r="BB89" s="467"/>
      <c r="BC89" s="467"/>
      <c r="BD89" s="467"/>
      <c r="BE89" s="467"/>
      <c r="BF89" s="467"/>
      <c r="BG89" s="467"/>
      <c r="BH89" s="467"/>
      <c r="BI89" s="467"/>
      <c r="BJ89" s="467"/>
      <c r="BK89" s="467"/>
      <c r="BL89" s="467"/>
    </row>
    <row r="90" customFormat="false" ht="12.75" hidden="false" customHeight="false" outlineLevel="0" collapsed="false">
      <c r="A90" s="464" t="n">
        <f aca="false">EOMONTH(A89,0)+1</f>
        <v>39114</v>
      </c>
      <c r="B90" s="467" t="n">
        <v>0.072217412494239</v>
      </c>
      <c r="C90" s="467" t="n">
        <v>3.339</v>
      </c>
      <c r="D90" s="467" t="n">
        <v>0.1575</v>
      </c>
      <c r="E90" s="467" t="n">
        <v>0.005</v>
      </c>
      <c r="F90" s="467" t="n">
        <v>0.005</v>
      </c>
      <c r="G90" s="467" t="n">
        <v>100.922</v>
      </c>
      <c r="H90" s="467"/>
      <c r="I90" s="467"/>
      <c r="J90" s="467"/>
      <c r="K90" s="467"/>
      <c r="L90" s="467"/>
      <c r="M90" s="467"/>
      <c r="N90" s="467"/>
      <c r="O90" s="467"/>
      <c r="P90" s="467"/>
      <c r="Q90" s="467"/>
      <c r="R90" s="467"/>
      <c r="S90" s="467"/>
      <c r="T90" s="467"/>
      <c r="U90" s="467"/>
      <c r="V90" s="467"/>
      <c r="W90" s="467"/>
      <c r="X90" s="467"/>
      <c r="Y90" s="467"/>
      <c r="Z90" s="467"/>
      <c r="AA90" s="467"/>
      <c r="AB90" s="467"/>
      <c r="AC90" s="467"/>
      <c r="AD90" s="467"/>
      <c r="AE90" s="467"/>
      <c r="AF90" s="467"/>
      <c r="AG90" s="467"/>
      <c r="AH90" s="467"/>
      <c r="AI90" s="467"/>
      <c r="AJ90" s="467"/>
      <c r="AK90" s="467"/>
      <c r="AL90" s="467"/>
      <c r="AM90" s="467"/>
      <c r="AN90" s="467"/>
      <c r="AO90" s="467"/>
      <c r="AP90" s="467"/>
      <c r="AQ90" s="467"/>
      <c r="AR90" s="467"/>
      <c r="AS90" s="467"/>
      <c r="AT90" s="467"/>
      <c r="AU90" s="467"/>
      <c r="AV90" s="467"/>
      <c r="AW90" s="467"/>
      <c r="AX90" s="467"/>
      <c r="AY90" s="467"/>
      <c r="AZ90" s="467"/>
      <c r="BA90" s="467"/>
      <c r="BB90" s="467"/>
      <c r="BC90" s="467"/>
      <c r="BD90" s="467"/>
      <c r="BE90" s="467"/>
      <c r="BF90" s="467"/>
      <c r="BG90" s="467"/>
      <c r="BH90" s="467"/>
      <c r="BI90" s="467"/>
      <c r="BJ90" s="467"/>
      <c r="BK90" s="467"/>
      <c r="BL90" s="467"/>
    </row>
    <row r="91" customFormat="false" ht="12.75" hidden="false" customHeight="false" outlineLevel="0" collapsed="false">
      <c r="A91" s="464" t="n">
        <f aca="false">EOMONTH(A90,0)+1</f>
        <v>39142</v>
      </c>
      <c r="B91" s="467" t="n">
        <v>0.07225161223994</v>
      </c>
      <c r="C91" s="467" t="n">
        <v>3.211</v>
      </c>
      <c r="D91" s="467" t="n">
        <v>0.1575</v>
      </c>
      <c r="E91" s="467" t="n">
        <v>0.005</v>
      </c>
      <c r="F91" s="467" t="n">
        <v>0.005</v>
      </c>
      <c r="G91" s="467" t="n">
        <v>101.175</v>
      </c>
      <c r="H91" s="467"/>
      <c r="I91" s="467"/>
      <c r="J91" s="467"/>
      <c r="K91" s="467"/>
      <c r="L91" s="467"/>
      <c r="M91" s="467"/>
      <c r="N91" s="467"/>
      <c r="O91" s="467"/>
      <c r="P91" s="467"/>
      <c r="Q91" s="467"/>
      <c r="R91" s="467"/>
      <c r="S91" s="467"/>
      <c r="T91" s="467"/>
      <c r="U91" s="467"/>
      <c r="V91" s="467"/>
      <c r="W91" s="467"/>
      <c r="X91" s="467"/>
      <c r="Y91" s="467"/>
      <c r="Z91" s="467"/>
      <c r="AA91" s="467"/>
      <c r="AB91" s="467"/>
      <c r="AC91" s="467"/>
      <c r="AD91" s="467"/>
      <c r="AE91" s="467"/>
      <c r="AF91" s="467"/>
      <c r="AG91" s="467"/>
      <c r="AH91" s="467"/>
      <c r="AI91" s="467"/>
      <c r="AJ91" s="467"/>
      <c r="AK91" s="467"/>
      <c r="AL91" s="467"/>
      <c r="AM91" s="467"/>
      <c r="AN91" s="467"/>
      <c r="AO91" s="467"/>
      <c r="AP91" s="467"/>
      <c r="AQ91" s="467"/>
      <c r="AR91" s="467"/>
      <c r="AS91" s="467"/>
      <c r="AT91" s="467"/>
      <c r="AU91" s="467"/>
      <c r="AV91" s="467"/>
      <c r="AW91" s="467"/>
      <c r="AX91" s="467"/>
      <c r="AY91" s="467"/>
      <c r="AZ91" s="467"/>
      <c r="BA91" s="467"/>
      <c r="BB91" s="467"/>
      <c r="BC91" s="467"/>
      <c r="BD91" s="467"/>
      <c r="BE91" s="467"/>
      <c r="BF91" s="467"/>
      <c r="BG91" s="467"/>
      <c r="BH91" s="467"/>
      <c r="BI91" s="467"/>
      <c r="BJ91" s="467"/>
      <c r="BK91" s="467"/>
      <c r="BL91" s="467"/>
    </row>
    <row r="92" customFormat="false" ht="12.75" hidden="false" customHeight="false" outlineLevel="0" collapsed="false">
      <c r="A92" s="464" t="n">
        <f aca="false">EOMONTH(A91,0)+1</f>
        <v>39173</v>
      </c>
      <c r="B92" s="467" t="n">
        <v>0.072289476244559</v>
      </c>
      <c r="C92" s="467" t="n">
        <v>3.083</v>
      </c>
      <c r="D92" s="467" t="n">
        <v>0.1575</v>
      </c>
      <c r="E92" s="467" t="n">
        <v>0.005</v>
      </c>
      <c r="F92" s="467" t="n">
        <v>0.005</v>
      </c>
      <c r="G92" s="467" t="n">
        <v>100.639</v>
      </c>
      <c r="H92" s="467"/>
      <c r="I92" s="467"/>
      <c r="J92" s="467"/>
      <c r="K92" s="467"/>
      <c r="L92" s="467"/>
      <c r="M92" s="467"/>
      <c r="N92" s="467"/>
      <c r="O92" s="467"/>
      <c r="P92" s="467"/>
      <c r="Q92" s="467"/>
      <c r="R92" s="467"/>
      <c r="S92" s="467"/>
      <c r="T92" s="467"/>
      <c r="U92" s="467"/>
      <c r="V92" s="467"/>
      <c r="W92" s="467"/>
      <c r="X92" s="467"/>
      <c r="Y92" s="467"/>
      <c r="Z92" s="467"/>
      <c r="AA92" s="467"/>
      <c r="AB92" s="467"/>
      <c r="AC92" s="467"/>
      <c r="AD92" s="467"/>
      <c r="AE92" s="467"/>
      <c r="AF92" s="467"/>
      <c r="AG92" s="467"/>
      <c r="AH92" s="467"/>
      <c r="AI92" s="467"/>
      <c r="AJ92" s="467"/>
      <c r="AK92" s="467"/>
      <c r="AL92" s="467"/>
      <c r="AM92" s="467"/>
      <c r="AN92" s="467"/>
      <c r="AO92" s="467"/>
      <c r="AP92" s="467"/>
      <c r="AQ92" s="467"/>
      <c r="AR92" s="467"/>
      <c r="AS92" s="467"/>
      <c r="AT92" s="467"/>
      <c r="AU92" s="467"/>
      <c r="AV92" s="467"/>
      <c r="AW92" s="467"/>
      <c r="AX92" s="467"/>
      <c r="AY92" s="467"/>
      <c r="AZ92" s="467"/>
      <c r="BA92" s="467"/>
      <c r="BB92" s="467"/>
      <c r="BC92" s="467"/>
      <c r="BD92" s="467"/>
      <c r="BE92" s="467"/>
      <c r="BF92" s="467"/>
      <c r="BG92" s="467"/>
      <c r="BH92" s="467"/>
      <c r="BI92" s="467"/>
      <c r="BJ92" s="467"/>
      <c r="BK92" s="467"/>
      <c r="BL92" s="467"/>
    </row>
    <row r="93" customFormat="false" ht="12.75" hidden="false" customHeight="false" outlineLevel="0" collapsed="false">
      <c r="A93" s="464" t="n">
        <f aca="false">EOMONTH(A92,0)+1</f>
        <v>39203</v>
      </c>
      <c r="B93" s="467" t="n">
        <v>0.072326118830125</v>
      </c>
      <c r="C93" s="467" t="n">
        <v>3.072</v>
      </c>
      <c r="D93" s="467" t="n">
        <v>0.1575</v>
      </c>
      <c r="E93" s="467" t="n">
        <v>0.005</v>
      </c>
      <c r="F93" s="467" t="n">
        <v>0.005</v>
      </c>
      <c r="G93" s="467" t="n">
        <v>100.903</v>
      </c>
      <c r="H93" s="467"/>
      <c r="I93" s="467"/>
      <c r="J93" s="467"/>
      <c r="K93" s="467"/>
      <c r="L93" s="467"/>
      <c r="M93" s="467"/>
      <c r="N93" s="467"/>
      <c r="O93" s="467"/>
      <c r="P93" s="467"/>
      <c r="Q93" s="467"/>
      <c r="R93" s="467"/>
      <c r="S93" s="467"/>
      <c r="T93" s="467"/>
      <c r="U93" s="467"/>
      <c r="V93" s="467"/>
      <c r="W93" s="467"/>
      <c r="X93" s="467"/>
      <c r="Y93" s="467"/>
      <c r="Z93" s="467"/>
      <c r="AA93" s="467"/>
      <c r="AB93" s="467"/>
      <c r="AC93" s="467"/>
      <c r="AD93" s="467"/>
      <c r="AE93" s="467"/>
      <c r="AF93" s="467"/>
      <c r="AG93" s="467"/>
      <c r="AH93" s="467"/>
      <c r="AI93" s="467"/>
      <c r="AJ93" s="467"/>
      <c r="AK93" s="467"/>
      <c r="AL93" s="467"/>
      <c r="AM93" s="467"/>
      <c r="AN93" s="467"/>
      <c r="AO93" s="467"/>
      <c r="AP93" s="467"/>
      <c r="AQ93" s="467"/>
      <c r="AR93" s="467"/>
      <c r="AS93" s="467"/>
      <c r="AT93" s="467"/>
      <c r="AU93" s="467"/>
      <c r="AV93" s="467"/>
      <c r="AW93" s="467"/>
      <c r="AX93" s="467"/>
      <c r="AY93" s="467"/>
      <c r="AZ93" s="467"/>
      <c r="BA93" s="467"/>
      <c r="BB93" s="467"/>
      <c r="BC93" s="467"/>
      <c r="BD93" s="467"/>
      <c r="BE93" s="467"/>
      <c r="BF93" s="467"/>
      <c r="BG93" s="467"/>
      <c r="BH93" s="467"/>
      <c r="BI93" s="467"/>
      <c r="BJ93" s="467"/>
      <c r="BK93" s="467"/>
      <c r="BL93" s="467"/>
    </row>
    <row r="94" customFormat="false" ht="12.75" hidden="false" customHeight="false" outlineLevel="0" collapsed="false">
      <c r="A94" s="464" t="n">
        <f aca="false">EOMONTH(A93,0)+1</f>
        <v>39234</v>
      </c>
      <c r="B94" s="467" t="n">
        <v>0.072363982835676</v>
      </c>
      <c r="C94" s="467" t="n">
        <v>3.106</v>
      </c>
      <c r="D94" s="467" t="n">
        <v>0.1575</v>
      </c>
      <c r="E94" s="467" t="n">
        <v>0.005</v>
      </c>
      <c r="F94" s="467" t="n">
        <v>0.005</v>
      </c>
      <c r="G94" s="467" t="n">
        <v>101.127</v>
      </c>
      <c r="H94" s="467"/>
      <c r="I94" s="467"/>
      <c r="J94" s="467"/>
      <c r="K94" s="467"/>
      <c r="L94" s="467"/>
      <c r="M94" s="467"/>
      <c r="N94" s="467"/>
      <c r="O94" s="467"/>
      <c r="P94" s="467"/>
      <c r="Q94" s="467"/>
      <c r="R94" s="467"/>
      <c r="S94" s="467"/>
      <c r="T94" s="467"/>
      <c r="U94" s="467"/>
      <c r="V94" s="467"/>
      <c r="W94" s="467"/>
      <c r="X94" s="467"/>
      <c r="Y94" s="467"/>
      <c r="Z94" s="467"/>
      <c r="AA94" s="467"/>
      <c r="AB94" s="467"/>
      <c r="AC94" s="467"/>
      <c r="AD94" s="467"/>
      <c r="AE94" s="467"/>
      <c r="AF94" s="467"/>
      <c r="AG94" s="467"/>
      <c r="AH94" s="467"/>
      <c r="AI94" s="467"/>
      <c r="AJ94" s="467"/>
      <c r="AK94" s="467"/>
      <c r="AL94" s="467"/>
      <c r="AM94" s="467"/>
      <c r="AN94" s="467"/>
      <c r="AO94" s="467"/>
      <c r="AP94" s="467"/>
      <c r="AQ94" s="467"/>
      <c r="AR94" s="467"/>
      <c r="AS94" s="467"/>
      <c r="AT94" s="467"/>
      <c r="AU94" s="467"/>
      <c r="AV94" s="467"/>
      <c r="AW94" s="467"/>
      <c r="AX94" s="467"/>
      <c r="AY94" s="467"/>
      <c r="AZ94" s="467"/>
      <c r="BA94" s="467"/>
      <c r="BB94" s="467"/>
      <c r="BC94" s="467"/>
      <c r="BD94" s="467"/>
      <c r="BE94" s="467"/>
      <c r="BF94" s="467"/>
      <c r="BG94" s="467"/>
      <c r="BH94" s="467"/>
      <c r="BI94" s="467"/>
      <c r="BJ94" s="467"/>
      <c r="BK94" s="467"/>
      <c r="BL94" s="467"/>
    </row>
    <row r="95" customFormat="false" ht="12.75" hidden="false" customHeight="false" outlineLevel="0" collapsed="false">
      <c r="A95" s="464" t="n">
        <f aca="false">EOMONTH(A94,0)+1</f>
        <v>39264</v>
      </c>
      <c r="B95" s="467" t="n">
        <v>0.072400625422144</v>
      </c>
      <c r="C95" s="467" t="n">
        <v>3.106</v>
      </c>
      <c r="D95" s="467" t="n">
        <v>0.1575</v>
      </c>
      <c r="E95" s="467" t="n">
        <v>0.005</v>
      </c>
      <c r="F95" s="467" t="n">
        <v>0.005</v>
      </c>
      <c r="G95" s="467" t="n">
        <v>101.516</v>
      </c>
      <c r="H95" s="467"/>
      <c r="I95" s="467"/>
      <c r="J95" s="467"/>
      <c r="K95" s="467"/>
      <c r="L95" s="467"/>
      <c r="M95" s="467"/>
      <c r="N95" s="467"/>
      <c r="O95" s="467"/>
      <c r="P95" s="467"/>
      <c r="Q95" s="467"/>
      <c r="R95" s="467"/>
      <c r="S95" s="467"/>
      <c r="T95" s="467"/>
      <c r="U95" s="467"/>
      <c r="V95" s="467"/>
      <c r="W95" s="467"/>
      <c r="X95" s="467"/>
      <c r="Y95" s="467"/>
      <c r="Z95" s="467"/>
      <c r="AA95" s="467"/>
      <c r="AB95" s="467"/>
      <c r="AC95" s="467"/>
      <c r="AD95" s="467"/>
      <c r="AE95" s="467"/>
      <c r="AF95" s="467"/>
      <c r="AG95" s="467"/>
      <c r="AH95" s="467"/>
      <c r="AI95" s="467"/>
      <c r="AJ95" s="467"/>
      <c r="AK95" s="467"/>
      <c r="AL95" s="467"/>
      <c r="AM95" s="467"/>
      <c r="AN95" s="467"/>
      <c r="AO95" s="467"/>
      <c r="AP95" s="467"/>
      <c r="AQ95" s="467"/>
      <c r="AR95" s="467"/>
      <c r="AS95" s="467"/>
      <c r="AT95" s="467"/>
      <c r="AU95" s="467"/>
      <c r="AV95" s="467"/>
      <c r="AW95" s="467"/>
      <c r="AX95" s="467"/>
      <c r="AY95" s="467"/>
      <c r="AZ95" s="467"/>
      <c r="BA95" s="467"/>
      <c r="BB95" s="467"/>
      <c r="BC95" s="467"/>
      <c r="BD95" s="467"/>
      <c r="BE95" s="467"/>
      <c r="BF95" s="467"/>
      <c r="BG95" s="467"/>
      <c r="BH95" s="467"/>
      <c r="BI95" s="467"/>
      <c r="BJ95" s="467"/>
      <c r="BK95" s="467"/>
      <c r="BL95" s="467"/>
    </row>
    <row r="96" customFormat="false" ht="12.75" hidden="false" customHeight="false" outlineLevel="0" collapsed="false">
      <c r="A96" s="464" t="n">
        <f aca="false">EOMONTH(A95,0)+1</f>
        <v>39295</v>
      </c>
      <c r="B96" s="467" t="n">
        <v>0.072430391560767</v>
      </c>
      <c r="C96" s="467" t="n">
        <v>3.166</v>
      </c>
      <c r="D96" s="467" t="n">
        <v>0.1575</v>
      </c>
      <c r="E96" s="467" t="n">
        <v>0.005</v>
      </c>
      <c r="F96" s="467" t="n">
        <v>0.005</v>
      </c>
      <c r="G96" s="467" t="n">
        <v>101.768</v>
      </c>
      <c r="H96" s="467"/>
      <c r="I96" s="467"/>
      <c r="J96" s="467"/>
      <c r="K96" s="467"/>
      <c r="L96" s="467"/>
      <c r="M96" s="467"/>
      <c r="N96" s="467"/>
      <c r="O96" s="467"/>
      <c r="P96" s="467"/>
      <c r="Q96" s="467"/>
      <c r="R96" s="467"/>
      <c r="S96" s="467"/>
      <c r="T96" s="467"/>
      <c r="U96" s="467"/>
      <c r="V96" s="467"/>
      <c r="W96" s="467"/>
      <c r="X96" s="467"/>
      <c r="Y96" s="467"/>
      <c r="Z96" s="467"/>
      <c r="AA96" s="467"/>
      <c r="AB96" s="467"/>
      <c r="AC96" s="467"/>
      <c r="AD96" s="467"/>
      <c r="AE96" s="467"/>
      <c r="AF96" s="467"/>
      <c r="AG96" s="467"/>
      <c r="AH96" s="467"/>
      <c r="AI96" s="467"/>
      <c r="AJ96" s="467"/>
      <c r="AK96" s="467"/>
      <c r="AL96" s="467"/>
      <c r="AM96" s="467"/>
      <c r="AN96" s="467"/>
      <c r="AO96" s="467"/>
      <c r="AP96" s="467"/>
      <c r="AQ96" s="467"/>
      <c r="AR96" s="467"/>
      <c r="AS96" s="467"/>
      <c r="AT96" s="467"/>
      <c r="AU96" s="467"/>
      <c r="AV96" s="467"/>
      <c r="AW96" s="467"/>
      <c r="AX96" s="467"/>
      <c r="AY96" s="467"/>
      <c r="AZ96" s="467"/>
      <c r="BA96" s="467"/>
      <c r="BB96" s="467"/>
      <c r="BC96" s="467"/>
      <c r="BD96" s="467"/>
      <c r="BE96" s="467"/>
      <c r="BF96" s="467"/>
      <c r="BG96" s="467"/>
      <c r="BH96" s="467"/>
      <c r="BI96" s="467"/>
      <c r="BJ96" s="467"/>
      <c r="BK96" s="467"/>
      <c r="BL96" s="467"/>
    </row>
    <row r="97" customFormat="false" ht="12.75" hidden="false" customHeight="false" outlineLevel="0" collapsed="false">
      <c r="A97" s="464" t="n">
        <f aca="false">EOMONTH(A96,0)+1</f>
        <v>39326</v>
      </c>
      <c r="B97" s="467" t="n">
        <v>0.072426416583505</v>
      </c>
      <c r="C97" s="467" t="n">
        <v>3.152</v>
      </c>
      <c r="D97" s="467" t="n">
        <v>0.1575</v>
      </c>
      <c r="E97" s="467" t="n">
        <v>0.005</v>
      </c>
      <c r="F97" s="467" t="n">
        <v>0.005</v>
      </c>
      <c r="G97" s="467" t="n">
        <v>101.984</v>
      </c>
      <c r="H97" s="467"/>
      <c r="I97" s="467"/>
      <c r="J97" s="467"/>
      <c r="K97" s="467"/>
      <c r="L97" s="467"/>
      <c r="M97" s="467"/>
      <c r="N97" s="467"/>
      <c r="O97" s="467"/>
      <c r="P97" s="467"/>
      <c r="Q97" s="467"/>
      <c r="R97" s="467"/>
      <c r="S97" s="467"/>
      <c r="T97" s="467"/>
      <c r="U97" s="467"/>
      <c r="V97" s="467"/>
      <c r="W97" s="467"/>
      <c r="X97" s="467"/>
      <c r="Y97" s="467"/>
      <c r="Z97" s="467"/>
      <c r="AA97" s="467"/>
      <c r="AB97" s="467"/>
      <c r="AC97" s="467"/>
      <c r="AD97" s="467"/>
      <c r="AE97" s="467"/>
      <c r="AF97" s="467"/>
      <c r="AG97" s="467"/>
      <c r="AH97" s="467"/>
      <c r="AI97" s="467"/>
      <c r="AJ97" s="467"/>
      <c r="AK97" s="467"/>
      <c r="AL97" s="467"/>
      <c r="AM97" s="467"/>
      <c r="AN97" s="467"/>
      <c r="AO97" s="467"/>
      <c r="AP97" s="467"/>
      <c r="AQ97" s="467"/>
      <c r="AR97" s="467"/>
      <c r="AS97" s="467"/>
      <c r="AT97" s="467"/>
      <c r="AU97" s="467"/>
      <c r="AV97" s="467"/>
      <c r="AW97" s="467"/>
      <c r="AX97" s="467"/>
      <c r="AY97" s="467"/>
      <c r="AZ97" s="467"/>
      <c r="BA97" s="467"/>
      <c r="BB97" s="467"/>
      <c r="BC97" s="467"/>
      <c r="BD97" s="467"/>
      <c r="BE97" s="467"/>
      <c r="BF97" s="467"/>
      <c r="BG97" s="467"/>
      <c r="BH97" s="467"/>
      <c r="BI97" s="467"/>
      <c r="BJ97" s="467"/>
      <c r="BK97" s="467"/>
      <c r="BL97" s="467"/>
    </row>
    <row r="98" customFormat="false" ht="12.75" hidden="false" customHeight="false" outlineLevel="0" collapsed="false">
      <c r="A98" s="464" t="n">
        <f aca="false">EOMONTH(A97,0)+1</f>
        <v>39356</v>
      </c>
      <c r="B98" s="467" t="n">
        <v>0.07242256983132</v>
      </c>
      <c r="C98" s="467" t="n">
        <v>3.168</v>
      </c>
      <c r="D98" s="467" t="n">
        <v>0.1575</v>
      </c>
      <c r="E98" s="467" t="n">
        <v>0.005</v>
      </c>
      <c r="F98" s="467" t="n">
        <v>0.005</v>
      </c>
      <c r="G98" s="467" t="n">
        <v>102.687</v>
      </c>
      <c r="H98" s="467"/>
      <c r="I98" s="467"/>
      <c r="J98" s="467"/>
      <c r="K98" s="467"/>
      <c r="L98" s="467"/>
      <c r="M98" s="467"/>
      <c r="N98" s="467"/>
      <c r="O98" s="467"/>
      <c r="P98" s="467"/>
      <c r="Q98" s="467"/>
      <c r="R98" s="467"/>
      <c r="S98" s="467"/>
      <c r="T98" s="467"/>
      <c r="U98" s="467"/>
      <c r="V98" s="467"/>
      <c r="W98" s="467"/>
      <c r="X98" s="467"/>
      <c r="Y98" s="467"/>
      <c r="Z98" s="467"/>
      <c r="AA98" s="467"/>
      <c r="AB98" s="467"/>
      <c r="AC98" s="467"/>
      <c r="AD98" s="467"/>
      <c r="AE98" s="467"/>
      <c r="AF98" s="467"/>
      <c r="AG98" s="467"/>
      <c r="AH98" s="467"/>
      <c r="AI98" s="467"/>
      <c r="AJ98" s="467"/>
      <c r="AK98" s="467"/>
      <c r="AL98" s="467"/>
      <c r="AM98" s="467"/>
      <c r="AN98" s="467"/>
      <c r="AO98" s="467"/>
      <c r="AP98" s="467"/>
      <c r="AQ98" s="467"/>
      <c r="AR98" s="467"/>
      <c r="AS98" s="467"/>
      <c r="AT98" s="467"/>
      <c r="AU98" s="467"/>
      <c r="AV98" s="467"/>
      <c r="AW98" s="467"/>
      <c r="AX98" s="467"/>
      <c r="AY98" s="467"/>
      <c r="AZ98" s="467"/>
      <c r="BA98" s="467"/>
      <c r="BB98" s="467"/>
      <c r="BC98" s="467"/>
      <c r="BD98" s="467"/>
      <c r="BE98" s="467"/>
      <c r="BF98" s="467"/>
      <c r="BG98" s="467"/>
      <c r="BH98" s="467"/>
      <c r="BI98" s="467"/>
      <c r="BJ98" s="467"/>
      <c r="BK98" s="467"/>
      <c r="BL98" s="467"/>
    </row>
    <row r="99" customFormat="false" ht="12.75" hidden="false" customHeight="false" outlineLevel="0" collapsed="false">
      <c r="A99" s="464" t="n">
        <f aca="false">EOMONTH(A98,0)+1</f>
        <v>39387</v>
      </c>
      <c r="B99" s="467" t="n">
        <v>0.072418594854068</v>
      </c>
      <c r="C99" s="467" t="n">
        <v>3.257</v>
      </c>
      <c r="D99" s="467" t="n">
        <v>0.1575</v>
      </c>
      <c r="E99" s="467" t="n">
        <v>0.005</v>
      </c>
      <c r="F99" s="467" t="n">
        <v>0.005</v>
      </c>
      <c r="G99" s="467" t="n">
        <v>102.929</v>
      </c>
      <c r="H99" s="467"/>
      <c r="I99" s="467"/>
      <c r="J99" s="467"/>
      <c r="K99" s="467"/>
      <c r="L99" s="467"/>
      <c r="M99" s="467"/>
      <c r="N99" s="467"/>
      <c r="O99" s="467"/>
      <c r="P99" s="467"/>
      <c r="Q99" s="467"/>
      <c r="R99" s="467"/>
      <c r="S99" s="467"/>
      <c r="T99" s="467"/>
      <c r="U99" s="467"/>
      <c r="V99" s="467"/>
      <c r="W99" s="467"/>
      <c r="X99" s="467"/>
      <c r="Y99" s="467"/>
      <c r="Z99" s="467"/>
      <c r="AA99" s="467"/>
      <c r="AB99" s="467"/>
      <c r="AC99" s="467"/>
      <c r="AD99" s="467"/>
      <c r="AE99" s="467"/>
      <c r="AF99" s="467"/>
      <c r="AG99" s="467"/>
      <c r="AH99" s="467"/>
      <c r="AI99" s="467"/>
      <c r="AJ99" s="467"/>
      <c r="AK99" s="467"/>
      <c r="AL99" s="467"/>
      <c r="AM99" s="467"/>
      <c r="AN99" s="467"/>
      <c r="AO99" s="467"/>
      <c r="AP99" s="467"/>
      <c r="AQ99" s="467"/>
      <c r="AR99" s="467"/>
      <c r="AS99" s="467"/>
      <c r="AT99" s="467"/>
      <c r="AU99" s="467"/>
      <c r="AV99" s="467"/>
      <c r="AW99" s="467"/>
      <c r="AX99" s="467"/>
      <c r="AY99" s="467"/>
      <c r="AZ99" s="467"/>
      <c r="BA99" s="467"/>
      <c r="BB99" s="467"/>
      <c r="BC99" s="467"/>
      <c r="BD99" s="467"/>
      <c r="BE99" s="467"/>
      <c r="BF99" s="467"/>
      <c r="BG99" s="467"/>
      <c r="BH99" s="467"/>
      <c r="BI99" s="467"/>
      <c r="BJ99" s="467"/>
      <c r="BK99" s="467"/>
      <c r="BL99" s="467"/>
    </row>
    <row r="100" customFormat="false" ht="12.75" hidden="false" customHeight="false" outlineLevel="0" collapsed="false">
      <c r="A100" s="464" t="n">
        <f aca="false">EOMONTH(A99,0)+1</f>
        <v>39417</v>
      </c>
      <c r="B100" s="467" t="n">
        <v>0.072414748101893</v>
      </c>
      <c r="C100" s="467" t="n">
        <v>3.35</v>
      </c>
      <c r="D100" s="467" t="n">
        <v>0.1575</v>
      </c>
      <c r="E100" s="467" t="n">
        <v>0.005</v>
      </c>
      <c r="F100" s="467" t="n">
        <v>0.005</v>
      </c>
      <c r="G100" s="467" t="n">
        <v>103.152</v>
      </c>
      <c r="H100" s="467"/>
      <c r="I100" s="467"/>
      <c r="J100" s="467"/>
      <c r="K100" s="467"/>
      <c r="L100" s="467"/>
      <c r="M100" s="467"/>
      <c r="N100" s="467"/>
      <c r="O100" s="467"/>
      <c r="P100" s="467"/>
      <c r="Q100" s="467"/>
      <c r="R100" s="467"/>
      <c r="S100" s="467"/>
      <c r="T100" s="467"/>
      <c r="U100" s="467"/>
      <c r="V100" s="467"/>
      <c r="W100" s="467"/>
      <c r="X100" s="467"/>
      <c r="Y100" s="467"/>
      <c r="Z100" s="467"/>
      <c r="AA100" s="467"/>
      <c r="AB100" s="467"/>
      <c r="AC100" s="467"/>
      <c r="AD100" s="467"/>
      <c r="AE100" s="467"/>
      <c r="AF100" s="467"/>
      <c r="AG100" s="467"/>
      <c r="AH100" s="467"/>
      <c r="AI100" s="467"/>
      <c r="AJ100" s="467"/>
      <c r="AK100" s="467"/>
      <c r="AL100" s="467"/>
      <c r="AM100" s="467"/>
      <c r="AN100" s="467"/>
      <c r="AO100" s="467"/>
      <c r="AP100" s="467"/>
      <c r="AQ100" s="467"/>
      <c r="AR100" s="467"/>
      <c r="AS100" s="467"/>
      <c r="AT100" s="467"/>
      <c r="AU100" s="467"/>
      <c r="AV100" s="467"/>
      <c r="AW100" s="467"/>
      <c r="AX100" s="467"/>
      <c r="AY100" s="467"/>
      <c r="AZ100" s="467"/>
      <c r="BA100" s="467"/>
      <c r="BB100" s="467"/>
      <c r="BC100" s="467"/>
      <c r="BD100" s="467"/>
      <c r="BE100" s="467"/>
      <c r="BF100" s="467"/>
      <c r="BG100" s="467"/>
      <c r="BH100" s="467"/>
      <c r="BI100" s="467"/>
      <c r="BJ100" s="467"/>
      <c r="BK100" s="467"/>
      <c r="BL100" s="467"/>
    </row>
    <row r="101" customFormat="false" ht="12.75" hidden="false" customHeight="false" outlineLevel="0" collapsed="false">
      <c r="A101" s="464" t="n">
        <f aca="false">EOMONTH(A100,0)+1</f>
        <v>39448</v>
      </c>
      <c r="B101" s="467" t="n">
        <v>0.072410773124651</v>
      </c>
      <c r="C101" s="467" t="n">
        <v>3.495</v>
      </c>
      <c r="D101" s="467" t="n">
        <v>0.1575</v>
      </c>
      <c r="E101" s="467" t="n">
        <v>0.005</v>
      </c>
      <c r="F101" s="467" t="n">
        <v>0.005</v>
      </c>
      <c r="G101" s="467" t="n">
        <v>103.704</v>
      </c>
      <c r="H101" s="467"/>
      <c r="I101" s="467"/>
      <c r="J101" s="467"/>
      <c r="K101" s="467"/>
      <c r="L101" s="467"/>
      <c r="M101" s="467"/>
      <c r="N101" s="467"/>
      <c r="O101" s="467"/>
      <c r="P101" s="467"/>
      <c r="Q101" s="467"/>
      <c r="R101" s="467"/>
      <c r="S101" s="467"/>
      <c r="T101" s="467"/>
      <c r="U101" s="467"/>
      <c r="V101" s="467"/>
      <c r="W101" s="467"/>
      <c r="X101" s="467"/>
      <c r="Y101" s="467"/>
      <c r="Z101" s="467"/>
      <c r="AA101" s="467"/>
      <c r="AB101" s="467"/>
      <c r="AC101" s="467"/>
      <c r="AD101" s="467"/>
      <c r="AE101" s="467"/>
      <c r="AF101" s="467"/>
      <c r="AG101" s="467"/>
      <c r="AH101" s="467"/>
      <c r="AI101" s="467"/>
      <c r="AJ101" s="467"/>
      <c r="AK101" s="467"/>
      <c r="AL101" s="467"/>
      <c r="AM101" s="467"/>
      <c r="AN101" s="467"/>
      <c r="AO101" s="467"/>
      <c r="AP101" s="467"/>
      <c r="AQ101" s="467"/>
      <c r="AR101" s="467"/>
      <c r="AS101" s="467"/>
      <c r="AT101" s="467"/>
      <c r="AU101" s="467"/>
      <c r="AV101" s="467"/>
      <c r="AW101" s="467"/>
      <c r="AX101" s="467"/>
      <c r="AY101" s="467"/>
      <c r="AZ101" s="467"/>
      <c r="BA101" s="467"/>
      <c r="BB101" s="467"/>
      <c r="BC101" s="467"/>
      <c r="BD101" s="467"/>
      <c r="BE101" s="467"/>
      <c r="BF101" s="467"/>
      <c r="BG101" s="467"/>
      <c r="BH101" s="467"/>
      <c r="BI101" s="467"/>
      <c r="BJ101" s="467"/>
      <c r="BK101" s="467"/>
      <c r="BL101" s="467"/>
    </row>
    <row r="102" customFormat="false" ht="12.75" hidden="false" customHeight="false" outlineLevel="0" collapsed="false">
      <c r="A102" s="464" t="n">
        <f aca="false">EOMONTH(A101,0)+1</f>
        <v>39479</v>
      </c>
      <c r="B102" s="467" t="n">
        <v>0.072406798147414</v>
      </c>
      <c r="C102" s="467" t="n">
        <v>3.385</v>
      </c>
      <c r="D102" s="467" t="n">
        <v>0.1575</v>
      </c>
      <c r="E102" s="467" t="n">
        <v>0.005</v>
      </c>
      <c r="F102" s="467" t="n">
        <v>0.005</v>
      </c>
      <c r="G102" s="467" t="n">
        <v>103.924</v>
      </c>
      <c r="H102" s="467"/>
      <c r="I102" s="467"/>
      <c r="J102" s="467"/>
      <c r="K102" s="467"/>
      <c r="L102" s="467"/>
      <c r="M102" s="467"/>
      <c r="N102" s="467"/>
      <c r="O102" s="467"/>
      <c r="P102" s="467"/>
      <c r="Q102" s="467"/>
      <c r="R102" s="467"/>
      <c r="S102" s="467"/>
      <c r="T102" s="467"/>
      <c r="U102" s="467"/>
      <c r="V102" s="467"/>
      <c r="W102" s="467"/>
      <c r="X102" s="467"/>
      <c r="Y102" s="467"/>
      <c r="Z102" s="467"/>
      <c r="AA102" s="467"/>
      <c r="AB102" s="467"/>
      <c r="AC102" s="467"/>
      <c r="AD102" s="467"/>
      <c r="AE102" s="467"/>
      <c r="AF102" s="467"/>
      <c r="AG102" s="467"/>
      <c r="AH102" s="467"/>
      <c r="AI102" s="467"/>
      <c r="AJ102" s="467"/>
      <c r="AK102" s="467"/>
      <c r="AL102" s="467"/>
      <c r="AM102" s="467"/>
      <c r="AN102" s="467"/>
      <c r="AO102" s="467"/>
      <c r="AP102" s="467"/>
      <c r="AQ102" s="467"/>
      <c r="AR102" s="467"/>
      <c r="AS102" s="467"/>
      <c r="AT102" s="467"/>
      <c r="AU102" s="467"/>
      <c r="AV102" s="467"/>
      <c r="AW102" s="467"/>
      <c r="AX102" s="467"/>
      <c r="AY102" s="467"/>
      <c r="AZ102" s="467"/>
      <c r="BA102" s="467"/>
      <c r="BB102" s="467"/>
      <c r="BC102" s="467"/>
      <c r="BD102" s="467"/>
      <c r="BE102" s="467"/>
      <c r="BF102" s="467"/>
      <c r="BG102" s="467"/>
      <c r="BH102" s="467"/>
      <c r="BI102" s="467"/>
      <c r="BJ102" s="467"/>
      <c r="BK102" s="467"/>
      <c r="BL102" s="467"/>
    </row>
    <row r="103" customFormat="false" ht="12.75" hidden="false" customHeight="false" outlineLevel="0" collapsed="false">
      <c r="A103" s="464" t="n">
        <f aca="false">EOMONTH(A102,0)+1</f>
        <v>39508</v>
      </c>
      <c r="B103" s="467" t="n">
        <v>0.072403079620327</v>
      </c>
      <c r="C103" s="467" t="n">
        <v>3.26</v>
      </c>
      <c r="D103" s="467" t="n">
        <v>0.1575</v>
      </c>
      <c r="E103" s="467" t="n">
        <v>0.005</v>
      </c>
      <c r="F103" s="467" t="n">
        <v>0.005</v>
      </c>
      <c r="G103" s="467" t="n">
        <v>104.162</v>
      </c>
      <c r="H103" s="467"/>
      <c r="I103" s="467"/>
      <c r="J103" s="467"/>
      <c r="K103" s="467"/>
      <c r="L103" s="467"/>
      <c r="M103" s="467"/>
      <c r="N103" s="467"/>
      <c r="O103" s="467"/>
      <c r="P103" s="467"/>
      <c r="Q103" s="467"/>
      <c r="R103" s="467"/>
      <c r="S103" s="467"/>
      <c r="T103" s="467"/>
      <c r="U103" s="467"/>
      <c r="V103" s="467"/>
      <c r="W103" s="467"/>
      <c r="X103" s="467"/>
      <c r="Y103" s="467"/>
      <c r="Z103" s="467"/>
      <c r="AA103" s="467"/>
      <c r="AB103" s="467"/>
      <c r="AC103" s="467"/>
      <c r="AD103" s="467"/>
      <c r="AE103" s="467"/>
      <c r="AF103" s="467"/>
      <c r="AG103" s="467"/>
      <c r="AH103" s="467"/>
      <c r="AI103" s="467"/>
      <c r="AJ103" s="467"/>
      <c r="AK103" s="467"/>
      <c r="AL103" s="467"/>
      <c r="AM103" s="467"/>
      <c r="AN103" s="467"/>
      <c r="AO103" s="467"/>
      <c r="AP103" s="467"/>
      <c r="AQ103" s="467"/>
      <c r="AR103" s="467"/>
      <c r="AS103" s="467"/>
      <c r="AT103" s="467"/>
      <c r="AU103" s="467"/>
      <c r="AV103" s="467"/>
      <c r="AW103" s="467"/>
      <c r="AX103" s="467"/>
      <c r="AY103" s="467"/>
      <c r="AZ103" s="467"/>
      <c r="BA103" s="467"/>
      <c r="BB103" s="467"/>
      <c r="BC103" s="467"/>
      <c r="BD103" s="467"/>
      <c r="BE103" s="467"/>
      <c r="BF103" s="467"/>
      <c r="BG103" s="467"/>
      <c r="BH103" s="467"/>
      <c r="BI103" s="467"/>
      <c r="BJ103" s="467"/>
      <c r="BK103" s="467"/>
      <c r="BL103" s="467"/>
    </row>
    <row r="104" customFormat="false" ht="12.75" hidden="false" customHeight="false" outlineLevel="0" collapsed="false">
      <c r="A104" s="464" t="n">
        <f aca="false">EOMONTH(A103,0)+1</f>
        <v>39539</v>
      </c>
      <c r="B104" s="467" t="n">
        <v>0.0723991046431</v>
      </c>
      <c r="C104" s="467" t="n">
        <v>3.135</v>
      </c>
      <c r="D104" s="467" t="n">
        <v>0.1575</v>
      </c>
      <c r="E104" s="467" t="n">
        <v>0.005</v>
      </c>
      <c r="F104" s="467" t="n">
        <v>0.005</v>
      </c>
      <c r="G104" s="467" t="n">
        <v>103.633</v>
      </c>
      <c r="H104" s="467"/>
      <c r="I104" s="467"/>
      <c r="J104" s="467"/>
      <c r="K104" s="467"/>
      <c r="L104" s="467"/>
      <c r="M104" s="467"/>
      <c r="N104" s="467"/>
      <c r="O104" s="467"/>
      <c r="P104" s="467"/>
      <c r="Q104" s="467"/>
      <c r="R104" s="467"/>
      <c r="S104" s="467"/>
      <c r="T104" s="467"/>
      <c r="U104" s="467"/>
      <c r="V104" s="467"/>
      <c r="W104" s="467"/>
      <c r="X104" s="467"/>
      <c r="Y104" s="467"/>
      <c r="Z104" s="467"/>
      <c r="AA104" s="467"/>
      <c r="AB104" s="467"/>
      <c r="AC104" s="467"/>
      <c r="AD104" s="467"/>
      <c r="AE104" s="467"/>
      <c r="AF104" s="467"/>
      <c r="AG104" s="467"/>
      <c r="AH104" s="467"/>
      <c r="AI104" s="467"/>
      <c r="AJ104" s="467"/>
      <c r="AK104" s="467"/>
      <c r="AL104" s="467"/>
      <c r="AM104" s="467"/>
      <c r="AN104" s="467"/>
      <c r="AO104" s="467"/>
      <c r="AP104" s="467"/>
      <c r="AQ104" s="467"/>
      <c r="AR104" s="467"/>
      <c r="AS104" s="467"/>
      <c r="AT104" s="467"/>
      <c r="AU104" s="467"/>
      <c r="AV104" s="467"/>
      <c r="AW104" s="467"/>
      <c r="AX104" s="467"/>
      <c r="AY104" s="467"/>
      <c r="AZ104" s="467"/>
      <c r="BA104" s="467"/>
      <c r="BB104" s="467"/>
      <c r="BC104" s="467"/>
      <c r="BD104" s="467"/>
      <c r="BE104" s="467"/>
      <c r="BF104" s="467"/>
      <c r="BG104" s="467"/>
      <c r="BH104" s="467"/>
      <c r="BI104" s="467"/>
      <c r="BJ104" s="467"/>
      <c r="BK104" s="467"/>
      <c r="BL104" s="467"/>
    </row>
    <row r="105" customFormat="false" ht="12.75" hidden="false" customHeight="false" outlineLevel="0" collapsed="false">
      <c r="A105" s="464" t="n">
        <f aca="false">EOMONTH(A104,0)+1</f>
        <v>39569</v>
      </c>
      <c r="B105" s="467" t="n">
        <v>0.07239525789095</v>
      </c>
      <c r="C105" s="467" t="n">
        <v>3.125</v>
      </c>
      <c r="D105" s="467" t="n">
        <v>0.1575</v>
      </c>
      <c r="E105" s="467" t="n">
        <v>0.005</v>
      </c>
      <c r="F105" s="467" t="n">
        <v>0.005</v>
      </c>
      <c r="G105" s="467" t="n">
        <v>103.871</v>
      </c>
      <c r="H105" s="467"/>
      <c r="I105" s="467"/>
      <c r="J105" s="467"/>
      <c r="K105" s="467"/>
      <c r="L105" s="467"/>
      <c r="M105" s="467"/>
      <c r="N105" s="467"/>
      <c r="O105" s="467"/>
      <c r="P105" s="467"/>
      <c r="Q105" s="467"/>
      <c r="R105" s="467"/>
      <c r="S105" s="467"/>
      <c r="T105" s="467"/>
      <c r="U105" s="467"/>
      <c r="V105" s="467"/>
      <c r="W105" s="467"/>
      <c r="X105" s="467"/>
      <c r="Y105" s="467"/>
      <c r="Z105" s="467"/>
      <c r="AA105" s="467"/>
      <c r="AB105" s="467"/>
      <c r="AC105" s="467"/>
      <c r="AD105" s="467"/>
      <c r="AE105" s="467"/>
      <c r="AF105" s="467"/>
      <c r="AG105" s="467"/>
      <c r="AH105" s="467"/>
      <c r="AI105" s="467"/>
      <c r="AJ105" s="467"/>
      <c r="AK105" s="467"/>
      <c r="AL105" s="467"/>
      <c r="AM105" s="467"/>
      <c r="AN105" s="467"/>
      <c r="AO105" s="467"/>
      <c r="AP105" s="467"/>
      <c r="AQ105" s="467"/>
      <c r="AR105" s="467"/>
      <c r="AS105" s="467"/>
      <c r="AT105" s="467"/>
      <c r="AU105" s="467"/>
      <c r="AV105" s="467"/>
      <c r="AW105" s="467"/>
      <c r="AX105" s="467"/>
      <c r="AY105" s="467"/>
      <c r="AZ105" s="467"/>
      <c r="BA105" s="467"/>
      <c r="BB105" s="467"/>
      <c r="BC105" s="467"/>
      <c r="BD105" s="467"/>
      <c r="BE105" s="467"/>
      <c r="BF105" s="467"/>
      <c r="BG105" s="467"/>
      <c r="BH105" s="467"/>
      <c r="BI105" s="467"/>
      <c r="BJ105" s="467"/>
      <c r="BK105" s="467"/>
      <c r="BL105" s="467"/>
    </row>
    <row r="106" customFormat="false" ht="12.75" hidden="false" customHeight="false" outlineLevel="0" collapsed="false">
      <c r="A106" s="464" t="n">
        <f aca="false">EOMONTH(A105,0)+1</f>
        <v>39600</v>
      </c>
      <c r="B106" s="467" t="n">
        <v>0.072391282913734</v>
      </c>
      <c r="C106" s="467" t="n">
        <v>3.16</v>
      </c>
      <c r="D106" s="467" t="n">
        <v>0.1575</v>
      </c>
      <c r="E106" s="467" t="n">
        <v>0.005</v>
      </c>
      <c r="F106" s="467" t="n">
        <v>0.005</v>
      </c>
      <c r="G106" s="467" t="n">
        <v>104.091</v>
      </c>
      <c r="H106" s="467"/>
      <c r="I106" s="467"/>
      <c r="J106" s="467"/>
      <c r="K106" s="467"/>
      <c r="L106" s="467"/>
      <c r="M106" s="467"/>
      <c r="N106" s="467"/>
      <c r="O106" s="467"/>
      <c r="P106" s="467"/>
      <c r="Q106" s="467"/>
      <c r="R106" s="467"/>
      <c r="S106" s="467"/>
      <c r="T106" s="467"/>
      <c r="U106" s="467"/>
      <c r="V106" s="467"/>
      <c r="W106" s="467"/>
      <c r="X106" s="467"/>
      <c r="Y106" s="467"/>
      <c r="Z106" s="467"/>
      <c r="AA106" s="467"/>
      <c r="AB106" s="467"/>
      <c r="AC106" s="467"/>
      <c r="AD106" s="467"/>
      <c r="AE106" s="467"/>
      <c r="AF106" s="467"/>
      <c r="AG106" s="467"/>
      <c r="AH106" s="467"/>
      <c r="AI106" s="467"/>
      <c r="AJ106" s="467"/>
      <c r="AK106" s="467"/>
      <c r="AL106" s="467"/>
      <c r="AM106" s="467"/>
      <c r="AN106" s="467"/>
      <c r="AO106" s="467"/>
      <c r="AP106" s="467"/>
      <c r="AQ106" s="467"/>
      <c r="AR106" s="467"/>
      <c r="AS106" s="467"/>
      <c r="AT106" s="467"/>
      <c r="AU106" s="467"/>
      <c r="AV106" s="467"/>
      <c r="AW106" s="467"/>
      <c r="AX106" s="467"/>
      <c r="AY106" s="467"/>
      <c r="AZ106" s="467"/>
      <c r="BA106" s="467"/>
      <c r="BB106" s="467"/>
      <c r="BC106" s="467"/>
      <c r="BD106" s="467"/>
      <c r="BE106" s="467"/>
      <c r="BF106" s="467"/>
      <c r="BG106" s="467"/>
      <c r="BH106" s="467"/>
      <c r="BI106" s="467"/>
      <c r="BJ106" s="467"/>
      <c r="BK106" s="467"/>
      <c r="BL106" s="467"/>
    </row>
    <row r="107" customFormat="false" ht="12.75" hidden="false" customHeight="false" outlineLevel="0" collapsed="false">
      <c r="A107" s="464" t="n">
        <f aca="false">EOMONTH(A106,0)+1</f>
        <v>39630</v>
      </c>
      <c r="B107" s="467" t="n">
        <v>0.072387436161594</v>
      </c>
      <c r="C107" s="467" t="n">
        <v>3.16</v>
      </c>
      <c r="D107" s="467" t="n">
        <v>0.1575</v>
      </c>
      <c r="E107" s="467" t="n">
        <v>0.005</v>
      </c>
      <c r="F107" s="467" t="n">
        <v>0.005</v>
      </c>
      <c r="G107" s="467" t="n">
        <v>104.513</v>
      </c>
      <c r="H107" s="467"/>
      <c r="I107" s="467"/>
      <c r="J107" s="467"/>
      <c r="K107" s="467"/>
      <c r="L107" s="467"/>
      <c r="M107" s="467"/>
      <c r="N107" s="467"/>
      <c r="O107" s="467"/>
      <c r="P107" s="467"/>
      <c r="Q107" s="467"/>
      <c r="R107" s="467"/>
      <c r="S107" s="467"/>
      <c r="T107" s="467"/>
      <c r="U107" s="467"/>
      <c r="V107" s="467"/>
      <c r="W107" s="467"/>
      <c r="X107" s="467"/>
      <c r="Y107" s="467"/>
      <c r="Z107" s="467"/>
      <c r="AA107" s="467"/>
      <c r="AB107" s="467"/>
      <c r="AC107" s="467"/>
      <c r="AD107" s="467"/>
      <c r="AE107" s="467"/>
      <c r="AF107" s="467"/>
      <c r="AG107" s="467"/>
      <c r="AH107" s="467"/>
      <c r="AI107" s="467"/>
      <c r="AJ107" s="467"/>
      <c r="AK107" s="467"/>
      <c r="AL107" s="467"/>
      <c r="AM107" s="467"/>
      <c r="AN107" s="467"/>
      <c r="AO107" s="467"/>
      <c r="AP107" s="467"/>
      <c r="AQ107" s="467"/>
      <c r="AR107" s="467"/>
      <c r="AS107" s="467"/>
      <c r="AT107" s="467"/>
      <c r="AU107" s="467"/>
      <c r="AV107" s="467"/>
      <c r="AW107" s="467"/>
      <c r="AX107" s="467"/>
      <c r="AY107" s="467"/>
      <c r="AZ107" s="467"/>
      <c r="BA107" s="467"/>
      <c r="BB107" s="467"/>
      <c r="BC107" s="467"/>
      <c r="BD107" s="467"/>
      <c r="BE107" s="467"/>
      <c r="BF107" s="467"/>
      <c r="BG107" s="467"/>
      <c r="BH107" s="467"/>
      <c r="BI107" s="467"/>
      <c r="BJ107" s="467"/>
      <c r="BK107" s="467"/>
      <c r="BL107" s="467"/>
    </row>
    <row r="108" customFormat="false" ht="12.75" hidden="false" customHeight="false" outlineLevel="0" collapsed="false">
      <c r="A108" s="464" t="n">
        <f aca="false">EOMONTH(A107,0)+1</f>
        <v>39661</v>
      </c>
      <c r="B108" s="467" t="n">
        <v>0.072383461184387</v>
      </c>
      <c r="C108" s="467" t="n">
        <v>3.22</v>
      </c>
      <c r="D108" s="467" t="n">
        <v>0.1575</v>
      </c>
      <c r="E108" s="467" t="n">
        <v>0.005</v>
      </c>
      <c r="F108" s="467" t="n">
        <v>0.005</v>
      </c>
      <c r="G108" s="467" t="n">
        <v>104.733</v>
      </c>
      <c r="H108" s="467"/>
      <c r="I108" s="467"/>
      <c r="J108" s="467"/>
      <c r="K108" s="467"/>
      <c r="L108" s="467"/>
      <c r="M108" s="467"/>
      <c r="N108" s="467"/>
      <c r="O108" s="467"/>
      <c r="P108" s="467"/>
      <c r="Q108" s="467"/>
      <c r="R108" s="467"/>
      <c r="S108" s="467"/>
      <c r="T108" s="467"/>
      <c r="U108" s="467"/>
      <c r="V108" s="467"/>
      <c r="W108" s="467"/>
      <c r="X108" s="467"/>
      <c r="Y108" s="467"/>
      <c r="Z108" s="467"/>
      <c r="AA108" s="467"/>
      <c r="AB108" s="467"/>
      <c r="AC108" s="467"/>
      <c r="AD108" s="467"/>
      <c r="AE108" s="467"/>
      <c r="AF108" s="467"/>
      <c r="AG108" s="467"/>
      <c r="AH108" s="467"/>
      <c r="AI108" s="467"/>
      <c r="AJ108" s="467"/>
      <c r="AK108" s="467"/>
      <c r="AL108" s="467"/>
      <c r="AM108" s="467"/>
      <c r="AN108" s="467"/>
      <c r="AO108" s="467"/>
      <c r="AP108" s="467"/>
      <c r="AQ108" s="467"/>
      <c r="AR108" s="467"/>
      <c r="AS108" s="467"/>
      <c r="AT108" s="467"/>
      <c r="AU108" s="467"/>
      <c r="AV108" s="467"/>
      <c r="AW108" s="467"/>
      <c r="AX108" s="467"/>
      <c r="AY108" s="467"/>
      <c r="AZ108" s="467"/>
      <c r="BA108" s="467"/>
      <c r="BB108" s="467"/>
      <c r="BC108" s="467"/>
      <c r="BD108" s="467"/>
      <c r="BE108" s="467"/>
      <c r="BF108" s="467"/>
      <c r="BG108" s="467"/>
      <c r="BH108" s="467"/>
      <c r="BI108" s="467"/>
      <c r="BJ108" s="467"/>
      <c r="BK108" s="467"/>
      <c r="BL108" s="467"/>
    </row>
    <row r="109" customFormat="false" ht="12.75" hidden="false" customHeight="false" outlineLevel="0" collapsed="false">
      <c r="A109" s="464" t="n">
        <f aca="false">EOMONTH(A108,0)+1</f>
        <v>39692</v>
      </c>
      <c r="B109" s="467" t="n">
        <v>0.072379486207187</v>
      </c>
      <c r="C109" s="467" t="n">
        <v>3.205</v>
      </c>
      <c r="D109" s="467" t="n">
        <v>0.1575</v>
      </c>
      <c r="E109" s="467" t="n">
        <v>0.005</v>
      </c>
      <c r="F109" s="467" t="n">
        <v>0.005</v>
      </c>
      <c r="G109" s="467" t="n">
        <v>104.968</v>
      </c>
      <c r="H109" s="467"/>
      <c r="I109" s="467"/>
      <c r="J109" s="467"/>
      <c r="K109" s="467"/>
      <c r="L109" s="467"/>
      <c r="M109" s="467"/>
      <c r="N109" s="467"/>
      <c r="O109" s="467"/>
      <c r="P109" s="467"/>
      <c r="Q109" s="467"/>
      <c r="R109" s="467"/>
      <c r="S109" s="467"/>
      <c r="T109" s="467"/>
      <c r="U109" s="467"/>
      <c r="V109" s="467"/>
      <c r="W109" s="467"/>
      <c r="X109" s="467"/>
      <c r="Y109" s="467"/>
      <c r="Z109" s="467"/>
      <c r="AA109" s="467"/>
      <c r="AB109" s="467"/>
      <c r="AC109" s="467"/>
      <c r="AD109" s="467"/>
      <c r="AE109" s="467"/>
      <c r="AF109" s="467"/>
      <c r="AG109" s="467"/>
      <c r="AH109" s="467"/>
      <c r="AI109" s="467"/>
      <c r="AJ109" s="467"/>
      <c r="AK109" s="467"/>
      <c r="AL109" s="467"/>
      <c r="AM109" s="467"/>
      <c r="AN109" s="467"/>
      <c r="AO109" s="467"/>
      <c r="AP109" s="467"/>
      <c r="AQ109" s="467"/>
      <c r="AR109" s="467"/>
      <c r="AS109" s="467"/>
      <c r="AT109" s="467"/>
      <c r="AU109" s="467"/>
      <c r="AV109" s="467"/>
      <c r="AW109" s="467"/>
      <c r="AX109" s="467"/>
      <c r="AY109" s="467"/>
      <c r="AZ109" s="467"/>
      <c r="BA109" s="467"/>
      <c r="BB109" s="467"/>
      <c r="BC109" s="467"/>
      <c r="BD109" s="467"/>
      <c r="BE109" s="467"/>
      <c r="BF109" s="467"/>
      <c r="BG109" s="467"/>
      <c r="BH109" s="467"/>
      <c r="BI109" s="467"/>
      <c r="BJ109" s="467"/>
      <c r="BK109" s="467"/>
      <c r="BL109" s="467"/>
    </row>
    <row r="110" customFormat="false" ht="12.75" hidden="false" customHeight="false" outlineLevel="0" collapsed="false">
      <c r="A110" s="464" t="n">
        <f aca="false">EOMONTH(A109,0)+1</f>
        <v>39722</v>
      </c>
      <c r="B110" s="467" t="n">
        <v>0.072375639455062</v>
      </c>
      <c r="C110" s="467" t="n">
        <v>3.22</v>
      </c>
      <c r="D110" s="467" t="n">
        <v>0.1575</v>
      </c>
      <c r="E110" s="467" t="n">
        <v>0.005</v>
      </c>
      <c r="F110" s="467" t="n">
        <v>0.005</v>
      </c>
      <c r="G110" s="467" t="n">
        <v>105.688</v>
      </c>
      <c r="H110" s="467"/>
      <c r="I110" s="467"/>
      <c r="J110" s="467"/>
      <c r="K110" s="467"/>
      <c r="L110" s="467"/>
      <c r="M110" s="467"/>
      <c r="N110" s="467"/>
      <c r="O110" s="467"/>
      <c r="P110" s="467"/>
      <c r="Q110" s="467"/>
      <c r="R110" s="467"/>
      <c r="S110" s="467"/>
      <c r="T110" s="467"/>
      <c r="U110" s="467"/>
      <c r="V110" s="467"/>
      <c r="W110" s="467"/>
      <c r="X110" s="467"/>
      <c r="Y110" s="467"/>
      <c r="Z110" s="467"/>
      <c r="AA110" s="467"/>
      <c r="AB110" s="467"/>
      <c r="AC110" s="467"/>
      <c r="AD110" s="467"/>
      <c r="AE110" s="467"/>
      <c r="AF110" s="467"/>
      <c r="AG110" s="467"/>
      <c r="AH110" s="467"/>
      <c r="AI110" s="467"/>
      <c r="AJ110" s="467"/>
      <c r="AK110" s="467"/>
      <c r="AL110" s="467"/>
      <c r="AM110" s="467"/>
      <c r="AN110" s="467"/>
      <c r="AO110" s="467"/>
      <c r="AP110" s="467"/>
      <c r="AQ110" s="467"/>
      <c r="AR110" s="467"/>
      <c r="AS110" s="467"/>
      <c r="AT110" s="467"/>
      <c r="AU110" s="467"/>
      <c r="AV110" s="467"/>
      <c r="AW110" s="467"/>
      <c r="AX110" s="467"/>
      <c r="AY110" s="467"/>
      <c r="AZ110" s="467"/>
      <c r="BA110" s="467"/>
      <c r="BB110" s="467"/>
      <c r="BC110" s="467"/>
      <c r="BD110" s="467"/>
      <c r="BE110" s="467"/>
      <c r="BF110" s="467"/>
      <c r="BG110" s="467"/>
      <c r="BH110" s="467"/>
      <c r="BI110" s="467"/>
      <c r="BJ110" s="467"/>
      <c r="BK110" s="467"/>
      <c r="BL110" s="467"/>
    </row>
    <row r="111" customFormat="false" ht="12.75" hidden="false" customHeight="false" outlineLevel="0" collapsed="false">
      <c r="A111" s="464" t="n">
        <f aca="false">EOMONTH(A110,0)+1</f>
        <v>39753</v>
      </c>
      <c r="B111" s="467" t="n">
        <v>0.072371664477871</v>
      </c>
      <c r="C111" s="467" t="n">
        <v>3.304</v>
      </c>
      <c r="D111" s="467" t="n">
        <v>0.1575</v>
      </c>
      <c r="E111" s="467" t="n">
        <v>0.005</v>
      </c>
      <c r="F111" s="467" t="n">
        <v>0.005</v>
      </c>
      <c r="G111" s="467" t="n">
        <v>105.904</v>
      </c>
      <c r="H111" s="467"/>
      <c r="I111" s="467"/>
      <c r="J111" s="467"/>
      <c r="K111" s="467"/>
      <c r="L111" s="467"/>
      <c r="M111" s="467"/>
      <c r="N111" s="467"/>
      <c r="O111" s="467"/>
      <c r="P111" s="467"/>
      <c r="Q111" s="467"/>
      <c r="R111" s="467"/>
      <c r="S111" s="467"/>
      <c r="T111" s="467"/>
      <c r="U111" s="467"/>
      <c r="V111" s="467"/>
      <c r="W111" s="467"/>
      <c r="X111" s="467"/>
      <c r="Y111" s="467"/>
      <c r="Z111" s="467"/>
      <c r="AA111" s="467"/>
      <c r="AB111" s="467"/>
      <c r="AC111" s="467"/>
      <c r="AD111" s="467"/>
      <c r="AE111" s="467"/>
      <c r="AF111" s="467"/>
      <c r="AG111" s="467"/>
      <c r="AH111" s="467"/>
      <c r="AI111" s="467"/>
      <c r="AJ111" s="467"/>
      <c r="AK111" s="467"/>
      <c r="AL111" s="467"/>
      <c r="AM111" s="467"/>
      <c r="AN111" s="467"/>
      <c r="AO111" s="467"/>
      <c r="AP111" s="467"/>
      <c r="AQ111" s="467"/>
      <c r="AR111" s="467"/>
      <c r="AS111" s="467"/>
      <c r="AT111" s="467"/>
      <c r="AU111" s="467"/>
      <c r="AV111" s="467"/>
      <c r="AW111" s="467"/>
      <c r="AX111" s="467"/>
      <c r="AY111" s="467"/>
      <c r="AZ111" s="467"/>
      <c r="BA111" s="467"/>
      <c r="BB111" s="467"/>
      <c r="BC111" s="467"/>
      <c r="BD111" s="467"/>
      <c r="BE111" s="467"/>
      <c r="BF111" s="467"/>
      <c r="BG111" s="467"/>
      <c r="BH111" s="467"/>
      <c r="BI111" s="467"/>
      <c r="BJ111" s="467"/>
      <c r="BK111" s="467"/>
      <c r="BL111" s="467"/>
    </row>
    <row r="112" customFormat="false" ht="12.75" hidden="false" customHeight="false" outlineLevel="0" collapsed="false">
      <c r="A112" s="464" t="n">
        <f aca="false">EOMONTH(A111,0)+1</f>
        <v>39783</v>
      </c>
      <c r="B112" s="467" t="n">
        <v>0.072367817725756</v>
      </c>
      <c r="C112" s="467" t="n">
        <v>3.394</v>
      </c>
      <c r="D112" s="467" t="n">
        <v>0.1575</v>
      </c>
      <c r="E112" s="467" t="n">
        <v>0.005</v>
      </c>
      <c r="F112" s="467" t="n">
        <v>0.005</v>
      </c>
      <c r="G112" s="467" t="n">
        <v>106.147</v>
      </c>
      <c r="H112" s="467"/>
      <c r="I112" s="467"/>
      <c r="J112" s="467"/>
      <c r="K112" s="467"/>
      <c r="L112" s="467"/>
      <c r="M112" s="467"/>
      <c r="N112" s="467"/>
      <c r="O112" s="467"/>
      <c r="P112" s="467"/>
      <c r="Q112" s="467"/>
      <c r="R112" s="467"/>
      <c r="S112" s="467"/>
      <c r="T112" s="467"/>
      <c r="U112" s="467"/>
      <c r="V112" s="467"/>
      <c r="W112" s="467"/>
      <c r="X112" s="467"/>
      <c r="Y112" s="467"/>
      <c r="Z112" s="467"/>
      <c r="AA112" s="467"/>
      <c r="AB112" s="467"/>
      <c r="AC112" s="467"/>
      <c r="AD112" s="467"/>
      <c r="AE112" s="467"/>
      <c r="AF112" s="467"/>
      <c r="AG112" s="467"/>
      <c r="AH112" s="467"/>
      <c r="AI112" s="467"/>
      <c r="AJ112" s="467"/>
      <c r="AK112" s="467"/>
      <c r="AL112" s="467"/>
      <c r="AM112" s="467"/>
      <c r="AN112" s="467"/>
      <c r="AO112" s="467"/>
      <c r="AP112" s="467"/>
      <c r="AQ112" s="467"/>
      <c r="AR112" s="467"/>
      <c r="AS112" s="467"/>
      <c r="AT112" s="467"/>
      <c r="AU112" s="467"/>
      <c r="AV112" s="467"/>
      <c r="AW112" s="467"/>
      <c r="AX112" s="467"/>
      <c r="AY112" s="467"/>
      <c r="AZ112" s="467"/>
      <c r="BA112" s="467"/>
      <c r="BB112" s="467"/>
      <c r="BC112" s="467"/>
      <c r="BD112" s="467"/>
      <c r="BE112" s="467"/>
      <c r="BF112" s="467"/>
      <c r="BG112" s="467"/>
      <c r="BH112" s="467"/>
      <c r="BI112" s="467"/>
      <c r="BJ112" s="467"/>
      <c r="BK112" s="467"/>
      <c r="BL112" s="467"/>
    </row>
    <row r="113" customFormat="false" ht="12.75" hidden="false" customHeight="false" outlineLevel="0" collapsed="false">
      <c r="A113" s="464" t="n">
        <f aca="false">EOMONTH(A112,0)+1</f>
        <v>39814</v>
      </c>
      <c r="B113" s="467" t="n">
        <v>0.072363842748576</v>
      </c>
      <c r="C113" s="467" t="n">
        <v>3.547</v>
      </c>
      <c r="D113" s="467" t="n">
        <v>0.1575</v>
      </c>
      <c r="E113" s="467" t="n">
        <v>0.005</v>
      </c>
      <c r="F113" s="467" t="n">
        <v>0.005</v>
      </c>
      <c r="G113" s="467" t="n">
        <v>106.494</v>
      </c>
      <c r="H113" s="467"/>
      <c r="I113" s="467"/>
      <c r="J113" s="467"/>
      <c r="K113" s="467"/>
      <c r="L113" s="467"/>
      <c r="M113" s="467"/>
      <c r="N113" s="467"/>
      <c r="O113" s="467"/>
      <c r="P113" s="467"/>
      <c r="Q113" s="467"/>
      <c r="R113" s="467"/>
      <c r="S113" s="467"/>
      <c r="T113" s="467"/>
      <c r="U113" s="467"/>
      <c r="V113" s="467"/>
      <c r="W113" s="467"/>
      <c r="X113" s="467"/>
      <c r="Y113" s="467"/>
      <c r="Z113" s="467"/>
      <c r="AA113" s="467"/>
      <c r="AB113" s="467"/>
      <c r="AC113" s="467"/>
      <c r="AD113" s="467"/>
      <c r="AE113" s="467"/>
      <c r="AF113" s="467"/>
      <c r="AG113" s="467"/>
      <c r="AH113" s="467"/>
      <c r="AI113" s="467"/>
      <c r="AJ113" s="467"/>
      <c r="AK113" s="467"/>
      <c r="AL113" s="467"/>
      <c r="AM113" s="467"/>
      <c r="AN113" s="467"/>
      <c r="AO113" s="467"/>
      <c r="AP113" s="467"/>
      <c r="AQ113" s="467"/>
      <c r="AR113" s="467"/>
      <c r="AS113" s="467"/>
      <c r="AT113" s="467"/>
      <c r="AU113" s="467"/>
      <c r="AV113" s="467"/>
      <c r="AW113" s="467"/>
      <c r="AX113" s="467"/>
      <c r="AY113" s="467"/>
      <c r="AZ113" s="467"/>
      <c r="BA113" s="467"/>
      <c r="BB113" s="467"/>
      <c r="BC113" s="467"/>
      <c r="BD113" s="467"/>
      <c r="BE113" s="467"/>
      <c r="BF113" s="467"/>
      <c r="BG113" s="467"/>
      <c r="BH113" s="467"/>
      <c r="BI113" s="467"/>
      <c r="BJ113" s="467"/>
      <c r="BK113" s="467"/>
      <c r="BL113" s="467"/>
    </row>
    <row r="114" customFormat="false" ht="12.75" hidden="false" customHeight="false" outlineLevel="0" collapsed="false">
      <c r="A114" s="464" t="n">
        <f aca="false">EOMONTH(A113,0)+1</f>
        <v>39845</v>
      </c>
      <c r="B114" s="467" t="n">
        <v>0.072359867771401</v>
      </c>
      <c r="C114" s="467" t="n">
        <v>3.441</v>
      </c>
      <c r="D114" s="467" t="n">
        <v>0.1575</v>
      </c>
      <c r="E114" s="467" t="n">
        <v>0.005</v>
      </c>
      <c r="F114" s="467" t="n">
        <v>0.005</v>
      </c>
      <c r="G114" s="467" t="n">
        <v>106.701</v>
      </c>
      <c r="H114" s="467"/>
      <c r="I114" s="467"/>
      <c r="J114" s="467"/>
      <c r="K114" s="467"/>
      <c r="L114" s="467"/>
      <c r="M114" s="467"/>
      <c r="N114" s="467"/>
      <c r="O114" s="467"/>
      <c r="P114" s="467"/>
      <c r="Q114" s="467"/>
      <c r="R114" s="467"/>
      <c r="S114" s="467"/>
      <c r="T114" s="467"/>
      <c r="U114" s="467"/>
      <c r="V114" s="467"/>
      <c r="W114" s="467"/>
      <c r="X114" s="467"/>
      <c r="Y114" s="467"/>
      <c r="Z114" s="467"/>
      <c r="AA114" s="467"/>
      <c r="AB114" s="467"/>
      <c r="AC114" s="467"/>
      <c r="AD114" s="467"/>
      <c r="AE114" s="467"/>
      <c r="AF114" s="467"/>
      <c r="AG114" s="467"/>
      <c r="AH114" s="467"/>
      <c r="AI114" s="467"/>
      <c r="AJ114" s="467"/>
      <c r="AK114" s="467"/>
      <c r="AL114" s="467"/>
      <c r="AM114" s="467"/>
      <c r="AN114" s="467"/>
      <c r="AO114" s="467"/>
      <c r="AP114" s="467"/>
      <c r="AQ114" s="467"/>
      <c r="AR114" s="467"/>
      <c r="AS114" s="467"/>
      <c r="AT114" s="467"/>
      <c r="AU114" s="467"/>
      <c r="AV114" s="467"/>
      <c r="AW114" s="467"/>
      <c r="AX114" s="467"/>
      <c r="AY114" s="467"/>
      <c r="AZ114" s="467"/>
      <c r="BA114" s="467"/>
      <c r="BB114" s="467"/>
      <c r="BC114" s="467"/>
      <c r="BD114" s="467"/>
      <c r="BE114" s="467"/>
      <c r="BF114" s="467"/>
      <c r="BG114" s="467"/>
      <c r="BH114" s="467"/>
      <c r="BI114" s="467"/>
      <c r="BJ114" s="467"/>
      <c r="BK114" s="467"/>
      <c r="BL114" s="467"/>
    </row>
    <row r="115" customFormat="false" ht="12.75" hidden="false" customHeight="false" outlineLevel="0" collapsed="false">
      <c r="A115" s="464" t="n">
        <f aca="false">EOMONTH(A114,0)+1</f>
        <v>39873</v>
      </c>
      <c r="B115" s="467" t="n">
        <v>0.072356277469441</v>
      </c>
      <c r="C115" s="467" t="n">
        <v>3.319</v>
      </c>
      <c r="D115" s="467" t="n">
        <v>0.1575</v>
      </c>
      <c r="E115" s="467" t="n">
        <v>0.005</v>
      </c>
      <c r="F115" s="467" t="n">
        <v>0.005</v>
      </c>
      <c r="G115" s="467" t="n">
        <v>106.956</v>
      </c>
      <c r="H115" s="467"/>
      <c r="I115" s="467"/>
      <c r="J115" s="467"/>
      <c r="K115" s="467"/>
      <c r="L115" s="467"/>
      <c r="M115" s="467"/>
      <c r="N115" s="467"/>
      <c r="O115" s="467"/>
      <c r="P115" s="467"/>
      <c r="Q115" s="467"/>
      <c r="R115" s="467"/>
      <c r="S115" s="467"/>
      <c r="T115" s="467"/>
      <c r="U115" s="467"/>
      <c r="V115" s="467"/>
      <c r="W115" s="467"/>
      <c r="X115" s="467"/>
      <c r="Y115" s="467"/>
      <c r="Z115" s="467"/>
      <c r="AA115" s="467"/>
      <c r="AB115" s="467"/>
      <c r="AC115" s="467"/>
      <c r="AD115" s="467"/>
      <c r="AE115" s="467"/>
      <c r="AF115" s="467"/>
      <c r="AG115" s="467"/>
      <c r="AH115" s="467"/>
      <c r="AI115" s="467"/>
      <c r="AJ115" s="467"/>
      <c r="AK115" s="467"/>
      <c r="AL115" s="467"/>
      <c r="AM115" s="467"/>
      <c r="AN115" s="467"/>
      <c r="AO115" s="467"/>
      <c r="AP115" s="467"/>
      <c r="AQ115" s="467"/>
      <c r="AR115" s="467"/>
      <c r="AS115" s="467"/>
      <c r="AT115" s="467"/>
      <c r="AU115" s="467"/>
      <c r="AV115" s="467"/>
      <c r="AW115" s="467"/>
      <c r="AX115" s="467"/>
      <c r="AY115" s="467"/>
      <c r="AZ115" s="467"/>
      <c r="BA115" s="467"/>
      <c r="BB115" s="467"/>
      <c r="BC115" s="467"/>
      <c r="BD115" s="467"/>
      <c r="BE115" s="467"/>
      <c r="BF115" s="467"/>
      <c r="BG115" s="467"/>
      <c r="BH115" s="467"/>
      <c r="BI115" s="467"/>
      <c r="BJ115" s="467"/>
      <c r="BK115" s="467"/>
      <c r="BL115" s="467"/>
    </row>
    <row r="116" customFormat="false" ht="12.75" hidden="false" customHeight="false" outlineLevel="0" collapsed="false">
      <c r="A116" s="464" t="n">
        <f aca="false">EOMONTH(A115,0)+1</f>
        <v>39904</v>
      </c>
      <c r="B116" s="467" t="n">
        <v>0.072352302492275</v>
      </c>
      <c r="C116" s="467" t="n">
        <v>3.197</v>
      </c>
      <c r="D116" s="467" t="n">
        <v>0.1575</v>
      </c>
      <c r="E116" s="467" t="n">
        <v>0.005</v>
      </c>
      <c r="F116" s="467" t="n">
        <v>0.005</v>
      </c>
      <c r="G116" s="467" t="n">
        <v>106.424</v>
      </c>
      <c r="H116" s="467"/>
      <c r="I116" s="467"/>
      <c r="J116" s="467"/>
      <c r="K116" s="467"/>
      <c r="L116" s="467"/>
      <c r="M116" s="467"/>
      <c r="N116" s="467"/>
      <c r="O116" s="467"/>
      <c r="P116" s="467"/>
      <c r="Q116" s="467"/>
      <c r="R116" s="467"/>
      <c r="S116" s="467"/>
      <c r="T116" s="467"/>
      <c r="U116" s="467"/>
      <c r="V116" s="467"/>
      <c r="W116" s="467"/>
      <c r="X116" s="467"/>
      <c r="Y116" s="467"/>
      <c r="Z116" s="467"/>
      <c r="AA116" s="467"/>
      <c r="AB116" s="467"/>
      <c r="AC116" s="467"/>
      <c r="AD116" s="467"/>
      <c r="AE116" s="467"/>
      <c r="AF116" s="467"/>
      <c r="AG116" s="467"/>
      <c r="AH116" s="467"/>
      <c r="AI116" s="467"/>
      <c r="AJ116" s="467"/>
      <c r="AK116" s="467"/>
      <c r="AL116" s="467"/>
      <c r="AM116" s="467"/>
      <c r="AN116" s="467"/>
      <c r="AO116" s="467"/>
      <c r="AP116" s="467"/>
      <c r="AQ116" s="467"/>
      <c r="AR116" s="467"/>
      <c r="AS116" s="467"/>
      <c r="AT116" s="467"/>
      <c r="AU116" s="467"/>
      <c r="AV116" s="467"/>
      <c r="AW116" s="467"/>
      <c r="AX116" s="467"/>
      <c r="AY116" s="467"/>
      <c r="AZ116" s="467"/>
      <c r="BA116" s="467"/>
      <c r="BB116" s="467"/>
      <c r="BC116" s="467"/>
      <c r="BD116" s="467"/>
      <c r="BE116" s="467"/>
      <c r="BF116" s="467"/>
      <c r="BG116" s="467"/>
      <c r="BH116" s="467"/>
      <c r="BI116" s="467"/>
      <c r="BJ116" s="467"/>
      <c r="BK116" s="467"/>
      <c r="BL116" s="467"/>
    </row>
    <row r="117" customFormat="false" ht="12.75" hidden="false" customHeight="false" outlineLevel="0" collapsed="false">
      <c r="A117" s="464" t="n">
        <f aca="false">EOMONTH(A116,0)+1</f>
        <v>39934</v>
      </c>
      <c r="B117" s="467" t="n">
        <v>0.072348455740185</v>
      </c>
      <c r="C117" s="467" t="n">
        <v>3.188</v>
      </c>
      <c r="D117" s="467" t="n">
        <v>0.1575</v>
      </c>
      <c r="E117" s="467" t="n">
        <v>0.005</v>
      </c>
      <c r="F117" s="467" t="n">
        <v>0.005</v>
      </c>
      <c r="G117" s="467" t="n">
        <v>106.655</v>
      </c>
      <c r="H117" s="467"/>
      <c r="I117" s="467"/>
      <c r="J117" s="467"/>
      <c r="K117" s="467"/>
      <c r="L117" s="467"/>
      <c r="M117" s="467"/>
      <c r="N117" s="467"/>
      <c r="O117" s="467"/>
      <c r="P117" s="467"/>
      <c r="Q117" s="467"/>
      <c r="R117" s="467"/>
      <c r="S117" s="467"/>
      <c r="T117" s="467"/>
      <c r="U117" s="467"/>
      <c r="V117" s="467"/>
      <c r="W117" s="467"/>
      <c r="X117" s="467"/>
      <c r="Y117" s="467"/>
      <c r="Z117" s="467"/>
      <c r="AA117" s="467"/>
      <c r="AB117" s="467"/>
      <c r="AC117" s="467"/>
      <c r="AD117" s="467"/>
      <c r="AE117" s="467"/>
      <c r="AF117" s="467"/>
      <c r="AG117" s="467"/>
      <c r="AH117" s="467"/>
      <c r="AI117" s="467"/>
      <c r="AJ117" s="467"/>
      <c r="AK117" s="467"/>
      <c r="AL117" s="467"/>
      <c r="AM117" s="467"/>
      <c r="AN117" s="467"/>
      <c r="AO117" s="467"/>
      <c r="AP117" s="467"/>
      <c r="AQ117" s="467"/>
      <c r="AR117" s="467"/>
      <c r="AS117" s="467"/>
      <c r="AT117" s="467"/>
      <c r="AU117" s="467"/>
      <c r="AV117" s="467"/>
      <c r="AW117" s="467"/>
      <c r="AX117" s="467"/>
      <c r="AY117" s="467"/>
      <c r="AZ117" s="467"/>
      <c r="BA117" s="467"/>
      <c r="BB117" s="467"/>
      <c r="BC117" s="467"/>
      <c r="BD117" s="467"/>
      <c r="BE117" s="467"/>
      <c r="BF117" s="467"/>
      <c r="BG117" s="467"/>
      <c r="BH117" s="467"/>
      <c r="BI117" s="467"/>
      <c r="BJ117" s="467"/>
      <c r="BK117" s="467"/>
      <c r="BL117" s="467"/>
    </row>
    <row r="118" customFormat="false" ht="12.75" hidden="false" customHeight="false" outlineLevel="0" collapsed="false">
      <c r="A118" s="464" t="n">
        <f aca="false">EOMONTH(A117,0)+1</f>
        <v>39965</v>
      </c>
      <c r="B118" s="467" t="n">
        <v>0.072344480763029</v>
      </c>
      <c r="C118" s="467" t="n">
        <v>3.224</v>
      </c>
      <c r="D118" s="467" t="n">
        <v>0.1575</v>
      </c>
      <c r="E118" s="467" t="n">
        <v>0.005</v>
      </c>
      <c r="F118" s="467" t="n">
        <v>0.005</v>
      </c>
      <c r="G118" s="467" t="n">
        <v>106.889</v>
      </c>
      <c r="H118" s="467"/>
      <c r="I118" s="467"/>
      <c r="J118" s="467"/>
      <c r="K118" s="467"/>
      <c r="L118" s="467"/>
      <c r="M118" s="467"/>
      <c r="N118" s="467"/>
      <c r="O118" s="467"/>
      <c r="P118" s="467"/>
      <c r="Q118" s="467"/>
      <c r="R118" s="467"/>
      <c r="S118" s="467"/>
      <c r="T118" s="467"/>
      <c r="U118" s="467"/>
      <c r="V118" s="467"/>
      <c r="W118" s="467"/>
      <c r="X118" s="467"/>
      <c r="Y118" s="467"/>
      <c r="Z118" s="467"/>
      <c r="AA118" s="467"/>
      <c r="AB118" s="467"/>
      <c r="AC118" s="467"/>
      <c r="AD118" s="467"/>
      <c r="AE118" s="467"/>
      <c r="AF118" s="467"/>
      <c r="AG118" s="467"/>
      <c r="AH118" s="467"/>
      <c r="AI118" s="467"/>
      <c r="AJ118" s="467"/>
      <c r="AK118" s="467"/>
      <c r="AL118" s="467"/>
      <c r="AM118" s="467"/>
      <c r="AN118" s="467"/>
      <c r="AO118" s="467"/>
      <c r="AP118" s="467"/>
      <c r="AQ118" s="467"/>
      <c r="AR118" s="467"/>
      <c r="AS118" s="467"/>
      <c r="AT118" s="467"/>
      <c r="AU118" s="467"/>
      <c r="AV118" s="467"/>
      <c r="AW118" s="467"/>
      <c r="AX118" s="467"/>
      <c r="AY118" s="467"/>
      <c r="AZ118" s="467"/>
      <c r="BA118" s="467"/>
      <c r="BB118" s="467"/>
      <c r="BC118" s="467"/>
      <c r="BD118" s="467"/>
      <c r="BE118" s="467"/>
      <c r="BF118" s="467"/>
      <c r="BG118" s="467"/>
      <c r="BH118" s="467"/>
      <c r="BI118" s="467"/>
      <c r="BJ118" s="467"/>
      <c r="BK118" s="467"/>
      <c r="BL118" s="467"/>
    </row>
    <row r="119" customFormat="false" ht="12.75" hidden="false" customHeight="false" outlineLevel="0" collapsed="false">
      <c r="A119" s="464" t="n">
        <f aca="false">EOMONTH(A118,0)+1</f>
        <v>39995</v>
      </c>
      <c r="B119" s="467" t="n">
        <v>0.07234063401095</v>
      </c>
      <c r="C119" s="467" t="n">
        <v>3.224</v>
      </c>
      <c r="D119" s="467" t="n">
        <v>0.1575</v>
      </c>
      <c r="E119" s="467" t="n">
        <v>0.005</v>
      </c>
      <c r="F119" s="467" t="n">
        <v>0.005</v>
      </c>
      <c r="G119" s="467" t="n">
        <v>107.301</v>
      </c>
      <c r="H119" s="467"/>
      <c r="I119" s="467"/>
      <c r="J119" s="467"/>
      <c r="K119" s="467"/>
      <c r="L119" s="467"/>
      <c r="M119" s="467"/>
      <c r="N119" s="467"/>
      <c r="O119" s="467"/>
      <c r="P119" s="467"/>
      <c r="Q119" s="467"/>
      <c r="R119" s="467"/>
      <c r="S119" s="467"/>
      <c r="T119" s="467"/>
      <c r="U119" s="467"/>
      <c r="V119" s="467"/>
      <c r="W119" s="467"/>
      <c r="X119" s="467"/>
      <c r="Y119" s="467"/>
      <c r="Z119" s="467"/>
      <c r="AA119" s="467"/>
      <c r="AB119" s="467"/>
      <c r="AC119" s="467"/>
      <c r="AD119" s="467"/>
      <c r="AE119" s="467"/>
      <c r="AF119" s="467"/>
      <c r="AG119" s="467"/>
      <c r="AH119" s="467"/>
      <c r="AI119" s="467"/>
      <c r="AJ119" s="467"/>
      <c r="AK119" s="467"/>
      <c r="AL119" s="467"/>
      <c r="AM119" s="467"/>
      <c r="AN119" s="467"/>
      <c r="AO119" s="467"/>
      <c r="AP119" s="467"/>
      <c r="AQ119" s="467"/>
      <c r="AR119" s="467"/>
      <c r="AS119" s="467"/>
      <c r="AT119" s="467"/>
      <c r="AU119" s="467"/>
      <c r="AV119" s="467"/>
      <c r="AW119" s="467"/>
      <c r="AX119" s="467"/>
      <c r="AY119" s="467"/>
      <c r="AZ119" s="467"/>
      <c r="BA119" s="467"/>
      <c r="BB119" s="467"/>
      <c r="BC119" s="467"/>
      <c r="BD119" s="467"/>
      <c r="BE119" s="467"/>
      <c r="BF119" s="467"/>
      <c r="BG119" s="467"/>
      <c r="BH119" s="467"/>
      <c r="BI119" s="467"/>
      <c r="BJ119" s="467"/>
      <c r="BK119" s="467"/>
      <c r="BL119" s="467"/>
    </row>
    <row r="120" customFormat="false" ht="12.75" hidden="false" customHeight="false" outlineLevel="0" collapsed="false">
      <c r="A120" s="464" t="n">
        <f aca="false">EOMONTH(A119,0)+1</f>
        <v>40026</v>
      </c>
      <c r="B120" s="467" t="n">
        <v>0.072336659033804</v>
      </c>
      <c r="C120" s="467" t="n">
        <v>3.284</v>
      </c>
      <c r="D120" s="467" t="n">
        <v>0.1575</v>
      </c>
      <c r="E120" s="467" t="n">
        <v>0.005</v>
      </c>
      <c r="F120" s="467" t="n">
        <v>0.005</v>
      </c>
      <c r="G120" s="467" t="n">
        <v>107.525</v>
      </c>
      <c r="H120" s="467"/>
      <c r="I120" s="467"/>
      <c r="J120" s="467"/>
      <c r="K120" s="467"/>
      <c r="L120" s="467"/>
      <c r="M120" s="467"/>
      <c r="N120" s="467"/>
      <c r="O120" s="467"/>
      <c r="P120" s="467"/>
      <c r="Q120" s="467"/>
      <c r="R120" s="467"/>
      <c r="S120" s="467"/>
      <c r="T120" s="467"/>
      <c r="U120" s="467"/>
      <c r="V120" s="467"/>
      <c r="W120" s="467"/>
      <c r="X120" s="467"/>
      <c r="Y120" s="467"/>
      <c r="Z120" s="467"/>
      <c r="AA120" s="467"/>
      <c r="AB120" s="467"/>
      <c r="AC120" s="467"/>
      <c r="AD120" s="467"/>
      <c r="AE120" s="467"/>
      <c r="AF120" s="467"/>
      <c r="AG120" s="467"/>
      <c r="AH120" s="467"/>
      <c r="AI120" s="467"/>
      <c r="AJ120" s="467"/>
      <c r="AK120" s="467"/>
      <c r="AL120" s="467"/>
      <c r="AM120" s="467"/>
      <c r="AN120" s="467"/>
      <c r="AO120" s="467"/>
      <c r="AP120" s="467"/>
      <c r="AQ120" s="467"/>
      <c r="AR120" s="467"/>
      <c r="AS120" s="467"/>
      <c r="AT120" s="467"/>
      <c r="AU120" s="467"/>
      <c r="AV120" s="467"/>
      <c r="AW120" s="467"/>
      <c r="AX120" s="467"/>
      <c r="AY120" s="467"/>
      <c r="AZ120" s="467"/>
      <c r="BA120" s="467"/>
      <c r="BB120" s="467"/>
      <c r="BC120" s="467"/>
      <c r="BD120" s="467"/>
      <c r="BE120" s="467"/>
      <c r="BF120" s="467"/>
      <c r="BG120" s="467"/>
      <c r="BH120" s="467"/>
      <c r="BI120" s="467"/>
      <c r="BJ120" s="467"/>
      <c r="BK120" s="467"/>
      <c r="BL120" s="467"/>
    </row>
    <row r="121" customFormat="false" ht="12.75" hidden="false" customHeight="false" outlineLevel="0" collapsed="false">
      <c r="A121" s="464" t="n">
        <f aca="false">EOMONTH(A120,0)+1</f>
        <v>40057</v>
      </c>
      <c r="B121" s="467" t="n">
        <v>0.072332684056665</v>
      </c>
      <c r="C121" s="467" t="n">
        <v>3.268</v>
      </c>
      <c r="D121" s="467" t="n">
        <v>0.1575</v>
      </c>
      <c r="E121" s="467" t="n">
        <v>0.005</v>
      </c>
      <c r="F121" s="467" t="n">
        <v>0.005</v>
      </c>
      <c r="G121" s="467" t="n">
        <v>107.771</v>
      </c>
      <c r="H121" s="467"/>
      <c r="I121" s="467"/>
      <c r="J121" s="467"/>
      <c r="K121" s="467"/>
      <c r="L121" s="467"/>
      <c r="M121" s="467"/>
      <c r="N121" s="467"/>
      <c r="O121" s="467"/>
      <c r="P121" s="467"/>
      <c r="Q121" s="467"/>
      <c r="R121" s="467"/>
      <c r="S121" s="467"/>
      <c r="T121" s="467"/>
      <c r="U121" s="467"/>
      <c r="V121" s="467"/>
      <c r="W121" s="467"/>
      <c r="X121" s="467"/>
      <c r="Y121" s="467"/>
      <c r="Z121" s="467"/>
      <c r="AA121" s="467"/>
      <c r="AB121" s="467"/>
      <c r="AC121" s="467"/>
      <c r="AD121" s="467"/>
      <c r="AE121" s="467"/>
      <c r="AF121" s="467"/>
      <c r="AG121" s="467"/>
      <c r="AH121" s="467"/>
      <c r="AI121" s="467"/>
      <c r="AJ121" s="467"/>
      <c r="AK121" s="467"/>
      <c r="AL121" s="467"/>
      <c r="AM121" s="467"/>
      <c r="AN121" s="467"/>
      <c r="AO121" s="467"/>
      <c r="AP121" s="467"/>
      <c r="AQ121" s="467"/>
      <c r="AR121" s="467"/>
      <c r="AS121" s="467"/>
      <c r="AT121" s="467"/>
      <c r="AU121" s="467"/>
      <c r="AV121" s="467"/>
      <c r="AW121" s="467"/>
      <c r="AX121" s="467"/>
      <c r="AY121" s="467"/>
      <c r="AZ121" s="467"/>
      <c r="BA121" s="467"/>
      <c r="BB121" s="467"/>
      <c r="BC121" s="467"/>
      <c r="BD121" s="467"/>
      <c r="BE121" s="467"/>
      <c r="BF121" s="467"/>
      <c r="BG121" s="467"/>
      <c r="BH121" s="467"/>
      <c r="BI121" s="467"/>
      <c r="BJ121" s="467"/>
      <c r="BK121" s="467"/>
      <c r="BL121" s="467"/>
    </row>
    <row r="122" customFormat="false" ht="12.75" hidden="false" customHeight="false" outlineLevel="0" collapsed="false">
      <c r="A122" s="464" t="n">
        <f aca="false">EOMONTH(A121,0)+1</f>
        <v>40087</v>
      </c>
      <c r="B122" s="467" t="n">
        <v>0.0723288373046</v>
      </c>
      <c r="C122" s="467" t="n">
        <v>3.282</v>
      </c>
      <c r="D122" s="467" t="n">
        <v>0.1575</v>
      </c>
      <c r="E122" s="467" t="n">
        <v>0.005</v>
      </c>
      <c r="F122" s="467" t="n">
        <v>0.005</v>
      </c>
      <c r="G122" s="467" t="n">
        <v>108.477</v>
      </c>
      <c r="H122" s="467"/>
      <c r="I122" s="467"/>
      <c r="J122" s="467"/>
      <c r="K122" s="467"/>
      <c r="L122" s="467"/>
      <c r="M122" s="467"/>
      <c r="N122" s="467"/>
      <c r="O122" s="467"/>
      <c r="P122" s="467"/>
      <c r="Q122" s="467"/>
      <c r="R122" s="467"/>
      <c r="S122" s="467"/>
      <c r="T122" s="467"/>
      <c r="U122" s="467"/>
      <c r="V122" s="467"/>
      <c r="W122" s="467"/>
      <c r="X122" s="467"/>
      <c r="Y122" s="467"/>
      <c r="Z122" s="467"/>
      <c r="AA122" s="467"/>
      <c r="AB122" s="467"/>
      <c r="AC122" s="467"/>
      <c r="AD122" s="467"/>
      <c r="AE122" s="467"/>
      <c r="AF122" s="467"/>
      <c r="AG122" s="467"/>
      <c r="AH122" s="467"/>
      <c r="AI122" s="467"/>
      <c r="AJ122" s="467"/>
      <c r="AK122" s="467"/>
      <c r="AL122" s="467"/>
      <c r="AM122" s="467"/>
      <c r="AN122" s="467"/>
      <c r="AO122" s="467"/>
      <c r="AP122" s="467"/>
      <c r="AQ122" s="467"/>
      <c r="AR122" s="467"/>
      <c r="AS122" s="467"/>
      <c r="AT122" s="467"/>
      <c r="AU122" s="467"/>
      <c r="AV122" s="467"/>
      <c r="AW122" s="467"/>
      <c r="AX122" s="467"/>
      <c r="AY122" s="467"/>
      <c r="AZ122" s="467"/>
      <c r="BA122" s="467"/>
      <c r="BB122" s="467"/>
      <c r="BC122" s="467"/>
      <c r="BD122" s="467"/>
      <c r="BE122" s="467"/>
      <c r="BF122" s="467"/>
      <c r="BG122" s="467"/>
      <c r="BH122" s="467"/>
      <c r="BI122" s="467"/>
      <c r="BJ122" s="467"/>
      <c r="BK122" s="467"/>
      <c r="BL122" s="467"/>
    </row>
    <row r="123" customFormat="false" ht="12.75" hidden="false" customHeight="false" outlineLevel="0" collapsed="false">
      <c r="A123" s="464" t="n">
        <f aca="false">EOMONTH(A122,0)+1</f>
        <v>40118</v>
      </c>
      <c r="B123" s="467" t="n">
        <v>0.07232486232747</v>
      </c>
      <c r="C123" s="467" t="n">
        <v>3.361</v>
      </c>
      <c r="D123" s="467" t="n">
        <v>0.1575</v>
      </c>
      <c r="E123" s="467" t="n">
        <v>0.005</v>
      </c>
      <c r="F123" s="467" t="n">
        <v>0.005</v>
      </c>
      <c r="G123" s="467" t="n">
        <v>108.697</v>
      </c>
      <c r="H123" s="467"/>
      <c r="I123" s="467"/>
      <c r="J123" s="467"/>
      <c r="K123" s="467"/>
      <c r="L123" s="467"/>
      <c r="M123" s="467"/>
      <c r="N123" s="467"/>
      <c r="O123" s="467"/>
      <c r="P123" s="467"/>
      <c r="Q123" s="467"/>
      <c r="R123" s="467"/>
      <c r="S123" s="467"/>
      <c r="T123" s="467"/>
      <c r="U123" s="467"/>
      <c r="V123" s="467"/>
      <c r="W123" s="467"/>
      <c r="X123" s="467"/>
      <c r="Y123" s="467"/>
      <c r="Z123" s="467"/>
      <c r="AA123" s="467"/>
      <c r="AB123" s="467"/>
      <c r="AC123" s="467"/>
      <c r="AD123" s="467"/>
      <c r="AE123" s="467"/>
      <c r="AF123" s="467"/>
      <c r="AG123" s="467"/>
      <c r="AH123" s="467"/>
      <c r="AI123" s="467"/>
      <c r="AJ123" s="467"/>
      <c r="AK123" s="467"/>
      <c r="AL123" s="467"/>
      <c r="AM123" s="467"/>
      <c r="AN123" s="467"/>
      <c r="AO123" s="467"/>
      <c r="AP123" s="467"/>
      <c r="AQ123" s="467"/>
      <c r="AR123" s="467"/>
      <c r="AS123" s="467"/>
      <c r="AT123" s="467"/>
      <c r="AU123" s="467"/>
      <c r="AV123" s="467"/>
      <c r="AW123" s="467"/>
      <c r="AX123" s="467"/>
      <c r="AY123" s="467"/>
      <c r="AZ123" s="467"/>
      <c r="BA123" s="467"/>
      <c r="BB123" s="467"/>
      <c r="BC123" s="467"/>
      <c r="BD123" s="467"/>
      <c r="BE123" s="467"/>
      <c r="BF123" s="467"/>
      <c r="BG123" s="467"/>
      <c r="BH123" s="467"/>
      <c r="BI123" s="467"/>
      <c r="BJ123" s="467"/>
      <c r="BK123" s="467"/>
      <c r="BL123" s="467"/>
    </row>
    <row r="124" customFormat="false" ht="12.75" hidden="false" customHeight="false" outlineLevel="0" collapsed="false">
      <c r="A124" s="464" t="n">
        <f aca="false">EOMONTH(A123,0)+1</f>
        <v>40148</v>
      </c>
      <c r="B124" s="467" t="n">
        <v>0.072321015575415</v>
      </c>
      <c r="C124" s="467" t="n">
        <v>3.448</v>
      </c>
      <c r="D124" s="467" t="n">
        <v>0.155</v>
      </c>
      <c r="E124" s="467" t="n">
        <v>0.005</v>
      </c>
      <c r="F124" s="467" t="n">
        <v>0.005</v>
      </c>
      <c r="G124" s="467" t="n">
        <v>108.954</v>
      </c>
      <c r="H124" s="467"/>
      <c r="I124" s="467"/>
      <c r="J124" s="467"/>
      <c r="K124" s="467"/>
      <c r="L124" s="467"/>
      <c r="M124" s="467"/>
      <c r="N124" s="467"/>
      <c r="O124" s="467"/>
      <c r="P124" s="467"/>
      <c r="Q124" s="467"/>
      <c r="R124" s="467"/>
      <c r="S124" s="467"/>
      <c r="T124" s="467"/>
      <c r="U124" s="467"/>
      <c r="V124" s="467"/>
      <c r="W124" s="467"/>
      <c r="X124" s="467"/>
      <c r="Y124" s="467"/>
      <c r="Z124" s="467"/>
      <c r="AA124" s="467"/>
      <c r="AB124" s="467"/>
      <c r="AC124" s="467"/>
      <c r="AD124" s="467"/>
      <c r="AE124" s="467"/>
      <c r="AF124" s="467"/>
      <c r="AG124" s="467"/>
      <c r="AH124" s="467"/>
      <c r="AI124" s="467"/>
      <c r="AJ124" s="467"/>
      <c r="AK124" s="467"/>
      <c r="AL124" s="467"/>
      <c r="AM124" s="467"/>
      <c r="AN124" s="467"/>
      <c r="AO124" s="467"/>
      <c r="AP124" s="467"/>
      <c r="AQ124" s="467"/>
      <c r="AR124" s="467"/>
      <c r="AS124" s="467"/>
      <c r="AT124" s="467"/>
      <c r="AU124" s="467"/>
      <c r="AV124" s="467"/>
      <c r="AW124" s="467"/>
      <c r="AX124" s="467"/>
      <c r="AY124" s="467"/>
      <c r="AZ124" s="467"/>
      <c r="BA124" s="467"/>
      <c r="BB124" s="467"/>
      <c r="BC124" s="467"/>
      <c r="BD124" s="467"/>
      <c r="BE124" s="467"/>
      <c r="BF124" s="467"/>
      <c r="BG124" s="467"/>
      <c r="BH124" s="467"/>
      <c r="BI124" s="467"/>
      <c r="BJ124" s="467"/>
      <c r="BK124" s="467"/>
      <c r="BL124" s="467"/>
    </row>
    <row r="125" customFormat="false" ht="12.75" hidden="false" customHeight="false" outlineLevel="0" collapsed="false">
      <c r="A125" s="464" t="n">
        <f aca="false">EOMONTH(A124,0)+1</f>
        <v>40179</v>
      </c>
      <c r="B125" s="467" t="n">
        <v>0.072317040598296</v>
      </c>
      <c r="C125" s="467" t="n">
        <v>3.609</v>
      </c>
      <c r="D125" s="467" t="n">
        <v>0.15</v>
      </c>
      <c r="E125" s="467" t="n">
        <v>0.005</v>
      </c>
      <c r="F125" s="467" t="n">
        <v>0.005</v>
      </c>
      <c r="G125" s="467" t="n">
        <v>109.662</v>
      </c>
      <c r="H125" s="467"/>
      <c r="I125" s="467"/>
      <c r="J125" s="467"/>
      <c r="K125" s="467"/>
      <c r="L125" s="467"/>
      <c r="M125" s="467"/>
      <c r="N125" s="467"/>
      <c r="O125" s="467"/>
      <c r="P125" s="467"/>
      <c r="Q125" s="467"/>
      <c r="R125" s="467"/>
      <c r="S125" s="467"/>
      <c r="T125" s="467"/>
      <c r="U125" s="467"/>
      <c r="V125" s="467"/>
      <c r="W125" s="467"/>
      <c r="X125" s="467"/>
      <c r="Y125" s="467"/>
      <c r="Z125" s="467"/>
      <c r="AA125" s="467"/>
      <c r="AB125" s="467"/>
      <c r="AC125" s="467"/>
      <c r="AD125" s="467"/>
      <c r="AE125" s="467"/>
      <c r="AF125" s="467"/>
      <c r="AG125" s="467"/>
      <c r="AH125" s="467"/>
      <c r="AI125" s="467"/>
      <c r="AJ125" s="467"/>
      <c r="AK125" s="467"/>
      <c r="AL125" s="467"/>
      <c r="AM125" s="467"/>
      <c r="AN125" s="467"/>
      <c r="AO125" s="467"/>
      <c r="AP125" s="467"/>
      <c r="AQ125" s="467"/>
      <c r="AR125" s="467"/>
      <c r="AS125" s="467"/>
      <c r="AT125" s="467"/>
      <c r="AU125" s="467"/>
      <c r="AV125" s="467"/>
      <c r="AW125" s="467"/>
      <c r="AX125" s="467"/>
      <c r="AY125" s="467"/>
      <c r="AZ125" s="467"/>
      <c r="BA125" s="467"/>
      <c r="BB125" s="467"/>
      <c r="BC125" s="467"/>
      <c r="BD125" s="467"/>
      <c r="BE125" s="467"/>
      <c r="BF125" s="467"/>
      <c r="BG125" s="467"/>
      <c r="BH125" s="467"/>
      <c r="BI125" s="467"/>
      <c r="BJ125" s="467"/>
      <c r="BK125" s="467"/>
      <c r="BL125" s="467"/>
    </row>
    <row r="126" customFormat="false" ht="12.75" hidden="false" customHeight="false" outlineLevel="0" collapsed="false">
      <c r="A126" s="464" t="n">
        <f aca="false">EOMONTH(A125,0)+1</f>
        <v>40210</v>
      </c>
      <c r="B126" s="467" t="n">
        <v>0.072313065621182</v>
      </c>
      <c r="C126" s="467" t="n">
        <v>3.507</v>
      </c>
      <c r="D126" s="467" t="n">
        <v>0.15</v>
      </c>
      <c r="E126" s="467" t="n">
        <v>0.005</v>
      </c>
      <c r="F126" s="467" t="n">
        <v>0.005</v>
      </c>
      <c r="G126" s="467" t="n">
        <v>109.876</v>
      </c>
      <c r="H126" s="467"/>
      <c r="I126" s="467"/>
      <c r="J126" s="467"/>
      <c r="K126" s="467"/>
      <c r="L126" s="467"/>
      <c r="M126" s="467"/>
      <c r="N126" s="467"/>
      <c r="O126" s="467"/>
      <c r="P126" s="467"/>
      <c r="Q126" s="467"/>
      <c r="R126" s="467"/>
      <c r="S126" s="467"/>
      <c r="T126" s="467"/>
      <c r="U126" s="467"/>
      <c r="V126" s="467"/>
      <c r="W126" s="467"/>
      <c r="X126" s="467"/>
      <c r="Y126" s="467"/>
      <c r="Z126" s="467"/>
      <c r="AA126" s="467"/>
      <c r="AB126" s="467"/>
      <c r="AC126" s="467"/>
      <c r="AD126" s="467"/>
      <c r="AE126" s="467"/>
      <c r="AF126" s="467"/>
      <c r="AG126" s="467"/>
      <c r="AH126" s="467"/>
      <c r="AI126" s="467"/>
      <c r="AJ126" s="467"/>
      <c r="AK126" s="467"/>
      <c r="AL126" s="467"/>
      <c r="AM126" s="467"/>
      <c r="AN126" s="467"/>
      <c r="AO126" s="467"/>
      <c r="AP126" s="467"/>
      <c r="AQ126" s="467"/>
      <c r="AR126" s="467"/>
      <c r="AS126" s="467"/>
      <c r="AT126" s="467"/>
      <c r="AU126" s="467"/>
      <c r="AV126" s="467"/>
      <c r="AW126" s="467"/>
      <c r="AX126" s="467"/>
      <c r="AY126" s="467"/>
      <c r="AZ126" s="467"/>
      <c r="BA126" s="467"/>
      <c r="BB126" s="467"/>
      <c r="BC126" s="467"/>
      <c r="BD126" s="467"/>
      <c r="BE126" s="467"/>
      <c r="BF126" s="467"/>
      <c r="BG126" s="467"/>
      <c r="BH126" s="467"/>
      <c r="BI126" s="467"/>
      <c r="BJ126" s="467"/>
      <c r="BK126" s="467"/>
      <c r="BL126" s="467"/>
    </row>
    <row r="127" customFormat="false" ht="12.75" hidden="false" customHeight="false" outlineLevel="0" collapsed="false">
      <c r="A127" s="464" t="n">
        <f aca="false">EOMONTH(A126,0)+1</f>
        <v>40238</v>
      </c>
      <c r="B127" s="467" t="n">
        <v>0.072309475319277</v>
      </c>
      <c r="C127" s="467" t="n">
        <v>3.388</v>
      </c>
      <c r="D127" s="467" t="n">
        <v>0.15</v>
      </c>
      <c r="E127" s="467" t="n">
        <v>0.005</v>
      </c>
      <c r="F127" s="467" t="n">
        <v>0.005</v>
      </c>
      <c r="G127" s="467" t="n">
        <v>110.138</v>
      </c>
      <c r="H127" s="467"/>
      <c r="I127" s="467"/>
      <c r="J127" s="467"/>
      <c r="K127" s="467"/>
      <c r="L127" s="467"/>
      <c r="M127" s="467"/>
      <c r="N127" s="467"/>
      <c r="O127" s="467"/>
      <c r="P127" s="467"/>
      <c r="Q127" s="467"/>
      <c r="R127" s="467"/>
      <c r="S127" s="467"/>
      <c r="T127" s="467"/>
      <c r="U127" s="467"/>
      <c r="V127" s="467"/>
      <c r="W127" s="467"/>
      <c r="X127" s="467"/>
      <c r="Y127" s="467"/>
      <c r="Z127" s="467"/>
      <c r="AA127" s="467"/>
      <c r="AB127" s="467"/>
      <c r="AC127" s="467"/>
      <c r="AD127" s="467"/>
      <c r="AE127" s="467"/>
      <c r="AF127" s="467"/>
      <c r="AG127" s="467"/>
      <c r="AH127" s="467"/>
      <c r="AI127" s="467"/>
      <c r="AJ127" s="467"/>
      <c r="AK127" s="467"/>
      <c r="AL127" s="467"/>
      <c r="AM127" s="467"/>
      <c r="AN127" s="467"/>
      <c r="AO127" s="467"/>
      <c r="AP127" s="467"/>
      <c r="AQ127" s="467"/>
      <c r="AR127" s="467"/>
      <c r="AS127" s="467"/>
      <c r="AT127" s="467"/>
      <c r="AU127" s="467"/>
      <c r="AV127" s="467"/>
      <c r="AW127" s="467"/>
      <c r="AX127" s="467"/>
      <c r="AY127" s="467"/>
      <c r="AZ127" s="467"/>
      <c r="BA127" s="467"/>
      <c r="BB127" s="467"/>
      <c r="BC127" s="467"/>
      <c r="BD127" s="467"/>
      <c r="BE127" s="467"/>
      <c r="BF127" s="467"/>
      <c r="BG127" s="467"/>
      <c r="BH127" s="467"/>
      <c r="BI127" s="467"/>
      <c r="BJ127" s="467"/>
      <c r="BK127" s="467"/>
      <c r="BL127" s="467"/>
    </row>
    <row r="128" customFormat="false" ht="12.75" hidden="false" customHeight="false" outlineLevel="0" collapsed="false">
      <c r="A128" s="464" t="n">
        <f aca="false">EOMONTH(A127,0)+1</f>
        <v>40269</v>
      </c>
      <c r="B128" s="467" t="n">
        <v>0.072305500342174</v>
      </c>
      <c r="C128" s="467" t="n">
        <v>3.269</v>
      </c>
      <c r="D128" s="467" t="n">
        <v>0.15</v>
      </c>
      <c r="E128" s="467" t="n">
        <v>0.005</v>
      </c>
      <c r="F128" s="467" t="n">
        <v>0.005</v>
      </c>
      <c r="G128" s="467" t="n">
        <v>109.599</v>
      </c>
      <c r="H128" s="467"/>
      <c r="I128" s="467"/>
      <c r="J128" s="467"/>
      <c r="K128" s="467"/>
      <c r="L128" s="467"/>
      <c r="M128" s="467"/>
      <c r="N128" s="467"/>
      <c r="O128" s="467"/>
      <c r="P128" s="467"/>
      <c r="Q128" s="467"/>
      <c r="R128" s="467"/>
      <c r="S128" s="467"/>
      <c r="T128" s="467"/>
      <c r="U128" s="467"/>
      <c r="V128" s="467"/>
      <c r="W128" s="467"/>
      <c r="X128" s="467"/>
      <c r="Y128" s="467"/>
      <c r="Z128" s="467"/>
      <c r="AA128" s="467"/>
      <c r="AB128" s="467"/>
      <c r="AC128" s="467"/>
      <c r="AD128" s="467"/>
      <c r="AE128" s="467"/>
      <c r="AF128" s="467"/>
      <c r="AG128" s="467"/>
      <c r="AH128" s="467"/>
      <c r="AI128" s="467"/>
      <c r="AJ128" s="467"/>
      <c r="AK128" s="467"/>
      <c r="AL128" s="467"/>
      <c r="AM128" s="467"/>
      <c r="AN128" s="467"/>
      <c r="AO128" s="467"/>
      <c r="AP128" s="467"/>
      <c r="AQ128" s="467"/>
      <c r="AR128" s="467"/>
      <c r="AS128" s="467"/>
      <c r="AT128" s="467"/>
      <c r="AU128" s="467"/>
      <c r="AV128" s="467"/>
      <c r="AW128" s="467"/>
      <c r="AX128" s="467"/>
      <c r="AY128" s="467"/>
      <c r="AZ128" s="467"/>
      <c r="BA128" s="467"/>
      <c r="BB128" s="467"/>
      <c r="BC128" s="467"/>
      <c r="BD128" s="467"/>
      <c r="BE128" s="467"/>
      <c r="BF128" s="467"/>
      <c r="BG128" s="467"/>
      <c r="BH128" s="467"/>
      <c r="BI128" s="467"/>
      <c r="BJ128" s="467"/>
      <c r="BK128" s="467"/>
      <c r="BL128" s="467"/>
    </row>
    <row r="129" customFormat="false" ht="12.75" hidden="false" customHeight="false" outlineLevel="0" collapsed="false">
      <c r="A129" s="464" t="n">
        <f aca="false">EOMONTH(A128,0)+1</f>
        <v>40299</v>
      </c>
      <c r="B129" s="467" t="n">
        <v>0.072301653590143</v>
      </c>
      <c r="C129" s="467" t="n">
        <v>3.261</v>
      </c>
      <c r="D129" s="467" t="n">
        <v>0.15</v>
      </c>
      <c r="E129" s="467" t="n">
        <v>0.005</v>
      </c>
      <c r="F129" s="467" t="n">
        <v>0.005</v>
      </c>
      <c r="G129" s="467" t="n">
        <v>109.83</v>
      </c>
      <c r="H129" s="467"/>
      <c r="I129" s="467"/>
      <c r="J129" s="467"/>
      <c r="K129" s="467"/>
      <c r="L129" s="467"/>
      <c r="M129" s="467"/>
      <c r="N129" s="467"/>
      <c r="O129" s="467"/>
      <c r="P129" s="467"/>
      <c r="Q129" s="467"/>
      <c r="R129" s="467"/>
      <c r="S129" s="467"/>
      <c r="T129" s="467"/>
      <c r="U129" s="467"/>
      <c r="V129" s="467"/>
      <c r="W129" s="467"/>
      <c r="X129" s="467"/>
      <c r="Y129" s="467"/>
      <c r="Z129" s="467"/>
      <c r="AA129" s="467"/>
      <c r="AB129" s="467"/>
      <c r="AC129" s="467"/>
      <c r="AD129" s="467"/>
      <c r="AE129" s="467"/>
      <c r="AF129" s="467"/>
      <c r="AG129" s="467"/>
      <c r="AH129" s="467"/>
      <c r="AI129" s="467"/>
      <c r="AJ129" s="467"/>
      <c r="AK129" s="467"/>
      <c r="AL129" s="467"/>
      <c r="AM129" s="467"/>
      <c r="AN129" s="467"/>
      <c r="AO129" s="467"/>
      <c r="AP129" s="467"/>
      <c r="AQ129" s="467"/>
      <c r="AR129" s="467"/>
      <c r="AS129" s="467"/>
      <c r="AT129" s="467"/>
      <c r="AU129" s="467"/>
      <c r="AV129" s="467"/>
      <c r="AW129" s="467"/>
      <c r="AX129" s="467"/>
      <c r="AY129" s="467"/>
      <c r="AZ129" s="467"/>
      <c r="BA129" s="467"/>
      <c r="BB129" s="467"/>
      <c r="BC129" s="467"/>
      <c r="BD129" s="467"/>
      <c r="BE129" s="467"/>
      <c r="BF129" s="467"/>
      <c r="BG129" s="467"/>
      <c r="BH129" s="467"/>
      <c r="BI129" s="467"/>
      <c r="BJ129" s="467"/>
      <c r="BK129" s="467"/>
      <c r="BL129" s="467"/>
    </row>
    <row r="130" customFormat="false" ht="12.75" hidden="false" customHeight="false" outlineLevel="0" collapsed="false">
      <c r="A130" s="464" t="n">
        <f aca="false">EOMONTH(A129,0)+1</f>
        <v>40330</v>
      </c>
      <c r="B130" s="467" t="n">
        <v>0.072297678613049</v>
      </c>
      <c r="C130" s="467" t="n">
        <v>3.298</v>
      </c>
      <c r="D130" s="467" t="n">
        <v>0.15</v>
      </c>
      <c r="E130" s="467" t="n">
        <v>0.005</v>
      </c>
      <c r="F130" s="467" t="n">
        <v>0.005</v>
      </c>
      <c r="G130" s="467" t="n">
        <v>110.075</v>
      </c>
      <c r="H130" s="467"/>
      <c r="I130" s="467"/>
      <c r="J130" s="467"/>
      <c r="K130" s="467"/>
      <c r="L130" s="467"/>
      <c r="M130" s="467"/>
      <c r="N130" s="467"/>
      <c r="O130" s="467"/>
      <c r="P130" s="467"/>
      <c r="Q130" s="467"/>
      <c r="R130" s="467"/>
      <c r="S130" s="467"/>
      <c r="T130" s="467"/>
      <c r="U130" s="467"/>
      <c r="V130" s="467"/>
      <c r="W130" s="467"/>
      <c r="X130" s="467"/>
      <c r="Y130" s="467"/>
      <c r="Z130" s="467"/>
      <c r="AA130" s="467"/>
      <c r="AB130" s="467"/>
      <c r="AC130" s="467"/>
      <c r="AD130" s="467"/>
      <c r="AE130" s="467"/>
      <c r="AF130" s="467"/>
      <c r="AG130" s="467"/>
      <c r="AH130" s="467"/>
      <c r="AI130" s="467"/>
      <c r="AJ130" s="467"/>
      <c r="AK130" s="467"/>
      <c r="AL130" s="467"/>
      <c r="AM130" s="467"/>
      <c r="AN130" s="467"/>
      <c r="AO130" s="467"/>
      <c r="AP130" s="467"/>
      <c r="AQ130" s="467"/>
      <c r="AR130" s="467"/>
      <c r="AS130" s="467"/>
      <c r="AT130" s="467"/>
      <c r="AU130" s="467"/>
      <c r="AV130" s="467"/>
      <c r="AW130" s="467"/>
      <c r="AX130" s="467"/>
      <c r="AY130" s="467"/>
      <c r="AZ130" s="467"/>
      <c r="BA130" s="467"/>
      <c r="BB130" s="467"/>
      <c r="BC130" s="467"/>
      <c r="BD130" s="467"/>
      <c r="BE130" s="467"/>
      <c r="BF130" s="467"/>
      <c r="BG130" s="467"/>
      <c r="BH130" s="467"/>
      <c r="BI130" s="467"/>
      <c r="BJ130" s="467"/>
      <c r="BK130" s="467"/>
      <c r="BL130" s="467"/>
    </row>
    <row r="131" customFormat="false" ht="12.75" hidden="false" customHeight="false" outlineLevel="0" collapsed="false">
      <c r="A131" s="464" t="n">
        <f aca="false">EOMONTH(A130,0)+1</f>
        <v>40360</v>
      </c>
      <c r="B131" s="467" t="n">
        <v>0.072293831861028</v>
      </c>
      <c r="C131" s="467" t="n">
        <v>3.298</v>
      </c>
      <c r="D131" s="467" t="n">
        <v>0.15</v>
      </c>
      <c r="E131" s="467" t="n">
        <v>0.005</v>
      </c>
      <c r="F131" s="467" t="n">
        <v>0.005</v>
      </c>
      <c r="G131" s="467" t="n">
        <v>110.469</v>
      </c>
      <c r="H131" s="467"/>
      <c r="I131" s="467"/>
      <c r="J131" s="467"/>
      <c r="K131" s="467"/>
      <c r="L131" s="467"/>
      <c r="M131" s="467"/>
      <c r="N131" s="467"/>
      <c r="O131" s="467"/>
      <c r="P131" s="467"/>
      <c r="Q131" s="467"/>
      <c r="R131" s="467"/>
      <c r="S131" s="467"/>
      <c r="T131" s="467"/>
      <c r="U131" s="467"/>
      <c r="V131" s="467"/>
      <c r="W131" s="467"/>
      <c r="X131" s="467"/>
      <c r="Y131" s="467"/>
      <c r="Z131" s="467"/>
      <c r="AA131" s="467"/>
      <c r="AB131" s="467"/>
      <c r="AC131" s="467"/>
      <c r="AD131" s="467"/>
      <c r="AE131" s="467"/>
      <c r="AF131" s="467"/>
      <c r="AG131" s="467"/>
      <c r="AH131" s="467"/>
      <c r="AI131" s="467"/>
      <c r="AJ131" s="467"/>
      <c r="AK131" s="467"/>
      <c r="AL131" s="467"/>
      <c r="AM131" s="467"/>
      <c r="AN131" s="467"/>
      <c r="AO131" s="467"/>
      <c r="AP131" s="467"/>
      <c r="AQ131" s="467"/>
      <c r="AR131" s="467"/>
      <c r="AS131" s="467"/>
      <c r="AT131" s="467"/>
      <c r="AU131" s="467"/>
      <c r="AV131" s="467"/>
      <c r="AW131" s="467"/>
      <c r="AX131" s="467"/>
      <c r="AY131" s="467"/>
      <c r="AZ131" s="467"/>
      <c r="BA131" s="467"/>
      <c r="BB131" s="467"/>
      <c r="BC131" s="467"/>
      <c r="BD131" s="467"/>
      <c r="BE131" s="467"/>
      <c r="BF131" s="467"/>
      <c r="BG131" s="467"/>
      <c r="BH131" s="467"/>
      <c r="BI131" s="467"/>
      <c r="BJ131" s="467"/>
      <c r="BK131" s="467"/>
      <c r="BL131" s="467"/>
    </row>
    <row r="132" customFormat="false" ht="12.75" hidden="false" customHeight="false" outlineLevel="0" collapsed="false">
      <c r="A132" s="464" t="n">
        <f aca="false">EOMONTH(A131,0)+1</f>
        <v>40391</v>
      </c>
      <c r="B132" s="467" t="n">
        <v>0.072290562622285</v>
      </c>
      <c r="C132" s="467" t="n">
        <v>3.358</v>
      </c>
      <c r="D132" s="467" t="n">
        <v>0.15</v>
      </c>
      <c r="E132" s="467" t="n">
        <v>0.005</v>
      </c>
      <c r="F132" s="467" t="n">
        <v>0.005</v>
      </c>
      <c r="G132" s="467" t="n">
        <v>110.697</v>
      </c>
      <c r="H132" s="467"/>
      <c r="I132" s="467"/>
      <c r="J132" s="467"/>
      <c r="K132" s="467"/>
      <c r="L132" s="467"/>
      <c r="M132" s="467"/>
      <c r="N132" s="467"/>
      <c r="O132" s="467"/>
      <c r="P132" s="467"/>
      <c r="Q132" s="467"/>
      <c r="R132" s="467"/>
      <c r="S132" s="467"/>
      <c r="T132" s="467"/>
      <c r="U132" s="467"/>
      <c r="V132" s="467"/>
      <c r="W132" s="467"/>
      <c r="X132" s="467"/>
      <c r="Y132" s="467"/>
      <c r="Z132" s="467"/>
      <c r="AA132" s="467"/>
      <c r="AB132" s="467"/>
      <c r="AC132" s="467"/>
      <c r="AD132" s="467"/>
      <c r="AE132" s="467"/>
      <c r="AF132" s="467"/>
      <c r="AG132" s="467"/>
      <c r="AH132" s="467"/>
      <c r="AI132" s="467"/>
      <c r="AJ132" s="467"/>
      <c r="AK132" s="467"/>
      <c r="AL132" s="467"/>
      <c r="AM132" s="467"/>
      <c r="AN132" s="467"/>
      <c r="AO132" s="467"/>
      <c r="AP132" s="467"/>
      <c r="AQ132" s="467"/>
      <c r="AR132" s="467"/>
      <c r="AS132" s="467"/>
      <c r="AT132" s="467"/>
      <c r="AU132" s="467"/>
      <c r="AV132" s="467"/>
      <c r="AW132" s="467"/>
      <c r="AX132" s="467"/>
      <c r="AY132" s="467"/>
      <c r="AZ132" s="467"/>
      <c r="BA132" s="467"/>
      <c r="BB132" s="467"/>
      <c r="BC132" s="467"/>
      <c r="BD132" s="467"/>
      <c r="BE132" s="467"/>
      <c r="BF132" s="467"/>
      <c r="BG132" s="467"/>
      <c r="BH132" s="467"/>
      <c r="BI132" s="467"/>
      <c r="BJ132" s="467"/>
      <c r="BK132" s="467"/>
      <c r="BL132" s="467"/>
    </row>
    <row r="133" customFormat="false" ht="12.75" hidden="false" customHeight="false" outlineLevel="0" collapsed="false">
      <c r="A133" s="464" t="n">
        <f aca="false">EOMONTH(A132,0)+1</f>
        <v>40422</v>
      </c>
      <c r="B133" s="467" t="n">
        <v>0.072290233959959</v>
      </c>
      <c r="C133" s="467" t="n">
        <v>3.341</v>
      </c>
      <c r="D133" s="467" t="n">
        <v>0.15</v>
      </c>
      <c r="E133" s="467" t="n">
        <v>0.005</v>
      </c>
      <c r="F133" s="467" t="n">
        <v>0.005</v>
      </c>
      <c r="G133" s="467" t="n">
        <v>110.946</v>
      </c>
      <c r="H133" s="467"/>
      <c r="I133" s="467"/>
      <c r="J133" s="467"/>
      <c r="K133" s="467"/>
      <c r="L133" s="467"/>
      <c r="M133" s="467"/>
      <c r="N133" s="467"/>
      <c r="O133" s="467"/>
      <c r="P133" s="467"/>
      <c r="Q133" s="467"/>
      <c r="R133" s="467"/>
      <c r="S133" s="467"/>
      <c r="T133" s="467"/>
      <c r="U133" s="467"/>
      <c r="V133" s="467"/>
      <c r="W133" s="467"/>
      <c r="X133" s="467"/>
      <c r="Y133" s="467"/>
      <c r="Z133" s="467"/>
      <c r="AA133" s="467"/>
      <c r="AB133" s="467"/>
      <c r="AC133" s="467"/>
      <c r="AD133" s="467"/>
      <c r="AE133" s="467"/>
      <c r="AF133" s="467"/>
      <c r="AG133" s="467"/>
      <c r="AH133" s="467"/>
      <c r="AI133" s="467"/>
      <c r="AJ133" s="467"/>
      <c r="AK133" s="467"/>
      <c r="AL133" s="467"/>
      <c r="AM133" s="467"/>
      <c r="AN133" s="467"/>
      <c r="AO133" s="467"/>
      <c r="AP133" s="467"/>
      <c r="AQ133" s="467"/>
      <c r="AR133" s="467"/>
      <c r="AS133" s="467"/>
      <c r="AT133" s="467"/>
      <c r="AU133" s="467"/>
      <c r="AV133" s="467"/>
      <c r="AW133" s="467"/>
      <c r="AX133" s="467"/>
      <c r="AY133" s="467"/>
      <c r="AZ133" s="467"/>
      <c r="BA133" s="467"/>
      <c r="BB133" s="467"/>
      <c r="BC133" s="467"/>
      <c r="BD133" s="467"/>
      <c r="BE133" s="467"/>
      <c r="BF133" s="467"/>
      <c r="BG133" s="467"/>
      <c r="BH133" s="467"/>
      <c r="BI133" s="467"/>
      <c r="BJ133" s="467"/>
      <c r="BK133" s="467"/>
      <c r="BL133" s="467"/>
    </row>
    <row r="134" customFormat="false" ht="12.75" hidden="false" customHeight="false" outlineLevel="0" collapsed="false">
      <c r="A134" s="464" t="n">
        <f aca="false">EOMONTH(A133,0)+1</f>
        <v>40452</v>
      </c>
      <c r="B134" s="467" t="n">
        <v>0.072289915899645</v>
      </c>
      <c r="C134" s="467" t="n">
        <v>3.354</v>
      </c>
      <c r="D134" s="467" t="n">
        <v>0.15</v>
      </c>
      <c r="E134" s="467" t="n">
        <v>0.005</v>
      </c>
      <c r="F134" s="467" t="n">
        <v>0.005</v>
      </c>
      <c r="G134" s="467" t="n">
        <v>111.645</v>
      </c>
      <c r="H134" s="467"/>
      <c r="I134" s="467"/>
      <c r="J134" s="467"/>
      <c r="K134" s="467"/>
      <c r="L134" s="467"/>
      <c r="M134" s="467"/>
      <c r="N134" s="467"/>
      <c r="O134" s="467"/>
      <c r="P134" s="467"/>
      <c r="Q134" s="467"/>
      <c r="R134" s="467"/>
      <c r="S134" s="467"/>
      <c r="T134" s="467"/>
      <c r="U134" s="467"/>
      <c r="V134" s="467"/>
      <c r="W134" s="467"/>
      <c r="X134" s="467"/>
      <c r="Y134" s="467"/>
      <c r="Z134" s="467"/>
      <c r="AA134" s="467"/>
      <c r="AB134" s="467"/>
      <c r="AC134" s="467"/>
      <c r="AD134" s="467"/>
      <c r="AE134" s="467"/>
      <c r="AF134" s="467"/>
      <c r="AG134" s="467"/>
      <c r="AH134" s="467"/>
      <c r="AI134" s="467"/>
      <c r="AJ134" s="467"/>
      <c r="AK134" s="467"/>
      <c r="AL134" s="467"/>
      <c r="AM134" s="467"/>
      <c r="AN134" s="467"/>
      <c r="AO134" s="467"/>
      <c r="AP134" s="467"/>
      <c r="AQ134" s="467"/>
      <c r="AR134" s="467"/>
      <c r="AS134" s="467"/>
      <c r="AT134" s="467"/>
      <c r="AU134" s="467"/>
      <c r="AV134" s="467"/>
      <c r="AW134" s="467"/>
      <c r="AX134" s="467"/>
      <c r="AY134" s="467"/>
      <c r="AZ134" s="467"/>
      <c r="BA134" s="467"/>
      <c r="BB134" s="467"/>
      <c r="BC134" s="467"/>
      <c r="BD134" s="467"/>
      <c r="BE134" s="467"/>
      <c r="BF134" s="467"/>
      <c r="BG134" s="467"/>
      <c r="BH134" s="467"/>
      <c r="BI134" s="467"/>
      <c r="BJ134" s="467"/>
      <c r="BK134" s="467"/>
      <c r="BL134" s="467"/>
    </row>
    <row r="135" customFormat="false" ht="12.75" hidden="false" customHeight="false" outlineLevel="0" collapsed="false">
      <c r="A135" s="464" t="n">
        <f aca="false">EOMONTH(A134,0)+1</f>
        <v>40483</v>
      </c>
      <c r="B135" s="467" t="n">
        <v>0.07228958723732</v>
      </c>
      <c r="C135" s="467" t="n">
        <v>3.428</v>
      </c>
      <c r="D135" s="467" t="n">
        <v>0.15</v>
      </c>
      <c r="E135" s="467" t="n">
        <v>0.005</v>
      </c>
      <c r="F135" s="467" t="n">
        <v>0.005</v>
      </c>
      <c r="G135" s="467" t="n">
        <v>111.88</v>
      </c>
      <c r="H135" s="467"/>
      <c r="I135" s="467"/>
      <c r="J135" s="467"/>
      <c r="K135" s="467"/>
      <c r="L135" s="467"/>
      <c r="M135" s="467"/>
      <c r="N135" s="467"/>
      <c r="O135" s="467"/>
      <c r="P135" s="467"/>
      <c r="Q135" s="467"/>
      <c r="R135" s="467"/>
      <c r="S135" s="467"/>
      <c r="T135" s="467"/>
      <c r="U135" s="467"/>
      <c r="V135" s="467"/>
      <c r="W135" s="467"/>
      <c r="X135" s="467"/>
      <c r="Y135" s="467"/>
      <c r="Z135" s="467"/>
      <c r="AA135" s="467"/>
      <c r="AB135" s="467"/>
      <c r="AC135" s="467"/>
      <c r="AD135" s="467"/>
      <c r="AE135" s="467"/>
      <c r="AF135" s="467"/>
      <c r="AG135" s="467"/>
      <c r="AH135" s="467"/>
      <c r="AI135" s="467"/>
      <c r="AJ135" s="467"/>
      <c r="AK135" s="467"/>
      <c r="AL135" s="467"/>
      <c r="AM135" s="467"/>
      <c r="AN135" s="467"/>
      <c r="AO135" s="467"/>
      <c r="AP135" s="467"/>
      <c r="AQ135" s="467"/>
      <c r="AR135" s="467"/>
      <c r="AS135" s="467"/>
      <c r="AT135" s="467"/>
      <c r="AU135" s="467"/>
      <c r="AV135" s="467"/>
      <c r="AW135" s="467"/>
      <c r="AX135" s="467"/>
      <c r="AY135" s="467"/>
      <c r="AZ135" s="467"/>
      <c r="BA135" s="467"/>
      <c r="BB135" s="467"/>
      <c r="BC135" s="467"/>
      <c r="BD135" s="467"/>
      <c r="BE135" s="467"/>
      <c r="BF135" s="467"/>
      <c r="BG135" s="467"/>
      <c r="BH135" s="467"/>
      <c r="BI135" s="467"/>
      <c r="BJ135" s="467"/>
      <c r="BK135" s="467"/>
      <c r="BL135" s="467"/>
    </row>
    <row r="136" customFormat="false" ht="12.75" hidden="false" customHeight="false" outlineLevel="0" collapsed="false">
      <c r="A136" s="464" t="n">
        <f aca="false">EOMONTH(A135,0)+1</f>
        <v>40513</v>
      </c>
      <c r="B136" s="467" t="n">
        <v>0.072289269177006</v>
      </c>
      <c r="C136" s="467" t="n">
        <v>3.512</v>
      </c>
      <c r="D136" s="467" t="n">
        <v>0.15</v>
      </c>
      <c r="E136" s="467" t="n">
        <v>0.005</v>
      </c>
      <c r="F136" s="467" t="n">
        <v>0.005</v>
      </c>
      <c r="G136" s="467" t="n">
        <v>112.135</v>
      </c>
      <c r="H136" s="467"/>
      <c r="I136" s="467"/>
      <c r="J136" s="467"/>
      <c r="K136" s="467"/>
      <c r="L136" s="467"/>
      <c r="M136" s="467"/>
      <c r="N136" s="467"/>
      <c r="O136" s="467"/>
      <c r="P136" s="467"/>
      <c r="Q136" s="467"/>
      <c r="R136" s="467"/>
      <c r="S136" s="467"/>
      <c r="T136" s="467"/>
      <c r="U136" s="467"/>
      <c r="V136" s="467"/>
      <c r="W136" s="467"/>
      <c r="X136" s="467"/>
      <c r="Y136" s="467"/>
      <c r="Z136" s="467"/>
      <c r="AA136" s="467"/>
      <c r="AB136" s="467"/>
      <c r="AC136" s="467"/>
      <c r="AD136" s="467"/>
      <c r="AE136" s="467"/>
      <c r="AF136" s="467"/>
      <c r="AG136" s="467"/>
      <c r="AH136" s="467"/>
      <c r="AI136" s="467"/>
      <c r="AJ136" s="467"/>
      <c r="AK136" s="467"/>
      <c r="AL136" s="467"/>
      <c r="AM136" s="467"/>
      <c r="AN136" s="467"/>
      <c r="AO136" s="467"/>
      <c r="AP136" s="467"/>
      <c r="AQ136" s="467"/>
      <c r="AR136" s="467"/>
      <c r="AS136" s="467"/>
      <c r="AT136" s="467"/>
      <c r="AU136" s="467"/>
      <c r="AV136" s="467"/>
      <c r="AW136" s="467"/>
      <c r="AX136" s="467"/>
      <c r="AY136" s="467"/>
      <c r="AZ136" s="467"/>
      <c r="BA136" s="467"/>
      <c r="BB136" s="467"/>
      <c r="BC136" s="467"/>
      <c r="BD136" s="467"/>
      <c r="BE136" s="467"/>
      <c r="BF136" s="467"/>
      <c r="BG136" s="467"/>
      <c r="BH136" s="467"/>
      <c r="BI136" s="467"/>
      <c r="BJ136" s="467"/>
      <c r="BK136" s="467"/>
      <c r="BL136" s="467"/>
    </row>
    <row r="137" customFormat="false" ht="12.75" hidden="false" customHeight="false" outlineLevel="0" collapsed="false">
      <c r="A137" s="464" t="n">
        <f aca="false">EOMONTH(A136,0)+1</f>
        <v>40544</v>
      </c>
      <c r="B137" s="467" t="n">
        <v>0.072288940514681</v>
      </c>
      <c r="C137" s="467" t="n">
        <v>3.681</v>
      </c>
      <c r="D137" s="467" t="n">
        <v>0.15</v>
      </c>
      <c r="E137" s="467" t="n">
        <v>0.005</v>
      </c>
      <c r="F137" s="467" t="n">
        <v>0.005</v>
      </c>
      <c r="G137" s="467" t="n">
        <v>0</v>
      </c>
      <c r="H137" s="467"/>
      <c r="I137" s="467"/>
      <c r="J137" s="467"/>
      <c r="K137" s="467"/>
      <c r="L137" s="467"/>
      <c r="M137" s="467"/>
      <c r="N137" s="467"/>
      <c r="O137" s="467"/>
      <c r="P137" s="467"/>
      <c r="Q137" s="467"/>
      <c r="R137" s="467"/>
      <c r="S137" s="467"/>
      <c r="T137" s="467"/>
      <c r="U137" s="467"/>
      <c r="V137" s="467"/>
      <c r="W137" s="467"/>
      <c r="X137" s="467"/>
      <c r="Y137" s="467"/>
      <c r="Z137" s="467"/>
      <c r="AA137" s="467"/>
      <c r="AB137" s="467"/>
      <c r="AC137" s="467"/>
      <c r="AD137" s="467"/>
      <c r="AE137" s="467"/>
      <c r="AF137" s="467"/>
      <c r="AG137" s="467"/>
      <c r="AH137" s="467"/>
      <c r="AI137" s="467"/>
      <c r="AJ137" s="467"/>
      <c r="AK137" s="467"/>
      <c r="AL137" s="467"/>
      <c r="AM137" s="467"/>
      <c r="AN137" s="467"/>
      <c r="AO137" s="467"/>
      <c r="AP137" s="467"/>
      <c r="AQ137" s="467"/>
      <c r="AR137" s="467"/>
      <c r="AS137" s="467"/>
      <c r="AT137" s="467"/>
      <c r="AU137" s="467"/>
      <c r="AV137" s="467"/>
      <c r="AW137" s="467"/>
      <c r="AX137" s="467"/>
      <c r="AY137" s="467"/>
      <c r="AZ137" s="467"/>
      <c r="BA137" s="467"/>
      <c r="BB137" s="467"/>
      <c r="BC137" s="467"/>
      <c r="BD137" s="467"/>
      <c r="BE137" s="467"/>
      <c r="BF137" s="467"/>
      <c r="BG137" s="467"/>
      <c r="BH137" s="467"/>
      <c r="BI137" s="467"/>
      <c r="BJ137" s="467"/>
      <c r="BK137" s="467"/>
      <c r="BL137" s="467"/>
    </row>
    <row r="138" customFormat="false" ht="12.75" hidden="false" customHeight="false" outlineLevel="0" collapsed="false">
      <c r="A138" s="464" t="n">
        <f aca="false">EOMONTH(A137,0)+1</f>
        <v>40575</v>
      </c>
      <c r="B138" s="467" t="n">
        <v>0.072288611852357</v>
      </c>
      <c r="C138" s="467" t="n">
        <v>3.583</v>
      </c>
      <c r="D138" s="467" t="n">
        <v>0.15</v>
      </c>
      <c r="E138" s="467" t="n">
        <v>0.005</v>
      </c>
      <c r="F138" s="467" t="n">
        <v>0.005</v>
      </c>
      <c r="G138" s="467" t="n">
        <v>0</v>
      </c>
      <c r="H138" s="467"/>
      <c r="I138" s="467"/>
      <c r="J138" s="467"/>
      <c r="K138" s="467"/>
      <c r="L138" s="467"/>
      <c r="M138" s="467"/>
      <c r="N138" s="467"/>
      <c r="O138" s="467"/>
      <c r="P138" s="467"/>
      <c r="Q138" s="467"/>
      <c r="R138" s="467"/>
      <c r="S138" s="467"/>
      <c r="T138" s="467"/>
      <c r="U138" s="467"/>
      <c r="V138" s="467"/>
      <c r="W138" s="467"/>
      <c r="X138" s="467"/>
      <c r="Y138" s="467"/>
      <c r="Z138" s="467"/>
      <c r="AA138" s="467"/>
      <c r="AB138" s="467"/>
      <c r="AC138" s="467"/>
      <c r="AD138" s="467"/>
      <c r="AE138" s="467"/>
      <c r="AF138" s="467"/>
      <c r="AG138" s="467"/>
      <c r="AH138" s="467"/>
      <c r="AI138" s="467"/>
      <c r="AJ138" s="467"/>
      <c r="AK138" s="467"/>
      <c r="AL138" s="467"/>
      <c r="AM138" s="467"/>
      <c r="AN138" s="467"/>
      <c r="AO138" s="467"/>
      <c r="AP138" s="467"/>
      <c r="AQ138" s="467"/>
      <c r="AR138" s="467"/>
      <c r="AS138" s="467"/>
      <c r="AT138" s="467"/>
      <c r="AU138" s="467"/>
      <c r="AV138" s="467"/>
      <c r="AW138" s="467"/>
      <c r="AX138" s="467"/>
      <c r="AY138" s="467"/>
      <c r="AZ138" s="467"/>
      <c r="BA138" s="467"/>
      <c r="BB138" s="467"/>
      <c r="BC138" s="467"/>
      <c r="BD138" s="467"/>
      <c r="BE138" s="467"/>
      <c r="BF138" s="467"/>
      <c r="BG138" s="467"/>
      <c r="BH138" s="467"/>
      <c r="BI138" s="467"/>
      <c r="BJ138" s="467"/>
      <c r="BK138" s="467"/>
      <c r="BL138" s="467"/>
    </row>
    <row r="139" customFormat="false" ht="12.75" hidden="false" customHeight="false" outlineLevel="0" collapsed="false">
      <c r="A139" s="464" t="n">
        <f aca="false">EOMONTH(A138,0)+1</f>
        <v>40603</v>
      </c>
      <c r="B139" s="467" t="n">
        <v>0.072288314996063</v>
      </c>
      <c r="C139" s="467" t="n">
        <v>3.467</v>
      </c>
      <c r="D139" s="467" t="n">
        <v>0.15</v>
      </c>
      <c r="E139" s="467" t="n">
        <v>0.005</v>
      </c>
      <c r="F139" s="467" t="n">
        <v>0.005</v>
      </c>
      <c r="G139" s="467" t="n">
        <v>0</v>
      </c>
      <c r="H139" s="467"/>
      <c r="I139" s="467"/>
      <c r="J139" s="467"/>
      <c r="K139" s="467"/>
      <c r="L139" s="467"/>
      <c r="M139" s="467"/>
      <c r="N139" s="467"/>
      <c r="O139" s="467"/>
      <c r="P139" s="467"/>
      <c r="Q139" s="467"/>
      <c r="R139" s="467"/>
      <c r="S139" s="467"/>
      <c r="T139" s="467"/>
      <c r="U139" s="467"/>
      <c r="V139" s="467"/>
      <c r="W139" s="467"/>
      <c r="X139" s="467"/>
      <c r="Y139" s="467"/>
      <c r="Z139" s="467"/>
      <c r="AA139" s="467"/>
      <c r="AB139" s="467"/>
      <c r="AC139" s="467"/>
      <c r="AD139" s="467"/>
      <c r="AE139" s="467"/>
      <c r="AF139" s="467"/>
      <c r="AG139" s="467"/>
      <c r="AH139" s="467"/>
      <c r="AI139" s="467"/>
      <c r="AJ139" s="467"/>
      <c r="AK139" s="467"/>
      <c r="AL139" s="467"/>
      <c r="AM139" s="467"/>
      <c r="AN139" s="467"/>
      <c r="AO139" s="467"/>
      <c r="AP139" s="467"/>
      <c r="AQ139" s="467"/>
      <c r="AR139" s="467"/>
      <c r="AS139" s="467"/>
      <c r="AT139" s="467"/>
      <c r="AU139" s="467"/>
      <c r="AV139" s="467"/>
      <c r="AW139" s="467"/>
      <c r="AX139" s="467"/>
      <c r="AY139" s="467"/>
      <c r="AZ139" s="467"/>
      <c r="BA139" s="467"/>
      <c r="BB139" s="467"/>
      <c r="BC139" s="467"/>
      <c r="BD139" s="467"/>
      <c r="BE139" s="467"/>
      <c r="BF139" s="467"/>
      <c r="BG139" s="467"/>
      <c r="BH139" s="467"/>
      <c r="BI139" s="467"/>
      <c r="BJ139" s="467"/>
      <c r="BK139" s="467"/>
      <c r="BL139" s="467"/>
    </row>
    <row r="140" customFormat="false" ht="12.75" hidden="false" customHeight="false" outlineLevel="0" collapsed="false">
      <c r="A140" s="464" t="n">
        <f aca="false">EOMONTH(A139,0)+1</f>
        <v>40634</v>
      </c>
      <c r="B140" s="467" t="n">
        <v>0.072287986333738</v>
      </c>
      <c r="C140" s="467" t="n">
        <v>3.351</v>
      </c>
      <c r="D140" s="467" t="n">
        <v>0.15</v>
      </c>
      <c r="E140" s="467" t="n">
        <v>0.005</v>
      </c>
      <c r="F140" s="467" t="n">
        <v>0.005</v>
      </c>
      <c r="G140" s="467" t="n">
        <v>0</v>
      </c>
      <c r="H140" s="467"/>
      <c r="I140" s="467"/>
      <c r="J140" s="467"/>
      <c r="K140" s="467"/>
      <c r="L140" s="467"/>
      <c r="M140" s="467"/>
      <c r="N140" s="467"/>
      <c r="O140" s="467"/>
      <c r="P140" s="467"/>
      <c r="Q140" s="467"/>
      <c r="R140" s="467"/>
      <c r="S140" s="467"/>
      <c r="T140" s="467"/>
      <c r="U140" s="467"/>
      <c r="V140" s="467"/>
      <c r="W140" s="467"/>
      <c r="X140" s="467"/>
      <c r="Y140" s="467"/>
      <c r="Z140" s="467"/>
      <c r="AA140" s="467"/>
      <c r="AB140" s="467"/>
      <c r="AC140" s="467"/>
      <c r="AD140" s="467"/>
      <c r="AE140" s="467"/>
      <c r="AF140" s="467"/>
      <c r="AG140" s="467"/>
      <c r="AH140" s="467"/>
      <c r="AI140" s="467"/>
      <c r="AJ140" s="467"/>
      <c r="AK140" s="467"/>
      <c r="AL140" s="467"/>
      <c r="AM140" s="467"/>
      <c r="AN140" s="467"/>
      <c r="AO140" s="467"/>
      <c r="AP140" s="467"/>
      <c r="AQ140" s="467"/>
      <c r="AR140" s="467"/>
      <c r="AS140" s="467"/>
      <c r="AT140" s="467"/>
      <c r="AU140" s="467"/>
      <c r="AV140" s="467"/>
      <c r="AW140" s="467"/>
      <c r="AX140" s="467"/>
      <c r="AY140" s="467"/>
      <c r="AZ140" s="467"/>
      <c r="BA140" s="467"/>
      <c r="BB140" s="467"/>
      <c r="BC140" s="467"/>
      <c r="BD140" s="467"/>
      <c r="BE140" s="467"/>
      <c r="BF140" s="467"/>
      <c r="BG140" s="467"/>
      <c r="BH140" s="467"/>
      <c r="BI140" s="467"/>
      <c r="BJ140" s="467"/>
      <c r="BK140" s="467"/>
      <c r="BL140" s="467"/>
    </row>
    <row r="141" customFormat="false" ht="12.75" hidden="false" customHeight="false" outlineLevel="0" collapsed="false">
      <c r="A141" s="464" t="n">
        <f aca="false">EOMONTH(A140,0)+1</f>
        <v>40664</v>
      </c>
      <c r="B141" s="467" t="n">
        <v>0.072287668273424</v>
      </c>
      <c r="C141" s="467" t="n">
        <v>3.344</v>
      </c>
      <c r="D141" s="467" t="n">
        <v>0.15</v>
      </c>
      <c r="E141" s="467" t="n">
        <v>0.005</v>
      </c>
      <c r="F141" s="467" t="n">
        <v>0.005</v>
      </c>
      <c r="G141" s="467" t="n">
        <v>0</v>
      </c>
      <c r="H141" s="467"/>
      <c r="I141" s="467"/>
      <c r="J141" s="467"/>
      <c r="K141" s="467"/>
      <c r="L141" s="467"/>
      <c r="M141" s="467"/>
      <c r="N141" s="467"/>
      <c r="O141" s="467"/>
      <c r="P141" s="467"/>
      <c r="Q141" s="467"/>
      <c r="R141" s="467"/>
      <c r="S141" s="467"/>
      <c r="T141" s="467"/>
      <c r="U141" s="467"/>
      <c r="V141" s="467"/>
      <c r="W141" s="467"/>
      <c r="X141" s="467"/>
      <c r="Y141" s="467"/>
      <c r="Z141" s="467"/>
      <c r="AA141" s="467"/>
      <c r="AB141" s="467"/>
      <c r="AC141" s="467"/>
      <c r="AD141" s="467"/>
      <c r="AE141" s="467"/>
      <c r="AF141" s="467"/>
      <c r="AG141" s="467"/>
      <c r="AH141" s="467"/>
      <c r="AI141" s="467"/>
      <c r="AJ141" s="467"/>
      <c r="AK141" s="467"/>
      <c r="AL141" s="467"/>
      <c r="AM141" s="467"/>
      <c r="AN141" s="467"/>
      <c r="AO141" s="467"/>
      <c r="AP141" s="467"/>
      <c r="AQ141" s="467"/>
      <c r="AR141" s="467"/>
      <c r="AS141" s="467"/>
      <c r="AT141" s="467"/>
      <c r="AU141" s="467"/>
      <c r="AV141" s="467"/>
      <c r="AW141" s="467"/>
      <c r="AX141" s="467"/>
      <c r="AY141" s="467"/>
      <c r="AZ141" s="467"/>
      <c r="BA141" s="467"/>
      <c r="BB141" s="467"/>
      <c r="BC141" s="467"/>
      <c r="BD141" s="467"/>
      <c r="BE141" s="467"/>
      <c r="BF141" s="467"/>
      <c r="BG141" s="467"/>
      <c r="BH141" s="467"/>
      <c r="BI141" s="467"/>
      <c r="BJ141" s="467"/>
      <c r="BK141" s="467"/>
      <c r="BL141" s="467"/>
    </row>
    <row r="142" customFormat="false" ht="12.75" hidden="false" customHeight="false" outlineLevel="0" collapsed="false">
      <c r="A142" s="464" t="n">
        <f aca="false">EOMONTH(A141,0)+1</f>
        <v>40695</v>
      </c>
      <c r="B142" s="467" t="n">
        <v>0.072287339611099</v>
      </c>
      <c r="C142" s="467" t="n">
        <v>3.382</v>
      </c>
      <c r="D142" s="467" t="n">
        <v>0.15</v>
      </c>
      <c r="E142" s="467" t="n">
        <v>0.005</v>
      </c>
      <c r="F142" s="467" t="n">
        <v>0.005</v>
      </c>
      <c r="G142" s="467" t="n">
        <v>0</v>
      </c>
      <c r="H142" s="467"/>
      <c r="I142" s="467"/>
      <c r="J142" s="467"/>
      <c r="K142" s="467"/>
      <c r="L142" s="467"/>
      <c r="M142" s="467"/>
      <c r="N142" s="467"/>
      <c r="O142" s="467"/>
      <c r="P142" s="467"/>
      <c r="Q142" s="467"/>
      <c r="R142" s="467"/>
      <c r="S142" s="467"/>
      <c r="T142" s="467"/>
      <c r="U142" s="467"/>
      <c r="V142" s="467"/>
      <c r="W142" s="467"/>
      <c r="X142" s="467"/>
      <c r="Y142" s="467"/>
      <c r="Z142" s="467"/>
      <c r="AA142" s="467"/>
      <c r="AB142" s="467"/>
      <c r="AC142" s="467"/>
      <c r="AD142" s="467"/>
      <c r="AE142" s="467"/>
      <c r="AF142" s="467"/>
      <c r="AG142" s="467"/>
      <c r="AH142" s="467"/>
      <c r="AI142" s="467"/>
      <c r="AJ142" s="467"/>
      <c r="AK142" s="467"/>
      <c r="AL142" s="467"/>
      <c r="AM142" s="467"/>
      <c r="AN142" s="467"/>
      <c r="AO142" s="467"/>
      <c r="AP142" s="467"/>
      <c r="AQ142" s="467"/>
      <c r="AR142" s="467"/>
      <c r="AS142" s="467"/>
      <c r="AT142" s="467"/>
      <c r="AU142" s="467"/>
      <c r="AV142" s="467"/>
      <c r="AW142" s="467"/>
      <c r="AX142" s="467"/>
      <c r="AY142" s="467"/>
      <c r="AZ142" s="467"/>
      <c r="BA142" s="467"/>
      <c r="BB142" s="467"/>
      <c r="BC142" s="467"/>
      <c r="BD142" s="467"/>
      <c r="BE142" s="467"/>
      <c r="BF142" s="467"/>
      <c r="BG142" s="467"/>
      <c r="BH142" s="467"/>
      <c r="BI142" s="467"/>
      <c r="BJ142" s="467"/>
      <c r="BK142" s="467"/>
      <c r="BL142" s="467"/>
    </row>
    <row r="143" customFormat="false" ht="12.75" hidden="false" customHeight="false" outlineLevel="0" collapsed="false">
      <c r="A143" s="464" t="n">
        <f aca="false">EOMONTH(A142,0)+1</f>
        <v>40725</v>
      </c>
      <c r="B143" s="467" t="n">
        <v>0.072287021550785</v>
      </c>
      <c r="C143" s="467" t="n">
        <v>3.382</v>
      </c>
      <c r="D143" s="467" t="n">
        <v>0.15</v>
      </c>
      <c r="E143" s="467" t="n">
        <v>0.005</v>
      </c>
      <c r="F143" s="467" t="n">
        <v>0.005</v>
      </c>
      <c r="G143" s="467" t="n">
        <v>0</v>
      </c>
      <c r="H143" s="467"/>
      <c r="I143" s="467"/>
      <c r="J143" s="467"/>
      <c r="K143" s="467"/>
      <c r="L143" s="467"/>
      <c r="M143" s="467"/>
      <c r="N143" s="467"/>
      <c r="O143" s="467"/>
      <c r="P143" s="467"/>
      <c r="Q143" s="467"/>
      <c r="R143" s="467"/>
      <c r="S143" s="467"/>
      <c r="T143" s="467"/>
      <c r="U143" s="467"/>
      <c r="V143" s="467"/>
      <c r="W143" s="467"/>
      <c r="X143" s="467"/>
      <c r="Y143" s="467"/>
      <c r="Z143" s="467"/>
      <c r="AA143" s="467"/>
      <c r="AB143" s="467"/>
      <c r="AC143" s="467"/>
      <c r="AD143" s="467"/>
      <c r="AE143" s="467"/>
      <c r="AF143" s="467"/>
      <c r="AG143" s="467"/>
      <c r="AH143" s="467"/>
      <c r="AI143" s="467"/>
      <c r="AJ143" s="467"/>
      <c r="AK143" s="467"/>
      <c r="AL143" s="467"/>
      <c r="AM143" s="467"/>
      <c r="AN143" s="467"/>
      <c r="AO143" s="467"/>
      <c r="AP143" s="467"/>
      <c r="AQ143" s="467"/>
      <c r="AR143" s="467"/>
      <c r="AS143" s="467"/>
      <c r="AT143" s="467"/>
      <c r="AU143" s="467"/>
      <c r="AV143" s="467"/>
      <c r="AW143" s="467"/>
      <c r="AX143" s="467"/>
      <c r="AY143" s="467"/>
      <c r="AZ143" s="467"/>
      <c r="BA143" s="467"/>
      <c r="BB143" s="467"/>
      <c r="BC143" s="467"/>
      <c r="BD143" s="467"/>
      <c r="BE143" s="467"/>
      <c r="BF143" s="467"/>
      <c r="BG143" s="467"/>
      <c r="BH143" s="467"/>
      <c r="BI143" s="467"/>
      <c r="BJ143" s="467"/>
      <c r="BK143" s="467"/>
      <c r="BL143" s="467"/>
    </row>
    <row r="144" customFormat="false" ht="12.75" hidden="false" customHeight="false" outlineLevel="0" collapsed="false">
      <c r="A144" s="464" t="n">
        <f aca="false">EOMONTH(A143,0)+1</f>
        <v>40756</v>
      </c>
      <c r="B144" s="467" t="n">
        <v>0.07228669288846</v>
      </c>
      <c r="C144" s="467" t="n">
        <v>3.442</v>
      </c>
      <c r="D144" s="467" t="n">
        <v>0.15</v>
      </c>
      <c r="E144" s="467" t="n">
        <v>0.005</v>
      </c>
      <c r="F144" s="467" t="n">
        <v>0.005</v>
      </c>
      <c r="G144" s="467" t="n">
        <v>0</v>
      </c>
      <c r="H144" s="467"/>
      <c r="I144" s="467"/>
      <c r="J144" s="467"/>
      <c r="K144" s="467"/>
      <c r="L144" s="467"/>
      <c r="M144" s="467"/>
      <c r="N144" s="467"/>
      <c r="O144" s="467"/>
      <c r="P144" s="467"/>
      <c r="Q144" s="467"/>
      <c r="R144" s="467"/>
      <c r="S144" s="467"/>
      <c r="T144" s="467"/>
      <c r="U144" s="467"/>
      <c r="V144" s="467"/>
      <c r="W144" s="467"/>
      <c r="X144" s="467"/>
      <c r="Y144" s="467"/>
      <c r="Z144" s="467"/>
      <c r="AA144" s="467"/>
      <c r="AB144" s="467"/>
      <c r="AC144" s="467"/>
      <c r="AD144" s="467"/>
      <c r="AE144" s="467"/>
      <c r="AF144" s="467"/>
      <c r="AG144" s="467"/>
      <c r="AH144" s="467"/>
      <c r="AI144" s="467"/>
      <c r="AJ144" s="467"/>
      <c r="AK144" s="467"/>
      <c r="AL144" s="467"/>
      <c r="AM144" s="467"/>
      <c r="AN144" s="467"/>
      <c r="AO144" s="467"/>
      <c r="AP144" s="467"/>
      <c r="AQ144" s="467"/>
      <c r="AR144" s="467"/>
      <c r="AS144" s="467"/>
      <c r="AT144" s="467"/>
      <c r="AU144" s="467"/>
      <c r="AV144" s="467"/>
      <c r="AW144" s="467"/>
      <c r="AX144" s="467"/>
      <c r="AY144" s="467"/>
      <c r="AZ144" s="467"/>
      <c r="BA144" s="467"/>
      <c r="BB144" s="467"/>
      <c r="BC144" s="467"/>
      <c r="BD144" s="467"/>
      <c r="BE144" s="467"/>
      <c r="BF144" s="467"/>
      <c r="BG144" s="467"/>
      <c r="BH144" s="467"/>
      <c r="BI144" s="467"/>
      <c r="BJ144" s="467"/>
      <c r="BK144" s="467"/>
      <c r="BL144" s="467"/>
    </row>
    <row r="145" customFormat="false" ht="12.75" hidden="false" customHeight="false" outlineLevel="0" collapsed="false">
      <c r="A145" s="464" t="n">
        <f aca="false">EOMONTH(A144,0)+1</f>
        <v>40787</v>
      </c>
      <c r="B145" s="467" t="n">
        <v>0.072286364226136</v>
      </c>
      <c r="C145" s="467" t="n">
        <v>3.424</v>
      </c>
      <c r="D145" s="467" t="n">
        <v>0.15</v>
      </c>
      <c r="E145" s="467" t="n">
        <v>0.005</v>
      </c>
      <c r="F145" s="467" t="n">
        <v>0.005</v>
      </c>
      <c r="G145" s="467" t="n">
        <v>0</v>
      </c>
      <c r="H145" s="467"/>
      <c r="I145" s="467"/>
      <c r="J145" s="467"/>
      <c r="K145" s="467"/>
      <c r="L145" s="467"/>
      <c r="M145" s="467"/>
      <c r="N145" s="467"/>
      <c r="O145" s="467"/>
      <c r="P145" s="467"/>
      <c r="Q145" s="467"/>
      <c r="R145" s="467"/>
      <c r="S145" s="467"/>
      <c r="T145" s="467"/>
      <c r="U145" s="467"/>
      <c r="V145" s="467"/>
      <c r="W145" s="467"/>
      <c r="X145" s="467"/>
      <c r="Y145" s="467"/>
      <c r="Z145" s="467"/>
      <c r="AA145" s="467"/>
      <c r="AB145" s="467"/>
      <c r="AC145" s="467"/>
      <c r="AD145" s="467"/>
      <c r="AE145" s="467"/>
      <c r="AF145" s="467"/>
      <c r="AG145" s="467"/>
      <c r="AH145" s="467"/>
      <c r="AI145" s="467"/>
      <c r="AJ145" s="467"/>
      <c r="AK145" s="467"/>
      <c r="AL145" s="467"/>
      <c r="AM145" s="467"/>
      <c r="AN145" s="467"/>
      <c r="AO145" s="467"/>
      <c r="AP145" s="467"/>
      <c r="AQ145" s="467"/>
      <c r="AR145" s="467"/>
      <c r="AS145" s="467"/>
      <c r="AT145" s="467"/>
      <c r="AU145" s="467"/>
      <c r="AV145" s="467"/>
      <c r="AW145" s="467"/>
      <c r="AX145" s="467"/>
      <c r="AY145" s="467"/>
      <c r="AZ145" s="467"/>
      <c r="BA145" s="467"/>
      <c r="BB145" s="467"/>
      <c r="BC145" s="467"/>
      <c r="BD145" s="467"/>
      <c r="BE145" s="467"/>
      <c r="BF145" s="467"/>
      <c r="BG145" s="467"/>
      <c r="BH145" s="467"/>
      <c r="BI145" s="467"/>
      <c r="BJ145" s="467"/>
      <c r="BK145" s="467"/>
      <c r="BL145" s="467"/>
    </row>
    <row r="146" customFormat="false" ht="12.75" hidden="false" customHeight="false" outlineLevel="0" collapsed="false">
      <c r="A146" s="464" t="n">
        <f aca="false">EOMONTH(A145,0)+1</f>
        <v>40817</v>
      </c>
      <c r="B146" s="467" t="n">
        <v>0.072286046165822</v>
      </c>
      <c r="C146" s="467" t="n">
        <v>3.436</v>
      </c>
      <c r="D146" s="467" t="n">
        <v>0.15</v>
      </c>
      <c r="E146" s="467" t="n">
        <v>0.005</v>
      </c>
      <c r="F146" s="467" t="n">
        <v>0.005</v>
      </c>
      <c r="G146" s="467" t="n">
        <v>0</v>
      </c>
      <c r="H146" s="467"/>
      <c r="I146" s="467"/>
      <c r="J146" s="467"/>
      <c r="K146" s="467"/>
      <c r="L146" s="467"/>
      <c r="M146" s="467"/>
      <c r="N146" s="467"/>
      <c r="O146" s="467"/>
      <c r="P146" s="467"/>
      <c r="Q146" s="467"/>
      <c r="R146" s="467"/>
      <c r="S146" s="467"/>
      <c r="T146" s="467"/>
      <c r="U146" s="467"/>
      <c r="V146" s="467"/>
      <c r="W146" s="467"/>
      <c r="X146" s="467"/>
      <c r="Y146" s="467"/>
      <c r="Z146" s="467"/>
      <c r="AA146" s="467"/>
      <c r="AB146" s="467"/>
      <c r="AC146" s="467"/>
      <c r="AD146" s="467"/>
      <c r="AE146" s="467"/>
      <c r="AF146" s="467"/>
      <c r="AG146" s="467"/>
      <c r="AH146" s="467"/>
      <c r="AI146" s="467"/>
      <c r="AJ146" s="467"/>
      <c r="AK146" s="467"/>
      <c r="AL146" s="467"/>
      <c r="AM146" s="467"/>
      <c r="AN146" s="467"/>
      <c r="AO146" s="467"/>
      <c r="AP146" s="467"/>
      <c r="AQ146" s="467"/>
      <c r="AR146" s="467"/>
      <c r="AS146" s="467"/>
      <c r="AT146" s="467"/>
      <c r="AU146" s="467"/>
      <c r="AV146" s="467"/>
      <c r="AW146" s="467"/>
      <c r="AX146" s="467"/>
      <c r="AY146" s="467"/>
      <c r="AZ146" s="467"/>
      <c r="BA146" s="467"/>
      <c r="BB146" s="467"/>
      <c r="BC146" s="467"/>
      <c r="BD146" s="467"/>
      <c r="BE146" s="467"/>
      <c r="BF146" s="467"/>
      <c r="BG146" s="467"/>
      <c r="BH146" s="467"/>
      <c r="BI146" s="467"/>
      <c r="BJ146" s="467"/>
      <c r="BK146" s="467"/>
      <c r="BL146" s="467"/>
    </row>
    <row r="147" customFormat="false" ht="12.75" hidden="false" customHeight="false" outlineLevel="0" collapsed="false">
      <c r="A147" s="464" t="n">
        <f aca="false">EOMONTH(A146,0)+1</f>
        <v>40848</v>
      </c>
      <c r="B147" s="467" t="n">
        <v>0.072285717503498</v>
      </c>
      <c r="C147" s="467" t="n">
        <v>3.505</v>
      </c>
      <c r="D147" s="467" t="n">
        <v>0.15</v>
      </c>
      <c r="E147" s="467" t="n">
        <v>0.005</v>
      </c>
      <c r="F147" s="467" t="n">
        <v>0.005</v>
      </c>
      <c r="G147" s="467" t="n">
        <v>0</v>
      </c>
      <c r="H147" s="467"/>
      <c r="I147" s="467"/>
      <c r="J147" s="467"/>
      <c r="K147" s="467"/>
      <c r="L147" s="467"/>
      <c r="M147" s="467"/>
      <c r="N147" s="467"/>
      <c r="O147" s="467"/>
      <c r="P147" s="467"/>
      <c r="Q147" s="467"/>
      <c r="R147" s="467"/>
      <c r="S147" s="467"/>
      <c r="T147" s="467"/>
      <c r="U147" s="467"/>
      <c r="V147" s="467"/>
      <c r="W147" s="467"/>
      <c r="X147" s="467"/>
      <c r="Y147" s="467"/>
      <c r="Z147" s="467"/>
      <c r="AA147" s="467"/>
      <c r="AB147" s="467"/>
      <c r="AC147" s="467"/>
      <c r="AD147" s="467"/>
      <c r="AE147" s="467"/>
      <c r="AF147" s="467"/>
      <c r="AG147" s="467"/>
      <c r="AH147" s="467"/>
      <c r="AI147" s="467"/>
      <c r="AJ147" s="467"/>
      <c r="AK147" s="467"/>
      <c r="AL147" s="467"/>
      <c r="AM147" s="467"/>
      <c r="AN147" s="467"/>
      <c r="AO147" s="467"/>
      <c r="AP147" s="467"/>
      <c r="AQ147" s="467"/>
      <c r="AR147" s="467"/>
      <c r="AS147" s="467"/>
      <c r="AT147" s="467"/>
      <c r="AU147" s="467"/>
      <c r="AV147" s="467"/>
      <c r="AW147" s="467"/>
      <c r="AX147" s="467"/>
      <c r="AY147" s="467"/>
      <c r="AZ147" s="467"/>
      <c r="BA147" s="467"/>
      <c r="BB147" s="467"/>
      <c r="BC147" s="467"/>
      <c r="BD147" s="467"/>
      <c r="BE147" s="467"/>
      <c r="BF147" s="467"/>
      <c r="BG147" s="467"/>
      <c r="BH147" s="467"/>
      <c r="BI147" s="467"/>
      <c r="BJ147" s="467"/>
      <c r="BK147" s="467"/>
      <c r="BL147" s="467"/>
    </row>
    <row r="148" customFormat="false" ht="12.75" hidden="false" customHeight="false" outlineLevel="0" collapsed="false">
      <c r="A148" s="464" t="n">
        <f aca="false">EOMONTH(A147,0)+1</f>
        <v>40878</v>
      </c>
      <c r="B148" s="467" t="n">
        <v>0.072285399443184</v>
      </c>
      <c r="C148" s="467" t="n">
        <v>3.586</v>
      </c>
      <c r="D148" s="467" t="n">
        <v>0.15</v>
      </c>
      <c r="E148" s="467" t="n">
        <v>0.005</v>
      </c>
      <c r="F148" s="467" t="n">
        <v>0.005</v>
      </c>
      <c r="G148" s="467" t="n">
        <v>0</v>
      </c>
      <c r="H148" s="467"/>
      <c r="I148" s="467"/>
      <c r="J148" s="467"/>
      <c r="K148" s="467"/>
      <c r="L148" s="467"/>
      <c r="M148" s="467"/>
      <c r="N148" s="467"/>
      <c r="O148" s="467"/>
      <c r="P148" s="467"/>
      <c r="Q148" s="467"/>
      <c r="R148" s="467"/>
      <c r="S148" s="467"/>
      <c r="T148" s="467"/>
      <c r="U148" s="467"/>
      <c r="V148" s="467"/>
      <c r="W148" s="467"/>
      <c r="X148" s="467"/>
      <c r="Y148" s="467"/>
      <c r="Z148" s="467"/>
      <c r="AA148" s="467"/>
      <c r="AB148" s="467"/>
      <c r="AC148" s="467"/>
      <c r="AD148" s="467"/>
      <c r="AE148" s="467"/>
      <c r="AF148" s="467"/>
      <c r="AG148" s="467"/>
      <c r="AH148" s="467"/>
      <c r="AI148" s="467"/>
      <c r="AJ148" s="467"/>
      <c r="AK148" s="467"/>
      <c r="AL148" s="467"/>
      <c r="AM148" s="467"/>
      <c r="AN148" s="467"/>
      <c r="AO148" s="467"/>
      <c r="AP148" s="467"/>
      <c r="AQ148" s="467"/>
      <c r="AR148" s="467"/>
      <c r="AS148" s="467"/>
      <c r="AT148" s="467"/>
      <c r="AU148" s="467"/>
      <c r="AV148" s="467"/>
      <c r="AW148" s="467"/>
      <c r="AX148" s="467"/>
      <c r="AY148" s="467"/>
      <c r="AZ148" s="467"/>
      <c r="BA148" s="467"/>
      <c r="BB148" s="467"/>
      <c r="BC148" s="467"/>
      <c r="BD148" s="467"/>
      <c r="BE148" s="467"/>
      <c r="BF148" s="467"/>
      <c r="BG148" s="467"/>
      <c r="BH148" s="467"/>
      <c r="BI148" s="467"/>
      <c r="BJ148" s="467"/>
      <c r="BK148" s="467"/>
      <c r="BL148" s="467"/>
    </row>
    <row r="149" customFormat="false" ht="12.75" hidden="false" customHeight="false" outlineLevel="0" collapsed="false">
      <c r="A149" s="464" t="n">
        <f aca="false">EOMONTH(A148,0)+1</f>
        <v>40909</v>
      </c>
      <c r="B149" s="467" t="n">
        <v>0.072285070780859</v>
      </c>
      <c r="C149" s="467" t="n">
        <v>3.763</v>
      </c>
      <c r="D149" s="467" t="n">
        <v>0.15</v>
      </c>
      <c r="E149" s="467" t="n">
        <v>0.005</v>
      </c>
      <c r="F149" s="467" t="n">
        <v>0.005</v>
      </c>
      <c r="G149" s="467" t="n">
        <v>0</v>
      </c>
      <c r="H149" s="467"/>
      <c r="I149" s="467"/>
      <c r="J149" s="467"/>
      <c r="K149" s="467"/>
      <c r="L149" s="467"/>
      <c r="M149" s="467"/>
      <c r="N149" s="467"/>
      <c r="O149" s="467"/>
      <c r="P149" s="467"/>
      <c r="Q149" s="467"/>
      <c r="R149" s="467"/>
      <c r="S149" s="467"/>
      <c r="T149" s="467"/>
      <c r="U149" s="467"/>
      <c r="V149" s="467"/>
      <c r="W149" s="467"/>
      <c r="X149" s="467"/>
      <c r="Y149" s="467"/>
      <c r="Z149" s="467"/>
      <c r="AA149" s="467"/>
      <c r="AB149" s="467"/>
      <c r="AC149" s="467"/>
      <c r="AD149" s="467"/>
      <c r="AE149" s="467"/>
      <c r="AF149" s="467"/>
      <c r="AG149" s="467"/>
      <c r="AH149" s="467"/>
      <c r="AI149" s="467"/>
      <c r="AJ149" s="467"/>
      <c r="AK149" s="467"/>
      <c r="AL149" s="467"/>
      <c r="AM149" s="467"/>
      <c r="AN149" s="467"/>
      <c r="AO149" s="467"/>
      <c r="AP149" s="467"/>
      <c r="AQ149" s="467"/>
      <c r="AR149" s="467"/>
      <c r="AS149" s="467"/>
      <c r="AT149" s="467"/>
      <c r="AU149" s="467"/>
      <c r="AV149" s="467"/>
      <c r="AW149" s="467"/>
      <c r="AX149" s="467"/>
      <c r="AY149" s="467"/>
      <c r="AZ149" s="467"/>
      <c r="BA149" s="467"/>
      <c r="BB149" s="467"/>
      <c r="BC149" s="467"/>
      <c r="BD149" s="467"/>
      <c r="BE149" s="467"/>
      <c r="BF149" s="467"/>
      <c r="BG149" s="467"/>
      <c r="BH149" s="467"/>
      <c r="BI149" s="467"/>
      <c r="BJ149" s="467"/>
      <c r="BK149" s="467"/>
      <c r="BL149" s="467"/>
    </row>
    <row r="150" customFormat="false" ht="12.75" hidden="false" customHeight="false" outlineLevel="0" collapsed="false">
      <c r="A150" s="464" t="n">
        <f aca="false">EOMONTH(A149,0)+1</f>
        <v>40940</v>
      </c>
      <c r="B150" s="467" t="n">
        <v>0.072284742118535</v>
      </c>
      <c r="C150" s="467" t="n">
        <v>3.669</v>
      </c>
      <c r="D150" s="467" t="n">
        <v>0.15</v>
      </c>
      <c r="E150" s="467" t="n">
        <v>0.005</v>
      </c>
      <c r="F150" s="467" t="n">
        <v>0.005</v>
      </c>
      <c r="G150" s="467" t="n">
        <v>0</v>
      </c>
      <c r="H150" s="467"/>
      <c r="I150" s="467"/>
      <c r="J150" s="467"/>
      <c r="K150" s="467"/>
      <c r="L150" s="467"/>
      <c r="M150" s="467"/>
      <c r="N150" s="467"/>
      <c r="O150" s="467"/>
      <c r="P150" s="467"/>
      <c r="Q150" s="467"/>
      <c r="R150" s="467"/>
      <c r="S150" s="467"/>
      <c r="T150" s="467"/>
      <c r="U150" s="467"/>
      <c r="V150" s="467"/>
      <c r="W150" s="467"/>
      <c r="X150" s="467"/>
      <c r="Y150" s="467"/>
      <c r="Z150" s="467"/>
      <c r="AA150" s="467"/>
      <c r="AB150" s="467"/>
      <c r="AC150" s="467"/>
      <c r="AD150" s="467"/>
      <c r="AE150" s="467"/>
      <c r="AF150" s="467"/>
      <c r="AG150" s="467"/>
      <c r="AH150" s="467"/>
      <c r="AI150" s="467"/>
      <c r="AJ150" s="467"/>
      <c r="AK150" s="467"/>
      <c r="AL150" s="467"/>
      <c r="AM150" s="467"/>
      <c r="AN150" s="467"/>
      <c r="AO150" s="467"/>
      <c r="AP150" s="467"/>
      <c r="AQ150" s="467"/>
      <c r="AR150" s="467"/>
      <c r="AS150" s="467"/>
      <c r="AT150" s="467"/>
      <c r="AU150" s="467"/>
      <c r="AV150" s="467"/>
      <c r="AW150" s="467"/>
      <c r="AX150" s="467"/>
      <c r="AY150" s="467"/>
      <c r="AZ150" s="467"/>
      <c r="BA150" s="467"/>
      <c r="BB150" s="467"/>
      <c r="BC150" s="467"/>
      <c r="BD150" s="467"/>
      <c r="BE150" s="467"/>
      <c r="BF150" s="467"/>
      <c r="BG150" s="467"/>
      <c r="BH150" s="467"/>
      <c r="BI150" s="467"/>
      <c r="BJ150" s="467"/>
      <c r="BK150" s="467"/>
      <c r="BL150" s="467"/>
    </row>
    <row r="151" customFormat="false" ht="12.75" hidden="false" customHeight="false" outlineLevel="0" collapsed="false">
      <c r="A151" s="464" t="n">
        <f aca="false">EOMONTH(A150,0)+1</f>
        <v>40969</v>
      </c>
      <c r="B151" s="467" t="n">
        <v>0.072284434660232</v>
      </c>
      <c r="C151" s="467" t="n">
        <v>3.556</v>
      </c>
      <c r="D151" s="467" t="n">
        <v>0.15</v>
      </c>
      <c r="E151" s="467" t="n">
        <v>0.005</v>
      </c>
      <c r="F151" s="467" t="n">
        <v>0.005</v>
      </c>
      <c r="G151" s="467" t="n">
        <v>0</v>
      </c>
      <c r="H151" s="467"/>
      <c r="I151" s="467"/>
      <c r="J151" s="467"/>
      <c r="K151" s="467"/>
      <c r="L151" s="467"/>
      <c r="M151" s="467"/>
      <c r="N151" s="467"/>
      <c r="O151" s="467"/>
      <c r="P151" s="467"/>
      <c r="Q151" s="467"/>
      <c r="R151" s="467"/>
      <c r="S151" s="467"/>
      <c r="T151" s="467"/>
      <c r="U151" s="467"/>
      <c r="V151" s="467"/>
      <c r="W151" s="467"/>
      <c r="X151" s="467"/>
      <c r="Y151" s="467"/>
      <c r="Z151" s="467"/>
      <c r="AA151" s="467"/>
      <c r="AB151" s="467"/>
      <c r="AC151" s="467"/>
      <c r="AD151" s="467"/>
      <c r="AE151" s="467"/>
      <c r="AF151" s="467"/>
      <c r="AG151" s="467"/>
      <c r="AH151" s="467"/>
      <c r="AI151" s="467"/>
      <c r="AJ151" s="467"/>
      <c r="AK151" s="467"/>
      <c r="AL151" s="467"/>
      <c r="AM151" s="467"/>
      <c r="AN151" s="467"/>
      <c r="AO151" s="467"/>
      <c r="AP151" s="467"/>
      <c r="AQ151" s="467"/>
      <c r="AR151" s="467"/>
      <c r="AS151" s="467"/>
      <c r="AT151" s="467"/>
      <c r="AU151" s="467"/>
      <c r="AV151" s="467"/>
      <c r="AW151" s="467"/>
      <c r="AX151" s="467"/>
      <c r="AY151" s="467"/>
      <c r="AZ151" s="467"/>
      <c r="BA151" s="467"/>
      <c r="BB151" s="467"/>
      <c r="BC151" s="467"/>
      <c r="BD151" s="467"/>
      <c r="BE151" s="467"/>
      <c r="BF151" s="467"/>
      <c r="BG151" s="467"/>
      <c r="BH151" s="467"/>
      <c r="BI151" s="467"/>
      <c r="BJ151" s="467"/>
      <c r="BK151" s="467"/>
      <c r="BL151" s="467"/>
    </row>
    <row r="152" customFormat="false" ht="12.75" hidden="false" customHeight="false" outlineLevel="0" collapsed="false">
      <c r="A152" s="464" t="n">
        <f aca="false">EOMONTH(A151,0)+1</f>
        <v>41000</v>
      </c>
      <c r="B152" s="467" t="n">
        <v>0.072284105997907</v>
      </c>
      <c r="C152" s="467" t="n">
        <v>3.443</v>
      </c>
      <c r="D152" s="467" t="n">
        <v>0.15</v>
      </c>
      <c r="E152" s="467" t="n">
        <v>0.005</v>
      </c>
      <c r="F152" s="467" t="n">
        <v>0.005</v>
      </c>
      <c r="G152" s="467" t="n">
        <v>0</v>
      </c>
      <c r="H152" s="467"/>
      <c r="I152" s="467"/>
      <c r="J152" s="467"/>
      <c r="K152" s="467"/>
      <c r="L152" s="467"/>
      <c r="M152" s="467"/>
      <c r="N152" s="467"/>
      <c r="O152" s="467"/>
      <c r="P152" s="467"/>
      <c r="Q152" s="467"/>
      <c r="R152" s="467"/>
      <c r="S152" s="467"/>
      <c r="T152" s="467"/>
      <c r="U152" s="467"/>
      <c r="V152" s="467"/>
      <c r="W152" s="467"/>
      <c r="X152" s="467"/>
      <c r="Y152" s="467"/>
      <c r="Z152" s="467"/>
      <c r="AA152" s="467"/>
      <c r="AB152" s="467"/>
      <c r="AC152" s="467"/>
      <c r="AD152" s="467"/>
      <c r="AE152" s="467"/>
      <c r="AF152" s="467"/>
      <c r="AG152" s="467"/>
      <c r="AH152" s="467"/>
      <c r="AI152" s="467"/>
      <c r="AJ152" s="467"/>
      <c r="AK152" s="467"/>
      <c r="AL152" s="467"/>
      <c r="AM152" s="467"/>
      <c r="AN152" s="467"/>
      <c r="AO152" s="467"/>
      <c r="AP152" s="467"/>
      <c r="AQ152" s="467"/>
      <c r="AR152" s="467"/>
      <c r="AS152" s="467"/>
      <c r="AT152" s="467"/>
      <c r="AU152" s="467"/>
      <c r="AV152" s="467"/>
      <c r="AW152" s="467"/>
      <c r="AX152" s="467"/>
      <c r="AY152" s="467"/>
      <c r="AZ152" s="467"/>
      <c r="BA152" s="467"/>
      <c r="BB152" s="467"/>
      <c r="BC152" s="467"/>
      <c r="BD152" s="467"/>
      <c r="BE152" s="467"/>
      <c r="BF152" s="467"/>
      <c r="BG152" s="467"/>
      <c r="BH152" s="467"/>
      <c r="BI152" s="467"/>
      <c r="BJ152" s="467"/>
      <c r="BK152" s="467"/>
      <c r="BL152" s="467"/>
    </row>
    <row r="153" customFormat="false" ht="12.75" hidden="false" customHeight="false" outlineLevel="0" collapsed="false">
      <c r="A153" s="464" t="n">
        <f aca="false">EOMONTH(A152,0)+1</f>
        <v>41030</v>
      </c>
      <c r="B153" s="467" t="n">
        <v>0.072283787937593</v>
      </c>
      <c r="C153" s="467" t="n">
        <v>3.437</v>
      </c>
      <c r="D153" s="467" t="n">
        <v>0.15</v>
      </c>
      <c r="E153" s="467" t="n">
        <v>0.005</v>
      </c>
      <c r="F153" s="467" t="n">
        <v>0.005</v>
      </c>
      <c r="G153" s="467" t="n">
        <v>0</v>
      </c>
      <c r="H153" s="467"/>
      <c r="I153" s="467"/>
      <c r="J153" s="467"/>
      <c r="K153" s="467"/>
      <c r="L153" s="467"/>
      <c r="M153" s="467"/>
      <c r="N153" s="467"/>
      <c r="O153" s="467"/>
      <c r="P153" s="467"/>
      <c r="Q153" s="467"/>
      <c r="R153" s="467"/>
      <c r="S153" s="467"/>
      <c r="T153" s="467"/>
      <c r="U153" s="467"/>
      <c r="V153" s="467"/>
      <c r="W153" s="467"/>
      <c r="X153" s="467"/>
      <c r="Y153" s="467"/>
      <c r="Z153" s="467"/>
      <c r="AA153" s="467"/>
      <c r="AB153" s="467"/>
      <c r="AC153" s="467"/>
      <c r="AD153" s="467"/>
      <c r="AE153" s="467"/>
      <c r="AF153" s="467"/>
      <c r="AG153" s="467"/>
      <c r="AH153" s="467"/>
      <c r="AI153" s="467"/>
      <c r="AJ153" s="467"/>
      <c r="AK153" s="467"/>
      <c r="AL153" s="467"/>
      <c r="AM153" s="467"/>
      <c r="AN153" s="467"/>
      <c r="AO153" s="467"/>
      <c r="AP153" s="467"/>
      <c r="AQ153" s="467"/>
      <c r="AR153" s="467"/>
      <c r="AS153" s="467"/>
      <c r="AT153" s="467"/>
      <c r="AU153" s="467"/>
      <c r="AV153" s="467"/>
      <c r="AW153" s="467"/>
      <c r="AX153" s="467"/>
      <c r="AY153" s="467"/>
      <c r="AZ153" s="467"/>
      <c r="BA153" s="467"/>
      <c r="BB153" s="467"/>
      <c r="BC153" s="467"/>
      <c r="BD153" s="467"/>
      <c r="BE153" s="467"/>
      <c r="BF153" s="467"/>
      <c r="BG153" s="467"/>
      <c r="BH153" s="467"/>
      <c r="BI153" s="467"/>
      <c r="BJ153" s="467"/>
      <c r="BK153" s="467"/>
      <c r="BL153" s="467"/>
    </row>
    <row r="154" customFormat="false" ht="12.75" hidden="false" customHeight="false" outlineLevel="0" collapsed="false">
      <c r="A154" s="464" t="n">
        <f aca="false">EOMONTH(A153,0)+1</f>
        <v>41061</v>
      </c>
      <c r="B154" s="467" t="n">
        <v>0.072283459275269</v>
      </c>
      <c r="C154" s="467" t="n">
        <v>3.476</v>
      </c>
      <c r="D154" s="467" t="n">
        <v>0.15</v>
      </c>
      <c r="E154" s="467" t="n">
        <v>0.005</v>
      </c>
      <c r="F154" s="467" t="n">
        <v>0.005</v>
      </c>
      <c r="G154" s="467" t="n">
        <v>0</v>
      </c>
      <c r="H154" s="467"/>
      <c r="I154" s="467"/>
      <c r="J154" s="467"/>
      <c r="K154" s="467"/>
      <c r="L154" s="467"/>
      <c r="M154" s="467"/>
      <c r="N154" s="467"/>
      <c r="O154" s="467"/>
      <c r="P154" s="467"/>
      <c r="Q154" s="467"/>
      <c r="R154" s="467"/>
      <c r="S154" s="467"/>
      <c r="T154" s="467"/>
      <c r="U154" s="467"/>
      <c r="V154" s="467"/>
      <c r="W154" s="467"/>
      <c r="X154" s="467"/>
      <c r="Y154" s="467"/>
      <c r="Z154" s="467"/>
      <c r="AA154" s="467"/>
      <c r="AB154" s="467"/>
      <c r="AC154" s="467"/>
      <c r="AD154" s="467"/>
      <c r="AE154" s="467"/>
      <c r="AF154" s="467"/>
      <c r="AG154" s="467"/>
      <c r="AH154" s="467"/>
      <c r="AI154" s="467"/>
      <c r="AJ154" s="467"/>
      <c r="AK154" s="467"/>
      <c r="AL154" s="467"/>
      <c r="AM154" s="467"/>
      <c r="AN154" s="467"/>
      <c r="AO154" s="467"/>
      <c r="AP154" s="467"/>
      <c r="AQ154" s="467"/>
      <c r="AR154" s="467"/>
      <c r="AS154" s="467"/>
      <c r="AT154" s="467"/>
      <c r="AU154" s="467"/>
      <c r="AV154" s="467"/>
      <c r="AW154" s="467"/>
      <c r="AX154" s="467"/>
      <c r="AY154" s="467"/>
      <c r="AZ154" s="467"/>
      <c r="BA154" s="467"/>
      <c r="BB154" s="467"/>
      <c r="BC154" s="467"/>
      <c r="BD154" s="467"/>
      <c r="BE154" s="467"/>
      <c r="BF154" s="467"/>
      <c r="BG154" s="467"/>
      <c r="BH154" s="467"/>
      <c r="BI154" s="467"/>
      <c r="BJ154" s="467"/>
      <c r="BK154" s="467"/>
      <c r="BL154" s="467"/>
    </row>
    <row r="155" customFormat="false" ht="12.75" hidden="false" customHeight="false" outlineLevel="0" collapsed="false">
      <c r="A155" s="464" t="n">
        <f aca="false">EOMONTH(A154,0)+1</f>
        <v>41091</v>
      </c>
      <c r="B155" s="467" t="n">
        <v>0.072283141214955</v>
      </c>
      <c r="C155" s="467" t="n">
        <v>3.476</v>
      </c>
      <c r="D155" s="467" t="n">
        <v>0.15</v>
      </c>
      <c r="E155" s="467" t="n">
        <v>0.005</v>
      </c>
      <c r="F155" s="467" t="n">
        <v>0.005</v>
      </c>
      <c r="G155" s="467" t="n">
        <v>0</v>
      </c>
      <c r="H155" s="467"/>
      <c r="I155" s="467"/>
      <c r="J155" s="467"/>
      <c r="K155" s="467"/>
      <c r="L155" s="467"/>
      <c r="M155" s="467"/>
      <c r="N155" s="467"/>
      <c r="O155" s="467"/>
      <c r="P155" s="467"/>
      <c r="Q155" s="467"/>
      <c r="R155" s="467"/>
      <c r="S155" s="467"/>
      <c r="T155" s="467"/>
      <c r="U155" s="467"/>
      <c r="V155" s="467"/>
      <c r="W155" s="467"/>
      <c r="X155" s="467"/>
      <c r="Y155" s="467"/>
      <c r="Z155" s="467"/>
      <c r="AA155" s="467"/>
      <c r="AB155" s="467"/>
      <c r="AC155" s="467"/>
      <c r="AD155" s="467"/>
      <c r="AE155" s="467"/>
      <c r="AF155" s="467"/>
      <c r="AG155" s="467"/>
      <c r="AH155" s="467"/>
      <c r="AI155" s="467"/>
      <c r="AJ155" s="467"/>
      <c r="AK155" s="467"/>
      <c r="AL155" s="467"/>
      <c r="AM155" s="467"/>
      <c r="AN155" s="467"/>
      <c r="AO155" s="467"/>
      <c r="AP155" s="467"/>
      <c r="AQ155" s="467"/>
      <c r="AR155" s="467"/>
      <c r="AS155" s="467"/>
      <c r="AT155" s="467"/>
      <c r="AU155" s="467"/>
      <c r="AV155" s="467"/>
      <c r="AW155" s="467"/>
      <c r="AX155" s="467"/>
      <c r="AY155" s="467"/>
      <c r="AZ155" s="467"/>
      <c r="BA155" s="467"/>
      <c r="BB155" s="467"/>
      <c r="BC155" s="467"/>
      <c r="BD155" s="467"/>
      <c r="BE155" s="467"/>
      <c r="BF155" s="467"/>
      <c r="BG155" s="467"/>
      <c r="BH155" s="467"/>
      <c r="BI155" s="467"/>
      <c r="BJ155" s="467"/>
      <c r="BK155" s="467"/>
      <c r="BL155" s="467"/>
    </row>
    <row r="156" customFormat="false" ht="12.75" hidden="false" customHeight="false" outlineLevel="0" collapsed="false">
      <c r="A156" s="464" t="n">
        <f aca="false">EOMONTH(A155,0)+1</f>
        <v>41122</v>
      </c>
      <c r="B156" s="467" t="n">
        <v>0.072282812552631</v>
      </c>
      <c r="C156" s="467" t="n">
        <v>3.536</v>
      </c>
      <c r="D156" s="467" t="n">
        <v>0.15</v>
      </c>
      <c r="E156" s="467" t="n">
        <v>0.005</v>
      </c>
      <c r="F156" s="467" t="n">
        <v>0.005</v>
      </c>
      <c r="G156" s="467" t="n">
        <v>0</v>
      </c>
      <c r="H156" s="467"/>
      <c r="I156" s="467"/>
      <c r="J156" s="467"/>
      <c r="K156" s="467"/>
      <c r="L156" s="467"/>
      <c r="M156" s="467"/>
      <c r="N156" s="467"/>
      <c r="O156" s="467"/>
      <c r="P156" s="467"/>
      <c r="Q156" s="467"/>
      <c r="R156" s="467"/>
      <c r="S156" s="467"/>
      <c r="T156" s="467"/>
      <c r="U156" s="467"/>
      <c r="V156" s="467"/>
      <c r="W156" s="467"/>
      <c r="X156" s="467"/>
      <c r="Y156" s="467"/>
      <c r="Z156" s="467"/>
      <c r="AA156" s="467"/>
      <c r="AB156" s="467"/>
      <c r="AC156" s="467"/>
      <c r="AD156" s="467"/>
      <c r="AE156" s="467"/>
      <c r="AF156" s="467"/>
      <c r="AG156" s="467"/>
      <c r="AH156" s="467"/>
      <c r="AI156" s="467"/>
      <c r="AJ156" s="467"/>
      <c r="AK156" s="467"/>
      <c r="AL156" s="467"/>
      <c r="AM156" s="467"/>
      <c r="AN156" s="467"/>
      <c r="AO156" s="467"/>
      <c r="AP156" s="467"/>
      <c r="AQ156" s="467"/>
      <c r="AR156" s="467"/>
      <c r="AS156" s="467"/>
      <c r="AT156" s="467"/>
      <c r="AU156" s="467"/>
      <c r="AV156" s="467"/>
      <c r="AW156" s="467"/>
      <c r="AX156" s="467"/>
      <c r="AY156" s="467"/>
      <c r="AZ156" s="467"/>
      <c r="BA156" s="467"/>
      <c r="BB156" s="467"/>
      <c r="BC156" s="467"/>
      <c r="BD156" s="467"/>
      <c r="BE156" s="467"/>
      <c r="BF156" s="467"/>
      <c r="BG156" s="467"/>
      <c r="BH156" s="467"/>
      <c r="BI156" s="467"/>
      <c r="BJ156" s="467"/>
      <c r="BK156" s="467"/>
      <c r="BL156" s="467"/>
    </row>
    <row r="157" customFormat="false" ht="12.75" hidden="false" customHeight="false" outlineLevel="0" collapsed="false">
      <c r="A157" s="464" t="n">
        <f aca="false">EOMONTH(A156,0)+1</f>
        <v>41153</v>
      </c>
      <c r="B157" s="467" t="n">
        <v>0.072282483890307</v>
      </c>
      <c r="C157" s="467" t="n">
        <v>3.517</v>
      </c>
      <c r="D157" s="467" t="n">
        <v>0.15</v>
      </c>
      <c r="E157" s="467" t="n">
        <v>0.005</v>
      </c>
      <c r="F157" s="467" t="n">
        <v>0.005</v>
      </c>
      <c r="G157" s="467" t="n">
        <v>0</v>
      </c>
      <c r="H157" s="467"/>
      <c r="I157" s="467"/>
      <c r="J157" s="467"/>
      <c r="K157" s="467"/>
      <c r="L157" s="467"/>
      <c r="M157" s="467"/>
      <c r="N157" s="467"/>
      <c r="O157" s="467"/>
      <c r="P157" s="467"/>
      <c r="Q157" s="467"/>
      <c r="R157" s="467"/>
      <c r="S157" s="467"/>
      <c r="T157" s="467"/>
      <c r="U157" s="467"/>
      <c r="V157" s="467"/>
      <c r="W157" s="467"/>
      <c r="X157" s="467"/>
      <c r="Y157" s="467"/>
      <c r="Z157" s="467"/>
      <c r="AA157" s="467"/>
      <c r="AB157" s="467"/>
      <c r="AC157" s="467"/>
      <c r="AD157" s="467"/>
      <c r="AE157" s="467"/>
      <c r="AF157" s="467"/>
      <c r="AG157" s="467"/>
      <c r="AH157" s="467"/>
      <c r="AI157" s="467"/>
      <c r="AJ157" s="467"/>
      <c r="AK157" s="467"/>
      <c r="AL157" s="467"/>
      <c r="AM157" s="467"/>
      <c r="AN157" s="467"/>
      <c r="AO157" s="467"/>
      <c r="AP157" s="467"/>
      <c r="AQ157" s="467"/>
      <c r="AR157" s="467"/>
      <c r="AS157" s="467"/>
      <c r="AT157" s="467"/>
      <c r="AU157" s="467"/>
      <c r="AV157" s="467"/>
      <c r="AW157" s="467"/>
      <c r="AX157" s="467"/>
      <c r="AY157" s="467"/>
      <c r="AZ157" s="467"/>
      <c r="BA157" s="467"/>
      <c r="BB157" s="467"/>
      <c r="BC157" s="467"/>
      <c r="BD157" s="467"/>
      <c r="BE157" s="467"/>
      <c r="BF157" s="467"/>
      <c r="BG157" s="467"/>
      <c r="BH157" s="467"/>
      <c r="BI157" s="467"/>
      <c r="BJ157" s="467"/>
      <c r="BK157" s="467"/>
      <c r="BL157" s="467"/>
    </row>
    <row r="158" customFormat="false" ht="12.75" hidden="false" customHeight="false" outlineLevel="0" collapsed="false">
      <c r="A158" s="464" t="n">
        <f aca="false">EOMONTH(A157,0)+1</f>
        <v>41183</v>
      </c>
      <c r="B158" s="467" t="n">
        <v>0.07228216583</v>
      </c>
      <c r="C158" s="467" t="n">
        <v>3.528</v>
      </c>
      <c r="D158" s="467" t="n">
        <v>0.15</v>
      </c>
      <c r="E158" s="467" t="n">
        <v>0.005</v>
      </c>
      <c r="F158" s="467" t="n">
        <v>0.005</v>
      </c>
      <c r="G158" s="467" t="n">
        <v>0</v>
      </c>
      <c r="H158" s="467"/>
      <c r="I158" s="467"/>
      <c r="J158" s="467"/>
      <c r="K158" s="467"/>
      <c r="L158" s="467"/>
      <c r="M158" s="467"/>
      <c r="N158" s="467"/>
      <c r="O158" s="467"/>
      <c r="P158" s="467"/>
      <c r="Q158" s="467"/>
      <c r="R158" s="467"/>
      <c r="S158" s="467"/>
      <c r="T158" s="467"/>
      <c r="U158" s="467"/>
      <c r="V158" s="467"/>
      <c r="W158" s="467"/>
      <c r="X158" s="467"/>
      <c r="Y158" s="467"/>
      <c r="Z158" s="467"/>
      <c r="AA158" s="467"/>
      <c r="AB158" s="467"/>
      <c r="AC158" s="467"/>
      <c r="AD158" s="467"/>
      <c r="AE158" s="467"/>
      <c r="AF158" s="467"/>
      <c r="AG158" s="467"/>
      <c r="AH158" s="467"/>
      <c r="AI158" s="467"/>
      <c r="AJ158" s="467"/>
      <c r="AK158" s="467"/>
      <c r="AL158" s="467"/>
      <c r="AM158" s="467"/>
      <c r="AN158" s="467"/>
      <c r="AO158" s="467"/>
      <c r="AP158" s="467"/>
      <c r="AQ158" s="467"/>
      <c r="AR158" s="467"/>
      <c r="AS158" s="467"/>
      <c r="AT158" s="467"/>
      <c r="AU158" s="467"/>
      <c r="AV158" s="467"/>
      <c r="AW158" s="467"/>
      <c r="AX158" s="467"/>
      <c r="AY158" s="467"/>
      <c r="AZ158" s="467"/>
      <c r="BA158" s="467"/>
      <c r="BB158" s="467"/>
      <c r="BC158" s="467"/>
      <c r="BD158" s="467"/>
      <c r="BE158" s="467"/>
      <c r="BF158" s="467"/>
      <c r="BG158" s="467"/>
      <c r="BH158" s="467"/>
      <c r="BI158" s="467"/>
      <c r="BJ158" s="467"/>
      <c r="BK158" s="467"/>
      <c r="BL158" s="467"/>
    </row>
    <row r="159" customFormat="false" ht="12.75" hidden="false" customHeight="false" outlineLevel="0" collapsed="false">
      <c r="A159" s="464" t="n">
        <f aca="false">EOMONTH(A158,0)+1</f>
        <v>41214</v>
      </c>
      <c r="B159" s="467" t="n">
        <v>0.072281837167669</v>
      </c>
      <c r="C159" s="467" t="n">
        <v>3.592</v>
      </c>
      <c r="D159" s="467" t="n">
        <v>0.15</v>
      </c>
      <c r="E159" s="467" t="n">
        <v>0.005</v>
      </c>
      <c r="F159" s="467" t="n">
        <v>0.005</v>
      </c>
      <c r="G159" s="467" t="n">
        <v>0</v>
      </c>
      <c r="H159" s="467"/>
      <c r="I159" s="467"/>
      <c r="J159" s="467"/>
      <c r="K159" s="467"/>
      <c r="L159" s="467"/>
      <c r="M159" s="467"/>
      <c r="N159" s="467"/>
      <c r="O159" s="467"/>
      <c r="P159" s="467"/>
      <c r="Q159" s="467"/>
      <c r="R159" s="467"/>
      <c r="S159" s="467"/>
      <c r="T159" s="467"/>
      <c r="U159" s="467"/>
      <c r="V159" s="467"/>
      <c r="W159" s="467"/>
      <c r="X159" s="467"/>
      <c r="Y159" s="467"/>
      <c r="Z159" s="467"/>
      <c r="AA159" s="467"/>
      <c r="AB159" s="467"/>
      <c r="AC159" s="467"/>
      <c r="AD159" s="467"/>
      <c r="AE159" s="467"/>
      <c r="AF159" s="467"/>
      <c r="AG159" s="467"/>
      <c r="AH159" s="467"/>
      <c r="AI159" s="467"/>
      <c r="AJ159" s="467"/>
      <c r="AK159" s="467"/>
      <c r="AL159" s="467"/>
      <c r="AM159" s="467"/>
      <c r="AN159" s="467"/>
      <c r="AO159" s="467"/>
      <c r="AP159" s="467"/>
      <c r="AQ159" s="467"/>
      <c r="AR159" s="467"/>
      <c r="AS159" s="467"/>
      <c r="AT159" s="467"/>
      <c r="AU159" s="467"/>
      <c r="AV159" s="467"/>
      <c r="AW159" s="467"/>
      <c r="AX159" s="467"/>
      <c r="AY159" s="467"/>
      <c r="AZ159" s="467"/>
      <c r="BA159" s="467"/>
      <c r="BB159" s="467"/>
      <c r="BC159" s="467"/>
      <c r="BD159" s="467"/>
      <c r="BE159" s="467"/>
      <c r="BF159" s="467"/>
      <c r="BG159" s="467"/>
      <c r="BH159" s="467"/>
      <c r="BI159" s="467"/>
      <c r="BJ159" s="467"/>
      <c r="BK159" s="467"/>
      <c r="BL159" s="467"/>
    </row>
    <row r="160" customFormat="false" ht="12.75" hidden="false" customHeight="false" outlineLevel="0" collapsed="false">
      <c r="A160" s="464" t="n">
        <f aca="false">EOMONTH(A159,0)+1</f>
        <v>41244</v>
      </c>
      <c r="B160" s="467" t="n">
        <v>0.072281519107356</v>
      </c>
      <c r="C160" s="467" t="n">
        <v>3.67</v>
      </c>
      <c r="D160" s="467" t="n">
        <v>0.15</v>
      </c>
      <c r="E160" s="467" t="n">
        <v>0.005</v>
      </c>
      <c r="F160" s="467" t="n">
        <v>0.005</v>
      </c>
      <c r="G160" s="467" t="n">
        <v>0</v>
      </c>
      <c r="H160" s="467"/>
      <c r="I160" s="467"/>
      <c r="J160" s="467"/>
      <c r="K160" s="467"/>
      <c r="L160" s="467"/>
      <c r="M160" s="467"/>
      <c r="N160" s="467"/>
      <c r="O160" s="467"/>
      <c r="P160" s="467"/>
      <c r="Q160" s="467"/>
      <c r="R160" s="467"/>
      <c r="S160" s="467"/>
      <c r="T160" s="467"/>
      <c r="U160" s="467"/>
      <c r="V160" s="467"/>
      <c r="W160" s="467"/>
      <c r="X160" s="467"/>
      <c r="Y160" s="467"/>
      <c r="Z160" s="467"/>
      <c r="AA160" s="467"/>
      <c r="AB160" s="467"/>
      <c r="AC160" s="467"/>
      <c r="AD160" s="467"/>
      <c r="AE160" s="467"/>
      <c r="AF160" s="467"/>
      <c r="AG160" s="467"/>
      <c r="AH160" s="467"/>
      <c r="AI160" s="467"/>
      <c r="AJ160" s="467"/>
      <c r="AK160" s="467"/>
      <c r="AL160" s="467"/>
      <c r="AM160" s="467"/>
      <c r="AN160" s="467"/>
      <c r="AO160" s="467"/>
      <c r="AP160" s="467"/>
      <c r="AQ160" s="467"/>
      <c r="AR160" s="467"/>
      <c r="AS160" s="467"/>
      <c r="AT160" s="467"/>
      <c r="AU160" s="467"/>
      <c r="AV160" s="467"/>
      <c r="AW160" s="467"/>
      <c r="AX160" s="467"/>
      <c r="AY160" s="467"/>
      <c r="AZ160" s="467"/>
      <c r="BA160" s="467"/>
      <c r="BB160" s="467"/>
      <c r="BC160" s="467"/>
      <c r="BD160" s="467"/>
      <c r="BE160" s="467"/>
      <c r="BF160" s="467"/>
      <c r="BG160" s="467"/>
      <c r="BH160" s="467"/>
      <c r="BI160" s="467"/>
      <c r="BJ160" s="467"/>
      <c r="BK160" s="467"/>
      <c r="BL160" s="467"/>
    </row>
    <row r="161" customFormat="false" ht="12.75" hidden="false" customHeight="false" outlineLevel="0" collapsed="false">
      <c r="A161" s="464" t="n">
        <f aca="false">EOMONTH(A160,0)+1</f>
        <v>41275</v>
      </c>
      <c r="B161" s="467" t="n">
        <v>0.072281190445032</v>
      </c>
      <c r="C161" s="467" t="n">
        <v>3.85</v>
      </c>
      <c r="D161" s="467" t="n">
        <v>0.15</v>
      </c>
      <c r="E161" s="467" t="n">
        <v>0.005</v>
      </c>
      <c r="F161" s="467" t="n">
        <v>0.005</v>
      </c>
      <c r="G161" s="467" t="n">
        <v>0</v>
      </c>
      <c r="H161" s="467"/>
      <c r="I161" s="467"/>
      <c r="J161" s="467"/>
      <c r="K161" s="467"/>
      <c r="L161" s="467"/>
      <c r="M161" s="467"/>
      <c r="N161" s="467"/>
      <c r="O161" s="467"/>
      <c r="P161" s="467"/>
      <c r="Q161" s="467"/>
      <c r="R161" s="467"/>
      <c r="S161" s="467"/>
      <c r="T161" s="467"/>
      <c r="U161" s="467"/>
      <c r="V161" s="467"/>
      <c r="W161" s="467"/>
      <c r="X161" s="467"/>
      <c r="Y161" s="467"/>
      <c r="Z161" s="467"/>
      <c r="AA161" s="467"/>
      <c r="AB161" s="467"/>
      <c r="AC161" s="467"/>
      <c r="AD161" s="467"/>
      <c r="AE161" s="467"/>
      <c r="AF161" s="467"/>
      <c r="AG161" s="467"/>
      <c r="AH161" s="467"/>
      <c r="AI161" s="467"/>
      <c r="AJ161" s="467"/>
      <c r="AK161" s="467"/>
      <c r="AL161" s="467"/>
      <c r="AM161" s="467"/>
      <c r="AN161" s="467"/>
      <c r="AO161" s="467"/>
      <c r="AP161" s="467"/>
      <c r="AQ161" s="467"/>
      <c r="AR161" s="467"/>
      <c r="AS161" s="467"/>
      <c r="AT161" s="467"/>
      <c r="AU161" s="467"/>
      <c r="AV161" s="467"/>
      <c r="AW161" s="467"/>
      <c r="AX161" s="467"/>
      <c r="AY161" s="467"/>
      <c r="AZ161" s="467"/>
      <c r="BA161" s="467"/>
      <c r="BB161" s="467"/>
      <c r="BC161" s="467"/>
      <c r="BD161" s="467"/>
      <c r="BE161" s="467"/>
      <c r="BF161" s="467"/>
      <c r="BG161" s="467"/>
      <c r="BH161" s="467"/>
      <c r="BI161" s="467"/>
      <c r="BJ161" s="467"/>
      <c r="BK161" s="467"/>
      <c r="BL161" s="467"/>
    </row>
    <row r="162" customFormat="false" ht="12.75" hidden="false" customHeight="false" outlineLevel="0" collapsed="false">
      <c r="A162" s="464" t="n">
        <f aca="false">EOMONTH(A161,0)+1</f>
        <v>41306</v>
      </c>
      <c r="B162" s="467" t="n">
        <v>0.072280861782708</v>
      </c>
      <c r="C162" s="467" t="n">
        <v>3.76</v>
      </c>
      <c r="D162" s="467" t="n">
        <v>0.15</v>
      </c>
      <c r="E162" s="467" t="n">
        <v>0.005</v>
      </c>
      <c r="F162" s="467" t="n">
        <v>0.005</v>
      </c>
      <c r="G162" s="467" t="n">
        <v>0</v>
      </c>
      <c r="H162" s="467"/>
      <c r="I162" s="467"/>
      <c r="J162" s="467"/>
      <c r="K162" s="467"/>
      <c r="L162" s="467"/>
      <c r="M162" s="467"/>
      <c r="N162" s="467"/>
      <c r="O162" s="467"/>
      <c r="P162" s="467"/>
      <c r="Q162" s="467"/>
      <c r="R162" s="467"/>
      <c r="S162" s="467"/>
      <c r="T162" s="467"/>
      <c r="U162" s="467"/>
      <c r="V162" s="467"/>
      <c r="W162" s="467"/>
      <c r="X162" s="467"/>
      <c r="Y162" s="467"/>
      <c r="Z162" s="467"/>
      <c r="AA162" s="467"/>
      <c r="AB162" s="467"/>
      <c r="AC162" s="467"/>
      <c r="AD162" s="467"/>
      <c r="AE162" s="467"/>
      <c r="AF162" s="467"/>
      <c r="AG162" s="467"/>
      <c r="AH162" s="467"/>
      <c r="AI162" s="467"/>
      <c r="AJ162" s="467"/>
      <c r="AK162" s="467"/>
      <c r="AL162" s="467"/>
      <c r="AM162" s="467"/>
      <c r="AN162" s="467"/>
      <c r="AO162" s="467"/>
      <c r="AP162" s="467"/>
      <c r="AQ162" s="467"/>
      <c r="AR162" s="467"/>
      <c r="AS162" s="467"/>
      <c r="AT162" s="467"/>
      <c r="AU162" s="467"/>
      <c r="AV162" s="467"/>
      <c r="AW162" s="467"/>
      <c r="AX162" s="467"/>
      <c r="AY162" s="467"/>
      <c r="AZ162" s="467"/>
      <c r="BA162" s="467"/>
      <c r="BB162" s="467"/>
      <c r="BC162" s="467"/>
      <c r="BD162" s="467"/>
      <c r="BE162" s="467"/>
      <c r="BF162" s="467"/>
      <c r="BG162" s="467"/>
      <c r="BH162" s="467"/>
      <c r="BI162" s="467"/>
      <c r="BJ162" s="467"/>
      <c r="BK162" s="467"/>
      <c r="BL162" s="467"/>
    </row>
    <row r="163" customFormat="false" ht="12.75" hidden="false" customHeight="false" outlineLevel="0" collapsed="false">
      <c r="A163" s="464" t="n">
        <f aca="false">EOMONTH(A162,0)+1</f>
        <v>41334</v>
      </c>
      <c r="B163" s="467" t="n">
        <v>0.072280564926415</v>
      </c>
      <c r="C163" s="467" t="n">
        <v>3.65</v>
      </c>
      <c r="D163" s="467" t="n">
        <v>0.15</v>
      </c>
      <c r="E163" s="467" t="n">
        <v>0.005</v>
      </c>
      <c r="F163" s="467" t="n">
        <v>0.005</v>
      </c>
      <c r="G163" s="467" t="n">
        <v>0</v>
      </c>
      <c r="H163" s="467"/>
      <c r="I163" s="467"/>
      <c r="J163" s="467"/>
      <c r="K163" s="467"/>
      <c r="L163" s="467"/>
      <c r="M163" s="467"/>
      <c r="N163" s="467"/>
      <c r="O163" s="467"/>
      <c r="P163" s="467"/>
      <c r="Q163" s="467"/>
      <c r="R163" s="467"/>
      <c r="S163" s="467"/>
      <c r="T163" s="467"/>
      <c r="U163" s="467"/>
      <c r="V163" s="467"/>
      <c r="W163" s="467"/>
      <c r="X163" s="467"/>
      <c r="Y163" s="467"/>
      <c r="Z163" s="467"/>
      <c r="AA163" s="467"/>
      <c r="AB163" s="467"/>
      <c r="AC163" s="467"/>
      <c r="AD163" s="467"/>
      <c r="AE163" s="467"/>
      <c r="AF163" s="467"/>
      <c r="AG163" s="467"/>
      <c r="AH163" s="467"/>
      <c r="AI163" s="467"/>
      <c r="AJ163" s="467"/>
      <c r="AK163" s="467"/>
      <c r="AL163" s="467"/>
      <c r="AM163" s="467"/>
      <c r="AN163" s="467"/>
      <c r="AO163" s="467"/>
      <c r="AP163" s="467"/>
      <c r="AQ163" s="467"/>
      <c r="AR163" s="467"/>
      <c r="AS163" s="467"/>
      <c r="AT163" s="467"/>
      <c r="AU163" s="467"/>
      <c r="AV163" s="467"/>
      <c r="AW163" s="467"/>
      <c r="AX163" s="467"/>
      <c r="AY163" s="467"/>
      <c r="AZ163" s="467"/>
      <c r="BA163" s="467"/>
      <c r="BB163" s="467"/>
      <c r="BC163" s="467"/>
      <c r="BD163" s="467"/>
      <c r="BE163" s="467"/>
      <c r="BF163" s="467"/>
      <c r="BG163" s="467"/>
      <c r="BH163" s="467"/>
      <c r="BI163" s="467"/>
      <c r="BJ163" s="467"/>
      <c r="BK163" s="467"/>
      <c r="BL163" s="467"/>
    </row>
    <row r="164" customFormat="false" ht="12.75" hidden="false" customHeight="false" outlineLevel="0" collapsed="false">
      <c r="A164" s="464" t="n">
        <f aca="false">EOMONTH(A163,0)+1</f>
        <v>41365</v>
      </c>
      <c r="B164" s="467" t="n">
        <v>0.072280236264091</v>
      </c>
      <c r="C164" s="467" t="n">
        <v>3.54</v>
      </c>
      <c r="D164" s="467" t="n">
        <v>0.15</v>
      </c>
      <c r="E164" s="467" t="n">
        <v>0.005</v>
      </c>
      <c r="F164" s="467" t="n">
        <v>0.005</v>
      </c>
      <c r="G164" s="467" t="n">
        <v>0</v>
      </c>
      <c r="H164" s="467"/>
      <c r="I164" s="467"/>
      <c r="J164" s="467"/>
      <c r="K164" s="467"/>
      <c r="L164" s="467"/>
      <c r="M164" s="467"/>
      <c r="N164" s="467"/>
      <c r="O164" s="467"/>
      <c r="P164" s="467"/>
      <c r="Q164" s="467"/>
      <c r="R164" s="467"/>
      <c r="S164" s="467"/>
      <c r="T164" s="467"/>
      <c r="U164" s="467"/>
      <c r="V164" s="467"/>
      <c r="W164" s="467"/>
      <c r="X164" s="467"/>
      <c r="Y164" s="467"/>
      <c r="Z164" s="467"/>
      <c r="AA164" s="467"/>
      <c r="AB164" s="467"/>
      <c r="AC164" s="467"/>
      <c r="AD164" s="467"/>
      <c r="AE164" s="467"/>
      <c r="AF164" s="467"/>
      <c r="AG164" s="467"/>
      <c r="AH164" s="467"/>
      <c r="AI164" s="467"/>
      <c r="AJ164" s="467"/>
      <c r="AK164" s="467"/>
      <c r="AL164" s="467"/>
      <c r="AM164" s="467"/>
      <c r="AN164" s="467"/>
      <c r="AO164" s="467"/>
      <c r="AP164" s="467"/>
      <c r="AQ164" s="467"/>
      <c r="AR164" s="467"/>
      <c r="AS164" s="467"/>
      <c r="AT164" s="467"/>
      <c r="AU164" s="467"/>
      <c r="AV164" s="467"/>
      <c r="AW164" s="467"/>
      <c r="AX164" s="467"/>
      <c r="AY164" s="467"/>
      <c r="AZ164" s="467"/>
      <c r="BA164" s="467"/>
      <c r="BB164" s="467"/>
      <c r="BC164" s="467"/>
      <c r="BD164" s="467"/>
      <c r="BE164" s="467"/>
      <c r="BF164" s="467"/>
      <c r="BG164" s="467"/>
      <c r="BH164" s="467"/>
      <c r="BI164" s="467"/>
      <c r="BJ164" s="467"/>
      <c r="BK164" s="467"/>
      <c r="BL164" s="467"/>
    </row>
    <row r="165" customFormat="false" ht="12.75" hidden="false" customHeight="false" outlineLevel="0" collapsed="false">
      <c r="A165" s="464" t="n">
        <f aca="false">EOMONTH(A164,0)+1</f>
        <v>41395</v>
      </c>
      <c r="B165" s="467" t="n">
        <v>0.072279918203778</v>
      </c>
      <c r="C165" s="467" t="n">
        <v>3.535</v>
      </c>
      <c r="D165" s="467" t="n">
        <v>0.15</v>
      </c>
      <c r="E165" s="467" t="n">
        <v>0.005</v>
      </c>
      <c r="F165" s="467" t="n">
        <v>0.005</v>
      </c>
      <c r="G165" s="467" t="n">
        <v>0</v>
      </c>
      <c r="H165" s="467"/>
      <c r="I165" s="467"/>
      <c r="J165" s="467"/>
      <c r="K165" s="467"/>
      <c r="L165" s="467"/>
      <c r="M165" s="467"/>
      <c r="N165" s="467"/>
      <c r="O165" s="467"/>
      <c r="P165" s="467"/>
      <c r="Q165" s="467"/>
      <c r="R165" s="467"/>
      <c r="S165" s="467"/>
      <c r="T165" s="467"/>
      <c r="U165" s="467"/>
      <c r="V165" s="467"/>
      <c r="W165" s="467"/>
      <c r="X165" s="467"/>
      <c r="Y165" s="467"/>
      <c r="Z165" s="467"/>
      <c r="AA165" s="467"/>
      <c r="AB165" s="467"/>
      <c r="AC165" s="467"/>
      <c r="AD165" s="467"/>
      <c r="AE165" s="467"/>
      <c r="AF165" s="467"/>
      <c r="AG165" s="467"/>
      <c r="AH165" s="467"/>
      <c r="AI165" s="467"/>
      <c r="AJ165" s="467"/>
      <c r="AK165" s="467"/>
      <c r="AL165" s="467"/>
      <c r="AM165" s="467"/>
      <c r="AN165" s="467"/>
      <c r="AO165" s="467"/>
      <c r="AP165" s="467"/>
      <c r="AQ165" s="467"/>
      <c r="AR165" s="467"/>
      <c r="AS165" s="467"/>
      <c r="AT165" s="467"/>
      <c r="AU165" s="467"/>
      <c r="AV165" s="467"/>
      <c r="AW165" s="467"/>
      <c r="AX165" s="467"/>
      <c r="AY165" s="467"/>
      <c r="AZ165" s="467"/>
      <c r="BA165" s="467"/>
      <c r="BB165" s="467"/>
      <c r="BC165" s="467"/>
      <c r="BD165" s="467"/>
      <c r="BE165" s="467"/>
      <c r="BF165" s="467"/>
      <c r="BG165" s="467"/>
      <c r="BH165" s="467"/>
      <c r="BI165" s="467"/>
      <c r="BJ165" s="467"/>
      <c r="BK165" s="467"/>
      <c r="BL165" s="467"/>
    </row>
    <row r="166" customFormat="false" ht="12.75" hidden="false" customHeight="false" outlineLevel="0" collapsed="false">
      <c r="A166" s="464" t="n">
        <f aca="false">EOMONTH(A165,0)+1</f>
        <v>41426</v>
      </c>
      <c r="B166" s="467" t="n">
        <v>0.072279589541454</v>
      </c>
      <c r="C166" s="467" t="n">
        <v>3.575</v>
      </c>
      <c r="D166" s="467" t="n">
        <v>0.15</v>
      </c>
      <c r="E166" s="467" t="n">
        <v>0.005</v>
      </c>
      <c r="F166" s="467" t="n">
        <v>0.005</v>
      </c>
      <c r="G166" s="467" t="n">
        <v>0</v>
      </c>
      <c r="H166" s="467"/>
      <c r="I166" s="467"/>
      <c r="J166" s="467"/>
      <c r="K166" s="467"/>
      <c r="L166" s="467"/>
      <c r="M166" s="467"/>
      <c r="N166" s="467"/>
      <c r="O166" s="467"/>
      <c r="P166" s="467"/>
      <c r="Q166" s="467"/>
      <c r="R166" s="467"/>
      <c r="S166" s="467"/>
      <c r="T166" s="467"/>
      <c r="U166" s="467"/>
      <c r="V166" s="467"/>
      <c r="W166" s="467"/>
      <c r="X166" s="467"/>
      <c r="Y166" s="467"/>
      <c r="Z166" s="467"/>
      <c r="AA166" s="467"/>
      <c r="AB166" s="467"/>
      <c r="AC166" s="467"/>
      <c r="AD166" s="467"/>
      <c r="AE166" s="467"/>
      <c r="AF166" s="467"/>
      <c r="AG166" s="467"/>
      <c r="AH166" s="467"/>
      <c r="AI166" s="467"/>
      <c r="AJ166" s="467"/>
      <c r="AK166" s="467"/>
      <c r="AL166" s="467"/>
      <c r="AM166" s="467"/>
      <c r="AN166" s="467"/>
      <c r="AO166" s="467"/>
      <c r="AP166" s="467"/>
      <c r="AQ166" s="467"/>
      <c r="AR166" s="467"/>
      <c r="AS166" s="467"/>
      <c r="AT166" s="467"/>
      <c r="AU166" s="467"/>
      <c r="AV166" s="467"/>
      <c r="AW166" s="467"/>
      <c r="AX166" s="467"/>
      <c r="AY166" s="467"/>
      <c r="AZ166" s="467"/>
      <c r="BA166" s="467"/>
      <c r="BB166" s="467"/>
      <c r="BC166" s="467"/>
      <c r="BD166" s="467"/>
      <c r="BE166" s="467"/>
      <c r="BF166" s="467"/>
      <c r="BG166" s="467"/>
      <c r="BH166" s="467"/>
      <c r="BI166" s="467"/>
      <c r="BJ166" s="467"/>
      <c r="BK166" s="467"/>
      <c r="BL166" s="467"/>
    </row>
    <row r="167" customFormat="false" ht="12.75" hidden="false" customHeight="false" outlineLevel="0" collapsed="false">
      <c r="A167" s="464" t="n">
        <f aca="false">EOMONTH(A166,0)+1</f>
        <v>41456</v>
      </c>
      <c r="B167" s="467" t="n">
        <v>0.072279271481141</v>
      </c>
      <c r="C167" s="467" t="n">
        <v>3.575</v>
      </c>
      <c r="D167" s="467" t="n">
        <v>0.15</v>
      </c>
      <c r="E167" s="467" t="n">
        <v>0.005</v>
      </c>
      <c r="F167" s="467" t="n">
        <v>0.005</v>
      </c>
      <c r="G167" s="467" t="n">
        <v>0</v>
      </c>
      <c r="H167" s="467"/>
      <c r="I167" s="467"/>
      <c r="J167" s="467"/>
      <c r="K167" s="467"/>
      <c r="L167" s="467"/>
      <c r="M167" s="467"/>
      <c r="N167" s="467"/>
      <c r="O167" s="467"/>
      <c r="P167" s="467"/>
      <c r="Q167" s="467"/>
      <c r="R167" s="467"/>
      <c r="S167" s="467"/>
      <c r="T167" s="467"/>
      <c r="U167" s="467"/>
      <c r="V167" s="467"/>
      <c r="W167" s="467"/>
      <c r="X167" s="467"/>
      <c r="Y167" s="467"/>
      <c r="Z167" s="467"/>
      <c r="AA167" s="467"/>
      <c r="AB167" s="467"/>
      <c r="AC167" s="467"/>
      <c r="AD167" s="467"/>
      <c r="AE167" s="467"/>
      <c r="AF167" s="467"/>
      <c r="AG167" s="467"/>
      <c r="AH167" s="467"/>
      <c r="AI167" s="467"/>
      <c r="AJ167" s="467"/>
      <c r="AK167" s="467"/>
      <c r="AL167" s="467"/>
      <c r="AM167" s="467"/>
      <c r="AN167" s="467"/>
      <c r="AO167" s="467"/>
      <c r="AP167" s="467"/>
      <c r="AQ167" s="467"/>
      <c r="AR167" s="467"/>
      <c r="AS167" s="467"/>
      <c r="AT167" s="467"/>
      <c r="AU167" s="467"/>
      <c r="AV167" s="467"/>
      <c r="AW167" s="467"/>
      <c r="AX167" s="467"/>
      <c r="AY167" s="467"/>
      <c r="AZ167" s="467"/>
      <c r="BA167" s="467"/>
      <c r="BB167" s="467"/>
      <c r="BC167" s="467"/>
      <c r="BD167" s="467"/>
      <c r="BE167" s="467"/>
      <c r="BF167" s="467"/>
      <c r="BG167" s="467"/>
      <c r="BH167" s="467"/>
      <c r="BI167" s="467"/>
      <c r="BJ167" s="467"/>
      <c r="BK167" s="467"/>
      <c r="BL167" s="467"/>
    </row>
    <row r="168" customFormat="false" ht="12.75" hidden="false" customHeight="false" outlineLevel="0" collapsed="false">
      <c r="A168" s="464" t="n">
        <f aca="false">EOMONTH(A167,0)+1</f>
        <v>41487</v>
      </c>
      <c r="B168" s="467" t="n">
        <v>0.072278942818817</v>
      </c>
      <c r="C168" s="467" t="n">
        <v>3.635</v>
      </c>
      <c r="D168" s="467" t="n">
        <v>0.15</v>
      </c>
      <c r="E168" s="467" t="n">
        <v>0.005</v>
      </c>
      <c r="F168" s="467" t="n">
        <v>0.005</v>
      </c>
      <c r="G168" s="467" t="n">
        <v>0</v>
      </c>
      <c r="H168" s="467"/>
      <c r="I168" s="467"/>
      <c r="J168" s="467"/>
      <c r="K168" s="467"/>
      <c r="L168" s="467"/>
      <c r="M168" s="467"/>
      <c r="N168" s="467"/>
      <c r="O168" s="467"/>
      <c r="P168" s="467"/>
      <c r="Q168" s="467"/>
      <c r="R168" s="467"/>
      <c r="S168" s="467"/>
      <c r="T168" s="467"/>
      <c r="U168" s="467"/>
      <c r="V168" s="467"/>
      <c r="W168" s="467"/>
      <c r="X168" s="467"/>
      <c r="Y168" s="467"/>
      <c r="Z168" s="467"/>
      <c r="AA168" s="467"/>
      <c r="AB168" s="467"/>
      <c r="AC168" s="467"/>
      <c r="AD168" s="467"/>
      <c r="AE168" s="467"/>
      <c r="AF168" s="467"/>
      <c r="AG168" s="467"/>
      <c r="AH168" s="467"/>
      <c r="AI168" s="467"/>
      <c r="AJ168" s="467"/>
      <c r="AK168" s="467"/>
      <c r="AL168" s="467"/>
      <c r="AM168" s="467"/>
      <c r="AN168" s="467"/>
      <c r="AO168" s="467"/>
      <c r="AP168" s="467"/>
      <c r="AQ168" s="467"/>
      <c r="AR168" s="467"/>
      <c r="AS168" s="467"/>
      <c r="AT168" s="467"/>
      <c r="AU168" s="467"/>
      <c r="AV168" s="467"/>
      <c r="AW168" s="467"/>
      <c r="AX168" s="467"/>
      <c r="AY168" s="467"/>
      <c r="AZ168" s="467"/>
      <c r="BA168" s="467"/>
      <c r="BB168" s="467"/>
      <c r="BC168" s="467"/>
      <c r="BD168" s="467"/>
      <c r="BE168" s="467"/>
      <c r="BF168" s="467"/>
      <c r="BG168" s="467"/>
      <c r="BH168" s="467"/>
      <c r="BI168" s="467"/>
      <c r="BJ168" s="467"/>
      <c r="BK168" s="467"/>
      <c r="BL168" s="467"/>
    </row>
    <row r="169" customFormat="false" ht="12.75" hidden="false" customHeight="false" outlineLevel="0" collapsed="false">
      <c r="A169" s="464" t="n">
        <f aca="false">EOMONTH(A168,0)+1</f>
        <v>41518</v>
      </c>
      <c r="B169" s="467" t="n">
        <v>0.072278614156494</v>
      </c>
      <c r="C169" s="467" t="n">
        <v>3.615</v>
      </c>
      <c r="D169" s="467" t="n">
        <v>0.15</v>
      </c>
      <c r="E169" s="467" t="n">
        <v>0.005</v>
      </c>
      <c r="F169" s="467" t="n">
        <v>0.005</v>
      </c>
      <c r="G169" s="467" t="n">
        <v>0</v>
      </c>
      <c r="H169" s="467"/>
      <c r="I169" s="467"/>
      <c r="J169" s="467"/>
      <c r="K169" s="467"/>
      <c r="L169" s="467"/>
      <c r="M169" s="467"/>
      <c r="N169" s="467"/>
      <c r="O169" s="467"/>
      <c r="P169" s="467"/>
      <c r="Q169" s="467"/>
      <c r="R169" s="467"/>
      <c r="S169" s="467"/>
      <c r="T169" s="467"/>
      <c r="U169" s="467"/>
      <c r="V169" s="467"/>
      <c r="W169" s="467"/>
      <c r="X169" s="467"/>
      <c r="Y169" s="467"/>
      <c r="Z169" s="467"/>
      <c r="AA169" s="467"/>
      <c r="AB169" s="467"/>
      <c r="AC169" s="467"/>
      <c r="AD169" s="467"/>
      <c r="AE169" s="467"/>
      <c r="AF169" s="467"/>
      <c r="AG169" s="467"/>
      <c r="AH169" s="467"/>
      <c r="AI169" s="467"/>
      <c r="AJ169" s="467"/>
      <c r="AK169" s="467"/>
      <c r="AL169" s="467"/>
      <c r="AM169" s="467"/>
      <c r="AN169" s="467"/>
      <c r="AO169" s="467"/>
      <c r="AP169" s="467"/>
      <c r="AQ169" s="467"/>
      <c r="AR169" s="467"/>
      <c r="AS169" s="467"/>
      <c r="AT169" s="467"/>
      <c r="AU169" s="467"/>
      <c r="AV169" s="467"/>
      <c r="AW169" s="467"/>
      <c r="AX169" s="467"/>
      <c r="AY169" s="467"/>
      <c r="AZ169" s="467"/>
      <c r="BA169" s="467"/>
      <c r="BB169" s="467"/>
      <c r="BC169" s="467"/>
      <c r="BD169" s="467"/>
      <c r="BE169" s="467"/>
      <c r="BF169" s="467"/>
      <c r="BG169" s="467"/>
      <c r="BH169" s="467"/>
      <c r="BI169" s="467"/>
      <c r="BJ169" s="467"/>
      <c r="BK169" s="467"/>
      <c r="BL169" s="467"/>
    </row>
    <row r="170" customFormat="false" ht="12.75" hidden="false" customHeight="false" outlineLevel="0" collapsed="false">
      <c r="A170" s="464" t="n">
        <f aca="false">EOMONTH(A169,0)+1</f>
        <v>41548</v>
      </c>
      <c r="B170" s="467" t="n">
        <v>0.07227829609618</v>
      </c>
      <c r="C170" s="467" t="n">
        <v>3.625</v>
      </c>
      <c r="D170" s="467" t="n">
        <v>0.15</v>
      </c>
      <c r="E170" s="467" t="n">
        <v>0.005</v>
      </c>
      <c r="F170" s="467" t="n">
        <v>0.005</v>
      </c>
      <c r="G170" s="467" t="n">
        <v>0</v>
      </c>
      <c r="H170" s="467"/>
      <c r="I170" s="467"/>
      <c r="J170" s="467"/>
      <c r="K170" s="467"/>
      <c r="L170" s="467"/>
      <c r="M170" s="467"/>
      <c r="N170" s="467"/>
      <c r="O170" s="467"/>
      <c r="P170" s="467"/>
      <c r="Q170" s="467"/>
      <c r="R170" s="467"/>
      <c r="S170" s="467"/>
      <c r="T170" s="467"/>
      <c r="U170" s="467"/>
      <c r="V170" s="467"/>
      <c r="W170" s="467"/>
      <c r="X170" s="467"/>
      <c r="Y170" s="467"/>
      <c r="Z170" s="467"/>
      <c r="AA170" s="467"/>
      <c r="AB170" s="467"/>
      <c r="AC170" s="467"/>
      <c r="AD170" s="467"/>
      <c r="AE170" s="467"/>
      <c r="AF170" s="467"/>
      <c r="AG170" s="467"/>
      <c r="AH170" s="467"/>
      <c r="AI170" s="467"/>
      <c r="AJ170" s="467"/>
      <c r="AK170" s="467"/>
      <c r="AL170" s="467"/>
      <c r="AM170" s="467"/>
      <c r="AN170" s="467"/>
      <c r="AO170" s="467"/>
      <c r="AP170" s="467"/>
      <c r="AQ170" s="467"/>
      <c r="AR170" s="467"/>
      <c r="AS170" s="467"/>
      <c r="AT170" s="467"/>
      <c r="AU170" s="467"/>
      <c r="AV170" s="467"/>
      <c r="AW170" s="467"/>
      <c r="AX170" s="467"/>
      <c r="AY170" s="467"/>
      <c r="AZ170" s="467"/>
      <c r="BA170" s="467"/>
      <c r="BB170" s="467"/>
      <c r="BC170" s="467"/>
      <c r="BD170" s="467"/>
      <c r="BE170" s="467"/>
      <c r="BF170" s="467"/>
      <c r="BG170" s="467"/>
      <c r="BH170" s="467"/>
      <c r="BI170" s="467"/>
      <c r="BJ170" s="467"/>
      <c r="BK170" s="467"/>
      <c r="BL170" s="467"/>
    </row>
    <row r="171" customFormat="false" ht="12.75" hidden="false" customHeight="false" outlineLevel="0" collapsed="false">
      <c r="A171" s="464" t="n">
        <f aca="false">EOMONTH(A170,0)+1</f>
        <v>41579</v>
      </c>
      <c r="B171" s="467" t="n">
        <v>0.072277967433856</v>
      </c>
      <c r="C171" s="467" t="n">
        <v>3.684</v>
      </c>
      <c r="D171" s="467" t="n">
        <v>0.15</v>
      </c>
      <c r="E171" s="467" t="n">
        <v>0.005</v>
      </c>
      <c r="F171" s="467" t="n">
        <v>0.005</v>
      </c>
      <c r="G171" s="467" t="n">
        <v>0</v>
      </c>
      <c r="H171" s="467"/>
      <c r="I171" s="467"/>
      <c r="J171" s="467"/>
      <c r="K171" s="467"/>
      <c r="L171" s="467"/>
      <c r="M171" s="467"/>
      <c r="N171" s="467"/>
      <c r="O171" s="467"/>
      <c r="P171" s="467"/>
      <c r="Q171" s="467"/>
      <c r="R171" s="467"/>
      <c r="S171" s="467"/>
      <c r="T171" s="467"/>
      <c r="U171" s="467"/>
      <c r="V171" s="467"/>
      <c r="W171" s="467"/>
      <c r="X171" s="467"/>
      <c r="Y171" s="467"/>
      <c r="Z171" s="467"/>
      <c r="AA171" s="467"/>
      <c r="AB171" s="467"/>
      <c r="AC171" s="467"/>
      <c r="AD171" s="467"/>
      <c r="AE171" s="467"/>
      <c r="AF171" s="467"/>
      <c r="AG171" s="467"/>
      <c r="AH171" s="467"/>
      <c r="AI171" s="467"/>
      <c r="AJ171" s="467"/>
      <c r="AK171" s="467"/>
      <c r="AL171" s="467"/>
      <c r="AM171" s="467"/>
      <c r="AN171" s="467"/>
      <c r="AO171" s="467"/>
      <c r="AP171" s="467"/>
      <c r="AQ171" s="467"/>
      <c r="AR171" s="467"/>
      <c r="AS171" s="467"/>
      <c r="AT171" s="467"/>
      <c r="AU171" s="467"/>
      <c r="AV171" s="467"/>
      <c r="AW171" s="467"/>
      <c r="AX171" s="467"/>
      <c r="AY171" s="467"/>
      <c r="AZ171" s="467"/>
      <c r="BA171" s="467"/>
      <c r="BB171" s="467"/>
      <c r="BC171" s="467"/>
      <c r="BD171" s="467"/>
      <c r="BE171" s="467"/>
      <c r="BF171" s="467"/>
      <c r="BG171" s="467"/>
      <c r="BH171" s="467"/>
      <c r="BI171" s="467"/>
      <c r="BJ171" s="467"/>
      <c r="BK171" s="467"/>
      <c r="BL171" s="467"/>
    </row>
    <row r="172" customFormat="false" ht="12.75" hidden="false" customHeight="false" outlineLevel="0" collapsed="false">
      <c r="A172" s="464" t="n">
        <f aca="false">EOMONTH(A171,0)+1</f>
        <v>41609</v>
      </c>
      <c r="B172" s="467" t="n">
        <v>0.072277649373543</v>
      </c>
      <c r="C172" s="467" t="n">
        <v>3.759</v>
      </c>
      <c r="D172" s="467" t="n">
        <v>0.15</v>
      </c>
      <c r="E172" s="467" t="n">
        <v>0.005</v>
      </c>
      <c r="F172" s="467" t="n">
        <v>0.005</v>
      </c>
      <c r="G172" s="467" t="n">
        <v>0</v>
      </c>
      <c r="H172" s="467"/>
      <c r="I172" s="467"/>
      <c r="J172" s="467"/>
      <c r="K172" s="467"/>
      <c r="L172" s="467"/>
      <c r="M172" s="467"/>
      <c r="N172" s="467"/>
      <c r="O172" s="467"/>
      <c r="P172" s="467"/>
      <c r="Q172" s="467"/>
      <c r="R172" s="467"/>
      <c r="S172" s="467"/>
      <c r="T172" s="467"/>
      <c r="U172" s="467"/>
      <c r="V172" s="467"/>
      <c r="W172" s="467"/>
      <c r="X172" s="467"/>
      <c r="Y172" s="467"/>
      <c r="Z172" s="467"/>
      <c r="AA172" s="467"/>
      <c r="AB172" s="467"/>
      <c r="AC172" s="467"/>
      <c r="AD172" s="467"/>
      <c r="AE172" s="467"/>
      <c r="AF172" s="467"/>
      <c r="AG172" s="467"/>
      <c r="AH172" s="467"/>
      <c r="AI172" s="467"/>
      <c r="AJ172" s="467"/>
      <c r="AK172" s="467"/>
      <c r="AL172" s="467"/>
      <c r="AM172" s="467"/>
      <c r="AN172" s="467"/>
      <c r="AO172" s="467"/>
      <c r="AP172" s="467"/>
      <c r="AQ172" s="467"/>
      <c r="AR172" s="467"/>
      <c r="AS172" s="467"/>
      <c r="AT172" s="467"/>
      <c r="AU172" s="467"/>
      <c r="AV172" s="467"/>
      <c r="AW172" s="467"/>
      <c r="AX172" s="467"/>
      <c r="AY172" s="467"/>
      <c r="AZ172" s="467"/>
      <c r="BA172" s="467"/>
      <c r="BB172" s="467"/>
      <c r="BC172" s="467"/>
      <c r="BD172" s="467"/>
      <c r="BE172" s="467"/>
      <c r="BF172" s="467"/>
      <c r="BG172" s="467"/>
      <c r="BH172" s="467"/>
      <c r="BI172" s="467"/>
      <c r="BJ172" s="467"/>
      <c r="BK172" s="467"/>
      <c r="BL172" s="467"/>
    </row>
    <row r="173" customFormat="false" ht="12.75" hidden="false" customHeight="false" outlineLevel="0" collapsed="false">
      <c r="A173" s="464" t="n">
        <f aca="false">EOMONTH(A172,0)+1</f>
        <v>41640</v>
      </c>
      <c r="B173" s="467" t="n">
        <v>0.07227732071122</v>
      </c>
      <c r="C173" s="467" t="n">
        <v>3.947</v>
      </c>
      <c r="D173" s="467" t="n">
        <v>0.15</v>
      </c>
      <c r="E173" s="467" t="n">
        <v>0.005</v>
      </c>
      <c r="F173" s="467" t="n">
        <v>0.005</v>
      </c>
      <c r="G173" s="467" t="n">
        <v>0</v>
      </c>
      <c r="H173" s="467"/>
      <c r="I173" s="467"/>
      <c r="J173" s="467"/>
      <c r="K173" s="467"/>
      <c r="L173" s="467"/>
      <c r="M173" s="467"/>
      <c r="N173" s="467"/>
      <c r="O173" s="467"/>
      <c r="P173" s="467"/>
      <c r="Q173" s="467"/>
      <c r="R173" s="467"/>
      <c r="S173" s="467"/>
      <c r="T173" s="467"/>
      <c r="U173" s="467"/>
      <c r="V173" s="467"/>
      <c r="W173" s="467"/>
      <c r="X173" s="467"/>
      <c r="Y173" s="467"/>
      <c r="Z173" s="467"/>
      <c r="AA173" s="467"/>
      <c r="AB173" s="467"/>
      <c r="AC173" s="467"/>
      <c r="AD173" s="467"/>
      <c r="AE173" s="467"/>
      <c r="AF173" s="467"/>
      <c r="AG173" s="467"/>
      <c r="AH173" s="467"/>
      <c r="AI173" s="467"/>
      <c r="AJ173" s="467"/>
      <c r="AK173" s="467"/>
      <c r="AL173" s="467"/>
      <c r="AM173" s="467"/>
      <c r="AN173" s="467"/>
      <c r="AO173" s="467"/>
      <c r="AP173" s="467"/>
      <c r="AQ173" s="467"/>
      <c r="AR173" s="467"/>
      <c r="AS173" s="467"/>
      <c r="AT173" s="467"/>
      <c r="AU173" s="467"/>
      <c r="AV173" s="467"/>
      <c r="AW173" s="467"/>
      <c r="AX173" s="467"/>
      <c r="AY173" s="467"/>
      <c r="AZ173" s="467"/>
      <c r="BA173" s="467"/>
      <c r="BB173" s="467"/>
      <c r="BC173" s="467"/>
      <c r="BD173" s="467"/>
      <c r="BE173" s="467"/>
      <c r="BF173" s="467"/>
      <c r="BG173" s="467"/>
      <c r="BH173" s="467"/>
      <c r="BI173" s="467"/>
      <c r="BJ173" s="467"/>
      <c r="BK173" s="467"/>
      <c r="BL173" s="467"/>
    </row>
    <row r="174" customFormat="false" ht="12.75" hidden="false" customHeight="false" outlineLevel="0" collapsed="false">
      <c r="A174" s="464" t="n">
        <f aca="false">EOMONTH(A173,0)+1</f>
        <v>41671</v>
      </c>
      <c r="B174" s="467" t="n">
        <v>0.072276992048896</v>
      </c>
      <c r="C174" s="467" t="n">
        <v>3.861</v>
      </c>
      <c r="D174" s="467" t="n">
        <v>0.15</v>
      </c>
      <c r="E174" s="467" t="n">
        <v>0.005</v>
      </c>
      <c r="F174" s="467" t="n">
        <v>0.005</v>
      </c>
      <c r="G174" s="467" t="n">
        <v>0</v>
      </c>
      <c r="H174" s="467"/>
      <c r="I174" s="467"/>
      <c r="J174" s="467"/>
      <c r="K174" s="467"/>
      <c r="L174" s="467"/>
      <c r="M174" s="467"/>
      <c r="N174" s="467"/>
      <c r="O174" s="467"/>
      <c r="P174" s="467"/>
      <c r="Q174" s="467"/>
      <c r="R174" s="467"/>
      <c r="S174" s="467"/>
      <c r="T174" s="467"/>
      <c r="U174" s="467"/>
      <c r="V174" s="467"/>
      <c r="W174" s="467"/>
      <c r="X174" s="467"/>
      <c r="Y174" s="467"/>
      <c r="Z174" s="467"/>
      <c r="AA174" s="467"/>
      <c r="AB174" s="467"/>
      <c r="AC174" s="467"/>
      <c r="AD174" s="467"/>
      <c r="AE174" s="467"/>
      <c r="AF174" s="467"/>
      <c r="AG174" s="467"/>
      <c r="AH174" s="467"/>
      <c r="AI174" s="467"/>
      <c r="AJ174" s="467"/>
      <c r="AK174" s="467"/>
      <c r="AL174" s="467"/>
      <c r="AM174" s="467"/>
      <c r="AN174" s="467"/>
      <c r="AO174" s="467"/>
      <c r="AP174" s="467"/>
      <c r="AQ174" s="467"/>
      <c r="AR174" s="467"/>
      <c r="AS174" s="467"/>
      <c r="AT174" s="467"/>
      <c r="AU174" s="467"/>
      <c r="AV174" s="467"/>
      <c r="AW174" s="467"/>
      <c r="AX174" s="467"/>
      <c r="AY174" s="467"/>
      <c r="AZ174" s="467"/>
      <c r="BA174" s="467"/>
      <c r="BB174" s="467"/>
      <c r="BC174" s="467"/>
      <c r="BD174" s="467"/>
      <c r="BE174" s="467"/>
      <c r="BF174" s="467"/>
      <c r="BG174" s="467"/>
      <c r="BH174" s="467"/>
      <c r="BI174" s="467"/>
      <c r="BJ174" s="467"/>
      <c r="BK174" s="467"/>
      <c r="BL174" s="467"/>
    </row>
    <row r="175" customFormat="false" ht="12.75" hidden="false" customHeight="false" outlineLevel="0" collapsed="false">
      <c r="A175" s="464" t="n">
        <f aca="false">EOMONTH(A174,0)+1</f>
        <v>41699</v>
      </c>
      <c r="B175" s="467" t="n">
        <v>0.072276695192604</v>
      </c>
      <c r="C175" s="467" t="n">
        <v>3.754</v>
      </c>
      <c r="D175" s="467" t="n">
        <v>0.15</v>
      </c>
      <c r="E175" s="467" t="n">
        <v>0.005</v>
      </c>
      <c r="F175" s="467" t="n">
        <v>0.005</v>
      </c>
      <c r="G175" s="467" t="n">
        <v>0</v>
      </c>
      <c r="H175" s="467"/>
      <c r="I175" s="467"/>
      <c r="J175" s="467"/>
      <c r="K175" s="467"/>
      <c r="L175" s="467"/>
      <c r="M175" s="467"/>
      <c r="N175" s="467"/>
      <c r="O175" s="467"/>
      <c r="P175" s="467"/>
      <c r="Q175" s="467"/>
      <c r="R175" s="467"/>
      <c r="S175" s="467"/>
      <c r="T175" s="467"/>
      <c r="U175" s="467"/>
      <c r="V175" s="467"/>
      <c r="W175" s="467"/>
      <c r="X175" s="467"/>
      <c r="Y175" s="467"/>
      <c r="Z175" s="467"/>
      <c r="AA175" s="467"/>
      <c r="AB175" s="467"/>
      <c r="AC175" s="467"/>
      <c r="AD175" s="467"/>
      <c r="AE175" s="467"/>
      <c r="AF175" s="467"/>
      <c r="AG175" s="467"/>
      <c r="AH175" s="467"/>
      <c r="AI175" s="467"/>
      <c r="AJ175" s="467"/>
      <c r="AK175" s="467"/>
      <c r="AL175" s="467"/>
      <c r="AM175" s="467"/>
      <c r="AN175" s="467"/>
      <c r="AO175" s="467"/>
      <c r="AP175" s="467"/>
      <c r="AQ175" s="467"/>
      <c r="AR175" s="467"/>
      <c r="AS175" s="467"/>
      <c r="AT175" s="467"/>
      <c r="AU175" s="467"/>
      <c r="AV175" s="467"/>
      <c r="AW175" s="467"/>
      <c r="AX175" s="467"/>
      <c r="AY175" s="467"/>
      <c r="AZ175" s="467"/>
      <c r="BA175" s="467"/>
      <c r="BB175" s="467"/>
      <c r="BC175" s="467"/>
      <c r="BD175" s="467"/>
      <c r="BE175" s="467"/>
      <c r="BF175" s="467"/>
      <c r="BG175" s="467"/>
      <c r="BH175" s="467"/>
      <c r="BI175" s="467"/>
      <c r="BJ175" s="467"/>
      <c r="BK175" s="467"/>
      <c r="BL175" s="467"/>
    </row>
    <row r="176" customFormat="false" ht="12.75" hidden="false" customHeight="false" outlineLevel="0" collapsed="false">
      <c r="A176" s="464" t="n">
        <f aca="false">EOMONTH(A175,0)+1</f>
        <v>41730</v>
      </c>
      <c r="B176" s="467" t="n">
        <v>0.072276366530281</v>
      </c>
      <c r="C176" s="467" t="n">
        <v>3.647</v>
      </c>
      <c r="D176" s="467" t="n">
        <v>0.15</v>
      </c>
      <c r="E176" s="467" t="n">
        <v>0.005</v>
      </c>
      <c r="F176" s="467" t="n">
        <v>0.005</v>
      </c>
      <c r="G176" s="467" t="n">
        <v>0</v>
      </c>
      <c r="H176" s="467"/>
      <c r="I176" s="467"/>
      <c r="J176" s="467"/>
      <c r="K176" s="467"/>
      <c r="L176" s="467"/>
      <c r="M176" s="467"/>
      <c r="N176" s="467"/>
      <c r="O176" s="467"/>
      <c r="P176" s="467"/>
      <c r="Q176" s="467"/>
      <c r="R176" s="467"/>
      <c r="S176" s="467"/>
      <c r="T176" s="467"/>
      <c r="U176" s="467"/>
      <c r="V176" s="467"/>
      <c r="W176" s="467"/>
      <c r="X176" s="467"/>
      <c r="Y176" s="467"/>
      <c r="Z176" s="467"/>
      <c r="AA176" s="467"/>
      <c r="AB176" s="467"/>
      <c r="AC176" s="467"/>
      <c r="AD176" s="467"/>
      <c r="AE176" s="467"/>
      <c r="AF176" s="467"/>
      <c r="AG176" s="467"/>
      <c r="AH176" s="467"/>
      <c r="AI176" s="467"/>
      <c r="AJ176" s="467"/>
      <c r="AK176" s="467"/>
      <c r="AL176" s="467"/>
      <c r="AM176" s="467"/>
      <c r="AN176" s="467"/>
      <c r="AO176" s="467"/>
      <c r="AP176" s="467"/>
      <c r="AQ176" s="467"/>
      <c r="AR176" s="467"/>
      <c r="AS176" s="467"/>
      <c r="AT176" s="467"/>
      <c r="AU176" s="467"/>
      <c r="AV176" s="467"/>
      <c r="AW176" s="467"/>
      <c r="AX176" s="467"/>
      <c r="AY176" s="467"/>
      <c r="AZ176" s="467"/>
      <c r="BA176" s="467"/>
      <c r="BB176" s="467"/>
      <c r="BC176" s="467"/>
      <c r="BD176" s="467"/>
      <c r="BE176" s="467"/>
      <c r="BF176" s="467"/>
      <c r="BG176" s="467"/>
      <c r="BH176" s="467"/>
      <c r="BI176" s="467"/>
      <c r="BJ176" s="467"/>
      <c r="BK176" s="467"/>
      <c r="BL176" s="467"/>
    </row>
    <row r="177" customFormat="false" ht="12.75" hidden="false" customHeight="false" outlineLevel="0" collapsed="false">
      <c r="A177" s="464" t="n">
        <f aca="false">EOMONTH(A176,0)+1</f>
        <v>41760</v>
      </c>
      <c r="B177" s="467" t="n">
        <v>0.072276048469968</v>
      </c>
      <c r="C177" s="467" t="n">
        <v>3.643</v>
      </c>
      <c r="D177" s="467" t="n">
        <v>0.15</v>
      </c>
      <c r="E177" s="467" t="n">
        <v>0.005</v>
      </c>
      <c r="F177" s="467" t="n">
        <v>0.005</v>
      </c>
      <c r="G177" s="467" t="n">
        <v>0</v>
      </c>
      <c r="H177" s="467"/>
      <c r="I177" s="467"/>
      <c r="J177" s="467"/>
      <c r="K177" s="467"/>
      <c r="L177" s="467"/>
      <c r="M177" s="467"/>
      <c r="N177" s="467"/>
      <c r="O177" s="467"/>
      <c r="P177" s="467"/>
      <c r="Q177" s="467"/>
      <c r="R177" s="467"/>
      <c r="S177" s="467"/>
      <c r="T177" s="467"/>
      <c r="U177" s="467"/>
      <c r="V177" s="467"/>
      <c r="W177" s="467"/>
      <c r="X177" s="467"/>
      <c r="Y177" s="467"/>
      <c r="Z177" s="467"/>
      <c r="AA177" s="467"/>
      <c r="AB177" s="467"/>
      <c r="AC177" s="467"/>
      <c r="AD177" s="467"/>
      <c r="AE177" s="467"/>
      <c r="AF177" s="467"/>
      <c r="AG177" s="467"/>
      <c r="AH177" s="467"/>
      <c r="AI177" s="467"/>
      <c r="AJ177" s="467"/>
      <c r="AK177" s="467"/>
      <c r="AL177" s="467"/>
      <c r="AM177" s="467"/>
      <c r="AN177" s="467"/>
      <c r="AO177" s="467"/>
      <c r="AP177" s="467"/>
      <c r="AQ177" s="467"/>
      <c r="AR177" s="467"/>
      <c r="AS177" s="467"/>
      <c r="AT177" s="467"/>
      <c r="AU177" s="467"/>
      <c r="AV177" s="467"/>
      <c r="AW177" s="467"/>
      <c r="AX177" s="467"/>
      <c r="AY177" s="467"/>
      <c r="AZ177" s="467"/>
      <c r="BA177" s="467"/>
      <c r="BB177" s="467"/>
      <c r="BC177" s="467"/>
      <c r="BD177" s="467"/>
      <c r="BE177" s="467"/>
      <c r="BF177" s="467"/>
      <c r="BG177" s="467"/>
      <c r="BH177" s="467"/>
      <c r="BI177" s="467"/>
      <c r="BJ177" s="467"/>
      <c r="BK177" s="467"/>
      <c r="BL177" s="467"/>
    </row>
    <row r="178" customFormat="false" ht="12.75" hidden="false" customHeight="false" outlineLevel="0" collapsed="false">
      <c r="A178" s="464" t="n">
        <f aca="false">EOMONTH(A177,0)+1</f>
        <v>41791</v>
      </c>
      <c r="B178" s="467" t="n">
        <v>0.072275719807644</v>
      </c>
      <c r="C178" s="467" t="n">
        <v>3.684</v>
      </c>
      <c r="D178" s="467" t="n">
        <v>0.15</v>
      </c>
      <c r="E178" s="467" t="n">
        <v>0.005</v>
      </c>
      <c r="F178" s="467" t="n">
        <v>0.005</v>
      </c>
      <c r="G178" s="467" t="n">
        <v>0</v>
      </c>
      <c r="H178" s="467"/>
      <c r="I178" s="467"/>
      <c r="J178" s="467"/>
      <c r="K178" s="467"/>
      <c r="L178" s="467"/>
      <c r="M178" s="467"/>
      <c r="N178" s="467"/>
      <c r="O178" s="467"/>
      <c r="P178" s="467"/>
      <c r="Q178" s="467"/>
      <c r="R178" s="467"/>
      <c r="S178" s="467"/>
      <c r="T178" s="467"/>
      <c r="U178" s="467"/>
      <c r="V178" s="467"/>
      <c r="W178" s="467"/>
      <c r="X178" s="467"/>
      <c r="Y178" s="467"/>
      <c r="Z178" s="467"/>
      <c r="AA178" s="467"/>
      <c r="AB178" s="467"/>
      <c r="AC178" s="467"/>
      <c r="AD178" s="467"/>
      <c r="AE178" s="467"/>
      <c r="AF178" s="467"/>
      <c r="AG178" s="467"/>
      <c r="AH178" s="467"/>
      <c r="AI178" s="467"/>
      <c r="AJ178" s="467"/>
      <c r="AK178" s="467"/>
      <c r="AL178" s="467"/>
      <c r="AM178" s="467"/>
      <c r="AN178" s="467"/>
      <c r="AO178" s="467"/>
      <c r="AP178" s="467"/>
      <c r="AQ178" s="467"/>
      <c r="AR178" s="467"/>
      <c r="AS178" s="467"/>
      <c r="AT178" s="467"/>
      <c r="AU178" s="467"/>
      <c r="AV178" s="467"/>
      <c r="AW178" s="467"/>
      <c r="AX178" s="467"/>
      <c r="AY178" s="467"/>
      <c r="AZ178" s="467"/>
      <c r="BA178" s="467"/>
      <c r="BB178" s="467"/>
      <c r="BC178" s="467"/>
      <c r="BD178" s="467"/>
      <c r="BE178" s="467"/>
      <c r="BF178" s="467"/>
      <c r="BG178" s="467"/>
      <c r="BH178" s="467"/>
      <c r="BI178" s="467"/>
      <c r="BJ178" s="467"/>
      <c r="BK178" s="467"/>
      <c r="BL178" s="467"/>
    </row>
    <row r="179" customFormat="false" ht="12.75" hidden="false" customHeight="false" outlineLevel="0" collapsed="false">
      <c r="A179" s="464" t="n">
        <f aca="false">EOMONTH(A178,0)+1</f>
        <v>41821</v>
      </c>
      <c r="B179" s="467" t="n">
        <v>0.072275401747331</v>
      </c>
      <c r="C179" s="467" t="n">
        <v>3.684</v>
      </c>
      <c r="D179" s="467" t="n">
        <v>0.15</v>
      </c>
      <c r="E179" s="467" t="n">
        <v>0.005</v>
      </c>
      <c r="F179" s="467" t="n">
        <v>0.005</v>
      </c>
      <c r="G179" s="467" t="n">
        <v>0</v>
      </c>
      <c r="H179" s="467"/>
      <c r="I179" s="467"/>
      <c r="J179" s="467"/>
      <c r="K179" s="467"/>
      <c r="L179" s="467"/>
      <c r="M179" s="467"/>
      <c r="N179" s="467"/>
      <c r="O179" s="467"/>
      <c r="P179" s="467"/>
      <c r="Q179" s="467"/>
      <c r="R179" s="467"/>
      <c r="S179" s="467"/>
      <c r="T179" s="467"/>
      <c r="U179" s="467"/>
      <c r="V179" s="467"/>
      <c r="W179" s="467"/>
      <c r="X179" s="467"/>
      <c r="Y179" s="467"/>
      <c r="Z179" s="467"/>
      <c r="AA179" s="467"/>
      <c r="AB179" s="467"/>
      <c r="AC179" s="467"/>
      <c r="AD179" s="467"/>
      <c r="AE179" s="467"/>
      <c r="AF179" s="467"/>
      <c r="AG179" s="467"/>
      <c r="AH179" s="467"/>
      <c r="AI179" s="467"/>
      <c r="AJ179" s="467"/>
      <c r="AK179" s="467"/>
      <c r="AL179" s="467"/>
      <c r="AM179" s="467"/>
      <c r="AN179" s="467"/>
      <c r="AO179" s="467"/>
      <c r="AP179" s="467"/>
      <c r="AQ179" s="467"/>
      <c r="AR179" s="467"/>
      <c r="AS179" s="467"/>
      <c r="AT179" s="467"/>
      <c r="AU179" s="467"/>
      <c r="AV179" s="467"/>
      <c r="AW179" s="467"/>
      <c r="AX179" s="467"/>
      <c r="AY179" s="467"/>
      <c r="AZ179" s="467"/>
      <c r="BA179" s="467"/>
      <c r="BB179" s="467"/>
      <c r="BC179" s="467"/>
      <c r="BD179" s="467"/>
      <c r="BE179" s="467"/>
      <c r="BF179" s="467"/>
      <c r="BG179" s="467"/>
      <c r="BH179" s="467"/>
      <c r="BI179" s="467"/>
      <c r="BJ179" s="467"/>
      <c r="BK179" s="467"/>
      <c r="BL179" s="467"/>
    </row>
    <row r="180" customFormat="false" ht="12.75" hidden="false" customHeight="false" outlineLevel="0" collapsed="false">
      <c r="A180" s="464" t="n">
        <f aca="false">EOMONTH(A179,0)+1</f>
        <v>41852</v>
      </c>
      <c r="B180" s="467" t="n">
        <v>0.072275073085008</v>
      </c>
      <c r="C180" s="467" t="n">
        <v>3.744</v>
      </c>
      <c r="D180" s="467" t="n">
        <v>0.15</v>
      </c>
      <c r="E180" s="467" t="n">
        <v>0.005</v>
      </c>
      <c r="F180" s="467" t="n">
        <v>0.005</v>
      </c>
      <c r="G180" s="467" t="n">
        <v>0</v>
      </c>
      <c r="H180" s="467"/>
      <c r="I180" s="467"/>
      <c r="J180" s="467"/>
      <c r="K180" s="467"/>
      <c r="L180" s="467"/>
      <c r="M180" s="467"/>
      <c r="N180" s="467"/>
      <c r="O180" s="467"/>
      <c r="P180" s="467"/>
      <c r="Q180" s="467"/>
      <c r="R180" s="467"/>
      <c r="S180" s="467"/>
      <c r="T180" s="467"/>
      <c r="U180" s="467"/>
      <c r="V180" s="467"/>
      <c r="W180" s="467"/>
      <c r="X180" s="467"/>
      <c r="Y180" s="467"/>
      <c r="Z180" s="467"/>
      <c r="AA180" s="467"/>
      <c r="AB180" s="467"/>
      <c r="AC180" s="467"/>
      <c r="AD180" s="467"/>
      <c r="AE180" s="467"/>
      <c r="AF180" s="467"/>
      <c r="AG180" s="467"/>
      <c r="AH180" s="467"/>
      <c r="AI180" s="467"/>
      <c r="AJ180" s="467"/>
      <c r="AK180" s="467"/>
      <c r="AL180" s="467"/>
      <c r="AM180" s="467"/>
      <c r="AN180" s="467"/>
      <c r="AO180" s="467"/>
      <c r="AP180" s="467"/>
      <c r="AQ180" s="467"/>
      <c r="AR180" s="467"/>
      <c r="AS180" s="467"/>
      <c r="AT180" s="467"/>
      <c r="AU180" s="467"/>
      <c r="AV180" s="467"/>
      <c r="AW180" s="467"/>
      <c r="AX180" s="467"/>
      <c r="AY180" s="467"/>
      <c r="AZ180" s="467"/>
      <c r="BA180" s="467"/>
      <c r="BB180" s="467"/>
      <c r="BC180" s="467"/>
      <c r="BD180" s="467"/>
      <c r="BE180" s="467"/>
      <c r="BF180" s="467"/>
      <c r="BG180" s="467"/>
      <c r="BH180" s="467"/>
      <c r="BI180" s="467"/>
      <c r="BJ180" s="467"/>
      <c r="BK180" s="467"/>
      <c r="BL180" s="467"/>
    </row>
    <row r="181" customFormat="false" ht="12.75" hidden="false" customHeight="false" outlineLevel="0" collapsed="false">
      <c r="A181" s="464" t="n">
        <f aca="false">EOMONTH(A180,0)+1</f>
        <v>41883</v>
      </c>
      <c r="B181" s="467" t="n">
        <v>0.072274744422684</v>
      </c>
      <c r="C181" s="467" t="n">
        <v>3.723</v>
      </c>
      <c r="D181" s="467" t="n">
        <v>0.15</v>
      </c>
      <c r="E181" s="467" t="n">
        <v>0.005</v>
      </c>
      <c r="F181" s="467" t="n">
        <v>0.005</v>
      </c>
      <c r="G181" s="467" t="n">
        <v>0</v>
      </c>
      <c r="H181" s="467"/>
      <c r="I181" s="467"/>
      <c r="J181" s="467"/>
      <c r="K181" s="467"/>
      <c r="L181" s="467"/>
      <c r="M181" s="467"/>
      <c r="N181" s="467"/>
      <c r="O181" s="467"/>
      <c r="P181" s="467"/>
      <c r="Q181" s="467"/>
      <c r="R181" s="467"/>
      <c r="S181" s="467"/>
      <c r="T181" s="467"/>
      <c r="U181" s="467"/>
      <c r="V181" s="467"/>
      <c r="W181" s="467"/>
      <c r="X181" s="467"/>
      <c r="Y181" s="467"/>
      <c r="Z181" s="467"/>
      <c r="AA181" s="467"/>
      <c r="AB181" s="467"/>
      <c r="AC181" s="467"/>
      <c r="AD181" s="467"/>
      <c r="AE181" s="467"/>
      <c r="AF181" s="467"/>
      <c r="AG181" s="467"/>
      <c r="AH181" s="467"/>
      <c r="AI181" s="467"/>
      <c r="AJ181" s="467"/>
      <c r="AK181" s="467"/>
      <c r="AL181" s="467"/>
      <c r="AM181" s="467"/>
      <c r="AN181" s="467"/>
      <c r="AO181" s="467"/>
      <c r="AP181" s="467"/>
      <c r="AQ181" s="467"/>
      <c r="AR181" s="467"/>
      <c r="AS181" s="467"/>
      <c r="AT181" s="467"/>
      <c r="AU181" s="467"/>
      <c r="AV181" s="467"/>
      <c r="AW181" s="467"/>
      <c r="AX181" s="467"/>
      <c r="AY181" s="467"/>
      <c r="AZ181" s="467"/>
      <c r="BA181" s="467"/>
      <c r="BB181" s="467"/>
      <c r="BC181" s="467"/>
      <c r="BD181" s="467"/>
      <c r="BE181" s="467"/>
      <c r="BF181" s="467"/>
      <c r="BG181" s="467"/>
      <c r="BH181" s="467"/>
      <c r="BI181" s="467"/>
      <c r="BJ181" s="467"/>
      <c r="BK181" s="467"/>
      <c r="BL181" s="467"/>
    </row>
    <row r="182" customFormat="false" ht="12.75" hidden="false" customHeight="false" outlineLevel="0" collapsed="false">
      <c r="A182" s="464" t="n">
        <f aca="false">EOMONTH(A181,0)+1</f>
        <v>41913</v>
      </c>
      <c r="B182" s="467" t="n">
        <v>0.072274426362371</v>
      </c>
      <c r="C182" s="467" t="n">
        <v>3.732</v>
      </c>
      <c r="D182" s="467" t="n">
        <v>0.15</v>
      </c>
      <c r="E182" s="467" t="n">
        <v>0.005</v>
      </c>
      <c r="F182" s="467" t="n">
        <v>0.005</v>
      </c>
      <c r="G182" s="467" t="n">
        <v>0</v>
      </c>
      <c r="H182" s="467"/>
      <c r="I182" s="467"/>
      <c r="J182" s="467"/>
      <c r="K182" s="467"/>
      <c r="L182" s="467"/>
      <c r="M182" s="467"/>
      <c r="N182" s="467"/>
      <c r="O182" s="467"/>
      <c r="P182" s="467"/>
      <c r="Q182" s="467"/>
      <c r="R182" s="467"/>
      <c r="S182" s="467"/>
      <c r="T182" s="467"/>
      <c r="U182" s="467"/>
      <c r="V182" s="467"/>
      <c r="W182" s="467"/>
      <c r="X182" s="467"/>
      <c r="Y182" s="467"/>
      <c r="Z182" s="467"/>
      <c r="AA182" s="467"/>
      <c r="AB182" s="467"/>
      <c r="AC182" s="467"/>
      <c r="AD182" s="467"/>
      <c r="AE182" s="467"/>
      <c r="AF182" s="467"/>
      <c r="AG182" s="467"/>
      <c r="AH182" s="467"/>
      <c r="AI182" s="467"/>
      <c r="AJ182" s="467"/>
      <c r="AK182" s="467"/>
      <c r="AL182" s="467"/>
      <c r="AM182" s="467"/>
      <c r="AN182" s="467"/>
      <c r="AO182" s="467"/>
      <c r="AP182" s="467"/>
      <c r="AQ182" s="467"/>
      <c r="AR182" s="467"/>
      <c r="AS182" s="467"/>
      <c r="AT182" s="467"/>
      <c r="AU182" s="467"/>
      <c r="AV182" s="467"/>
      <c r="AW182" s="467"/>
      <c r="AX182" s="467"/>
      <c r="AY182" s="467"/>
      <c r="AZ182" s="467"/>
      <c r="BA182" s="467"/>
      <c r="BB182" s="467"/>
      <c r="BC182" s="467"/>
      <c r="BD182" s="467"/>
      <c r="BE182" s="467"/>
      <c r="BF182" s="467"/>
      <c r="BG182" s="467"/>
      <c r="BH182" s="467"/>
      <c r="BI182" s="467"/>
      <c r="BJ182" s="467"/>
      <c r="BK182" s="467"/>
      <c r="BL182" s="467"/>
    </row>
    <row r="183" customFormat="false" ht="12.75" hidden="false" customHeight="false" outlineLevel="0" collapsed="false">
      <c r="A183" s="464" t="n">
        <f aca="false">EOMONTH(A182,0)+1</f>
        <v>41944</v>
      </c>
      <c r="B183" s="467" t="n">
        <v>0.072274097700049</v>
      </c>
      <c r="C183" s="467" t="n">
        <v>3.786</v>
      </c>
      <c r="D183" s="467" t="n">
        <v>0.15</v>
      </c>
      <c r="E183" s="467" t="n">
        <v>0.005</v>
      </c>
      <c r="F183" s="467" t="n">
        <v>0.005</v>
      </c>
      <c r="G183" s="467" t="n">
        <v>0</v>
      </c>
      <c r="H183" s="467"/>
      <c r="I183" s="467"/>
      <c r="J183" s="467"/>
      <c r="K183" s="467"/>
      <c r="L183" s="467"/>
      <c r="M183" s="467"/>
      <c r="N183" s="467"/>
      <c r="O183" s="467"/>
      <c r="P183" s="467"/>
      <c r="Q183" s="467"/>
      <c r="R183" s="467"/>
      <c r="S183" s="467"/>
      <c r="T183" s="467"/>
      <c r="U183" s="467"/>
      <c r="V183" s="467"/>
      <c r="W183" s="467"/>
      <c r="X183" s="467"/>
      <c r="Y183" s="467"/>
      <c r="Z183" s="467"/>
      <c r="AA183" s="467"/>
      <c r="AB183" s="467"/>
      <c r="AC183" s="467"/>
      <c r="AD183" s="467"/>
      <c r="AE183" s="467"/>
      <c r="AF183" s="467"/>
      <c r="AG183" s="467"/>
      <c r="AH183" s="467"/>
      <c r="AI183" s="467"/>
      <c r="AJ183" s="467"/>
      <c r="AK183" s="467"/>
      <c r="AL183" s="467"/>
      <c r="AM183" s="467"/>
      <c r="AN183" s="467"/>
      <c r="AO183" s="467"/>
      <c r="AP183" s="467"/>
      <c r="AQ183" s="467"/>
      <c r="AR183" s="467"/>
      <c r="AS183" s="467"/>
      <c r="AT183" s="467"/>
      <c r="AU183" s="467"/>
      <c r="AV183" s="467"/>
      <c r="AW183" s="467"/>
      <c r="AX183" s="467"/>
      <c r="AY183" s="467"/>
      <c r="AZ183" s="467"/>
      <c r="BA183" s="467"/>
      <c r="BB183" s="467"/>
      <c r="BC183" s="467"/>
      <c r="BD183" s="467"/>
      <c r="BE183" s="467"/>
      <c r="BF183" s="467"/>
      <c r="BG183" s="467"/>
      <c r="BH183" s="467"/>
      <c r="BI183" s="467"/>
      <c r="BJ183" s="467"/>
      <c r="BK183" s="467"/>
      <c r="BL183" s="467"/>
    </row>
    <row r="184" customFormat="false" ht="12.75" hidden="false" customHeight="false" outlineLevel="0" collapsed="false">
      <c r="A184" s="464" t="n">
        <f aca="false">EOMONTH(A183,0)+1</f>
        <v>41974</v>
      </c>
      <c r="B184" s="467" t="n">
        <v>0.072273779639736</v>
      </c>
      <c r="C184" s="467" t="n">
        <v>3.858</v>
      </c>
      <c r="D184" s="467" t="n">
        <v>0.15</v>
      </c>
      <c r="E184" s="467" t="n">
        <v>0.005</v>
      </c>
      <c r="F184" s="467" t="n">
        <v>0.005</v>
      </c>
      <c r="G184" s="467" t="n">
        <v>0</v>
      </c>
      <c r="H184" s="467"/>
      <c r="I184" s="467"/>
      <c r="J184" s="467"/>
      <c r="K184" s="467"/>
      <c r="L184" s="467"/>
      <c r="M184" s="467"/>
      <c r="N184" s="467"/>
      <c r="O184" s="467"/>
      <c r="P184" s="467"/>
      <c r="Q184" s="467"/>
      <c r="R184" s="467"/>
      <c r="S184" s="467"/>
      <c r="T184" s="467"/>
      <c r="U184" s="467"/>
      <c r="V184" s="467"/>
      <c r="W184" s="467"/>
      <c r="X184" s="467"/>
      <c r="Y184" s="467"/>
      <c r="Z184" s="467"/>
      <c r="AA184" s="467"/>
      <c r="AB184" s="467"/>
      <c r="AC184" s="467"/>
      <c r="AD184" s="467"/>
      <c r="AE184" s="467"/>
      <c r="AF184" s="467"/>
      <c r="AG184" s="467"/>
      <c r="AH184" s="467"/>
      <c r="AI184" s="467"/>
      <c r="AJ184" s="467"/>
      <c r="AK184" s="467"/>
      <c r="AL184" s="467"/>
      <c r="AM184" s="467"/>
      <c r="AN184" s="467"/>
      <c r="AO184" s="467"/>
      <c r="AP184" s="467"/>
      <c r="AQ184" s="467"/>
      <c r="AR184" s="467"/>
      <c r="AS184" s="467"/>
      <c r="AT184" s="467"/>
      <c r="AU184" s="467"/>
      <c r="AV184" s="467"/>
      <c r="AW184" s="467"/>
      <c r="AX184" s="467"/>
      <c r="AY184" s="467"/>
      <c r="AZ184" s="467"/>
      <c r="BA184" s="467"/>
      <c r="BB184" s="467"/>
      <c r="BC184" s="467"/>
      <c r="BD184" s="467"/>
      <c r="BE184" s="467"/>
      <c r="BF184" s="467"/>
      <c r="BG184" s="467"/>
      <c r="BH184" s="467"/>
      <c r="BI184" s="467"/>
      <c r="BJ184" s="467"/>
      <c r="BK184" s="467"/>
      <c r="BL184" s="467"/>
    </row>
    <row r="185" customFormat="false" ht="12.75" hidden="false" customHeight="false" outlineLevel="0" collapsed="false">
      <c r="A185" s="464" t="n">
        <f aca="false">EOMONTH(A184,0)+1</f>
        <v>42005</v>
      </c>
      <c r="B185" s="467" t="n">
        <v>0.072273450977413</v>
      </c>
      <c r="C185" s="467" t="n">
        <v>4.049</v>
      </c>
      <c r="D185" s="467" t="n">
        <v>0.15</v>
      </c>
      <c r="E185" s="467" t="n">
        <v>0.005</v>
      </c>
      <c r="F185" s="467" t="n">
        <v>0.005</v>
      </c>
      <c r="G185" s="467" t="n">
        <v>0</v>
      </c>
      <c r="H185" s="467"/>
      <c r="I185" s="467"/>
      <c r="J185" s="467"/>
      <c r="K185" s="467"/>
      <c r="L185" s="467"/>
      <c r="M185" s="467"/>
      <c r="N185" s="467"/>
      <c r="O185" s="467"/>
      <c r="P185" s="467"/>
      <c r="Q185" s="467"/>
      <c r="R185" s="467"/>
      <c r="S185" s="467"/>
      <c r="T185" s="467"/>
      <c r="U185" s="467"/>
      <c r="V185" s="467"/>
      <c r="W185" s="467"/>
      <c r="X185" s="467"/>
      <c r="Y185" s="467"/>
      <c r="Z185" s="467"/>
      <c r="AA185" s="467"/>
      <c r="AB185" s="467"/>
      <c r="AC185" s="467"/>
      <c r="AD185" s="467"/>
      <c r="AE185" s="467"/>
      <c r="AF185" s="467"/>
      <c r="AG185" s="467"/>
      <c r="AH185" s="467"/>
      <c r="AI185" s="467"/>
      <c r="AJ185" s="467"/>
      <c r="AK185" s="467"/>
      <c r="AL185" s="467"/>
      <c r="AM185" s="467"/>
      <c r="AN185" s="467"/>
      <c r="AO185" s="467"/>
      <c r="AP185" s="467"/>
      <c r="AQ185" s="467"/>
      <c r="AR185" s="467"/>
      <c r="AS185" s="467"/>
      <c r="AT185" s="467"/>
      <c r="AU185" s="467"/>
      <c r="AV185" s="467"/>
      <c r="AW185" s="467"/>
      <c r="AX185" s="467"/>
      <c r="AY185" s="467"/>
      <c r="AZ185" s="467"/>
      <c r="BA185" s="467"/>
      <c r="BB185" s="467"/>
      <c r="BC185" s="467"/>
      <c r="BD185" s="467"/>
      <c r="BE185" s="467"/>
      <c r="BF185" s="467"/>
      <c r="BG185" s="467"/>
      <c r="BH185" s="467"/>
      <c r="BI185" s="467"/>
      <c r="BJ185" s="467"/>
      <c r="BK185" s="467"/>
      <c r="BL185" s="467"/>
    </row>
    <row r="186" customFormat="false" ht="12.75" hidden="false" customHeight="false" outlineLevel="0" collapsed="false">
      <c r="A186" s="464" t="n">
        <f aca="false">EOMONTH(A185,0)+1</f>
        <v>42036</v>
      </c>
      <c r="B186" s="467" t="n">
        <v>0.07227312231509</v>
      </c>
      <c r="C186" s="467" t="n">
        <v>3.967</v>
      </c>
      <c r="D186" s="467" t="n">
        <v>0.15</v>
      </c>
      <c r="E186" s="467" t="n">
        <v>0.005</v>
      </c>
      <c r="F186" s="467" t="n">
        <v>0.005</v>
      </c>
      <c r="G186" s="467" t="n">
        <v>0</v>
      </c>
      <c r="H186" s="467"/>
      <c r="I186" s="467"/>
      <c r="J186" s="467"/>
      <c r="K186" s="467"/>
      <c r="L186" s="467"/>
      <c r="M186" s="467"/>
      <c r="N186" s="467"/>
      <c r="O186" s="467"/>
      <c r="P186" s="467"/>
      <c r="Q186" s="467"/>
      <c r="R186" s="467"/>
      <c r="S186" s="467"/>
      <c r="T186" s="467"/>
      <c r="U186" s="467"/>
      <c r="V186" s="467"/>
      <c r="W186" s="467"/>
      <c r="X186" s="467"/>
      <c r="Y186" s="467"/>
      <c r="Z186" s="467"/>
      <c r="AA186" s="467"/>
      <c r="AB186" s="467"/>
      <c r="AC186" s="467"/>
      <c r="AD186" s="467"/>
      <c r="AE186" s="467"/>
      <c r="AF186" s="467"/>
      <c r="AG186" s="467"/>
      <c r="AH186" s="467"/>
      <c r="AI186" s="467"/>
      <c r="AJ186" s="467"/>
      <c r="AK186" s="467"/>
      <c r="AL186" s="467"/>
      <c r="AM186" s="467"/>
      <c r="AN186" s="467"/>
      <c r="AO186" s="467"/>
      <c r="AP186" s="467"/>
      <c r="AQ186" s="467"/>
      <c r="AR186" s="467"/>
      <c r="AS186" s="467"/>
      <c r="AT186" s="467"/>
      <c r="AU186" s="467"/>
      <c r="AV186" s="467"/>
      <c r="AW186" s="467"/>
      <c r="AX186" s="467"/>
      <c r="AY186" s="467"/>
      <c r="AZ186" s="467"/>
      <c r="BA186" s="467"/>
      <c r="BB186" s="467"/>
      <c r="BC186" s="467"/>
      <c r="BD186" s="467"/>
      <c r="BE186" s="467"/>
      <c r="BF186" s="467"/>
      <c r="BG186" s="467"/>
      <c r="BH186" s="467"/>
      <c r="BI186" s="467"/>
      <c r="BJ186" s="467"/>
      <c r="BK186" s="467"/>
      <c r="BL186" s="467"/>
    </row>
    <row r="187" customFormat="false" ht="12.75" hidden="false" customHeight="false" outlineLevel="0" collapsed="false">
      <c r="A187" s="464" t="n">
        <f aca="false">EOMONTH(A186,0)+1</f>
        <v>42064</v>
      </c>
      <c r="B187" s="467" t="n">
        <v>0.072272825458798</v>
      </c>
      <c r="C187" s="467" t="n">
        <v>3.863</v>
      </c>
      <c r="D187" s="467" t="n">
        <v>0.15</v>
      </c>
      <c r="E187" s="467" t="n">
        <v>0.005</v>
      </c>
      <c r="F187" s="467" t="n">
        <v>0.005</v>
      </c>
      <c r="G187" s="467" t="n">
        <v>0</v>
      </c>
      <c r="H187" s="467"/>
      <c r="I187" s="467"/>
      <c r="J187" s="467"/>
      <c r="K187" s="467"/>
      <c r="L187" s="467"/>
      <c r="M187" s="467"/>
      <c r="N187" s="467"/>
      <c r="O187" s="467"/>
      <c r="P187" s="467"/>
      <c r="Q187" s="467"/>
      <c r="R187" s="467"/>
      <c r="S187" s="467"/>
      <c r="T187" s="467"/>
      <c r="U187" s="467"/>
      <c r="V187" s="467"/>
      <c r="W187" s="467"/>
      <c r="X187" s="467"/>
      <c r="Y187" s="467"/>
      <c r="Z187" s="467"/>
      <c r="AA187" s="467"/>
      <c r="AB187" s="467"/>
      <c r="AC187" s="467"/>
      <c r="AD187" s="467"/>
      <c r="AE187" s="467"/>
      <c r="AF187" s="467"/>
      <c r="AG187" s="467"/>
      <c r="AH187" s="467"/>
      <c r="AI187" s="467"/>
      <c r="AJ187" s="467"/>
      <c r="AK187" s="467"/>
      <c r="AL187" s="467"/>
      <c r="AM187" s="467"/>
      <c r="AN187" s="467"/>
      <c r="AO187" s="467"/>
      <c r="AP187" s="467"/>
      <c r="AQ187" s="467"/>
      <c r="AR187" s="467"/>
      <c r="AS187" s="467"/>
      <c r="AT187" s="467"/>
      <c r="AU187" s="467"/>
      <c r="AV187" s="467"/>
      <c r="AW187" s="467"/>
      <c r="AX187" s="467"/>
      <c r="AY187" s="467"/>
      <c r="AZ187" s="467"/>
      <c r="BA187" s="467"/>
      <c r="BB187" s="467"/>
      <c r="BC187" s="467"/>
      <c r="BD187" s="467"/>
      <c r="BE187" s="467"/>
      <c r="BF187" s="467"/>
      <c r="BG187" s="467"/>
      <c r="BH187" s="467"/>
      <c r="BI187" s="467"/>
      <c r="BJ187" s="467"/>
      <c r="BK187" s="467"/>
      <c r="BL187" s="467"/>
    </row>
    <row r="188" customFormat="false" ht="12.75" hidden="false" customHeight="false" outlineLevel="0" collapsed="false">
      <c r="A188" s="464" t="n">
        <f aca="false">EOMONTH(A187,0)+1</f>
        <v>42095</v>
      </c>
      <c r="B188" s="467" t="n">
        <v>0.072272496796475</v>
      </c>
      <c r="C188" s="467" t="n">
        <v>3.759</v>
      </c>
      <c r="D188" s="467" t="n">
        <v>0.15</v>
      </c>
      <c r="E188" s="467" t="n">
        <v>0.005</v>
      </c>
      <c r="F188" s="467" t="n">
        <v>0.005</v>
      </c>
      <c r="G188" s="467" t="n">
        <v>0</v>
      </c>
      <c r="H188" s="467"/>
      <c r="I188" s="467"/>
      <c r="J188" s="467"/>
      <c r="K188" s="467"/>
      <c r="L188" s="467"/>
      <c r="M188" s="467"/>
      <c r="N188" s="467"/>
      <c r="O188" s="467"/>
      <c r="P188" s="467"/>
      <c r="Q188" s="467"/>
      <c r="R188" s="467"/>
      <c r="S188" s="467"/>
      <c r="T188" s="467"/>
      <c r="U188" s="467"/>
      <c r="V188" s="467"/>
      <c r="W188" s="467"/>
      <c r="X188" s="467"/>
      <c r="Y188" s="467"/>
      <c r="Z188" s="467"/>
      <c r="AA188" s="467"/>
      <c r="AB188" s="467"/>
      <c r="AC188" s="467"/>
      <c r="AD188" s="467"/>
      <c r="AE188" s="467"/>
      <c r="AF188" s="467"/>
      <c r="AG188" s="467"/>
      <c r="AH188" s="467"/>
      <c r="AI188" s="467"/>
      <c r="AJ188" s="467"/>
      <c r="AK188" s="467"/>
      <c r="AL188" s="467"/>
      <c r="AM188" s="467"/>
      <c r="AN188" s="467"/>
      <c r="AO188" s="467"/>
      <c r="AP188" s="467"/>
      <c r="AQ188" s="467"/>
      <c r="AR188" s="467"/>
      <c r="AS188" s="467"/>
      <c r="AT188" s="467"/>
      <c r="AU188" s="467"/>
      <c r="AV188" s="467"/>
      <c r="AW188" s="467"/>
      <c r="AX188" s="467"/>
      <c r="AY188" s="467"/>
      <c r="AZ188" s="467"/>
      <c r="BA188" s="467"/>
      <c r="BB188" s="467"/>
      <c r="BC188" s="467"/>
      <c r="BD188" s="467"/>
      <c r="BE188" s="467"/>
      <c r="BF188" s="467"/>
      <c r="BG188" s="467"/>
      <c r="BH188" s="467"/>
      <c r="BI188" s="467"/>
      <c r="BJ188" s="467"/>
      <c r="BK188" s="467"/>
      <c r="BL188" s="467"/>
    </row>
    <row r="189" customFormat="false" ht="12.75" hidden="false" customHeight="false" outlineLevel="0" collapsed="false">
      <c r="A189" s="464" t="n">
        <f aca="false">EOMONTH(A188,0)+1</f>
        <v>42125</v>
      </c>
      <c r="B189" s="467" t="n">
        <v>0.072272178736162</v>
      </c>
      <c r="C189" s="467" t="n">
        <v>3.756</v>
      </c>
      <c r="D189" s="467" t="n">
        <v>0.15</v>
      </c>
      <c r="E189" s="467" t="n">
        <v>0.005</v>
      </c>
      <c r="F189" s="467" t="n">
        <v>0.005</v>
      </c>
      <c r="G189" s="467" t="n">
        <v>0</v>
      </c>
      <c r="H189" s="467"/>
      <c r="I189" s="467"/>
      <c r="J189" s="467"/>
      <c r="K189" s="467"/>
      <c r="L189" s="467"/>
      <c r="M189" s="467"/>
      <c r="N189" s="467"/>
      <c r="O189" s="467"/>
      <c r="P189" s="467"/>
      <c r="Q189" s="467"/>
      <c r="R189" s="467"/>
      <c r="S189" s="467"/>
      <c r="T189" s="467"/>
      <c r="U189" s="467"/>
      <c r="V189" s="467"/>
      <c r="W189" s="467"/>
      <c r="X189" s="467"/>
      <c r="Y189" s="467"/>
      <c r="Z189" s="467"/>
      <c r="AA189" s="467"/>
      <c r="AB189" s="467"/>
      <c r="AC189" s="467"/>
      <c r="AD189" s="467"/>
      <c r="AE189" s="467"/>
      <c r="AF189" s="467"/>
      <c r="AG189" s="467"/>
      <c r="AH189" s="467"/>
      <c r="AI189" s="467"/>
      <c r="AJ189" s="467"/>
      <c r="AK189" s="467"/>
      <c r="AL189" s="467"/>
      <c r="AM189" s="467"/>
      <c r="AN189" s="467"/>
      <c r="AO189" s="467"/>
      <c r="AP189" s="467"/>
      <c r="AQ189" s="467"/>
      <c r="AR189" s="467"/>
      <c r="AS189" s="467"/>
      <c r="AT189" s="467"/>
      <c r="AU189" s="467"/>
      <c r="AV189" s="467"/>
      <c r="AW189" s="467"/>
      <c r="AX189" s="467"/>
      <c r="AY189" s="467"/>
      <c r="AZ189" s="467"/>
      <c r="BA189" s="467"/>
      <c r="BB189" s="467"/>
      <c r="BC189" s="467"/>
      <c r="BD189" s="467"/>
      <c r="BE189" s="467"/>
      <c r="BF189" s="467"/>
      <c r="BG189" s="467"/>
      <c r="BH189" s="467"/>
      <c r="BI189" s="467"/>
      <c r="BJ189" s="467"/>
      <c r="BK189" s="467"/>
      <c r="BL189" s="467"/>
    </row>
    <row r="190" customFormat="false" ht="12.75" hidden="false" customHeight="false" outlineLevel="0" collapsed="false">
      <c r="A190" s="464" t="n">
        <f aca="false">EOMONTH(A189,0)+1</f>
        <v>42156</v>
      </c>
      <c r="B190" s="467" t="n">
        <v>0.072271850073839</v>
      </c>
      <c r="C190" s="467" t="n">
        <v>3.798</v>
      </c>
      <c r="D190" s="467" t="n">
        <v>0.15</v>
      </c>
      <c r="E190" s="467" t="n">
        <v>0.005</v>
      </c>
      <c r="F190" s="467" t="n">
        <v>0.005</v>
      </c>
      <c r="G190" s="467" t="n">
        <v>0</v>
      </c>
      <c r="H190" s="467"/>
      <c r="I190" s="467"/>
      <c r="J190" s="467"/>
      <c r="K190" s="467"/>
      <c r="L190" s="467"/>
      <c r="M190" s="467"/>
      <c r="N190" s="467"/>
      <c r="O190" s="467"/>
      <c r="P190" s="467"/>
      <c r="Q190" s="467"/>
      <c r="R190" s="467"/>
      <c r="S190" s="467"/>
      <c r="T190" s="467"/>
      <c r="U190" s="467"/>
      <c r="V190" s="467"/>
      <c r="W190" s="467"/>
      <c r="X190" s="467"/>
      <c r="Y190" s="467"/>
      <c r="Z190" s="467"/>
      <c r="AA190" s="467"/>
      <c r="AB190" s="467"/>
      <c r="AC190" s="467"/>
      <c r="AD190" s="467"/>
      <c r="AE190" s="467"/>
      <c r="AF190" s="467"/>
      <c r="AG190" s="467"/>
      <c r="AH190" s="467"/>
      <c r="AI190" s="467"/>
      <c r="AJ190" s="467"/>
      <c r="AK190" s="467"/>
      <c r="AL190" s="467"/>
      <c r="AM190" s="467"/>
      <c r="AN190" s="467"/>
      <c r="AO190" s="467"/>
      <c r="AP190" s="467"/>
      <c r="AQ190" s="467"/>
      <c r="AR190" s="467"/>
      <c r="AS190" s="467"/>
      <c r="AT190" s="467"/>
      <c r="AU190" s="467"/>
      <c r="AV190" s="467"/>
      <c r="AW190" s="467"/>
      <c r="AX190" s="467"/>
      <c r="AY190" s="467"/>
      <c r="AZ190" s="467"/>
      <c r="BA190" s="467"/>
      <c r="BB190" s="467"/>
      <c r="BC190" s="467"/>
      <c r="BD190" s="467"/>
      <c r="BE190" s="467"/>
      <c r="BF190" s="467"/>
      <c r="BG190" s="467"/>
      <c r="BH190" s="467"/>
      <c r="BI190" s="467"/>
      <c r="BJ190" s="467"/>
      <c r="BK190" s="467"/>
      <c r="BL190" s="467"/>
    </row>
    <row r="191" customFormat="false" ht="12.75" hidden="false" customHeight="false" outlineLevel="0" collapsed="false">
      <c r="A191" s="464" t="n">
        <f aca="false">EOMONTH(A190,0)+1</f>
        <v>42186</v>
      </c>
      <c r="B191" s="467" t="n">
        <v>0.072271532013526</v>
      </c>
      <c r="C191" s="467" t="n">
        <v>3.798</v>
      </c>
      <c r="D191" s="467" t="n">
        <v>0.15</v>
      </c>
      <c r="E191" s="467" t="n">
        <v>0.005</v>
      </c>
      <c r="F191" s="467" t="n">
        <v>0.005</v>
      </c>
      <c r="G191" s="467" t="n">
        <v>0</v>
      </c>
      <c r="H191" s="467"/>
      <c r="I191" s="467"/>
      <c r="J191" s="467"/>
      <c r="K191" s="467"/>
      <c r="L191" s="467"/>
      <c r="M191" s="467"/>
      <c r="N191" s="467"/>
      <c r="O191" s="467"/>
      <c r="P191" s="467"/>
      <c r="Q191" s="467"/>
      <c r="R191" s="467"/>
      <c r="S191" s="467"/>
      <c r="T191" s="467"/>
      <c r="U191" s="467"/>
      <c r="V191" s="467"/>
      <c r="W191" s="467"/>
      <c r="X191" s="467"/>
      <c r="Y191" s="467"/>
      <c r="Z191" s="467"/>
      <c r="AA191" s="467"/>
      <c r="AB191" s="467"/>
      <c r="AC191" s="467"/>
      <c r="AD191" s="467"/>
      <c r="AE191" s="467"/>
      <c r="AF191" s="467"/>
      <c r="AG191" s="467"/>
      <c r="AH191" s="467"/>
      <c r="AI191" s="467"/>
      <c r="AJ191" s="467"/>
      <c r="AK191" s="467"/>
      <c r="AL191" s="467"/>
      <c r="AM191" s="467"/>
      <c r="AN191" s="467"/>
      <c r="AO191" s="467"/>
      <c r="AP191" s="467"/>
      <c r="AQ191" s="467"/>
      <c r="AR191" s="467"/>
      <c r="AS191" s="467"/>
      <c r="AT191" s="467"/>
      <c r="AU191" s="467"/>
      <c r="AV191" s="467"/>
      <c r="AW191" s="467"/>
      <c r="AX191" s="467"/>
      <c r="AY191" s="467"/>
      <c r="AZ191" s="467"/>
      <c r="BA191" s="467"/>
      <c r="BB191" s="467"/>
      <c r="BC191" s="467"/>
      <c r="BD191" s="467"/>
      <c r="BE191" s="467"/>
      <c r="BF191" s="467"/>
      <c r="BG191" s="467"/>
      <c r="BH191" s="467"/>
      <c r="BI191" s="467"/>
      <c r="BJ191" s="467"/>
      <c r="BK191" s="467"/>
      <c r="BL191" s="467"/>
    </row>
    <row r="192" customFormat="false" ht="12.75" hidden="false" customHeight="false" outlineLevel="0" collapsed="false">
      <c r="A192" s="464" t="n">
        <f aca="false">EOMONTH(A191,0)+1</f>
        <v>42217</v>
      </c>
      <c r="B192" s="467" t="n">
        <v>0.072271203351204</v>
      </c>
      <c r="C192" s="467" t="n">
        <v>3.858</v>
      </c>
      <c r="D192" s="467" t="n">
        <v>0.15</v>
      </c>
      <c r="E192" s="467" t="n">
        <v>0.005</v>
      </c>
      <c r="F192" s="467" t="n">
        <v>0.005</v>
      </c>
      <c r="G192" s="467" t="n">
        <v>0</v>
      </c>
      <c r="H192" s="467"/>
      <c r="I192" s="467"/>
      <c r="J192" s="467"/>
      <c r="K192" s="467"/>
      <c r="L192" s="467"/>
      <c r="M192" s="467"/>
      <c r="N192" s="467"/>
      <c r="O192" s="467"/>
      <c r="P192" s="467"/>
      <c r="Q192" s="467"/>
      <c r="R192" s="467"/>
      <c r="S192" s="467"/>
      <c r="T192" s="467"/>
      <c r="U192" s="467"/>
      <c r="V192" s="467"/>
      <c r="W192" s="467"/>
      <c r="X192" s="467"/>
      <c r="Y192" s="467"/>
      <c r="Z192" s="467"/>
      <c r="AA192" s="467"/>
      <c r="AB192" s="467"/>
      <c r="AC192" s="467"/>
      <c r="AD192" s="467"/>
      <c r="AE192" s="467"/>
      <c r="AF192" s="467"/>
      <c r="AG192" s="467"/>
      <c r="AH192" s="467"/>
      <c r="AI192" s="467"/>
      <c r="AJ192" s="467"/>
      <c r="AK192" s="467"/>
      <c r="AL192" s="467"/>
      <c r="AM192" s="467"/>
      <c r="AN192" s="467"/>
      <c r="AO192" s="467"/>
      <c r="AP192" s="467"/>
      <c r="AQ192" s="467"/>
      <c r="AR192" s="467"/>
      <c r="AS192" s="467"/>
      <c r="AT192" s="467"/>
      <c r="AU192" s="467"/>
      <c r="AV192" s="467"/>
      <c r="AW192" s="467"/>
      <c r="AX192" s="467"/>
      <c r="AY192" s="467"/>
      <c r="AZ192" s="467"/>
      <c r="BA192" s="467"/>
      <c r="BB192" s="467"/>
      <c r="BC192" s="467"/>
      <c r="BD192" s="467"/>
      <c r="BE192" s="467"/>
      <c r="BF192" s="467"/>
      <c r="BG192" s="467"/>
      <c r="BH192" s="467"/>
      <c r="BI192" s="467"/>
      <c r="BJ192" s="467"/>
      <c r="BK192" s="467"/>
      <c r="BL192" s="467"/>
    </row>
    <row r="193" customFormat="false" ht="12.75" hidden="false" customHeight="false" outlineLevel="0" collapsed="false">
      <c r="A193" s="464" t="n">
        <f aca="false">EOMONTH(A192,0)+1</f>
        <v>42248</v>
      </c>
      <c r="B193" s="467" t="n">
        <v>0.072270874688881</v>
      </c>
      <c r="C193" s="467" t="n">
        <v>3.836</v>
      </c>
      <c r="D193" s="467" t="n">
        <v>0.15</v>
      </c>
      <c r="E193" s="467" t="n">
        <v>0.005</v>
      </c>
      <c r="F193" s="467" t="n">
        <v>0.005</v>
      </c>
      <c r="G193" s="467" t="n">
        <v>0</v>
      </c>
      <c r="H193" s="467"/>
      <c r="I193" s="467"/>
      <c r="J193" s="467"/>
      <c r="K193" s="467"/>
      <c r="L193" s="467"/>
      <c r="M193" s="467"/>
      <c r="N193" s="467"/>
      <c r="O193" s="467"/>
      <c r="P193" s="467"/>
      <c r="Q193" s="467"/>
      <c r="R193" s="467"/>
      <c r="S193" s="467"/>
      <c r="T193" s="467"/>
      <c r="U193" s="467"/>
      <c r="V193" s="467"/>
      <c r="W193" s="467"/>
      <c r="X193" s="467"/>
      <c r="Y193" s="467"/>
      <c r="Z193" s="467"/>
      <c r="AA193" s="467"/>
      <c r="AB193" s="467"/>
      <c r="AC193" s="467"/>
      <c r="AD193" s="467"/>
      <c r="AE193" s="467"/>
      <c r="AF193" s="467"/>
      <c r="AG193" s="467"/>
      <c r="AH193" s="467"/>
      <c r="AI193" s="467"/>
      <c r="AJ193" s="467"/>
      <c r="AK193" s="467"/>
      <c r="AL193" s="467"/>
      <c r="AM193" s="467"/>
      <c r="AN193" s="467"/>
      <c r="AO193" s="467"/>
      <c r="AP193" s="467"/>
      <c r="AQ193" s="467"/>
      <c r="AR193" s="467"/>
      <c r="AS193" s="467"/>
      <c r="AT193" s="467"/>
      <c r="AU193" s="467"/>
      <c r="AV193" s="467"/>
      <c r="AW193" s="467"/>
      <c r="AX193" s="467"/>
      <c r="AY193" s="467"/>
      <c r="AZ193" s="467"/>
      <c r="BA193" s="467"/>
      <c r="BB193" s="467"/>
      <c r="BC193" s="467"/>
      <c r="BD193" s="467"/>
      <c r="BE193" s="467"/>
      <c r="BF193" s="467"/>
      <c r="BG193" s="467"/>
      <c r="BH193" s="467"/>
      <c r="BI193" s="467"/>
      <c r="BJ193" s="467"/>
      <c r="BK193" s="467"/>
      <c r="BL193" s="467"/>
    </row>
    <row r="194" customFormat="false" ht="12.75" hidden="false" customHeight="false" outlineLevel="0" collapsed="false">
      <c r="A194" s="464" t="n">
        <f aca="false">EOMONTH(A193,0)+1</f>
        <v>42278</v>
      </c>
      <c r="B194" s="467" t="n">
        <v>0.072270556628569</v>
      </c>
      <c r="C194" s="467" t="n">
        <v>3.844</v>
      </c>
      <c r="D194" s="467" t="n">
        <v>0.15</v>
      </c>
      <c r="E194" s="467" t="n">
        <v>0.005</v>
      </c>
      <c r="F194" s="467" t="n">
        <v>0.005</v>
      </c>
      <c r="G194" s="467" t="n">
        <v>0</v>
      </c>
      <c r="H194" s="467"/>
      <c r="I194" s="467"/>
      <c r="J194" s="467"/>
      <c r="K194" s="467"/>
      <c r="L194" s="467"/>
      <c r="M194" s="467"/>
      <c r="N194" s="467"/>
      <c r="O194" s="467"/>
      <c r="P194" s="467"/>
      <c r="Q194" s="467"/>
      <c r="R194" s="467"/>
      <c r="S194" s="467"/>
      <c r="T194" s="467"/>
      <c r="U194" s="467"/>
      <c r="V194" s="467"/>
      <c r="W194" s="467"/>
      <c r="X194" s="467"/>
      <c r="Y194" s="467"/>
      <c r="Z194" s="467"/>
      <c r="AA194" s="467"/>
      <c r="AB194" s="467"/>
      <c r="AC194" s="467"/>
      <c r="AD194" s="467"/>
      <c r="AE194" s="467"/>
      <c r="AF194" s="467"/>
      <c r="AG194" s="467"/>
      <c r="AH194" s="467"/>
      <c r="AI194" s="467"/>
      <c r="AJ194" s="467"/>
      <c r="AK194" s="467"/>
      <c r="AL194" s="467"/>
      <c r="AM194" s="467"/>
      <c r="AN194" s="467"/>
      <c r="AO194" s="467"/>
      <c r="AP194" s="467"/>
      <c r="AQ194" s="467"/>
      <c r="AR194" s="467"/>
      <c r="AS194" s="467"/>
      <c r="AT194" s="467"/>
      <c r="AU194" s="467"/>
      <c r="AV194" s="467"/>
      <c r="AW194" s="467"/>
      <c r="AX194" s="467"/>
      <c r="AY194" s="467"/>
      <c r="AZ194" s="467"/>
      <c r="BA194" s="467"/>
      <c r="BB194" s="467"/>
      <c r="BC194" s="467"/>
      <c r="BD194" s="467"/>
      <c r="BE194" s="467"/>
      <c r="BF194" s="467"/>
      <c r="BG194" s="467"/>
      <c r="BH194" s="467"/>
      <c r="BI194" s="467"/>
      <c r="BJ194" s="467"/>
      <c r="BK194" s="467"/>
      <c r="BL194" s="467"/>
    </row>
    <row r="195" customFormat="false" ht="12.75" hidden="false" customHeight="false" outlineLevel="0" collapsed="false">
      <c r="A195" s="464" t="n">
        <f aca="false">EOMONTH(A194,0)+1</f>
        <v>42309</v>
      </c>
      <c r="B195" s="467" t="n">
        <v>0.072270227966245</v>
      </c>
      <c r="C195" s="467" t="n">
        <v>3.893</v>
      </c>
      <c r="D195" s="467" t="n">
        <v>0.15</v>
      </c>
      <c r="E195" s="467" t="n">
        <v>0.005</v>
      </c>
      <c r="F195" s="467" t="n">
        <v>0.005</v>
      </c>
      <c r="G195" s="467" t="n">
        <v>0</v>
      </c>
      <c r="H195" s="467"/>
      <c r="I195" s="467"/>
      <c r="J195" s="467"/>
      <c r="K195" s="467"/>
      <c r="L195" s="467"/>
      <c r="M195" s="467"/>
      <c r="N195" s="467"/>
      <c r="O195" s="467"/>
      <c r="P195" s="467"/>
      <c r="Q195" s="467"/>
      <c r="R195" s="467"/>
      <c r="S195" s="467"/>
      <c r="T195" s="467"/>
      <c r="U195" s="467"/>
      <c r="V195" s="467"/>
      <c r="W195" s="467"/>
      <c r="X195" s="467"/>
      <c r="Y195" s="467"/>
      <c r="Z195" s="467"/>
      <c r="AA195" s="467"/>
      <c r="AB195" s="467"/>
      <c r="AC195" s="467"/>
      <c r="AD195" s="467"/>
      <c r="AE195" s="467"/>
      <c r="AF195" s="467"/>
      <c r="AG195" s="467"/>
      <c r="AH195" s="467"/>
      <c r="AI195" s="467"/>
      <c r="AJ195" s="467"/>
      <c r="AK195" s="467"/>
      <c r="AL195" s="467"/>
      <c r="AM195" s="467"/>
      <c r="AN195" s="467"/>
      <c r="AO195" s="467"/>
      <c r="AP195" s="467"/>
      <c r="AQ195" s="467"/>
      <c r="AR195" s="467"/>
      <c r="AS195" s="467"/>
      <c r="AT195" s="467"/>
      <c r="AU195" s="467"/>
      <c r="AV195" s="467"/>
      <c r="AW195" s="467"/>
      <c r="AX195" s="467"/>
      <c r="AY195" s="467"/>
      <c r="AZ195" s="467"/>
      <c r="BA195" s="467"/>
      <c r="BB195" s="467"/>
      <c r="BC195" s="467"/>
      <c r="BD195" s="467"/>
      <c r="BE195" s="467"/>
      <c r="BF195" s="467"/>
      <c r="BG195" s="467"/>
      <c r="BH195" s="467"/>
      <c r="BI195" s="467"/>
      <c r="BJ195" s="467"/>
      <c r="BK195" s="467"/>
      <c r="BL195" s="467"/>
    </row>
    <row r="196" customFormat="false" ht="12.75" hidden="false" customHeight="false" outlineLevel="0" collapsed="false">
      <c r="A196" s="464" t="n">
        <f aca="false">EOMONTH(A195,0)+1</f>
        <v>42339</v>
      </c>
      <c r="B196" s="467" t="n">
        <v>0.072269909905933</v>
      </c>
      <c r="C196" s="467" t="n">
        <v>3.962</v>
      </c>
      <c r="D196" s="467" t="n">
        <v>0.15</v>
      </c>
      <c r="E196" s="467" t="n">
        <v>0.005</v>
      </c>
      <c r="F196" s="467" t="n">
        <v>0.005</v>
      </c>
      <c r="G196" s="467" t="n">
        <v>0</v>
      </c>
      <c r="H196" s="467"/>
      <c r="I196" s="467"/>
      <c r="J196" s="467"/>
      <c r="K196" s="467"/>
      <c r="L196" s="467"/>
      <c r="M196" s="467"/>
      <c r="N196" s="467"/>
      <c r="O196" s="467"/>
      <c r="P196" s="467"/>
      <c r="Q196" s="467"/>
      <c r="R196" s="467"/>
      <c r="S196" s="467"/>
      <c r="T196" s="467"/>
      <c r="U196" s="467"/>
      <c r="V196" s="467"/>
      <c r="W196" s="467"/>
      <c r="X196" s="467"/>
      <c r="Y196" s="467"/>
      <c r="Z196" s="467"/>
      <c r="AA196" s="467"/>
      <c r="AB196" s="467"/>
      <c r="AC196" s="467"/>
      <c r="AD196" s="467"/>
      <c r="AE196" s="467"/>
      <c r="AF196" s="467"/>
      <c r="AG196" s="467"/>
      <c r="AH196" s="467"/>
      <c r="AI196" s="467"/>
      <c r="AJ196" s="467"/>
      <c r="AK196" s="467"/>
      <c r="AL196" s="467"/>
      <c r="AM196" s="467"/>
      <c r="AN196" s="467"/>
      <c r="AO196" s="467"/>
      <c r="AP196" s="467"/>
      <c r="AQ196" s="467"/>
      <c r="AR196" s="467"/>
      <c r="AS196" s="467"/>
      <c r="AT196" s="467"/>
      <c r="AU196" s="467"/>
      <c r="AV196" s="467"/>
      <c r="AW196" s="467"/>
      <c r="AX196" s="467"/>
      <c r="AY196" s="467"/>
      <c r="AZ196" s="467"/>
      <c r="BA196" s="467"/>
      <c r="BB196" s="467"/>
      <c r="BC196" s="467"/>
      <c r="BD196" s="467"/>
      <c r="BE196" s="467"/>
      <c r="BF196" s="467"/>
      <c r="BG196" s="467"/>
      <c r="BH196" s="467"/>
      <c r="BI196" s="467"/>
      <c r="BJ196" s="467"/>
      <c r="BK196" s="467"/>
      <c r="BL196" s="467"/>
    </row>
    <row r="197" customFormat="false" ht="12.75" hidden="false" customHeight="false" outlineLevel="0" collapsed="false">
      <c r="A197" s="464" t="n">
        <f aca="false">EOMONTH(A196,0)+1</f>
        <v>42370</v>
      </c>
      <c r="B197" s="467" t="n">
        <v>0.07226958124361</v>
      </c>
      <c r="C197" s="467" t="n">
        <v>4.156</v>
      </c>
      <c r="D197" s="467" t="n">
        <v>0.15</v>
      </c>
      <c r="E197" s="467" t="n">
        <v>0.005</v>
      </c>
      <c r="F197" s="467" t="n">
        <v>0.005</v>
      </c>
      <c r="G197" s="467" t="n">
        <v>0</v>
      </c>
      <c r="H197" s="467"/>
      <c r="I197" s="467"/>
      <c r="J197" s="467"/>
      <c r="K197" s="467"/>
      <c r="L197" s="467"/>
      <c r="M197" s="467"/>
      <c r="N197" s="467"/>
      <c r="O197" s="467"/>
      <c r="P197" s="467"/>
      <c r="Q197" s="467"/>
      <c r="R197" s="467"/>
      <c r="S197" s="467"/>
      <c r="T197" s="467"/>
      <c r="U197" s="467"/>
      <c r="V197" s="467"/>
      <c r="W197" s="467"/>
      <c r="X197" s="467"/>
      <c r="Y197" s="467"/>
      <c r="Z197" s="467"/>
      <c r="AA197" s="467"/>
      <c r="AB197" s="467"/>
      <c r="AC197" s="467"/>
      <c r="AD197" s="467"/>
      <c r="AE197" s="467"/>
      <c r="AF197" s="467"/>
      <c r="AG197" s="467"/>
      <c r="AH197" s="467"/>
      <c r="AI197" s="467"/>
      <c r="AJ197" s="467"/>
      <c r="AK197" s="467"/>
      <c r="AL197" s="467"/>
      <c r="AM197" s="467"/>
      <c r="AN197" s="467"/>
      <c r="AO197" s="467"/>
      <c r="AP197" s="467"/>
      <c r="AQ197" s="467"/>
      <c r="AR197" s="467"/>
      <c r="AS197" s="467"/>
      <c r="AT197" s="467"/>
      <c r="AU197" s="467"/>
      <c r="AV197" s="467"/>
      <c r="AW197" s="467"/>
      <c r="AX197" s="467"/>
      <c r="AY197" s="467"/>
      <c r="AZ197" s="467"/>
      <c r="BA197" s="467"/>
      <c r="BB197" s="467"/>
      <c r="BC197" s="467"/>
      <c r="BD197" s="467"/>
      <c r="BE197" s="467"/>
      <c r="BF197" s="467"/>
      <c r="BG197" s="467"/>
      <c r="BH197" s="467"/>
      <c r="BI197" s="467"/>
      <c r="BJ197" s="467"/>
      <c r="BK197" s="467"/>
      <c r="BL197" s="467"/>
    </row>
    <row r="198" customFormat="false" ht="12.75" hidden="false" customHeight="false" outlineLevel="0" collapsed="false">
      <c r="A198" s="464" t="n">
        <f aca="false">EOMONTH(A197,0)+1</f>
        <v>42401</v>
      </c>
      <c r="B198" s="467" t="n">
        <v>0.072269252581288</v>
      </c>
      <c r="C198" s="467" t="n">
        <v>4.078</v>
      </c>
      <c r="D198" s="467" t="n">
        <v>0.15</v>
      </c>
      <c r="E198" s="467" t="n">
        <v>0.005</v>
      </c>
      <c r="F198" s="467" t="n">
        <v>0.005</v>
      </c>
      <c r="G198" s="467" t="n">
        <v>0</v>
      </c>
      <c r="H198" s="467"/>
      <c r="I198" s="467"/>
      <c r="J198" s="467"/>
      <c r="K198" s="467"/>
      <c r="L198" s="467"/>
      <c r="M198" s="467"/>
      <c r="N198" s="467"/>
      <c r="O198" s="467"/>
      <c r="P198" s="467"/>
      <c r="Q198" s="467"/>
      <c r="R198" s="467"/>
      <c r="S198" s="467"/>
      <c r="T198" s="467"/>
      <c r="U198" s="467"/>
      <c r="V198" s="467"/>
      <c r="W198" s="467"/>
      <c r="X198" s="467"/>
      <c r="Y198" s="467"/>
      <c r="Z198" s="467"/>
      <c r="AA198" s="467"/>
      <c r="AB198" s="467"/>
      <c r="AC198" s="467"/>
      <c r="AD198" s="467"/>
      <c r="AE198" s="467"/>
      <c r="AF198" s="467"/>
      <c r="AG198" s="467"/>
      <c r="AH198" s="467"/>
      <c r="AI198" s="467"/>
      <c r="AJ198" s="467"/>
      <c r="AK198" s="467"/>
      <c r="AL198" s="467"/>
      <c r="AM198" s="467"/>
      <c r="AN198" s="467"/>
      <c r="AO198" s="467"/>
      <c r="AP198" s="467"/>
      <c r="AQ198" s="467"/>
      <c r="AR198" s="467"/>
      <c r="AS198" s="467"/>
      <c r="AT198" s="467"/>
      <c r="AU198" s="467"/>
      <c r="AV198" s="467"/>
      <c r="AW198" s="467"/>
      <c r="AX198" s="467"/>
      <c r="AY198" s="467"/>
      <c r="AZ198" s="467"/>
      <c r="BA198" s="467"/>
      <c r="BB198" s="467"/>
      <c r="BC198" s="467"/>
      <c r="BD198" s="467"/>
      <c r="BE198" s="467"/>
      <c r="BF198" s="467"/>
      <c r="BG198" s="467"/>
      <c r="BH198" s="467"/>
      <c r="BI198" s="467"/>
      <c r="BJ198" s="467"/>
      <c r="BK198" s="467"/>
      <c r="BL198" s="467"/>
    </row>
    <row r="199" customFormat="false" ht="12.75" hidden="false" customHeight="false" outlineLevel="0" collapsed="false">
      <c r="A199" s="464" t="n">
        <f aca="false">EOMONTH(A198,0)+1</f>
        <v>42430</v>
      </c>
      <c r="B199" s="467" t="n">
        <v>0.072268945122986</v>
      </c>
      <c r="C199" s="467" t="n">
        <v>3.977</v>
      </c>
      <c r="D199" s="467" t="n">
        <v>0.15</v>
      </c>
      <c r="E199" s="467" t="n">
        <v>0.005</v>
      </c>
      <c r="F199" s="467" t="n">
        <v>0</v>
      </c>
      <c r="G199" s="467" t="n">
        <v>0</v>
      </c>
      <c r="H199" s="467"/>
      <c r="I199" s="467"/>
      <c r="J199" s="467"/>
      <c r="K199" s="467"/>
      <c r="L199" s="467"/>
      <c r="M199" s="467"/>
      <c r="N199" s="467"/>
      <c r="O199" s="467"/>
      <c r="P199" s="467"/>
      <c r="Q199" s="467"/>
      <c r="R199" s="467"/>
      <c r="S199" s="467"/>
      <c r="T199" s="467"/>
      <c r="U199" s="467"/>
      <c r="V199" s="467"/>
      <c r="W199" s="467"/>
      <c r="X199" s="467"/>
      <c r="Y199" s="467"/>
      <c r="Z199" s="467"/>
      <c r="AA199" s="467"/>
      <c r="AB199" s="467"/>
      <c r="AC199" s="467"/>
      <c r="AD199" s="467"/>
      <c r="AE199" s="467"/>
      <c r="AF199" s="467"/>
      <c r="AG199" s="467"/>
      <c r="AH199" s="467"/>
      <c r="AI199" s="467"/>
      <c r="AJ199" s="467"/>
      <c r="AK199" s="467"/>
      <c r="AL199" s="467"/>
      <c r="AM199" s="467"/>
      <c r="AN199" s="467"/>
      <c r="AO199" s="467"/>
      <c r="AP199" s="467"/>
      <c r="AQ199" s="467"/>
      <c r="AR199" s="467"/>
      <c r="AS199" s="467"/>
      <c r="AT199" s="467"/>
      <c r="AU199" s="467"/>
      <c r="AV199" s="467"/>
      <c r="AW199" s="467"/>
      <c r="AX199" s="467"/>
      <c r="AY199" s="467"/>
      <c r="AZ199" s="467"/>
      <c r="BA199" s="467"/>
      <c r="BB199" s="467"/>
      <c r="BC199" s="467"/>
      <c r="BD199" s="467"/>
      <c r="BE199" s="467"/>
      <c r="BF199" s="467"/>
      <c r="BG199" s="467"/>
      <c r="BH199" s="467"/>
      <c r="BI199" s="467"/>
      <c r="BJ199" s="467"/>
      <c r="BK199" s="467"/>
      <c r="BL199" s="467"/>
    </row>
    <row r="200" customFormat="false" ht="12.75" hidden="false" customHeight="false" outlineLevel="0" collapsed="false">
      <c r="A200" s="464" t="n">
        <f aca="false">EOMONTH(A199,0)+1</f>
        <v>42461</v>
      </c>
      <c r="B200" s="467" t="n">
        <v>0.072268616460663</v>
      </c>
      <c r="C200" s="467" t="n">
        <v>3.876</v>
      </c>
      <c r="D200" s="467" t="n">
        <v>0.15</v>
      </c>
      <c r="E200" s="467" t="n">
        <v>0.005</v>
      </c>
      <c r="F200" s="467" t="n">
        <v>0</v>
      </c>
      <c r="G200" s="467" t="n">
        <v>0</v>
      </c>
      <c r="H200" s="467"/>
      <c r="I200" s="467"/>
      <c r="J200" s="467"/>
      <c r="K200" s="467"/>
      <c r="L200" s="467"/>
      <c r="M200" s="467"/>
      <c r="N200" s="467"/>
      <c r="O200" s="467"/>
      <c r="P200" s="467"/>
      <c r="Q200" s="467"/>
      <c r="R200" s="467"/>
      <c r="S200" s="467"/>
      <c r="T200" s="467"/>
      <c r="U200" s="467"/>
      <c r="V200" s="467"/>
      <c r="W200" s="467"/>
      <c r="X200" s="467"/>
      <c r="Y200" s="467"/>
      <c r="Z200" s="467"/>
      <c r="AA200" s="467"/>
      <c r="AB200" s="467"/>
      <c r="AC200" s="467"/>
      <c r="AD200" s="467"/>
      <c r="AE200" s="467"/>
      <c r="AF200" s="467"/>
      <c r="AG200" s="467"/>
      <c r="AH200" s="467"/>
      <c r="AI200" s="467"/>
      <c r="AJ200" s="467"/>
      <c r="AK200" s="467"/>
      <c r="AL200" s="467"/>
      <c r="AM200" s="467"/>
      <c r="AN200" s="467"/>
      <c r="AO200" s="467"/>
      <c r="AP200" s="467"/>
      <c r="AQ200" s="467"/>
      <c r="AR200" s="467"/>
      <c r="AS200" s="467"/>
      <c r="AT200" s="467"/>
      <c r="AU200" s="467"/>
      <c r="AV200" s="467"/>
      <c r="AW200" s="467"/>
      <c r="AX200" s="467"/>
      <c r="AY200" s="467"/>
      <c r="AZ200" s="467"/>
      <c r="BA200" s="467"/>
      <c r="BB200" s="467"/>
      <c r="BC200" s="467"/>
      <c r="BD200" s="467"/>
      <c r="BE200" s="467"/>
      <c r="BF200" s="467"/>
      <c r="BG200" s="467"/>
      <c r="BH200" s="467"/>
      <c r="BI200" s="467"/>
      <c r="BJ200" s="467"/>
      <c r="BK200" s="467"/>
      <c r="BL200" s="467"/>
    </row>
    <row r="201" customFormat="false" ht="12.75" hidden="false" customHeight="false" outlineLevel="0" collapsed="false">
      <c r="A201" s="464" t="n">
        <f aca="false">EOMONTH(A200,0)+1</f>
        <v>42491</v>
      </c>
      <c r="B201" s="467" t="n">
        <v>0.072268298400351</v>
      </c>
      <c r="C201" s="467" t="n">
        <v>3.874</v>
      </c>
      <c r="D201" s="467" t="n">
        <v>0.15</v>
      </c>
      <c r="E201" s="467" t="n">
        <v>0.005</v>
      </c>
      <c r="F201" s="467" t="n">
        <v>0</v>
      </c>
      <c r="G201" s="467" t="n">
        <v>0</v>
      </c>
      <c r="H201" s="467"/>
      <c r="I201" s="467"/>
      <c r="J201" s="467"/>
      <c r="K201" s="467"/>
      <c r="L201" s="467"/>
      <c r="M201" s="467"/>
      <c r="N201" s="467"/>
      <c r="O201" s="467"/>
      <c r="P201" s="467"/>
      <c r="Q201" s="467"/>
      <c r="R201" s="467"/>
      <c r="S201" s="467"/>
      <c r="T201" s="467"/>
      <c r="U201" s="467"/>
      <c r="V201" s="467"/>
      <c r="W201" s="467"/>
      <c r="X201" s="467"/>
      <c r="Y201" s="467"/>
      <c r="Z201" s="467"/>
      <c r="AA201" s="467"/>
      <c r="AB201" s="467"/>
      <c r="AC201" s="467"/>
      <c r="AD201" s="467"/>
      <c r="AE201" s="467"/>
      <c r="AF201" s="467"/>
      <c r="AG201" s="467"/>
      <c r="AH201" s="467"/>
      <c r="AI201" s="467"/>
      <c r="AJ201" s="467"/>
      <c r="AK201" s="467"/>
      <c r="AL201" s="467"/>
      <c r="AM201" s="467"/>
      <c r="AN201" s="467"/>
      <c r="AO201" s="467"/>
      <c r="AP201" s="467"/>
      <c r="AQ201" s="467"/>
      <c r="AR201" s="467"/>
      <c r="AS201" s="467"/>
      <c r="AT201" s="467"/>
      <c r="AU201" s="467"/>
      <c r="AV201" s="467"/>
      <c r="AW201" s="467"/>
      <c r="AX201" s="467"/>
      <c r="AY201" s="467"/>
      <c r="AZ201" s="467"/>
      <c r="BA201" s="467"/>
      <c r="BB201" s="467"/>
      <c r="BC201" s="467"/>
      <c r="BD201" s="467"/>
      <c r="BE201" s="467"/>
      <c r="BF201" s="467"/>
      <c r="BG201" s="467"/>
      <c r="BH201" s="467"/>
      <c r="BI201" s="467"/>
      <c r="BJ201" s="467"/>
      <c r="BK201" s="467"/>
      <c r="BL201" s="467"/>
    </row>
    <row r="202" customFormat="false" ht="12.75" hidden="false" customHeight="false" outlineLevel="0" collapsed="false">
      <c r="A202" s="464" t="n">
        <f aca="false">EOMONTH(A201,0)+1</f>
        <v>42522</v>
      </c>
      <c r="B202" s="467" t="n">
        <v>0.072267969738028</v>
      </c>
      <c r="C202" s="467" t="n">
        <v>3.917</v>
      </c>
      <c r="D202" s="467" t="n">
        <v>0.15</v>
      </c>
      <c r="E202" s="467" t="n">
        <v>0.005</v>
      </c>
      <c r="F202" s="467" t="n">
        <v>0</v>
      </c>
      <c r="G202" s="467" t="n">
        <v>0</v>
      </c>
      <c r="H202" s="467"/>
      <c r="I202" s="467"/>
      <c r="J202" s="467"/>
      <c r="K202" s="467"/>
      <c r="L202" s="467"/>
      <c r="M202" s="467"/>
      <c r="N202" s="467"/>
      <c r="O202" s="467"/>
      <c r="P202" s="467"/>
      <c r="Q202" s="467"/>
      <c r="R202" s="467"/>
      <c r="S202" s="467"/>
      <c r="T202" s="467"/>
      <c r="U202" s="467"/>
      <c r="V202" s="467"/>
      <c r="W202" s="467"/>
      <c r="X202" s="467"/>
      <c r="Y202" s="467"/>
      <c r="Z202" s="467"/>
      <c r="AA202" s="467"/>
      <c r="AB202" s="467"/>
      <c r="AC202" s="467"/>
      <c r="AD202" s="467"/>
      <c r="AE202" s="467"/>
      <c r="AF202" s="467"/>
      <c r="AG202" s="467"/>
      <c r="AH202" s="467"/>
      <c r="AI202" s="467"/>
      <c r="AJ202" s="467"/>
      <c r="AK202" s="467"/>
      <c r="AL202" s="467"/>
      <c r="AM202" s="467"/>
      <c r="AN202" s="467"/>
      <c r="AO202" s="467"/>
      <c r="AP202" s="467"/>
      <c r="AQ202" s="467"/>
      <c r="AR202" s="467"/>
      <c r="AS202" s="467"/>
      <c r="AT202" s="467"/>
      <c r="AU202" s="467"/>
      <c r="AV202" s="467"/>
      <c r="AW202" s="467"/>
      <c r="AX202" s="467"/>
      <c r="AY202" s="467"/>
      <c r="AZ202" s="467"/>
      <c r="BA202" s="467"/>
      <c r="BB202" s="467"/>
      <c r="BC202" s="467"/>
      <c r="BD202" s="467"/>
      <c r="BE202" s="467"/>
      <c r="BF202" s="467"/>
      <c r="BG202" s="467"/>
      <c r="BH202" s="467"/>
      <c r="BI202" s="467"/>
      <c r="BJ202" s="467"/>
      <c r="BK202" s="467"/>
      <c r="BL202" s="467"/>
    </row>
    <row r="203" customFormat="false" ht="12.75" hidden="false" customHeight="false" outlineLevel="0" collapsed="false">
      <c r="A203" s="464" t="n">
        <f aca="false">EOMONTH(A202,0)+1</f>
        <v>42552</v>
      </c>
      <c r="B203" s="467" t="n">
        <v>0.072267651677717</v>
      </c>
      <c r="C203" s="467" t="n">
        <v>3.917</v>
      </c>
      <c r="D203" s="467" t="n">
        <v>0.15</v>
      </c>
      <c r="E203" s="467" t="n">
        <v>0.005</v>
      </c>
      <c r="F203" s="467" t="n">
        <v>0</v>
      </c>
      <c r="G203" s="467" t="n">
        <v>0</v>
      </c>
      <c r="H203" s="467"/>
      <c r="I203" s="467"/>
      <c r="J203" s="467"/>
      <c r="K203" s="467"/>
      <c r="L203" s="467"/>
      <c r="M203" s="467"/>
      <c r="N203" s="467"/>
      <c r="O203" s="467"/>
      <c r="P203" s="467"/>
      <c r="Q203" s="467"/>
      <c r="R203" s="467"/>
      <c r="S203" s="467"/>
      <c r="T203" s="467"/>
      <c r="U203" s="467"/>
      <c r="V203" s="467"/>
      <c r="W203" s="467"/>
      <c r="X203" s="467"/>
      <c r="Y203" s="467"/>
      <c r="Z203" s="467"/>
      <c r="AA203" s="467"/>
      <c r="AB203" s="467"/>
      <c r="AC203" s="467"/>
      <c r="AD203" s="467"/>
      <c r="AE203" s="467"/>
      <c r="AF203" s="467"/>
      <c r="AG203" s="467"/>
      <c r="AH203" s="467"/>
      <c r="AI203" s="467"/>
      <c r="AJ203" s="467"/>
      <c r="AK203" s="467"/>
      <c r="AL203" s="467"/>
      <c r="AM203" s="467"/>
      <c r="AN203" s="467"/>
      <c r="AO203" s="467"/>
      <c r="AP203" s="467"/>
      <c r="AQ203" s="467"/>
      <c r="AR203" s="467"/>
      <c r="AS203" s="467"/>
      <c r="AT203" s="467"/>
      <c r="AU203" s="467"/>
      <c r="AV203" s="467"/>
      <c r="AW203" s="467"/>
      <c r="AX203" s="467"/>
      <c r="AY203" s="467"/>
      <c r="AZ203" s="467"/>
      <c r="BA203" s="467"/>
      <c r="BB203" s="467"/>
      <c r="BC203" s="467"/>
      <c r="BD203" s="467"/>
      <c r="BE203" s="467"/>
      <c r="BF203" s="467"/>
      <c r="BG203" s="467"/>
      <c r="BH203" s="467"/>
      <c r="BI203" s="467"/>
      <c r="BJ203" s="467"/>
      <c r="BK203" s="467"/>
      <c r="BL203" s="467"/>
    </row>
    <row r="204" customFormat="false" ht="12.75" hidden="false" customHeight="false" outlineLevel="0" collapsed="false">
      <c r="A204" s="464" t="n">
        <f aca="false">EOMONTH(A203,0)+1</f>
        <v>42583</v>
      </c>
      <c r="B204" s="467" t="n">
        <v>0.072267323015394</v>
      </c>
      <c r="C204" s="467" t="n">
        <v>3.977</v>
      </c>
      <c r="D204" s="467" t="n">
        <v>0.15</v>
      </c>
      <c r="E204" s="467" t="n">
        <v>0.005</v>
      </c>
      <c r="F204" s="467" t="n">
        <v>0</v>
      </c>
      <c r="G204" s="467" t="n">
        <v>0</v>
      </c>
      <c r="H204" s="467"/>
      <c r="I204" s="467"/>
      <c r="J204" s="467"/>
      <c r="K204" s="467"/>
      <c r="L204" s="467"/>
      <c r="M204" s="467"/>
      <c r="N204" s="467"/>
      <c r="O204" s="467"/>
      <c r="P204" s="467"/>
      <c r="Q204" s="467"/>
      <c r="R204" s="467"/>
      <c r="S204" s="467"/>
      <c r="T204" s="467"/>
      <c r="U204" s="467"/>
      <c r="V204" s="467"/>
      <c r="W204" s="467"/>
      <c r="X204" s="467"/>
      <c r="Y204" s="467"/>
      <c r="Z204" s="467"/>
      <c r="AA204" s="467"/>
      <c r="AB204" s="467"/>
      <c r="AC204" s="467"/>
      <c r="AD204" s="467"/>
      <c r="AE204" s="467"/>
      <c r="AF204" s="467"/>
      <c r="AG204" s="467"/>
      <c r="AH204" s="467"/>
      <c r="AI204" s="467"/>
      <c r="AJ204" s="467"/>
      <c r="AK204" s="467"/>
      <c r="AL204" s="467"/>
      <c r="AM204" s="467"/>
      <c r="AN204" s="467"/>
      <c r="AO204" s="467"/>
      <c r="AP204" s="467"/>
      <c r="AQ204" s="467"/>
      <c r="AR204" s="467"/>
      <c r="AS204" s="467"/>
      <c r="AT204" s="467"/>
      <c r="AU204" s="467"/>
      <c r="AV204" s="467"/>
      <c r="AW204" s="467"/>
      <c r="AX204" s="467"/>
      <c r="AY204" s="467"/>
      <c r="AZ204" s="467"/>
      <c r="BA204" s="467"/>
      <c r="BB204" s="467"/>
      <c r="BC204" s="467"/>
      <c r="BD204" s="467"/>
      <c r="BE204" s="467"/>
      <c r="BF204" s="467"/>
      <c r="BG204" s="467"/>
      <c r="BH204" s="467"/>
      <c r="BI204" s="467"/>
      <c r="BJ204" s="467"/>
      <c r="BK204" s="467"/>
      <c r="BL204" s="467"/>
    </row>
    <row r="205" customFormat="false" ht="12.75" hidden="false" customHeight="false" outlineLevel="0" collapsed="false">
      <c r="A205" s="464" t="n">
        <f aca="false">EOMONTH(A204,0)+1</f>
        <v>42614</v>
      </c>
      <c r="B205" s="467" t="n">
        <v>0.072266994353071</v>
      </c>
      <c r="C205" s="467" t="n">
        <v>3.954</v>
      </c>
      <c r="D205" s="467" t="n">
        <v>0.15</v>
      </c>
      <c r="E205" s="467" t="n">
        <v>0.005</v>
      </c>
      <c r="F205" s="467" t="n">
        <v>0</v>
      </c>
      <c r="G205" s="467" t="n">
        <v>0</v>
      </c>
      <c r="H205" s="467"/>
      <c r="I205" s="467"/>
      <c r="J205" s="467"/>
      <c r="K205" s="467"/>
      <c r="L205" s="467"/>
      <c r="M205" s="467"/>
      <c r="N205" s="467"/>
      <c r="O205" s="467"/>
      <c r="P205" s="467"/>
      <c r="Q205" s="467"/>
      <c r="R205" s="467"/>
      <c r="S205" s="467"/>
      <c r="T205" s="467"/>
      <c r="U205" s="467"/>
      <c r="V205" s="467"/>
      <c r="W205" s="467"/>
      <c r="X205" s="467"/>
      <c r="Y205" s="467"/>
      <c r="Z205" s="467"/>
      <c r="AA205" s="467"/>
      <c r="AB205" s="467"/>
      <c r="AC205" s="467"/>
      <c r="AD205" s="467"/>
      <c r="AE205" s="467"/>
      <c r="AF205" s="467"/>
      <c r="AG205" s="467"/>
      <c r="AH205" s="467"/>
      <c r="AI205" s="467"/>
      <c r="AJ205" s="467"/>
      <c r="AK205" s="467"/>
      <c r="AL205" s="467"/>
      <c r="AM205" s="467"/>
      <c r="AN205" s="467"/>
      <c r="AO205" s="467"/>
      <c r="AP205" s="467"/>
      <c r="AQ205" s="467"/>
      <c r="AR205" s="467"/>
      <c r="AS205" s="467"/>
      <c r="AT205" s="467"/>
      <c r="AU205" s="467"/>
      <c r="AV205" s="467"/>
      <c r="AW205" s="467"/>
      <c r="AX205" s="467"/>
      <c r="AY205" s="467"/>
      <c r="AZ205" s="467"/>
      <c r="BA205" s="467"/>
      <c r="BB205" s="467"/>
      <c r="BC205" s="467"/>
      <c r="BD205" s="467"/>
      <c r="BE205" s="467"/>
      <c r="BF205" s="467"/>
      <c r="BG205" s="467"/>
      <c r="BH205" s="467"/>
      <c r="BI205" s="467"/>
      <c r="BJ205" s="467"/>
      <c r="BK205" s="467"/>
      <c r="BL205" s="467"/>
    </row>
    <row r="206" customFormat="false" ht="12.75" hidden="false" customHeight="false" outlineLevel="0" collapsed="false">
      <c r="A206" s="464" t="n">
        <f aca="false">EOMONTH(A205,0)+1</f>
        <v>42644</v>
      </c>
      <c r="B206" s="467" t="n">
        <v>0.07226667629276</v>
      </c>
      <c r="C206" s="467" t="n">
        <v>3.961</v>
      </c>
      <c r="D206" s="467" t="n">
        <v>0.15</v>
      </c>
      <c r="E206" s="467" t="n">
        <v>0.005</v>
      </c>
      <c r="F206" s="467" t="n">
        <v>0</v>
      </c>
      <c r="G206" s="467" t="n">
        <v>0</v>
      </c>
      <c r="H206" s="467"/>
      <c r="I206" s="467"/>
      <c r="J206" s="467"/>
      <c r="K206" s="467"/>
      <c r="L206" s="467"/>
      <c r="M206" s="467"/>
      <c r="N206" s="467"/>
      <c r="O206" s="467"/>
      <c r="P206" s="467"/>
      <c r="Q206" s="467"/>
      <c r="R206" s="467"/>
      <c r="S206" s="467"/>
      <c r="T206" s="467"/>
      <c r="U206" s="467"/>
      <c r="V206" s="467"/>
      <c r="W206" s="467"/>
      <c r="X206" s="467"/>
      <c r="Y206" s="467"/>
      <c r="Z206" s="467"/>
      <c r="AA206" s="467"/>
      <c r="AB206" s="467"/>
      <c r="AC206" s="467"/>
      <c r="AD206" s="467"/>
      <c r="AE206" s="467"/>
      <c r="AF206" s="467"/>
      <c r="AG206" s="467"/>
      <c r="AH206" s="467"/>
      <c r="AI206" s="467"/>
      <c r="AJ206" s="467"/>
      <c r="AK206" s="467"/>
      <c r="AL206" s="467"/>
      <c r="AM206" s="467"/>
      <c r="AN206" s="467"/>
      <c r="AO206" s="467"/>
      <c r="AP206" s="467"/>
      <c r="AQ206" s="467"/>
      <c r="AR206" s="467"/>
      <c r="AS206" s="467"/>
      <c r="AT206" s="467"/>
      <c r="AU206" s="467"/>
      <c r="AV206" s="467"/>
      <c r="AW206" s="467"/>
      <c r="AX206" s="467"/>
      <c r="AY206" s="467"/>
      <c r="AZ206" s="467"/>
      <c r="BA206" s="467"/>
      <c r="BB206" s="467"/>
      <c r="BC206" s="467"/>
      <c r="BD206" s="467"/>
      <c r="BE206" s="467"/>
      <c r="BF206" s="467"/>
      <c r="BG206" s="467"/>
      <c r="BH206" s="467"/>
      <c r="BI206" s="467"/>
      <c r="BJ206" s="467"/>
      <c r="BK206" s="467"/>
      <c r="BL206" s="467"/>
    </row>
    <row r="207" customFormat="false" ht="12.75" hidden="false" customHeight="false" outlineLevel="0" collapsed="false">
      <c r="A207" s="464" t="n">
        <f aca="false">EOMONTH(A206,0)+1</f>
        <v>42675</v>
      </c>
      <c r="B207" s="467" t="n">
        <v>0.072266347630437</v>
      </c>
      <c r="C207" s="467" t="n">
        <v>4.005</v>
      </c>
      <c r="D207" s="467" t="n">
        <v>0.15</v>
      </c>
      <c r="E207" s="467" t="n">
        <v>0.005</v>
      </c>
      <c r="F207" s="467" t="n">
        <v>0</v>
      </c>
      <c r="G207" s="467" t="n">
        <v>0</v>
      </c>
      <c r="H207" s="467"/>
      <c r="I207" s="467"/>
      <c r="J207" s="467"/>
      <c r="K207" s="467"/>
      <c r="L207" s="467"/>
      <c r="M207" s="467"/>
      <c r="N207" s="467"/>
      <c r="O207" s="467"/>
      <c r="P207" s="467"/>
      <c r="Q207" s="467"/>
      <c r="R207" s="467"/>
      <c r="S207" s="467"/>
      <c r="T207" s="467"/>
      <c r="U207" s="467"/>
      <c r="V207" s="467"/>
      <c r="W207" s="467"/>
      <c r="X207" s="467"/>
      <c r="Y207" s="467"/>
      <c r="Z207" s="467"/>
      <c r="AA207" s="467"/>
      <c r="AB207" s="467"/>
      <c r="AC207" s="467"/>
      <c r="AD207" s="467"/>
      <c r="AE207" s="467"/>
      <c r="AF207" s="467"/>
      <c r="AG207" s="467"/>
      <c r="AH207" s="467"/>
      <c r="AI207" s="467"/>
      <c r="AJ207" s="467"/>
      <c r="AK207" s="467"/>
      <c r="AL207" s="467"/>
      <c r="AM207" s="467"/>
      <c r="AN207" s="467"/>
      <c r="AO207" s="467"/>
      <c r="AP207" s="467"/>
      <c r="AQ207" s="467"/>
      <c r="AR207" s="467"/>
      <c r="AS207" s="467"/>
      <c r="AT207" s="467"/>
      <c r="AU207" s="467"/>
      <c r="AV207" s="467"/>
      <c r="AW207" s="467"/>
      <c r="AX207" s="467"/>
      <c r="AY207" s="467"/>
      <c r="AZ207" s="467"/>
      <c r="BA207" s="467"/>
      <c r="BB207" s="467"/>
      <c r="BC207" s="467"/>
      <c r="BD207" s="467"/>
      <c r="BE207" s="467"/>
      <c r="BF207" s="467"/>
      <c r="BG207" s="467"/>
      <c r="BH207" s="467"/>
      <c r="BI207" s="467"/>
      <c r="BJ207" s="467"/>
      <c r="BK207" s="467"/>
      <c r="BL207" s="467"/>
    </row>
    <row r="208" customFormat="false" ht="12.75" hidden="false" customHeight="false" outlineLevel="0" collapsed="false">
      <c r="A208" s="464" t="n">
        <f aca="false">EOMONTH(A207,0)+1</f>
        <v>42705</v>
      </c>
      <c r="B208" s="467" t="n">
        <v>0.072266029570125</v>
      </c>
      <c r="C208" s="467" t="n">
        <v>4.071</v>
      </c>
      <c r="D208" s="467" t="n">
        <v>0.15</v>
      </c>
      <c r="E208" s="467" t="n">
        <v>0.005</v>
      </c>
      <c r="F208" s="467" t="n">
        <v>0</v>
      </c>
      <c r="G208" s="467" t="n">
        <v>0</v>
      </c>
      <c r="H208" s="467"/>
      <c r="I208" s="467"/>
      <c r="J208" s="467"/>
      <c r="K208" s="467"/>
      <c r="L208" s="467"/>
      <c r="M208" s="467"/>
      <c r="N208" s="467"/>
      <c r="O208" s="467"/>
      <c r="P208" s="467"/>
      <c r="Q208" s="467"/>
      <c r="R208" s="467"/>
      <c r="S208" s="467"/>
      <c r="T208" s="467"/>
      <c r="U208" s="467"/>
      <c r="V208" s="467"/>
      <c r="W208" s="467"/>
      <c r="X208" s="467"/>
      <c r="Y208" s="467"/>
      <c r="Z208" s="467"/>
      <c r="AA208" s="467"/>
      <c r="AB208" s="467"/>
      <c r="AC208" s="467"/>
      <c r="AD208" s="467"/>
      <c r="AE208" s="467"/>
      <c r="AF208" s="467"/>
      <c r="AG208" s="467"/>
      <c r="AH208" s="467"/>
      <c r="AI208" s="467"/>
      <c r="AJ208" s="467"/>
      <c r="AK208" s="467"/>
      <c r="AL208" s="467"/>
      <c r="AM208" s="467"/>
      <c r="AN208" s="467"/>
      <c r="AO208" s="467"/>
      <c r="AP208" s="467"/>
      <c r="AQ208" s="467"/>
      <c r="AR208" s="467"/>
      <c r="AS208" s="467"/>
      <c r="AT208" s="467"/>
      <c r="AU208" s="467"/>
      <c r="AV208" s="467"/>
      <c r="AW208" s="467"/>
      <c r="AX208" s="467"/>
      <c r="AY208" s="467"/>
      <c r="AZ208" s="467"/>
      <c r="BA208" s="467"/>
      <c r="BB208" s="467"/>
      <c r="BC208" s="467"/>
      <c r="BD208" s="467"/>
      <c r="BE208" s="467"/>
      <c r="BF208" s="467"/>
      <c r="BG208" s="467"/>
      <c r="BH208" s="467"/>
      <c r="BI208" s="467"/>
      <c r="BJ208" s="467"/>
      <c r="BK208" s="467"/>
      <c r="BL208" s="467"/>
    </row>
    <row r="209" customFormat="false" ht="12.75" hidden="false" customHeight="false" outlineLevel="0" collapsed="false">
      <c r="A209" s="464" t="n">
        <f aca="false">EOMONTH(A208,0)+1</f>
        <v>42736</v>
      </c>
      <c r="B209" s="467" t="n">
        <v>0.072265700907803</v>
      </c>
      <c r="C209" s="467" t="n">
        <v>4.268</v>
      </c>
      <c r="D209" s="467" t="n">
        <v>0.15</v>
      </c>
      <c r="E209" s="467" t="n">
        <v>0.005</v>
      </c>
      <c r="F209" s="467" t="n">
        <v>0</v>
      </c>
      <c r="G209" s="467" t="n">
        <v>0</v>
      </c>
      <c r="H209" s="467"/>
      <c r="I209" s="467"/>
      <c r="J209" s="467"/>
      <c r="K209" s="467"/>
      <c r="L209" s="467"/>
      <c r="M209" s="467"/>
      <c r="N209" s="467"/>
      <c r="O209" s="467"/>
      <c r="P209" s="467"/>
      <c r="Q209" s="467"/>
      <c r="R209" s="467"/>
      <c r="S209" s="467"/>
      <c r="T209" s="467"/>
      <c r="U209" s="467"/>
      <c r="V209" s="467"/>
      <c r="W209" s="467"/>
      <c r="X209" s="467"/>
      <c r="Y209" s="467"/>
      <c r="Z209" s="467"/>
      <c r="AA209" s="467"/>
      <c r="AB209" s="467"/>
      <c r="AC209" s="467"/>
      <c r="AD209" s="467"/>
      <c r="AE209" s="467"/>
      <c r="AF209" s="467"/>
      <c r="AG209" s="467"/>
      <c r="AH209" s="467"/>
      <c r="AI209" s="467"/>
      <c r="AJ209" s="467"/>
      <c r="AK209" s="467"/>
      <c r="AL209" s="467"/>
      <c r="AM209" s="467"/>
      <c r="AN209" s="467"/>
      <c r="AO209" s="467"/>
      <c r="AP209" s="467"/>
      <c r="AQ209" s="467"/>
      <c r="AR209" s="467"/>
      <c r="AS209" s="467"/>
      <c r="AT209" s="467"/>
      <c r="AU209" s="467"/>
      <c r="AV209" s="467"/>
      <c r="AW209" s="467"/>
      <c r="AX209" s="467"/>
      <c r="AY209" s="467"/>
      <c r="AZ209" s="467"/>
      <c r="BA209" s="467"/>
      <c r="BB209" s="467"/>
      <c r="BC209" s="467"/>
      <c r="BD209" s="467"/>
      <c r="BE209" s="467"/>
      <c r="BF209" s="467"/>
      <c r="BG209" s="467"/>
      <c r="BH209" s="467"/>
      <c r="BI209" s="467"/>
      <c r="BJ209" s="467"/>
      <c r="BK209" s="467"/>
      <c r="BL209" s="467"/>
    </row>
    <row r="210" customFormat="false" ht="12.75" hidden="false" customHeight="false" outlineLevel="0" collapsed="false">
      <c r="A210" s="464" t="n">
        <f aca="false">EOMONTH(A209,0)+1</f>
        <v>42767</v>
      </c>
      <c r="B210" s="467" t="n">
        <v>0.07226537224548</v>
      </c>
      <c r="C210" s="467" t="n">
        <v>4.194</v>
      </c>
      <c r="D210" s="467" t="n">
        <v>0.15</v>
      </c>
      <c r="E210" s="467" t="n">
        <v>0.005</v>
      </c>
      <c r="F210" s="467" t="n">
        <v>0</v>
      </c>
      <c r="G210" s="467" t="n">
        <v>0</v>
      </c>
      <c r="H210" s="467"/>
      <c r="I210" s="467"/>
      <c r="J210" s="467"/>
      <c r="K210" s="467"/>
      <c r="L210" s="467"/>
      <c r="M210" s="467"/>
      <c r="N210" s="467"/>
      <c r="O210" s="467"/>
      <c r="P210" s="467"/>
      <c r="Q210" s="467"/>
      <c r="R210" s="467"/>
      <c r="S210" s="467"/>
      <c r="T210" s="467"/>
      <c r="U210" s="467"/>
      <c r="V210" s="467"/>
      <c r="W210" s="467"/>
      <c r="X210" s="467"/>
      <c r="Y210" s="467"/>
      <c r="Z210" s="467"/>
      <c r="AA210" s="467"/>
      <c r="AB210" s="467"/>
      <c r="AC210" s="467"/>
      <c r="AD210" s="467"/>
      <c r="AE210" s="467"/>
      <c r="AF210" s="467"/>
      <c r="AG210" s="467"/>
      <c r="AH210" s="467"/>
      <c r="AI210" s="467"/>
      <c r="AJ210" s="467"/>
      <c r="AK210" s="467"/>
      <c r="AL210" s="467"/>
      <c r="AM210" s="467"/>
      <c r="AN210" s="467"/>
      <c r="AO210" s="467"/>
      <c r="AP210" s="467"/>
      <c r="AQ210" s="467"/>
      <c r="AR210" s="467"/>
      <c r="AS210" s="467"/>
      <c r="AT210" s="467"/>
      <c r="AU210" s="467"/>
      <c r="AV210" s="467"/>
      <c r="AW210" s="467"/>
      <c r="AX210" s="467"/>
      <c r="AY210" s="467"/>
      <c r="AZ210" s="467"/>
      <c r="BA210" s="467"/>
      <c r="BB210" s="467"/>
      <c r="BC210" s="467"/>
      <c r="BD210" s="467"/>
      <c r="BE210" s="467"/>
      <c r="BF210" s="467"/>
      <c r="BG210" s="467"/>
      <c r="BH210" s="467"/>
      <c r="BI210" s="467"/>
      <c r="BJ210" s="467"/>
      <c r="BK210" s="467"/>
      <c r="BL210" s="467"/>
    </row>
    <row r="211" customFormat="false" ht="12.75" hidden="false" customHeight="false" outlineLevel="0" collapsed="false">
      <c r="A211" s="464" t="n">
        <f aca="false">EOMONTH(A210,0)+1</f>
        <v>42795</v>
      </c>
      <c r="B211" s="467" t="n">
        <v>0.072265075389189</v>
      </c>
      <c r="C211" s="467" t="n">
        <v>4.096</v>
      </c>
      <c r="D211" s="467" t="n">
        <v>0.15</v>
      </c>
      <c r="E211" s="467" t="n">
        <v>0</v>
      </c>
      <c r="F211" s="467" t="n">
        <v>0</v>
      </c>
      <c r="G211" s="467" t="n">
        <v>0</v>
      </c>
      <c r="H211" s="467"/>
      <c r="I211" s="467"/>
      <c r="J211" s="467"/>
      <c r="K211" s="467"/>
      <c r="L211" s="467"/>
      <c r="M211" s="467"/>
      <c r="N211" s="467"/>
      <c r="O211" s="467"/>
      <c r="P211" s="467"/>
      <c r="Q211" s="467"/>
      <c r="R211" s="467"/>
      <c r="S211" s="467"/>
      <c r="T211" s="467"/>
      <c r="U211" s="467"/>
      <c r="V211" s="467"/>
      <c r="W211" s="467"/>
      <c r="X211" s="467"/>
      <c r="Y211" s="467"/>
      <c r="Z211" s="467"/>
      <c r="AA211" s="467"/>
      <c r="AB211" s="467"/>
      <c r="AC211" s="467"/>
      <c r="AD211" s="467"/>
      <c r="AE211" s="467"/>
      <c r="AF211" s="467"/>
      <c r="AG211" s="467"/>
      <c r="AH211" s="467"/>
      <c r="AI211" s="467"/>
      <c r="AJ211" s="467"/>
      <c r="AK211" s="467"/>
      <c r="AL211" s="467"/>
      <c r="AM211" s="467"/>
      <c r="AN211" s="467"/>
      <c r="AO211" s="467"/>
      <c r="AP211" s="467"/>
      <c r="AQ211" s="467"/>
      <c r="AR211" s="467"/>
      <c r="AS211" s="467"/>
      <c r="AT211" s="467"/>
      <c r="AU211" s="467"/>
      <c r="AV211" s="467"/>
      <c r="AW211" s="467"/>
      <c r="AX211" s="467"/>
      <c r="AY211" s="467"/>
      <c r="AZ211" s="467"/>
      <c r="BA211" s="467"/>
      <c r="BB211" s="467"/>
      <c r="BC211" s="467"/>
      <c r="BD211" s="467"/>
      <c r="BE211" s="467"/>
      <c r="BF211" s="467"/>
      <c r="BG211" s="467"/>
      <c r="BH211" s="467"/>
      <c r="BI211" s="467"/>
      <c r="BJ211" s="467"/>
      <c r="BK211" s="467"/>
      <c r="BL211" s="467"/>
    </row>
    <row r="212" customFormat="false" ht="12.75" hidden="false" customHeight="false" outlineLevel="0" collapsed="false">
      <c r="A212" s="464" t="n">
        <f aca="false">EOMONTH(A211,0)+1</f>
        <v>42826</v>
      </c>
      <c r="B212" s="467" t="n">
        <v>0.072264746726868</v>
      </c>
      <c r="C212" s="467" t="n">
        <v>3.998</v>
      </c>
      <c r="D212" s="467" t="n">
        <v>0.15</v>
      </c>
      <c r="E212" s="467" t="n">
        <v>0</v>
      </c>
      <c r="F212" s="467" t="n">
        <v>0</v>
      </c>
      <c r="G212" s="467" t="n">
        <v>0</v>
      </c>
      <c r="H212" s="467"/>
      <c r="I212" s="467"/>
      <c r="J212" s="467"/>
      <c r="K212" s="467"/>
      <c r="L212" s="467"/>
      <c r="M212" s="467"/>
      <c r="N212" s="467"/>
      <c r="O212" s="467"/>
      <c r="P212" s="467"/>
      <c r="Q212" s="467"/>
      <c r="R212" s="467"/>
      <c r="S212" s="467"/>
      <c r="T212" s="467"/>
      <c r="U212" s="467"/>
      <c r="V212" s="467"/>
      <c r="W212" s="467"/>
      <c r="X212" s="467"/>
      <c r="Y212" s="467"/>
      <c r="Z212" s="467"/>
      <c r="AA212" s="467"/>
      <c r="AB212" s="467"/>
      <c r="AC212" s="467"/>
      <c r="AD212" s="467"/>
      <c r="AE212" s="467"/>
      <c r="AF212" s="467"/>
      <c r="AG212" s="467"/>
      <c r="AH212" s="467"/>
      <c r="AI212" s="467"/>
      <c r="AJ212" s="467"/>
      <c r="AK212" s="467"/>
      <c r="AL212" s="467"/>
      <c r="AM212" s="467"/>
      <c r="AN212" s="467"/>
      <c r="AO212" s="467"/>
      <c r="AP212" s="467"/>
      <c r="AQ212" s="467"/>
      <c r="AR212" s="467"/>
      <c r="AS212" s="467"/>
      <c r="AT212" s="467"/>
      <c r="AU212" s="467"/>
      <c r="AV212" s="467"/>
      <c r="AW212" s="467"/>
      <c r="AX212" s="467"/>
      <c r="AY212" s="467"/>
      <c r="AZ212" s="467"/>
      <c r="BA212" s="467"/>
      <c r="BB212" s="467"/>
      <c r="BC212" s="467"/>
      <c r="BD212" s="467"/>
      <c r="BE212" s="467"/>
      <c r="BF212" s="467"/>
      <c r="BG212" s="467"/>
      <c r="BH212" s="467"/>
      <c r="BI212" s="467"/>
      <c r="BJ212" s="467"/>
      <c r="BK212" s="467"/>
      <c r="BL212" s="467"/>
    </row>
    <row r="213" customFormat="false" ht="12.75" hidden="false" customHeight="false" outlineLevel="0" collapsed="false">
      <c r="A213" s="464" t="n">
        <f aca="false">EOMONTH(A212,0)+1</f>
        <v>42856</v>
      </c>
      <c r="B213" s="467" t="n">
        <v>0.072264428666556</v>
      </c>
      <c r="C213" s="467" t="n">
        <v>3.997</v>
      </c>
      <c r="D213" s="467" t="n">
        <v>0.15</v>
      </c>
      <c r="E213" s="467" t="n">
        <v>0</v>
      </c>
      <c r="F213" s="467" t="n">
        <v>0</v>
      </c>
      <c r="G213" s="467" t="n">
        <v>0</v>
      </c>
      <c r="H213" s="467"/>
      <c r="I213" s="467"/>
      <c r="J213" s="467"/>
      <c r="K213" s="467"/>
      <c r="L213" s="467"/>
      <c r="M213" s="467"/>
      <c r="N213" s="467"/>
      <c r="O213" s="467"/>
      <c r="P213" s="467"/>
      <c r="Q213" s="467"/>
      <c r="R213" s="467"/>
      <c r="S213" s="467"/>
      <c r="T213" s="467"/>
      <c r="U213" s="467"/>
      <c r="V213" s="467"/>
      <c r="W213" s="467"/>
      <c r="X213" s="467"/>
      <c r="Y213" s="467"/>
      <c r="Z213" s="467"/>
      <c r="AA213" s="467"/>
      <c r="AB213" s="467"/>
      <c r="AC213" s="467"/>
      <c r="AD213" s="467"/>
      <c r="AE213" s="467"/>
      <c r="AF213" s="467"/>
      <c r="AG213" s="467"/>
      <c r="AH213" s="467"/>
      <c r="AI213" s="467"/>
      <c r="AJ213" s="467"/>
      <c r="AK213" s="467"/>
      <c r="AL213" s="467"/>
      <c r="AM213" s="467"/>
      <c r="AN213" s="467"/>
      <c r="AO213" s="467"/>
      <c r="AP213" s="467"/>
      <c r="AQ213" s="467"/>
      <c r="AR213" s="467"/>
      <c r="AS213" s="467"/>
      <c r="AT213" s="467"/>
      <c r="AU213" s="467"/>
      <c r="AV213" s="467"/>
      <c r="AW213" s="467"/>
      <c r="AX213" s="467"/>
      <c r="AY213" s="467"/>
      <c r="AZ213" s="467"/>
      <c r="BA213" s="467"/>
      <c r="BB213" s="467"/>
      <c r="BC213" s="467"/>
      <c r="BD213" s="467"/>
      <c r="BE213" s="467"/>
      <c r="BF213" s="467"/>
      <c r="BG213" s="467"/>
      <c r="BH213" s="467"/>
      <c r="BI213" s="467"/>
      <c r="BJ213" s="467"/>
      <c r="BK213" s="467"/>
      <c r="BL213" s="467"/>
    </row>
    <row r="214" customFormat="false" ht="12.75" hidden="false" customHeight="false" outlineLevel="0" collapsed="false">
      <c r="A214" s="464" t="n">
        <f aca="false">EOMONTH(A213,0)+1</f>
        <v>42887</v>
      </c>
      <c r="B214" s="467" t="n">
        <v>0.072264100004233</v>
      </c>
      <c r="C214" s="467" t="n">
        <v>4.041</v>
      </c>
      <c r="D214" s="467" t="n">
        <v>0.15</v>
      </c>
      <c r="E214" s="467" t="n">
        <v>0</v>
      </c>
      <c r="F214" s="467" t="n">
        <v>0</v>
      </c>
      <c r="G214" s="467" t="n">
        <v>0</v>
      </c>
      <c r="H214" s="467"/>
      <c r="I214" s="467"/>
      <c r="J214" s="467"/>
      <c r="K214" s="467"/>
      <c r="L214" s="467"/>
      <c r="M214" s="467"/>
      <c r="N214" s="467"/>
      <c r="O214" s="467"/>
      <c r="P214" s="467"/>
      <c r="Q214" s="467"/>
      <c r="R214" s="467"/>
      <c r="S214" s="467"/>
      <c r="T214" s="467"/>
      <c r="U214" s="467"/>
      <c r="V214" s="467"/>
      <c r="W214" s="467"/>
      <c r="X214" s="467"/>
      <c r="Y214" s="467"/>
      <c r="Z214" s="467"/>
      <c r="AA214" s="467"/>
      <c r="AB214" s="467"/>
      <c r="AC214" s="467"/>
      <c r="AD214" s="467"/>
      <c r="AE214" s="467"/>
      <c r="AF214" s="467"/>
      <c r="AG214" s="467"/>
      <c r="AH214" s="467"/>
      <c r="AI214" s="467"/>
      <c r="AJ214" s="467"/>
      <c r="AK214" s="467"/>
      <c r="AL214" s="467"/>
      <c r="AM214" s="467"/>
      <c r="AN214" s="467"/>
      <c r="AO214" s="467"/>
      <c r="AP214" s="467"/>
      <c r="AQ214" s="467"/>
      <c r="AR214" s="467"/>
      <c r="AS214" s="467"/>
      <c r="AT214" s="467"/>
      <c r="AU214" s="467"/>
      <c r="AV214" s="467"/>
      <c r="AW214" s="467"/>
      <c r="AX214" s="467"/>
      <c r="AY214" s="467"/>
      <c r="AZ214" s="467"/>
      <c r="BA214" s="467"/>
      <c r="BB214" s="467"/>
      <c r="BC214" s="467"/>
      <c r="BD214" s="467"/>
      <c r="BE214" s="467"/>
      <c r="BF214" s="467"/>
      <c r="BG214" s="467"/>
      <c r="BH214" s="467"/>
      <c r="BI214" s="467"/>
      <c r="BJ214" s="467"/>
      <c r="BK214" s="467"/>
      <c r="BL214" s="467"/>
    </row>
    <row r="215" customFormat="false" ht="12.75" hidden="false" customHeight="false" outlineLevel="0" collapsed="false">
      <c r="A215" s="464" t="n">
        <f aca="false">EOMONTH(A214,0)+1</f>
        <v>42917</v>
      </c>
      <c r="B215" s="467" t="n">
        <v>0.072263781943921</v>
      </c>
      <c r="C215" s="467" t="n">
        <v>4.041</v>
      </c>
      <c r="D215" s="467" t="n">
        <v>0.15</v>
      </c>
      <c r="E215" s="467" t="n">
        <v>0</v>
      </c>
      <c r="F215" s="467" t="n">
        <v>0</v>
      </c>
      <c r="G215" s="467" t="n">
        <v>0</v>
      </c>
      <c r="H215" s="467"/>
      <c r="I215" s="467"/>
      <c r="J215" s="467"/>
      <c r="K215" s="467"/>
      <c r="L215" s="467"/>
      <c r="M215" s="467"/>
      <c r="N215" s="467"/>
      <c r="O215" s="467"/>
      <c r="P215" s="467"/>
      <c r="Q215" s="467"/>
      <c r="R215" s="467"/>
      <c r="S215" s="467"/>
      <c r="T215" s="467"/>
      <c r="U215" s="467"/>
      <c r="V215" s="467"/>
      <c r="W215" s="467"/>
      <c r="X215" s="467"/>
      <c r="Y215" s="467"/>
      <c r="Z215" s="467"/>
      <c r="AA215" s="467"/>
      <c r="AB215" s="467"/>
      <c r="AC215" s="467"/>
      <c r="AD215" s="467"/>
      <c r="AE215" s="467"/>
      <c r="AF215" s="467"/>
      <c r="AG215" s="467"/>
      <c r="AH215" s="467"/>
      <c r="AI215" s="467"/>
      <c r="AJ215" s="467"/>
      <c r="AK215" s="467"/>
      <c r="AL215" s="467"/>
      <c r="AM215" s="467"/>
      <c r="AN215" s="467"/>
      <c r="AO215" s="467"/>
      <c r="AP215" s="467"/>
      <c r="AQ215" s="467"/>
      <c r="AR215" s="467"/>
      <c r="AS215" s="467"/>
      <c r="AT215" s="467"/>
      <c r="AU215" s="467"/>
      <c r="AV215" s="467"/>
      <c r="AW215" s="467"/>
      <c r="AX215" s="467"/>
      <c r="AY215" s="467"/>
      <c r="AZ215" s="467"/>
      <c r="BA215" s="467"/>
      <c r="BB215" s="467"/>
      <c r="BC215" s="467"/>
      <c r="BD215" s="467"/>
      <c r="BE215" s="467"/>
      <c r="BF215" s="467"/>
      <c r="BG215" s="467"/>
      <c r="BH215" s="467"/>
      <c r="BI215" s="467"/>
      <c r="BJ215" s="467"/>
      <c r="BK215" s="467"/>
      <c r="BL215" s="467"/>
    </row>
    <row r="216" customFormat="false" ht="12.75" hidden="false" customHeight="false" outlineLevel="0" collapsed="false">
      <c r="A216" s="464" t="n">
        <f aca="false">EOMONTH(A215,0)+1</f>
        <v>42948</v>
      </c>
      <c r="B216" s="467" t="n">
        <v>0.0722634532816</v>
      </c>
      <c r="C216" s="467" t="n">
        <v>4.101</v>
      </c>
      <c r="D216" s="467" t="n">
        <v>0.15</v>
      </c>
      <c r="E216" s="467" t="n">
        <v>0</v>
      </c>
      <c r="F216" s="467" t="n">
        <v>0</v>
      </c>
      <c r="G216" s="467" t="n">
        <v>0</v>
      </c>
      <c r="H216" s="467"/>
      <c r="I216" s="467"/>
      <c r="J216" s="467"/>
      <c r="K216" s="467"/>
      <c r="L216" s="467"/>
      <c r="M216" s="467"/>
      <c r="N216" s="467"/>
      <c r="O216" s="467"/>
      <c r="P216" s="467"/>
      <c r="Q216" s="467"/>
      <c r="R216" s="467"/>
      <c r="S216" s="467"/>
      <c r="T216" s="467"/>
      <c r="U216" s="467"/>
      <c r="V216" s="467"/>
      <c r="W216" s="467"/>
      <c r="X216" s="467"/>
      <c r="Y216" s="467"/>
      <c r="Z216" s="467"/>
      <c r="AA216" s="467"/>
      <c r="AB216" s="467"/>
      <c r="AC216" s="467"/>
      <c r="AD216" s="467"/>
      <c r="AE216" s="467"/>
      <c r="AF216" s="467"/>
      <c r="AG216" s="467"/>
      <c r="AH216" s="467"/>
      <c r="AI216" s="467"/>
      <c r="AJ216" s="467"/>
      <c r="AK216" s="467"/>
      <c r="AL216" s="467"/>
      <c r="AM216" s="467"/>
      <c r="AN216" s="467"/>
      <c r="AO216" s="467"/>
      <c r="AP216" s="467"/>
      <c r="AQ216" s="467"/>
      <c r="AR216" s="467"/>
      <c r="AS216" s="467"/>
      <c r="AT216" s="467"/>
      <c r="AU216" s="467"/>
      <c r="AV216" s="467"/>
      <c r="AW216" s="467"/>
      <c r="AX216" s="467"/>
      <c r="AY216" s="467"/>
      <c r="AZ216" s="467"/>
      <c r="BA216" s="467"/>
      <c r="BB216" s="467"/>
      <c r="BC216" s="467"/>
      <c r="BD216" s="467"/>
      <c r="BE216" s="467"/>
      <c r="BF216" s="467"/>
      <c r="BG216" s="467"/>
      <c r="BH216" s="467"/>
      <c r="BI216" s="467"/>
      <c r="BJ216" s="467"/>
      <c r="BK216" s="467"/>
      <c r="BL216" s="467"/>
    </row>
    <row r="217" customFormat="false" ht="12.75" hidden="false" customHeight="false" outlineLevel="0" collapsed="false">
      <c r="A217" s="464" t="n">
        <f aca="false">EOMONTH(A216,0)+1</f>
        <v>42979</v>
      </c>
      <c r="B217" s="467" t="n">
        <v>0.072263124619278</v>
      </c>
      <c r="C217" s="467" t="n">
        <v>4.077</v>
      </c>
      <c r="D217" s="467" t="n">
        <v>0.15</v>
      </c>
      <c r="E217" s="467" t="n">
        <v>0</v>
      </c>
      <c r="F217" s="467" t="n">
        <v>0</v>
      </c>
      <c r="G217" s="467" t="n">
        <v>0</v>
      </c>
      <c r="H217" s="467"/>
      <c r="I217" s="467"/>
      <c r="J217" s="467"/>
      <c r="K217" s="467"/>
      <c r="L217" s="467"/>
      <c r="M217" s="467"/>
      <c r="N217" s="467"/>
      <c r="O217" s="467"/>
      <c r="P217" s="467"/>
      <c r="Q217" s="467"/>
      <c r="R217" s="467"/>
      <c r="S217" s="467"/>
      <c r="T217" s="467"/>
      <c r="U217" s="467"/>
      <c r="V217" s="467"/>
      <c r="W217" s="467"/>
      <c r="X217" s="467"/>
      <c r="Y217" s="467"/>
      <c r="Z217" s="467"/>
      <c r="AA217" s="467"/>
      <c r="AB217" s="467"/>
      <c r="AC217" s="467"/>
      <c r="AD217" s="467"/>
      <c r="AE217" s="467"/>
      <c r="AF217" s="467"/>
      <c r="AG217" s="467"/>
      <c r="AH217" s="467"/>
      <c r="AI217" s="467"/>
      <c r="AJ217" s="467"/>
      <c r="AK217" s="467"/>
      <c r="AL217" s="467"/>
      <c r="AM217" s="467"/>
      <c r="AN217" s="467"/>
      <c r="AO217" s="467"/>
      <c r="AP217" s="467"/>
      <c r="AQ217" s="467"/>
      <c r="AR217" s="467"/>
      <c r="AS217" s="467"/>
      <c r="AT217" s="467"/>
      <c r="AU217" s="467"/>
      <c r="AV217" s="467"/>
      <c r="AW217" s="467"/>
      <c r="AX217" s="467"/>
      <c r="AY217" s="467"/>
      <c r="AZ217" s="467"/>
      <c r="BA217" s="467"/>
      <c r="BB217" s="467"/>
      <c r="BC217" s="467"/>
      <c r="BD217" s="467"/>
      <c r="BE217" s="467"/>
      <c r="BF217" s="467"/>
      <c r="BG217" s="467"/>
      <c r="BH217" s="467"/>
      <c r="BI217" s="467"/>
      <c r="BJ217" s="467"/>
      <c r="BK217" s="467"/>
      <c r="BL217" s="467"/>
    </row>
    <row r="218" customFormat="false" ht="12.75" hidden="false" customHeight="false" outlineLevel="0" collapsed="false">
      <c r="A218" s="464" t="n">
        <f aca="false">EOMONTH(A217,0)+1</f>
        <v>43009</v>
      </c>
      <c r="B218" s="467" t="n">
        <v>0.072262806558966</v>
      </c>
      <c r="C218" s="467" t="n">
        <v>4.083</v>
      </c>
      <c r="D218" s="467" t="n">
        <v>0.15</v>
      </c>
      <c r="E218" s="467" t="n">
        <v>0</v>
      </c>
      <c r="F218" s="467" t="n">
        <v>0</v>
      </c>
      <c r="G218" s="467"/>
      <c r="H218" s="467"/>
      <c r="I218" s="467"/>
      <c r="J218" s="467"/>
      <c r="K218" s="467"/>
      <c r="L218" s="467"/>
      <c r="M218" s="467"/>
      <c r="N218" s="467"/>
      <c r="O218" s="467"/>
      <c r="P218" s="467"/>
      <c r="Q218" s="467"/>
      <c r="R218" s="467"/>
      <c r="S218" s="467"/>
      <c r="T218" s="467"/>
      <c r="U218" s="467"/>
      <c r="V218" s="467"/>
      <c r="W218" s="467"/>
      <c r="X218" s="467"/>
      <c r="Y218" s="467"/>
      <c r="Z218" s="467"/>
      <c r="AA218" s="467"/>
      <c r="AB218" s="467"/>
      <c r="AC218" s="467"/>
      <c r="AD218" s="467"/>
      <c r="AE218" s="467"/>
      <c r="AF218" s="467"/>
      <c r="AG218" s="467"/>
      <c r="AH218" s="467"/>
      <c r="AI218" s="467"/>
      <c r="AJ218" s="467"/>
      <c r="AK218" s="467"/>
      <c r="AL218" s="467"/>
      <c r="AM218" s="467"/>
      <c r="AN218" s="467"/>
      <c r="AO218" s="467"/>
      <c r="AP218" s="467"/>
      <c r="AQ218" s="467"/>
      <c r="AR218" s="467"/>
      <c r="AS218" s="467"/>
      <c r="AT218" s="467"/>
      <c r="AU218" s="467"/>
      <c r="AV218" s="467"/>
      <c r="AW218" s="467"/>
      <c r="AX218" s="467"/>
      <c r="AY218" s="467"/>
      <c r="AZ218" s="467"/>
      <c r="BA218" s="467"/>
      <c r="BB218" s="467"/>
      <c r="BC218" s="467"/>
      <c r="BD218" s="467"/>
      <c r="BE218" s="467"/>
      <c r="BF218" s="467"/>
      <c r="BG218" s="467"/>
      <c r="BH218" s="467"/>
      <c r="BI218" s="467"/>
      <c r="BJ218" s="467"/>
      <c r="BK218" s="467"/>
      <c r="BL218" s="467"/>
    </row>
    <row r="219" customFormat="false" ht="12.75" hidden="false" customHeight="false" outlineLevel="0" collapsed="false">
      <c r="A219" s="464" t="n">
        <f aca="false">EOMONTH(A218,0)+1</f>
        <v>43040</v>
      </c>
      <c r="B219" s="467" t="n">
        <v>0.072262477896644</v>
      </c>
      <c r="C219" s="467" t="n">
        <v>4.122</v>
      </c>
      <c r="D219" s="467" t="n">
        <v>0.15</v>
      </c>
      <c r="E219" s="467" t="n">
        <v>0</v>
      </c>
      <c r="F219" s="467" t="n">
        <v>0</v>
      </c>
      <c r="G219" s="467"/>
      <c r="H219" s="467"/>
      <c r="I219" s="467"/>
      <c r="J219" s="467"/>
      <c r="K219" s="467"/>
      <c r="L219" s="467"/>
      <c r="M219" s="467"/>
      <c r="N219" s="467"/>
      <c r="O219" s="467"/>
      <c r="P219" s="467"/>
      <c r="Q219" s="467"/>
      <c r="R219" s="467"/>
      <c r="S219" s="467"/>
      <c r="T219" s="467"/>
      <c r="U219" s="467"/>
      <c r="V219" s="467"/>
      <c r="W219" s="467"/>
      <c r="X219" s="467"/>
      <c r="Y219" s="467"/>
      <c r="Z219" s="467"/>
      <c r="AA219" s="467"/>
      <c r="AB219" s="467"/>
      <c r="AC219" s="467"/>
      <c r="AD219" s="467"/>
      <c r="AE219" s="467"/>
      <c r="AF219" s="467"/>
      <c r="AG219" s="467"/>
      <c r="AH219" s="467"/>
      <c r="AI219" s="467"/>
      <c r="AJ219" s="467"/>
      <c r="AK219" s="467"/>
      <c r="AL219" s="467"/>
      <c r="AM219" s="467"/>
      <c r="AN219" s="467"/>
      <c r="AO219" s="467"/>
      <c r="AP219" s="467"/>
      <c r="AQ219" s="467"/>
      <c r="AR219" s="467"/>
      <c r="AS219" s="467"/>
      <c r="AT219" s="467"/>
      <c r="AU219" s="467"/>
      <c r="AV219" s="467"/>
      <c r="AW219" s="467"/>
      <c r="AX219" s="467"/>
      <c r="AY219" s="467"/>
      <c r="AZ219" s="467"/>
      <c r="BA219" s="467"/>
      <c r="BB219" s="467"/>
      <c r="BC219" s="467"/>
      <c r="BD219" s="467"/>
      <c r="BE219" s="467"/>
      <c r="BF219" s="467"/>
      <c r="BG219" s="467"/>
      <c r="BH219" s="467"/>
      <c r="BI219" s="467"/>
      <c r="BJ219" s="467"/>
      <c r="BK219" s="467"/>
      <c r="BL219" s="467"/>
    </row>
    <row r="220" customFormat="false" ht="12.75" hidden="false" customHeight="false" outlineLevel="0" collapsed="false">
      <c r="A220" s="464" t="n">
        <f aca="false">EOMONTH(A219,0)+1</f>
        <v>43070</v>
      </c>
      <c r="B220" s="467" t="n">
        <v>0.072262159836332</v>
      </c>
      <c r="C220" s="467" t="n">
        <v>4.185</v>
      </c>
      <c r="D220" s="467" t="n">
        <v>0.15</v>
      </c>
      <c r="E220" s="467" t="n">
        <v>0</v>
      </c>
      <c r="F220" s="467" t="n">
        <v>0</v>
      </c>
      <c r="G220" s="467"/>
      <c r="H220" s="467"/>
      <c r="I220" s="467"/>
      <c r="J220" s="467"/>
      <c r="K220" s="467"/>
      <c r="L220" s="467"/>
      <c r="M220" s="467"/>
      <c r="N220" s="467"/>
      <c r="O220" s="467"/>
      <c r="P220" s="467"/>
      <c r="Q220" s="467"/>
      <c r="R220" s="467"/>
      <c r="S220" s="467"/>
      <c r="T220" s="467"/>
      <c r="U220" s="467"/>
      <c r="V220" s="467"/>
      <c r="W220" s="467"/>
      <c r="X220" s="467"/>
      <c r="Y220" s="467"/>
      <c r="Z220" s="467"/>
      <c r="AA220" s="467"/>
      <c r="AB220" s="467"/>
      <c r="AC220" s="467"/>
      <c r="AD220" s="467"/>
      <c r="AE220" s="467"/>
      <c r="AF220" s="467"/>
      <c r="AG220" s="467"/>
      <c r="AH220" s="467"/>
      <c r="AI220" s="467"/>
      <c r="AJ220" s="467"/>
      <c r="AK220" s="467"/>
      <c r="AL220" s="467"/>
      <c r="AM220" s="467"/>
      <c r="AN220" s="467"/>
      <c r="AO220" s="467"/>
      <c r="AP220" s="467"/>
      <c r="AQ220" s="467"/>
      <c r="AR220" s="467"/>
      <c r="AS220" s="467"/>
      <c r="AT220" s="467"/>
      <c r="AU220" s="467"/>
      <c r="AV220" s="467"/>
      <c r="AW220" s="467"/>
      <c r="AX220" s="467"/>
      <c r="AY220" s="467"/>
      <c r="AZ220" s="467"/>
      <c r="BA220" s="467"/>
      <c r="BB220" s="467"/>
      <c r="BC220" s="467"/>
      <c r="BD220" s="467"/>
      <c r="BE220" s="467"/>
      <c r="BF220" s="467"/>
      <c r="BG220" s="467"/>
      <c r="BH220" s="467"/>
      <c r="BI220" s="467"/>
      <c r="BJ220" s="467"/>
      <c r="BK220" s="467"/>
      <c r="BL220" s="467"/>
    </row>
    <row r="221" customFormat="false" ht="12.75" hidden="false" customHeight="false" outlineLevel="0" collapsed="false">
      <c r="A221" s="464" t="n">
        <f aca="false">EOMONTH(A220,0)+1</f>
        <v>43101</v>
      </c>
      <c r="B221" s="467" t="n">
        <v>0.072261831174011</v>
      </c>
      <c r="C221" s="467" t="n">
        <v>4.385</v>
      </c>
      <c r="D221" s="467"/>
      <c r="E221" s="467" t="n">
        <v>0</v>
      </c>
      <c r="F221" s="467" t="n">
        <v>0</v>
      </c>
      <c r="G221" s="467"/>
      <c r="H221" s="467"/>
      <c r="I221" s="467"/>
      <c r="J221" s="467"/>
      <c r="K221" s="467"/>
      <c r="L221" s="467"/>
      <c r="M221" s="467"/>
      <c r="N221" s="467"/>
      <c r="O221" s="467"/>
      <c r="P221" s="467"/>
      <c r="Q221" s="467"/>
      <c r="R221" s="467"/>
      <c r="S221" s="467"/>
      <c r="T221" s="467"/>
      <c r="U221" s="467"/>
      <c r="V221" s="467"/>
      <c r="W221" s="467"/>
      <c r="X221" s="467"/>
      <c r="Y221" s="467"/>
      <c r="Z221" s="467"/>
      <c r="AA221" s="467"/>
      <c r="AB221" s="467"/>
      <c r="AC221" s="467"/>
      <c r="AD221" s="467"/>
      <c r="AE221" s="467"/>
      <c r="AF221" s="467"/>
      <c r="AG221" s="467"/>
      <c r="AH221" s="467"/>
      <c r="AI221" s="467"/>
      <c r="AJ221" s="467"/>
      <c r="AK221" s="467"/>
      <c r="AL221" s="467"/>
      <c r="AM221" s="467"/>
      <c r="AN221" s="467"/>
      <c r="AO221" s="467"/>
      <c r="AP221" s="467"/>
      <c r="AQ221" s="467"/>
      <c r="AR221" s="467"/>
      <c r="AS221" s="467"/>
      <c r="AT221" s="467"/>
      <c r="AU221" s="467"/>
      <c r="AV221" s="467"/>
      <c r="AW221" s="467"/>
      <c r="AX221" s="467"/>
      <c r="AY221" s="467"/>
      <c r="AZ221" s="467"/>
      <c r="BA221" s="467"/>
      <c r="BB221" s="467"/>
      <c r="BC221" s="467"/>
      <c r="BD221" s="467"/>
      <c r="BE221" s="467"/>
      <c r="BF221" s="467"/>
      <c r="BG221" s="467"/>
      <c r="BH221" s="467"/>
      <c r="BI221" s="467"/>
      <c r="BJ221" s="467"/>
      <c r="BK221" s="467"/>
      <c r="BL221" s="467"/>
    </row>
    <row r="222" customFormat="false" ht="12.75" hidden="false" customHeight="false" outlineLevel="0" collapsed="false">
      <c r="A222" s="464" t="n">
        <f aca="false">EOMONTH(A221,0)+1</f>
        <v>43132</v>
      </c>
      <c r="B222" s="467" t="n">
        <v>0.072261502511689</v>
      </c>
      <c r="C222" s="467" t="n">
        <v>4.315</v>
      </c>
      <c r="D222" s="467"/>
      <c r="E222" s="467" t="n">
        <v>0</v>
      </c>
      <c r="F222" s="467" t="n">
        <v>0</v>
      </c>
      <c r="G222" s="467"/>
      <c r="H222" s="467"/>
      <c r="I222" s="467"/>
      <c r="J222" s="467"/>
      <c r="K222" s="467"/>
      <c r="L222" s="467"/>
      <c r="M222" s="467"/>
      <c r="N222" s="467"/>
      <c r="O222" s="467"/>
      <c r="P222" s="467"/>
      <c r="Q222" s="467"/>
      <c r="R222" s="467"/>
      <c r="S222" s="467"/>
      <c r="T222" s="467"/>
      <c r="U222" s="467"/>
      <c r="V222" s="467"/>
      <c r="W222" s="467"/>
      <c r="X222" s="467"/>
      <c r="Y222" s="467"/>
      <c r="Z222" s="467"/>
      <c r="AA222" s="467"/>
      <c r="AB222" s="467"/>
      <c r="AC222" s="467"/>
      <c r="AD222" s="467"/>
      <c r="AE222" s="467"/>
      <c r="AF222" s="467"/>
      <c r="AG222" s="467"/>
      <c r="AH222" s="467"/>
      <c r="AI222" s="467"/>
      <c r="AJ222" s="467"/>
      <c r="AK222" s="467"/>
      <c r="AL222" s="467"/>
      <c r="AM222" s="467"/>
      <c r="AN222" s="467"/>
      <c r="AO222" s="467"/>
      <c r="AP222" s="467"/>
      <c r="AQ222" s="467"/>
      <c r="AR222" s="467"/>
      <c r="AS222" s="467"/>
      <c r="AT222" s="467"/>
      <c r="AU222" s="467"/>
      <c r="AV222" s="467"/>
      <c r="AW222" s="467"/>
      <c r="AX222" s="467"/>
      <c r="AY222" s="467"/>
      <c r="AZ222" s="467"/>
      <c r="BA222" s="467"/>
      <c r="BB222" s="467"/>
      <c r="BC222" s="467"/>
      <c r="BD222" s="467"/>
      <c r="BE222" s="467"/>
      <c r="BF222" s="467"/>
      <c r="BG222" s="467"/>
      <c r="BH222" s="467"/>
      <c r="BI222" s="467"/>
      <c r="BJ222" s="467"/>
      <c r="BK222" s="467"/>
      <c r="BL222" s="467"/>
    </row>
    <row r="223" customFormat="false" ht="12.75" hidden="false" customHeight="false" outlineLevel="0" collapsed="false">
      <c r="A223" s="464" t="n">
        <f aca="false">EOMONTH(A222,0)+1</f>
        <v>43160</v>
      </c>
      <c r="B223" s="467" t="n">
        <v>0.072261205655398</v>
      </c>
      <c r="C223" s="467" t="n">
        <v>4.22</v>
      </c>
      <c r="D223" s="467"/>
      <c r="E223" s="467" t="n">
        <v>0</v>
      </c>
      <c r="F223" s="467" t="n">
        <v>0</v>
      </c>
      <c r="G223" s="467"/>
      <c r="H223" s="467"/>
      <c r="I223" s="467"/>
      <c r="J223" s="467"/>
      <c r="K223" s="467"/>
      <c r="L223" s="467"/>
      <c r="M223" s="467"/>
      <c r="N223" s="467"/>
      <c r="O223" s="467"/>
      <c r="P223" s="467"/>
      <c r="Q223" s="467"/>
      <c r="R223" s="467"/>
      <c r="S223" s="467"/>
      <c r="T223" s="467"/>
      <c r="U223" s="467"/>
      <c r="V223" s="467"/>
      <c r="W223" s="467"/>
      <c r="X223" s="467"/>
      <c r="Y223" s="467"/>
      <c r="Z223" s="467"/>
      <c r="AA223" s="467"/>
      <c r="AB223" s="467"/>
      <c r="AC223" s="467"/>
      <c r="AD223" s="467"/>
      <c r="AE223" s="467"/>
      <c r="AF223" s="467"/>
      <c r="AG223" s="467"/>
      <c r="AH223" s="467"/>
      <c r="AI223" s="467"/>
      <c r="AJ223" s="467"/>
      <c r="AK223" s="467"/>
      <c r="AL223" s="467"/>
      <c r="AM223" s="467"/>
      <c r="AN223" s="467"/>
      <c r="AO223" s="467"/>
      <c r="AP223" s="467"/>
      <c r="AQ223" s="467"/>
      <c r="AR223" s="467"/>
      <c r="AS223" s="467"/>
      <c r="AT223" s="467"/>
      <c r="AU223" s="467"/>
      <c r="AV223" s="467"/>
      <c r="AW223" s="467"/>
      <c r="AX223" s="467"/>
      <c r="AY223" s="467"/>
      <c r="AZ223" s="467"/>
      <c r="BA223" s="467"/>
      <c r="BB223" s="467"/>
      <c r="BC223" s="467"/>
      <c r="BD223" s="467"/>
      <c r="BE223" s="467"/>
      <c r="BF223" s="467"/>
      <c r="BG223" s="467"/>
      <c r="BH223" s="467"/>
      <c r="BI223" s="467"/>
      <c r="BJ223" s="467"/>
      <c r="BK223" s="467"/>
      <c r="BL223" s="467"/>
    </row>
    <row r="224" customFormat="false" ht="12.75" hidden="false" customHeight="false" outlineLevel="0" collapsed="false">
      <c r="A224" s="464" t="n">
        <f aca="false">EOMONTH(A223,0)+1</f>
        <v>43191</v>
      </c>
      <c r="B224" s="467" t="n">
        <v>0.072260876993076</v>
      </c>
      <c r="C224" s="467" t="n">
        <v>4.125</v>
      </c>
      <c r="D224" s="467"/>
      <c r="E224" s="467" t="n">
        <v>0</v>
      </c>
      <c r="F224" s="467" t="n">
        <v>0</v>
      </c>
      <c r="G224" s="467"/>
      <c r="H224" s="467"/>
      <c r="I224" s="467"/>
      <c r="J224" s="467"/>
      <c r="K224" s="467"/>
      <c r="L224" s="467"/>
      <c r="M224" s="467"/>
      <c r="N224" s="467"/>
      <c r="O224" s="467"/>
      <c r="P224" s="467"/>
      <c r="Q224" s="467"/>
      <c r="R224" s="467"/>
      <c r="S224" s="467"/>
      <c r="T224" s="467"/>
      <c r="U224" s="467"/>
      <c r="V224" s="467"/>
      <c r="W224" s="467"/>
      <c r="X224" s="467"/>
      <c r="Y224" s="467"/>
      <c r="Z224" s="467"/>
      <c r="AA224" s="467"/>
      <c r="AB224" s="467"/>
      <c r="AC224" s="467"/>
      <c r="AD224" s="467"/>
      <c r="AE224" s="467"/>
      <c r="AF224" s="467"/>
      <c r="AG224" s="467"/>
      <c r="AH224" s="467"/>
      <c r="AI224" s="467"/>
      <c r="AJ224" s="467"/>
      <c r="AK224" s="467"/>
      <c r="AL224" s="467"/>
      <c r="AM224" s="467"/>
      <c r="AN224" s="467"/>
      <c r="AO224" s="467"/>
      <c r="AP224" s="467"/>
      <c r="AQ224" s="467"/>
      <c r="AR224" s="467"/>
      <c r="AS224" s="467"/>
      <c r="AT224" s="467"/>
      <c r="AU224" s="467"/>
      <c r="AV224" s="467"/>
      <c r="AW224" s="467"/>
      <c r="AX224" s="467"/>
      <c r="AY224" s="467"/>
      <c r="AZ224" s="467"/>
      <c r="BA224" s="467"/>
      <c r="BB224" s="467"/>
      <c r="BC224" s="467"/>
      <c r="BD224" s="467"/>
      <c r="BE224" s="467"/>
      <c r="BF224" s="467"/>
      <c r="BG224" s="467"/>
      <c r="BH224" s="467"/>
      <c r="BI224" s="467"/>
      <c r="BJ224" s="467"/>
      <c r="BK224" s="467"/>
      <c r="BL224" s="467"/>
    </row>
    <row r="225" customFormat="false" ht="12.75" hidden="false" customHeight="false" outlineLevel="0" collapsed="false">
      <c r="A225" s="464" t="n">
        <f aca="false">EOMONTH(A224,0)+1</f>
        <v>43221</v>
      </c>
      <c r="B225" s="467" t="n">
        <v>0.072260558932765</v>
      </c>
      <c r="C225" s="467" t="n">
        <v>4.125</v>
      </c>
      <c r="D225" s="467"/>
      <c r="E225" s="467" t="n">
        <v>0</v>
      </c>
      <c r="F225" s="467" t="n">
        <v>0</v>
      </c>
      <c r="G225" s="467"/>
      <c r="H225" s="467"/>
      <c r="I225" s="467"/>
      <c r="J225" s="467"/>
      <c r="K225" s="467"/>
      <c r="L225" s="467"/>
      <c r="M225" s="467"/>
      <c r="N225" s="467"/>
      <c r="O225" s="467"/>
      <c r="P225" s="467"/>
      <c r="Q225" s="467"/>
      <c r="R225" s="467"/>
      <c r="S225" s="467"/>
      <c r="T225" s="467"/>
      <c r="U225" s="467"/>
      <c r="V225" s="467"/>
      <c r="W225" s="467"/>
      <c r="X225" s="467"/>
      <c r="Y225" s="467"/>
      <c r="Z225" s="467"/>
      <c r="AA225" s="467"/>
      <c r="AB225" s="467"/>
      <c r="AC225" s="467"/>
      <c r="AD225" s="467"/>
      <c r="AE225" s="467"/>
      <c r="AF225" s="467"/>
      <c r="AG225" s="467"/>
      <c r="AH225" s="467"/>
      <c r="AI225" s="467"/>
      <c r="AJ225" s="467"/>
      <c r="AK225" s="467"/>
      <c r="AL225" s="467"/>
      <c r="AM225" s="467"/>
      <c r="AN225" s="467"/>
      <c r="AO225" s="467"/>
      <c r="AP225" s="467"/>
      <c r="AQ225" s="467"/>
      <c r="AR225" s="467"/>
      <c r="AS225" s="467"/>
      <c r="AT225" s="467"/>
      <c r="AU225" s="467"/>
      <c r="AV225" s="467"/>
      <c r="AW225" s="467"/>
      <c r="AX225" s="467"/>
      <c r="AY225" s="467"/>
      <c r="AZ225" s="467"/>
      <c r="BA225" s="467"/>
      <c r="BB225" s="467"/>
      <c r="BC225" s="467"/>
      <c r="BD225" s="467"/>
      <c r="BE225" s="467"/>
      <c r="BF225" s="467"/>
      <c r="BG225" s="467"/>
      <c r="BH225" s="467"/>
      <c r="BI225" s="467"/>
      <c r="BJ225" s="467"/>
      <c r="BK225" s="467"/>
      <c r="BL225" s="467"/>
    </row>
    <row r="226" customFormat="false" ht="12.75" hidden="false" customHeight="false" outlineLevel="0" collapsed="false">
      <c r="A226" s="464" t="n">
        <f aca="false">EOMONTH(A225,0)+1</f>
        <v>43252</v>
      </c>
      <c r="B226" s="467" t="n">
        <v>0.072260230270443</v>
      </c>
      <c r="C226" s="467" t="n">
        <v>4.17</v>
      </c>
      <c r="D226" s="467"/>
      <c r="E226" s="467" t="n">
        <v>0</v>
      </c>
      <c r="F226" s="467" t="n">
        <v>0</v>
      </c>
      <c r="G226" s="467"/>
      <c r="H226" s="467"/>
      <c r="I226" s="467"/>
      <c r="J226" s="467"/>
      <c r="K226" s="467"/>
      <c r="L226" s="467"/>
      <c r="M226" s="467"/>
      <c r="N226" s="467"/>
      <c r="O226" s="467"/>
      <c r="P226" s="467"/>
      <c r="Q226" s="467"/>
      <c r="R226" s="467"/>
      <c r="S226" s="467"/>
      <c r="T226" s="467"/>
      <c r="U226" s="467"/>
      <c r="V226" s="467"/>
      <c r="W226" s="467"/>
      <c r="X226" s="467"/>
      <c r="Y226" s="467"/>
      <c r="Z226" s="467"/>
      <c r="AA226" s="467"/>
      <c r="AB226" s="467"/>
      <c r="AC226" s="467"/>
      <c r="AD226" s="467"/>
      <c r="AE226" s="467"/>
      <c r="AF226" s="467"/>
      <c r="AG226" s="467"/>
      <c r="AH226" s="467"/>
      <c r="AI226" s="467"/>
      <c r="AJ226" s="467"/>
      <c r="AK226" s="467"/>
      <c r="AL226" s="467"/>
      <c r="AM226" s="467"/>
      <c r="AN226" s="467"/>
      <c r="AO226" s="467"/>
      <c r="AP226" s="467"/>
      <c r="AQ226" s="467"/>
      <c r="AR226" s="467"/>
      <c r="AS226" s="467"/>
      <c r="AT226" s="467"/>
      <c r="AU226" s="467"/>
      <c r="AV226" s="467"/>
      <c r="AW226" s="467"/>
      <c r="AX226" s="467"/>
      <c r="AY226" s="467"/>
      <c r="AZ226" s="467"/>
      <c r="BA226" s="467"/>
      <c r="BB226" s="467"/>
      <c r="BC226" s="467"/>
      <c r="BD226" s="467"/>
      <c r="BE226" s="467"/>
      <c r="BF226" s="467"/>
      <c r="BG226" s="467"/>
      <c r="BH226" s="467"/>
      <c r="BI226" s="467"/>
      <c r="BJ226" s="467"/>
      <c r="BK226" s="467"/>
      <c r="BL226" s="467"/>
    </row>
    <row r="227" customFormat="false" ht="12.75" hidden="false" customHeight="false" outlineLevel="0" collapsed="false">
      <c r="A227" s="464" t="n">
        <f aca="false">EOMONTH(A226,0)+1</f>
        <v>43282</v>
      </c>
      <c r="B227" s="467" t="n">
        <v>0.072259912210132</v>
      </c>
      <c r="C227" s="467" t="n">
        <v>4.17</v>
      </c>
      <c r="D227" s="467"/>
      <c r="E227" s="467" t="n">
        <v>0</v>
      </c>
      <c r="F227" s="467" t="n">
        <v>0</v>
      </c>
      <c r="G227" s="467"/>
      <c r="H227" s="467"/>
      <c r="I227" s="467"/>
      <c r="J227" s="467"/>
      <c r="K227" s="467"/>
      <c r="L227" s="467"/>
      <c r="M227" s="467"/>
      <c r="N227" s="467"/>
      <c r="O227" s="467"/>
      <c r="P227" s="467"/>
      <c r="Q227" s="467"/>
      <c r="R227" s="467"/>
      <c r="S227" s="467"/>
      <c r="T227" s="467"/>
      <c r="U227" s="467"/>
      <c r="V227" s="467"/>
      <c r="W227" s="467"/>
      <c r="X227" s="467"/>
      <c r="Y227" s="467"/>
      <c r="Z227" s="467"/>
      <c r="AA227" s="467"/>
      <c r="AB227" s="467"/>
      <c r="AC227" s="467"/>
      <c r="AD227" s="467"/>
      <c r="AE227" s="467"/>
      <c r="AF227" s="467"/>
      <c r="AG227" s="467"/>
      <c r="AH227" s="467"/>
      <c r="AI227" s="467"/>
      <c r="AJ227" s="467"/>
      <c r="AK227" s="467"/>
      <c r="AL227" s="467"/>
      <c r="AM227" s="467"/>
      <c r="AN227" s="467"/>
      <c r="AO227" s="467"/>
      <c r="AP227" s="467"/>
      <c r="AQ227" s="467"/>
      <c r="AR227" s="467"/>
      <c r="AS227" s="467"/>
      <c r="AT227" s="467"/>
      <c r="AU227" s="467"/>
      <c r="AV227" s="467"/>
      <c r="AW227" s="467"/>
      <c r="AX227" s="467"/>
      <c r="AY227" s="467"/>
      <c r="AZ227" s="467"/>
      <c r="BA227" s="467"/>
      <c r="BB227" s="467"/>
      <c r="BC227" s="467"/>
      <c r="BD227" s="467"/>
      <c r="BE227" s="467"/>
      <c r="BF227" s="467"/>
      <c r="BG227" s="467"/>
      <c r="BH227" s="467"/>
      <c r="BI227" s="467"/>
      <c r="BJ227" s="467"/>
      <c r="BK227" s="467"/>
      <c r="BL227" s="467"/>
    </row>
    <row r="228" customFormat="false" ht="12.75" hidden="false" customHeight="false" outlineLevel="0" collapsed="false">
      <c r="A228" s="464" t="n">
        <f aca="false">EOMONTH(A227,0)+1</f>
        <v>43313</v>
      </c>
      <c r="B228" s="467" t="n">
        <v>0.07225958354781</v>
      </c>
      <c r="C228" s="467" t="n">
        <v>4.23</v>
      </c>
      <c r="D228" s="467"/>
      <c r="E228" s="467" t="n">
        <v>0</v>
      </c>
      <c r="F228" s="467" t="n">
        <v>0</v>
      </c>
      <c r="G228" s="467"/>
      <c r="H228" s="467"/>
      <c r="I228" s="467"/>
      <c r="J228" s="467"/>
      <c r="K228" s="467"/>
      <c r="L228" s="467"/>
      <c r="M228" s="467"/>
      <c r="N228" s="467"/>
      <c r="O228" s="467"/>
      <c r="P228" s="467"/>
      <c r="Q228" s="467"/>
      <c r="R228" s="467"/>
      <c r="S228" s="467"/>
      <c r="T228" s="467"/>
      <c r="U228" s="467"/>
      <c r="V228" s="467"/>
      <c r="W228" s="467"/>
      <c r="X228" s="467"/>
      <c r="Y228" s="467"/>
      <c r="Z228" s="467"/>
      <c r="AA228" s="467"/>
      <c r="AB228" s="467"/>
      <c r="AC228" s="467"/>
      <c r="AD228" s="467"/>
      <c r="AE228" s="467"/>
      <c r="AF228" s="467"/>
      <c r="AG228" s="467"/>
      <c r="AH228" s="467"/>
      <c r="AI228" s="467"/>
      <c r="AJ228" s="467"/>
      <c r="AK228" s="467"/>
      <c r="AL228" s="467"/>
      <c r="AM228" s="467"/>
      <c r="AN228" s="467"/>
      <c r="AO228" s="467"/>
      <c r="AP228" s="467"/>
      <c r="AQ228" s="467"/>
      <c r="AR228" s="467"/>
      <c r="AS228" s="467"/>
      <c r="AT228" s="467"/>
      <c r="AU228" s="467"/>
      <c r="AV228" s="467"/>
      <c r="AW228" s="467"/>
      <c r="AX228" s="467"/>
      <c r="AY228" s="467"/>
      <c r="AZ228" s="467"/>
      <c r="BA228" s="467"/>
      <c r="BB228" s="467"/>
      <c r="BC228" s="467"/>
      <c r="BD228" s="467"/>
      <c r="BE228" s="467"/>
      <c r="BF228" s="467"/>
      <c r="BG228" s="467"/>
      <c r="BH228" s="467"/>
      <c r="BI228" s="467"/>
      <c r="BJ228" s="467"/>
      <c r="BK228" s="467"/>
      <c r="BL228" s="467"/>
    </row>
    <row r="229" customFormat="false" ht="12.75" hidden="false" customHeight="false" outlineLevel="0" collapsed="false">
      <c r="A229" s="464" t="n">
        <f aca="false">EOMONTH(A228,0)+1</f>
        <v>43344</v>
      </c>
      <c r="B229" s="467" t="n">
        <v>0.072259254885488</v>
      </c>
      <c r="C229" s="467" t="n">
        <v>4.205</v>
      </c>
      <c r="D229" s="467"/>
      <c r="E229" s="467" t="n">
        <v>0</v>
      </c>
      <c r="F229" s="467" t="n">
        <v>0</v>
      </c>
      <c r="G229" s="467"/>
      <c r="H229" s="467"/>
      <c r="I229" s="467"/>
      <c r="J229" s="467"/>
      <c r="K229" s="467"/>
      <c r="L229" s="467"/>
      <c r="M229" s="467"/>
      <c r="N229" s="467"/>
      <c r="O229" s="467"/>
      <c r="P229" s="467"/>
      <c r="Q229" s="467"/>
      <c r="R229" s="467"/>
      <c r="S229" s="467"/>
      <c r="T229" s="467"/>
      <c r="U229" s="467"/>
      <c r="V229" s="467"/>
      <c r="W229" s="467"/>
      <c r="X229" s="467"/>
      <c r="Y229" s="467"/>
      <c r="Z229" s="467"/>
      <c r="AA229" s="467"/>
      <c r="AB229" s="467"/>
      <c r="AC229" s="467"/>
      <c r="AD229" s="467"/>
      <c r="AE229" s="467"/>
      <c r="AF229" s="467"/>
      <c r="AG229" s="467"/>
      <c r="AH229" s="467"/>
      <c r="AI229" s="467"/>
      <c r="AJ229" s="467"/>
      <c r="AK229" s="467"/>
      <c r="AL229" s="467"/>
      <c r="AM229" s="467"/>
      <c r="AN229" s="467"/>
      <c r="AO229" s="467"/>
      <c r="AP229" s="467"/>
      <c r="AQ229" s="467"/>
      <c r="AR229" s="467"/>
      <c r="AS229" s="467"/>
      <c r="AT229" s="467"/>
      <c r="AU229" s="467"/>
      <c r="AV229" s="467"/>
      <c r="AW229" s="467"/>
      <c r="AX229" s="467"/>
      <c r="AY229" s="467"/>
      <c r="AZ229" s="467"/>
      <c r="BA229" s="467"/>
      <c r="BB229" s="467"/>
      <c r="BC229" s="467"/>
      <c r="BD229" s="467"/>
      <c r="BE229" s="467"/>
      <c r="BF229" s="467"/>
      <c r="BG229" s="467"/>
      <c r="BH229" s="467"/>
      <c r="BI229" s="467"/>
      <c r="BJ229" s="467"/>
      <c r="BK229" s="467"/>
      <c r="BL229" s="467"/>
    </row>
    <row r="230" customFormat="false" ht="12.75" hidden="false" customHeight="false" outlineLevel="0" collapsed="false">
      <c r="A230" s="464" t="n">
        <f aca="false">EOMONTH(A229,0)+1</f>
        <v>43374</v>
      </c>
      <c r="B230" s="467" t="n">
        <v>0.072258936825177</v>
      </c>
      <c r="C230" s="467" t="n">
        <v>4.21</v>
      </c>
      <c r="D230" s="467"/>
      <c r="E230" s="467" t="n">
        <v>0</v>
      </c>
      <c r="F230" s="467" t="n">
        <v>0</v>
      </c>
      <c r="G230" s="467"/>
      <c r="H230" s="467"/>
      <c r="I230" s="467"/>
      <c r="J230" s="467"/>
      <c r="K230" s="467"/>
      <c r="L230" s="467"/>
      <c r="M230" s="467"/>
      <c r="N230" s="467"/>
      <c r="O230" s="467"/>
      <c r="P230" s="467"/>
      <c r="Q230" s="467"/>
      <c r="R230" s="467"/>
      <c r="S230" s="467"/>
      <c r="T230" s="467"/>
      <c r="U230" s="467"/>
      <c r="V230" s="467"/>
      <c r="W230" s="467"/>
      <c r="X230" s="467"/>
      <c r="Y230" s="467"/>
      <c r="Z230" s="467"/>
      <c r="AA230" s="467"/>
      <c r="AB230" s="467"/>
      <c r="AC230" s="467"/>
      <c r="AD230" s="467"/>
      <c r="AE230" s="467"/>
      <c r="AF230" s="467"/>
      <c r="AG230" s="467"/>
      <c r="AH230" s="467"/>
      <c r="AI230" s="467"/>
      <c r="AJ230" s="467"/>
      <c r="AK230" s="467"/>
      <c r="AL230" s="467"/>
      <c r="AM230" s="467"/>
      <c r="AN230" s="467"/>
      <c r="AO230" s="467"/>
      <c r="AP230" s="467"/>
      <c r="AQ230" s="467"/>
      <c r="AR230" s="467"/>
      <c r="AS230" s="467"/>
      <c r="AT230" s="467"/>
      <c r="AU230" s="467"/>
      <c r="AV230" s="467"/>
      <c r="AW230" s="467"/>
      <c r="AX230" s="467"/>
      <c r="AY230" s="467"/>
      <c r="AZ230" s="467"/>
      <c r="BA230" s="467"/>
      <c r="BB230" s="467"/>
      <c r="BC230" s="467"/>
      <c r="BD230" s="467"/>
      <c r="BE230" s="467"/>
      <c r="BF230" s="467"/>
      <c r="BG230" s="467"/>
      <c r="BH230" s="467"/>
      <c r="BI230" s="467"/>
      <c r="BJ230" s="467"/>
      <c r="BK230" s="467"/>
      <c r="BL230" s="467"/>
    </row>
    <row r="231" customFormat="false" ht="12.75" hidden="false" customHeight="false" outlineLevel="0" collapsed="false">
      <c r="A231" s="464" t="n">
        <f aca="false">EOMONTH(A230,0)+1</f>
        <v>43405</v>
      </c>
      <c r="B231" s="467" t="n">
        <v>0.072258608162856</v>
      </c>
      <c r="C231" s="467" t="n">
        <v>4.244</v>
      </c>
      <c r="D231" s="467"/>
      <c r="E231" s="467" t="n">
        <v>0</v>
      </c>
      <c r="F231" s="467" t="n">
        <v>0</v>
      </c>
      <c r="G231" s="467"/>
      <c r="H231" s="467"/>
      <c r="I231" s="467"/>
      <c r="J231" s="467"/>
      <c r="K231" s="467"/>
      <c r="L231" s="467"/>
      <c r="M231" s="467"/>
      <c r="N231" s="467"/>
      <c r="O231" s="467"/>
      <c r="P231" s="467"/>
      <c r="Q231" s="467"/>
      <c r="R231" s="467"/>
      <c r="S231" s="467"/>
      <c r="T231" s="467"/>
      <c r="U231" s="467"/>
      <c r="V231" s="467"/>
      <c r="W231" s="467"/>
      <c r="X231" s="467"/>
      <c r="Y231" s="467"/>
      <c r="Z231" s="467"/>
      <c r="AA231" s="467"/>
      <c r="AB231" s="467"/>
      <c r="AC231" s="467"/>
      <c r="AD231" s="467"/>
      <c r="AE231" s="467"/>
      <c r="AF231" s="467"/>
      <c r="AG231" s="467"/>
      <c r="AH231" s="467"/>
      <c r="AI231" s="467"/>
      <c r="AJ231" s="467"/>
      <c r="AK231" s="467"/>
      <c r="AL231" s="467"/>
      <c r="AM231" s="467"/>
      <c r="AN231" s="467"/>
      <c r="AO231" s="467"/>
      <c r="AP231" s="467"/>
      <c r="AQ231" s="467"/>
      <c r="AR231" s="467"/>
      <c r="AS231" s="467"/>
      <c r="AT231" s="467"/>
      <c r="AU231" s="467"/>
      <c r="AV231" s="467"/>
      <c r="AW231" s="467"/>
      <c r="AX231" s="467"/>
      <c r="AY231" s="467"/>
      <c r="AZ231" s="467"/>
      <c r="BA231" s="467"/>
      <c r="BB231" s="467"/>
      <c r="BC231" s="467"/>
      <c r="BD231" s="467"/>
      <c r="BE231" s="467"/>
      <c r="BF231" s="467"/>
      <c r="BG231" s="467"/>
      <c r="BH231" s="467"/>
      <c r="BI231" s="467"/>
      <c r="BJ231" s="467"/>
      <c r="BK231" s="467"/>
      <c r="BL231" s="467"/>
    </row>
    <row r="232" customFormat="false" ht="12.75" hidden="false" customHeight="false" outlineLevel="0" collapsed="false">
      <c r="A232" s="464" t="n">
        <f aca="false">EOMONTH(A231,0)+1</f>
        <v>43435</v>
      </c>
      <c r="B232" s="467" t="n">
        <v>0.072258290102545</v>
      </c>
      <c r="C232" s="467" t="n">
        <v>4.304</v>
      </c>
      <c r="D232" s="467"/>
      <c r="E232" s="467" t="n">
        <v>0</v>
      </c>
      <c r="F232" s="467" t="n">
        <v>0</v>
      </c>
      <c r="G232" s="467"/>
      <c r="H232" s="467"/>
      <c r="I232" s="467"/>
      <c r="J232" s="467"/>
      <c r="K232" s="467"/>
      <c r="L232" s="467"/>
      <c r="M232" s="467"/>
      <c r="N232" s="467"/>
      <c r="O232" s="467"/>
      <c r="P232" s="467"/>
      <c r="Q232" s="467"/>
      <c r="R232" s="467"/>
      <c r="S232" s="467"/>
      <c r="T232" s="467"/>
      <c r="U232" s="467"/>
      <c r="V232" s="467"/>
      <c r="W232" s="467"/>
      <c r="X232" s="467"/>
      <c r="Y232" s="467"/>
      <c r="Z232" s="467"/>
      <c r="AA232" s="467"/>
      <c r="AB232" s="467"/>
      <c r="AC232" s="467"/>
      <c r="AD232" s="467"/>
      <c r="AE232" s="467"/>
      <c r="AF232" s="467"/>
      <c r="AG232" s="467"/>
      <c r="AH232" s="467"/>
      <c r="AI232" s="467"/>
      <c r="AJ232" s="467"/>
      <c r="AK232" s="467"/>
      <c r="AL232" s="467"/>
      <c r="AM232" s="467"/>
      <c r="AN232" s="467"/>
      <c r="AO232" s="467"/>
      <c r="AP232" s="467"/>
      <c r="AQ232" s="467"/>
      <c r="AR232" s="467"/>
      <c r="AS232" s="467"/>
      <c r="AT232" s="467"/>
      <c r="AU232" s="467"/>
      <c r="AV232" s="467"/>
      <c r="AW232" s="467"/>
      <c r="AX232" s="467"/>
      <c r="AY232" s="467"/>
      <c r="AZ232" s="467"/>
      <c r="BA232" s="467"/>
      <c r="BB232" s="467"/>
      <c r="BC232" s="467"/>
      <c r="BD232" s="467"/>
      <c r="BE232" s="467"/>
      <c r="BF232" s="467"/>
      <c r="BG232" s="467"/>
      <c r="BH232" s="467"/>
      <c r="BI232" s="467"/>
      <c r="BJ232" s="467"/>
      <c r="BK232" s="467"/>
      <c r="BL232" s="467"/>
    </row>
    <row r="233" customFormat="false" ht="12.75" hidden="false" customHeight="false" outlineLevel="0" collapsed="false">
      <c r="A233" s="464" t="n">
        <f aca="false">EOMONTH(A232,0)+1</f>
        <v>43466</v>
      </c>
      <c r="B233" s="467" t="n">
        <v>0.072257961440223</v>
      </c>
      <c r="C233" s="467" t="n">
        <v>4.507</v>
      </c>
      <c r="D233" s="467"/>
      <c r="E233" s="467" t="n">
        <v>0</v>
      </c>
      <c r="F233" s="467" t="n">
        <v>0</v>
      </c>
      <c r="G233" s="467"/>
      <c r="H233" s="467"/>
      <c r="I233" s="467"/>
      <c r="J233" s="467"/>
      <c r="K233" s="467"/>
      <c r="L233" s="467"/>
      <c r="M233" s="467"/>
      <c r="N233" s="467"/>
      <c r="O233" s="467"/>
      <c r="P233" s="467"/>
      <c r="Q233" s="467"/>
      <c r="R233" s="467"/>
      <c r="S233" s="467"/>
      <c r="T233" s="467"/>
      <c r="U233" s="467"/>
      <c r="V233" s="467"/>
      <c r="W233" s="467"/>
      <c r="X233" s="467"/>
      <c r="Y233" s="467"/>
      <c r="Z233" s="467"/>
      <c r="AA233" s="467"/>
      <c r="AB233" s="467"/>
      <c r="AC233" s="467"/>
      <c r="AD233" s="467"/>
      <c r="AE233" s="467"/>
      <c r="AF233" s="467"/>
      <c r="AG233" s="467"/>
      <c r="AH233" s="467"/>
      <c r="AI233" s="467"/>
      <c r="AJ233" s="467"/>
      <c r="AK233" s="467"/>
      <c r="AL233" s="467"/>
      <c r="AM233" s="467"/>
      <c r="AN233" s="467"/>
      <c r="AO233" s="467"/>
      <c r="AP233" s="467"/>
      <c r="AQ233" s="467"/>
      <c r="AR233" s="467"/>
      <c r="AS233" s="467"/>
      <c r="AT233" s="467"/>
      <c r="AU233" s="467"/>
      <c r="AV233" s="467"/>
      <c r="AW233" s="467"/>
      <c r="AX233" s="467"/>
      <c r="AY233" s="467"/>
      <c r="AZ233" s="467"/>
      <c r="BA233" s="467"/>
      <c r="BB233" s="467"/>
      <c r="BC233" s="467"/>
      <c r="BD233" s="467"/>
      <c r="BE233" s="467"/>
      <c r="BF233" s="467"/>
      <c r="BG233" s="467"/>
      <c r="BH233" s="467"/>
      <c r="BI233" s="467"/>
      <c r="BJ233" s="467"/>
      <c r="BK233" s="467"/>
      <c r="BL233" s="467"/>
    </row>
    <row r="234" customFormat="false" ht="12.75" hidden="false" customHeight="false" outlineLevel="0" collapsed="false">
      <c r="A234" s="464" t="n">
        <f aca="false">EOMONTH(A233,0)+1</f>
        <v>43497</v>
      </c>
      <c r="B234" s="467" t="n">
        <v>0.072257632777902</v>
      </c>
      <c r="C234" s="467" t="n">
        <v>4.441</v>
      </c>
      <c r="D234" s="467"/>
      <c r="E234" s="467" t="n">
        <v>0</v>
      </c>
      <c r="F234" s="467" t="n">
        <v>0</v>
      </c>
      <c r="G234" s="467"/>
      <c r="H234" s="467"/>
      <c r="I234" s="467"/>
      <c r="J234" s="467"/>
      <c r="K234" s="467"/>
      <c r="L234" s="467"/>
      <c r="M234" s="467"/>
      <c r="N234" s="467"/>
      <c r="O234" s="467"/>
      <c r="P234" s="467"/>
      <c r="Q234" s="467"/>
      <c r="R234" s="467"/>
      <c r="S234" s="467"/>
      <c r="T234" s="467"/>
      <c r="U234" s="467"/>
      <c r="V234" s="467"/>
      <c r="W234" s="467"/>
      <c r="X234" s="467"/>
      <c r="Y234" s="467"/>
      <c r="Z234" s="467"/>
      <c r="AA234" s="467"/>
      <c r="AB234" s="467"/>
      <c r="AC234" s="467"/>
      <c r="AD234" s="467"/>
      <c r="AE234" s="467"/>
      <c r="AF234" s="467"/>
      <c r="AG234" s="467"/>
      <c r="AH234" s="467"/>
      <c r="AI234" s="467"/>
      <c r="AJ234" s="467"/>
      <c r="AK234" s="467"/>
      <c r="AL234" s="467"/>
      <c r="AM234" s="467"/>
      <c r="AN234" s="467"/>
      <c r="AO234" s="467"/>
      <c r="AP234" s="467"/>
      <c r="AQ234" s="467"/>
      <c r="AR234" s="467"/>
      <c r="AS234" s="467"/>
      <c r="AT234" s="467"/>
      <c r="AU234" s="467"/>
      <c r="AV234" s="467"/>
      <c r="AW234" s="467"/>
      <c r="AX234" s="467"/>
      <c r="AY234" s="467"/>
      <c r="AZ234" s="467"/>
      <c r="BA234" s="467"/>
      <c r="BB234" s="467"/>
      <c r="BC234" s="467"/>
      <c r="BD234" s="467"/>
      <c r="BE234" s="467"/>
      <c r="BF234" s="467"/>
      <c r="BG234" s="467"/>
      <c r="BH234" s="467"/>
      <c r="BI234" s="467"/>
      <c r="BJ234" s="467"/>
      <c r="BK234" s="467"/>
      <c r="BL234" s="467"/>
    </row>
    <row r="235" customFormat="false" ht="12.75" hidden="false" customHeight="false" outlineLevel="0" collapsed="false">
      <c r="A235" s="464" t="n">
        <f aca="false">EOMONTH(A234,0)+1</f>
        <v>43525</v>
      </c>
      <c r="B235" s="467" t="n">
        <v>0.072257335921611</v>
      </c>
      <c r="C235" s="467" t="n">
        <v>4.349</v>
      </c>
      <c r="D235" s="467"/>
      <c r="E235" s="467" t="n">
        <v>0</v>
      </c>
      <c r="F235" s="467" t="n">
        <v>0</v>
      </c>
      <c r="G235" s="467"/>
      <c r="H235" s="467"/>
      <c r="I235" s="467"/>
      <c r="J235" s="467"/>
      <c r="K235" s="467"/>
      <c r="L235" s="467"/>
      <c r="M235" s="467"/>
      <c r="N235" s="467"/>
      <c r="O235" s="467"/>
      <c r="P235" s="467"/>
      <c r="Q235" s="467"/>
      <c r="R235" s="467"/>
      <c r="S235" s="467"/>
      <c r="T235" s="467"/>
      <c r="U235" s="467"/>
      <c r="V235" s="467"/>
      <c r="W235" s="467"/>
      <c r="X235" s="467"/>
      <c r="Y235" s="467"/>
      <c r="Z235" s="467"/>
      <c r="AA235" s="467"/>
      <c r="AB235" s="467"/>
      <c r="AC235" s="467"/>
      <c r="AD235" s="467"/>
      <c r="AE235" s="467"/>
      <c r="AF235" s="467"/>
      <c r="AG235" s="467"/>
      <c r="AH235" s="467"/>
      <c r="AI235" s="467"/>
      <c r="AJ235" s="467"/>
      <c r="AK235" s="467"/>
      <c r="AL235" s="467"/>
      <c r="AM235" s="467"/>
      <c r="AN235" s="467"/>
      <c r="AO235" s="467"/>
      <c r="AP235" s="467"/>
      <c r="AQ235" s="467"/>
      <c r="AR235" s="467"/>
      <c r="AS235" s="467"/>
      <c r="AT235" s="467"/>
      <c r="AU235" s="467"/>
      <c r="AV235" s="467"/>
      <c r="AW235" s="467"/>
      <c r="AX235" s="467"/>
      <c r="AY235" s="467"/>
      <c r="AZ235" s="467"/>
      <c r="BA235" s="467"/>
      <c r="BB235" s="467"/>
      <c r="BC235" s="467"/>
      <c r="BD235" s="467"/>
      <c r="BE235" s="467"/>
      <c r="BF235" s="467"/>
      <c r="BG235" s="467"/>
      <c r="BH235" s="467"/>
      <c r="BI235" s="467"/>
      <c r="BJ235" s="467"/>
      <c r="BK235" s="467"/>
      <c r="BL235" s="467"/>
    </row>
    <row r="236" customFormat="false" ht="12.75" hidden="false" customHeight="false" outlineLevel="0" collapsed="false">
      <c r="A236" s="464" t="n">
        <f aca="false">EOMONTH(A235,0)+1</f>
        <v>43556</v>
      </c>
      <c r="B236" s="467" t="n">
        <v>0.07225700725929</v>
      </c>
      <c r="C236" s="467" t="n">
        <v>4.257</v>
      </c>
      <c r="D236" s="467"/>
      <c r="E236" s="467" t="n">
        <v>0</v>
      </c>
      <c r="F236" s="467" t="n">
        <v>0</v>
      </c>
      <c r="G236" s="467"/>
      <c r="H236" s="467"/>
      <c r="I236" s="467"/>
      <c r="J236" s="467"/>
      <c r="K236" s="467"/>
      <c r="L236" s="467"/>
      <c r="M236" s="467"/>
      <c r="N236" s="467"/>
      <c r="O236" s="467"/>
      <c r="P236" s="467"/>
      <c r="Q236" s="467"/>
      <c r="R236" s="467"/>
      <c r="S236" s="467"/>
      <c r="T236" s="467"/>
      <c r="U236" s="467"/>
      <c r="V236" s="467"/>
      <c r="W236" s="467"/>
      <c r="X236" s="467"/>
      <c r="Y236" s="467"/>
      <c r="Z236" s="467"/>
      <c r="AA236" s="467"/>
      <c r="AB236" s="467"/>
      <c r="AC236" s="467"/>
      <c r="AD236" s="467"/>
      <c r="AE236" s="467"/>
      <c r="AF236" s="467"/>
      <c r="AG236" s="467"/>
      <c r="AH236" s="467"/>
      <c r="AI236" s="467"/>
      <c r="AJ236" s="467"/>
      <c r="AK236" s="467"/>
      <c r="AL236" s="467"/>
      <c r="AM236" s="467"/>
      <c r="AN236" s="467"/>
      <c r="AO236" s="467"/>
      <c r="AP236" s="467"/>
      <c r="AQ236" s="467"/>
      <c r="AR236" s="467"/>
      <c r="AS236" s="467"/>
      <c r="AT236" s="467"/>
      <c r="AU236" s="467"/>
      <c r="AV236" s="467"/>
      <c r="AW236" s="467"/>
      <c r="AX236" s="467"/>
      <c r="AY236" s="467"/>
      <c r="AZ236" s="467"/>
      <c r="BA236" s="467"/>
      <c r="BB236" s="467"/>
      <c r="BC236" s="467"/>
      <c r="BD236" s="467"/>
      <c r="BE236" s="467"/>
      <c r="BF236" s="467"/>
      <c r="BG236" s="467"/>
      <c r="BH236" s="467"/>
      <c r="BI236" s="467"/>
      <c r="BJ236" s="467"/>
      <c r="BK236" s="467"/>
      <c r="BL236" s="467"/>
    </row>
    <row r="237" customFormat="false" ht="12.75" hidden="false" customHeight="false" outlineLevel="0" collapsed="false">
      <c r="A237" s="464" t="n">
        <f aca="false">EOMONTH(A236,0)+1</f>
        <v>43586</v>
      </c>
      <c r="B237" s="467" t="n">
        <v>0.072256689198979</v>
      </c>
      <c r="C237" s="467" t="n">
        <v>4.258</v>
      </c>
      <c r="D237" s="467"/>
      <c r="E237" s="467" t="n">
        <v>0</v>
      </c>
      <c r="F237" s="467" t="n">
        <v>0</v>
      </c>
      <c r="G237" s="467"/>
      <c r="H237" s="467"/>
      <c r="I237" s="467"/>
      <c r="J237" s="467"/>
      <c r="K237" s="467"/>
      <c r="L237" s="467"/>
      <c r="M237" s="467"/>
      <c r="N237" s="467"/>
      <c r="O237" s="467"/>
      <c r="P237" s="467"/>
      <c r="Q237" s="467"/>
      <c r="R237" s="467"/>
      <c r="S237" s="467"/>
      <c r="T237" s="467"/>
      <c r="U237" s="467"/>
      <c r="V237" s="467"/>
      <c r="W237" s="467"/>
      <c r="X237" s="467"/>
      <c r="Y237" s="467"/>
      <c r="Z237" s="467"/>
      <c r="AA237" s="467"/>
      <c r="AB237" s="467"/>
      <c r="AC237" s="467"/>
      <c r="AD237" s="467"/>
      <c r="AE237" s="467"/>
      <c r="AF237" s="467"/>
      <c r="AG237" s="467"/>
      <c r="AH237" s="467"/>
      <c r="AI237" s="467"/>
      <c r="AJ237" s="467"/>
      <c r="AK237" s="467"/>
      <c r="AL237" s="467"/>
      <c r="AM237" s="467"/>
      <c r="AN237" s="467"/>
      <c r="AO237" s="467"/>
      <c r="AP237" s="467"/>
      <c r="AQ237" s="467"/>
      <c r="AR237" s="467"/>
      <c r="AS237" s="467"/>
      <c r="AT237" s="467"/>
      <c r="AU237" s="467"/>
      <c r="AV237" s="467"/>
      <c r="AW237" s="467"/>
      <c r="AX237" s="467"/>
      <c r="AY237" s="467"/>
      <c r="AZ237" s="467"/>
      <c r="BA237" s="467"/>
      <c r="BB237" s="467"/>
      <c r="BC237" s="467"/>
      <c r="BD237" s="467"/>
      <c r="BE237" s="467"/>
      <c r="BF237" s="467"/>
      <c r="BG237" s="467"/>
      <c r="BH237" s="467"/>
      <c r="BI237" s="467"/>
      <c r="BJ237" s="467"/>
      <c r="BK237" s="467"/>
      <c r="BL237" s="467"/>
    </row>
    <row r="238" customFormat="false" ht="12.75" hidden="false" customHeight="false" outlineLevel="0" collapsed="false">
      <c r="A238" s="464" t="n">
        <f aca="false">EOMONTH(A237,0)+1</f>
        <v>43617</v>
      </c>
      <c r="B238" s="467" t="n">
        <v>0.072256360536658</v>
      </c>
      <c r="C238" s="467" t="n">
        <v>4.304</v>
      </c>
      <c r="D238" s="467"/>
      <c r="E238" s="467" t="n">
        <v>0</v>
      </c>
      <c r="F238" s="467" t="n">
        <v>0</v>
      </c>
      <c r="G238" s="467"/>
      <c r="H238" s="467"/>
      <c r="I238" s="467"/>
      <c r="J238" s="467"/>
      <c r="K238" s="467"/>
      <c r="L238" s="467"/>
      <c r="M238" s="467"/>
      <c r="N238" s="467"/>
      <c r="O238" s="467"/>
      <c r="P238" s="467"/>
      <c r="Q238" s="467"/>
      <c r="R238" s="467"/>
      <c r="S238" s="467"/>
      <c r="T238" s="467"/>
      <c r="U238" s="467"/>
      <c r="V238" s="467"/>
      <c r="W238" s="467"/>
      <c r="X238" s="467"/>
      <c r="Y238" s="467"/>
      <c r="Z238" s="467"/>
      <c r="AA238" s="467"/>
      <c r="AB238" s="467"/>
      <c r="AC238" s="467"/>
      <c r="AD238" s="467"/>
      <c r="AE238" s="467"/>
      <c r="AF238" s="467"/>
      <c r="AG238" s="467"/>
      <c r="AH238" s="467"/>
      <c r="AI238" s="467"/>
      <c r="AJ238" s="467"/>
      <c r="AK238" s="467"/>
      <c r="AL238" s="467"/>
      <c r="AM238" s="467"/>
      <c r="AN238" s="467"/>
      <c r="AO238" s="467"/>
      <c r="AP238" s="467"/>
      <c r="AQ238" s="467"/>
      <c r="AR238" s="467"/>
      <c r="AS238" s="467"/>
      <c r="AT238" s="467"/>
      <c r="AU238" s="467"/>
      <c r="AV238" s="467"/>
      <c r="AW238" s="467"/>
      <c r="AX238" s="467"/>
      <c r="AY238" s="467"/>
      <c r="AZ238" s="467"/>
      <c r="BA238" s="467"/>
      <c r="BB238" s="467"/>
      <c r="BC238" s="467"/>
      <c r="BD238" s="467"/>
      <c r="BE238" s="467"/>
      <c r="BF238" s="467"/>
      <c r="BG238" s="467"/>
      <c r="BH238" s="467"/>
      <c r="BI238" s="467"/>
      <c r="BJ238" s="467"/>
      <c r="BK238" s="467"/>
      <c r="BL238" s="467"/>
    </row>
    <row r="239" customFormat="false" ht="12.75" hidden="false" customHeight="false" outlineLevel="0" collapsed="false">
      <c r="A239" s="464" t="n">
        <f aca="false">EOMONTH(A238,0)+1</f>
        <v>43647</v>
      </c>
      <c r="B239" s="467" t="n">
        <v>0.072256042476347</v>
      </c>
      <c r="C239" s="467" t="n">
        <v>4.304</v>
      </c>
      <c r="D239" s="467"/>
      <c r="E239" s="467" t="n">
        <v>0</v>
      </c>
      <c r="F239" s="467" t="n">
        <v>0</v>
      </c>
      <c r="G239" s="467"/>
      <c r="H239" s="467"/>
      <c r="I239" s="467"/>
      <c r="J239" s="467"/>
      <c r="K239" s="467"/>
      <c r="L239" s="467"/>
      <c r="M239" s="467"/>
      <c r="N239" s="467"/>
      <c r="O239" s="467"/>
      <c r="P239" s="467"/>
      <c r="Q239" s="467"/>
      <c r="R239" s="467"/>
      <c r="S239" s="467"/>
      <c r="T239" s="467"/>
      <c r="U239" s="467"/>
      <c r="V239" s="467"/>
      <c r="W239" s="467"/>
      <c r="X239" s="467"/>
      <c r="Y239" s="467"/>
      <c r="Z239" s="467"/>
      <c r="AA239" s="467"/>
      <c r="AB239" s="467"/>
      <c r="AC239" s="467"/>
      <c r="AD239" s="467"/>
      <c r="AE239" s="467"/>
      <c r="AF239" s="467"/>
      <c r="AG239" s="467"/>
      <c r="AH239" s="467"/>
      <c r="AI239" s="467"/>
      <c r="AJ239" s="467"/>
      <c r="AK239" s="467"/>
      <c r="AL239" s="467"/>
      <c r="AM239" s="467"/>
      <c r="AN239" s="467"/>
      <c r="AO239" s="467"/>
      <c r="AP239" s="467"/>
      <c r="AQ239" s="467"/>
      <c r="AR239" s="467"/>
      <c r="AS239" s="467"/>
      <c r="AT239" s="467"/>
      <c r="AU239" s="467"/>
      <c r="AV239" s="467"/>
      <c r="AW239" s="467"/>
      <c r="AX239" s="467"/>
      <c r="AY239" s="467"/>
      <c r="AZ239" s="467"/>
      <c r="BA239" s="467"/>
      <c r="BB239" s="467"/>
      <c r="BC239" s="467"/>
      <c r="BD239" s="467"/>
      <c r="BE239" s="467"/>
      <c r="BF239" s="467"/>
      <c r="BG239" s="467"/>
      <c r="BH239" s="467"/>
      <c r="BI239" s="467"/>
      <c r="BJ239" s="467"/>
      <c r="BK239" s="467"/>
      <c r="BL239" s="467"/>
    </row>
    <row r="240" customFormat="false" ht="12.75" hidden="false" customHeight="false" outlineLevel="0" collapsed="false">
      <c r="A240" s="464" t="n">
        <f aca="false">EOMONTH(A239,0)+1</f>
        <v>43678</v>
      </c>
      <c r="B240" s="467" t="n">
        <v>0.072255713814025</v>
      </c>
      <c r="C240" s="467" t="n">
        <v>4.364</v>
      </c>
      <c r="D240" s="467"/>
      <c r="E240" s="467" t="n">
        <v>0</v>
      </c>
      <c r="F240" s="467" t="n">
        <v>0</v>
      </c>
      <c r="G240" s="467"/>
      <c r="H240" s="467"/>
      <c r="I240" s="467"/>
      <c r="J240" s="467"/>
      <c r="K240" s="467"/>
      <c r="L240" s="467"/>
      <c r="M240" s="467"/>
      <c r="N240" s="467"/>
      <c r="O240" s="467"/>
      <c r="P240" s="467"/>
      <c r="Q240" s="467"/>
      <c r="R240" s="467"/>
      <c r="S240" s="467"/>
      <c r="T240" s="467"/>
      <c r="U240" s="467"/>
      <c r="V240" s="467"/>
      <c r="W240" s="467"/>
      <c r="X240" s="467"/>
      <c r="Y240" s="467"/>
      <c r="Z240" s="467"/>
      <c r="AA240" s="467"/>
      <c r="AB240" s="467"/>
      <c r="AC240" s="467"/>
      <c r="AD240" s="467"/>
      <c r="AE240" s="467"/>
      <c r="AF240" s="467"/>
      <c r="AG240" s="467"/>
      <c r="AH240" s="467"/>
      <c r="AI240" s="467"/>
      <c r="AJ240" s="467"/>
      <c r="AK240" s="467"/>
      <c r="AL240" s="467"/>
      <c r="AM240" s="467"/>
      <c r="AN240" s="467"/>
      <c r="AO240" s="467"/>
      <c r="AP240" s="467"/>
      <c r="AQ240" s="467"/>
      <c r="AR240" s="467"/>
      <c r="AS240" s="467"/>
      <c r="AT240" s="467"/>
      <c r="AU240" s="467"/>
      <c r="AV240" s="467"/>
      <c r="AW240" s="467"/>
      <c r="AX240" s="467"/>
      <c r="AY240" s="467"/>
      <c r="AZ240" s="467"/>
      <c r="BA240" s="467"/>
      <c r="BB240" s="467"/>
      <c r="BC240" s="467"/>
      <c r="BD240" s="467"/>
      <c r="BE240" s="467"/>
      <c r="BF240" s="467"/>
      <c r="BG240" s="467"/>
      <c r="BH240" s="467"/>
      <c r="BI240" s="467"/>
      <c r="BJ240" s="467"/>
      <c r="BK240" s="467"/>
      <c r="BL240" s="467"/>
    </row>
    <row r="241" customFormat="false" ht="12.75" hidden="false" customHeight="false" outlineLevel="0" collapsed="false">
      <c r="A241" s="464" t="n">
        <f aca="false">EOMONTH(A240,0)+1</f>
        <v>43709</v>
      </c>
      <c r="B241" s="467" t="n">
        <v>0.072255385151704</v>
      </c>
      <c r="C241" s="467" t="n">
        <v>4.338</v>
      </c>
      <c r="D241" s="467"/>
      <c r="E241" s="467" t="n">
        <v>0</v>
      </c>
      <c r="F241" s="467" t="n">
        <v>0</v>
      </c>
      <c r="G241" s="467"/>
      <c r="H241" s="467"/>
      <c r="I241" s="467"/>
      <c r="J241" s="467"/>
      <c r="K241" s="467"/>
      <c r="L241" s="467"/>
      <c r="M241" s="467"/>
      <c r="N241" s="467"/>
      <c r="O241" s="467"/>
      <c r="P241" s="467"/>
      <c r="Q241" s="467"/>
      <c r="R241" s="467"/>
      <c r="S241" s="467"/>
      <c r="T241" s="467"/>
      <c r="U241" s="467"/>
      <c r="V241" s="467"/>
      <c r="W241" s="467"/>
      <c r="X241" s="467"/>
      <c r="Y241" s="467"/>
      <c r="Z241" s="467"/>
      <c r="AA241" s="467"/>
      <c r="AB241" s="467"/>
      <c r="AC241" s="467"/>
      <c r="AD241" s="467"/>
      <c r="AE241" s="467"/>
      <c r="AF241" s="467"/>
      <c r="AG241" s="467"/>
      <c r="AH241" s="467"/>
      <c r="AI241" s="467"/>
      <c r="AJ241" s="467"/>
      <c r="AK241" s="467"/>
      <c r="AL241" s="467"/>
      <c r="AM241" s="467"/>
      <c r="AN241" s="467"/>
      <c r="AO241" s="467"/>
      <c r="AP241" s="467"/>
      <c r="AQ241" s="467"/>
      <c r="AR241" s="467"/>
      <c r="AS241" s="467"/>
      <c r="AT241" s="467"/>
      <c r="AU241" s="467"/>
      <c r="AV241" s="467"/>
      <c r="AW241" s="467"/>
      <c r="AX241" s="467"/>
      <c r="AY241" s="467"/>
      <c r="AZ241" s="467"/>
      <c r="BA241" s="467"/>
      <c r="BB241" s="467"/>
      <c r="BC241" s="467"/>
      <c r="BD241" s="467"/>
      <c r="BE241" s="467"/>
      <c r="BF241" s="467"/>
      <c r="BG241" s="467"/>
      <c r="BH241" s="467"/>
      <c r="BI241" s="467"/>
      <c r="BJ241" s="467"/>
      <c r="BK241" s="467"/>
      <c r="BL241" s="467"/>
    </row>
    <row r="242" customFormat="false" ht="12.75" hidden="false" customHeight="false" outlineLevel="0" collapsed="false">
      <c r="A242" s="464" t="n">
        <f aca="false">EOMONTH(A241,0)+1</f>
        <v>43739</v>
      </c>
      <c r="B242" s="467" t="n">
        <v>0.072255067091394</v>
      </c>
      <c r="C242" s="467" t="n">
        <v>4.342</v>
      </c>
      <c r="D242" s="467"/>
      <c r="E242" s="467" t="n">
        <v>0</v>
      </c>
      <c r="F242" s="467" t="n">
        <v>0</v>
      </c>
      <c r="G242" s="467"/>
      <c r="H242" s="467"/>
      <c r="I242" s="467"/>
      <c r="J242" s="467"/>
      <c r="K242" s="467"/>
      <c r="L242" s="467"/>
      <c r="M242" s="467"/>
      <c r="N242" s="467"/>
      <c r="O242" s="467"/>
      <c r="P242" s="467"/>
      <c r="Q242" s="467"/>
      <c r="R242" s="467"/>
      <c r="S242" s="467"/>
      <c r="T242" s="467"/>
      <c r="U242" s="467"/>
      <c r="V242" s="467"/>
      <c r="W242" s="467"/>
      <c r="X242" s="467"/>
      <c r="Y242" s="467"/>
      <c r="Z242" s="467"/>
      <c r="AA242" s="467"/>
      <c r="AB242" s="467"/>
      <c r="AC242" s="467"/>
      <c r="AD242" s="467"/>
      <c r="AE242" s="467"/>
      <c r="AF242" s="467"/>
      <c r="AG242" s="467"/>
      <c r="AH242" s="467"/>
      <c r="AI242" s="467"/>
      <c r="AJ242" s="467"/>
      <c r="AK242" s="467"/>
      <c r="AL242" s="467"/>
      <c r="AM242" s="467"/>
      <c r="AN242" s="467"/>
      <c r="AO242" s="467"/>
      <c r="AP242" s="467"/>
      <c r="AQ242" s="467"/>
      <c r="AR242" s="467"/>
      <c r="AS242" s="467"/>
      <c r="AT242" s="467"/>
      <c r="AU242" s="467"/>
      <c r="AV242" s="467"/>
      <c r="AW242" s="467"/>
      <c r="AX242" s="467"/>
      <c r="AY242" s="467"/>
      <c r="AZ242" s="467"/>
      <c r="BA242" s="467"/>
      <c r="BB242" s="467"/>
      <c r="BC242" s="467"/>
      <c r="BD242" s="467"/>
      <c r="BE242" s="467"/>
      <c r="BF242" s="467"/>
      <c r="BG242" s="467"/>
      <c r="BH242" s="467"/>
      <c r="BI242" s="467"/>
      <c r="BJ242" s="467"/>
      <c r="BK242" s="467"/>
      <c r="BL242" s="467"/>
    </row>
    <row r="243" customFormat="false" ht="12.75" hidden="false" customHeight="false" outlineLevel="0" collapsed="false">
      <c r="A243" s="464" t="n">
        <f aca="false">EOMONTH(A242,0)+1</f>
        <v>43770</v>
      </c>
      <c r="B243" s="467" t="n">
        <v>0.072254738429072</v>
      </c>
      <c r="C243" s="467" t="n">
        <v>4.371</v>
      </c>
      <c r="D243" s="467"/>
      <c r="E243" s="467" t="n">
        <v>0</v>
      </c>
      <c r="F243" s="467" t="n">
        <v>0</v>
      </c>
      <c r="G243" s="467"/>
      <c r="H243" s="467"/>
      <c r="I243" s="467"/>
      <c r="J243" s="467"/>
      <c r="K243" s="467"/>
      <c r="L243" s="467"/>
      <c r="M243" s="467"/>
      <c r="N243" s="467"/>
      <c r="O243" s="467"/>
      <c r="P243" s="467"/>
      <c r="Q243" s="467"/>
      <c r="R243" s="467"/>
      <c r="S243" s="467"/>
      <c r="T243" s="467"/>
      <c r="U243" s="467"/>
      <c r="V243" s="467"/>
      <c r="W243" s="467"/>
      <c r="X243" s="467"/>
      <c r="Y243" s="467"/>
      <c r="Z243" s="467"/>
      <c r="AA243" s="467"/>
      <c r="AB243" s="467"/>
      <c r="AC243" s="467"/>
      <c r="AD243" s="467"/>
      <c r="AE243" s="467"/>
      <c r="AF243" s="467"/>
      <c r="AG243" s="467"/>
      <c r="AH243" s="467"/>
      <c r="AI243" s="467"/>
      <c r="AJ243" s="467"/>
      <c r="AK243" s="467"/>
      <c r="AL243" s="467"/>
      <c r="AM243" s="467"/>
      <c r="AN243" s="467"/>
      <c r="AO243" s="467"/>
      <c r="AP243" s="467"/>
      <c r="AQ243" s="467"/>
      <c r="AR243" s="467"/>
      <c r="AS243" s="467"/>
      <c r="AT243" s="467"/>
      <c r="AU243" s="467"/>
      <c r="AV243" s="467"/>
      <c r="AW243" s="467"/>
      <c r="AX243" s="467"/>
      <c r="AY243" s="467"/>
      <c r="AZ243" s="467"/>
      <c r="BA243" s="467"/>
      <c r="BB243" s="467"/>
      <c r="BC243" s="467"/>
      <c r="BD243" s="467"/>
      <c r="BE243" s="467"/>
      <c r="BF243" s="467"/>
      <c r="BG243" s="467"/>
      <c r="BH243" s="467"/>
      <c r="BI243" s="467"/>
      <c r="BJ243" s="467"/>
      <c r="BK243" s="467"/>
      <c r="BL243" s="467"/>
    </row>
    <row r="244" customFormat="false" ht="12.75" hidden="false" customHeight="false" outlineLevel="0" collapsed="false">
      <c r="A244" s="464" t="n">
        <f aca="false">EOMONTH(A243,0)+1</f>
        <v>43800</v>
      </c>
      <c r="B244" s="467" t="n">
        <v>0.072254420368762</v>
      </c>
      <c r="C244" s="467" t="n">
        <v>4.428</v>
      </c>
      <c r="D244" s="467"/>
      <c r="E244" s="467" t="n">
        <v>0</v>
      </c>
      <c r="F244" s="467" t="n">
        <v>0</v>
      </c>
      <c r="G244" s="467"/>
      <c r="H244" s="467"/>
      <c r="I244" s="467"/>
      <c r="J244" s="467"/>
      <c r="K244" s="467"/>
      <c r="L244" s="467"/>
      <c r="M244" s="467"/>
      <c r="N244" s="467"/>
      <c r="O244" s="467"/>
      <c r="P244" s="467"/>
      <c r="Q244" s="467"/>
      <c r="R244" s="467"/>
      <c r="S244" s="467"/>
      <c r="T244" s="467"/>
      <c r="U244" s="467"/>
      <c r="V244" s="467"/>
      <c r="W244" s="467"/>
      <c r="X244" s="467"/>
      <c r="Y244" s="467"/>
      <c r="Z244" s="467"/>
      <c r="AA244" s="467"/>
      <c r="AB244" s="467"/>
      <c r="AC244" s="467"/>
      <c r="AD244" s="467"/>
      <c r="AE244" s="467"/>
      <c r="AF244" s="467"/>
      <c r="AG244" s="467"/>
      <c r="AH244" s="467"/>
      <c r="AI244" s="467"/>
      <c r="AJ244" s="467"/>
      <c r="AK244" s="467"/>
      <c r="AL244" s="467"/>
      <c r="AM244" s="467"/>
      <c r="AN244" s="467"/>
      <c r="AO244" s="467"/>
      <c r="AP244" s="467"/>
      <c r="AQ244" s="467"/>
      <c r="AR244" s="467"/>
      <c r="AS244" s="467"/>
      <c r="AT244" s="467"/>
      <c r="AU244" s="467"/>
      <c r="AV244" s="467"/>
      <c r="AW244" s="467"/>
      <c r="AX244" s="467"/>
      <c r="AY244" s="467"/>
      <c r="AZ244" s="467"/>
      <c r="BA244" s="467"/>
      <c r="BB244" s="467"/>
      <c r="BC244" s="467"/>
      <c r="BD244" s="467"/>
      <c r="BE244" s="467"/>
      <c r="BF244" s="467"/>
      <c r="BG244" s="467"/>
      <c r="BH244" s="467"/>
      <c r="BI244" s="467"/>
      <c r="BJ244" s="467"/>
      <c r="BK244" s="467"/>
      <c r="BL244" s="467"/>
    </row>
    <row r="245" customFormat="false" ht="12.75" hidden="false" customHeight="false" outlineLevel="0" collapsed="false">
      <c r="A245" s="464" t="n">
        <f aca="false">EOMONTH(A244,0)+1</f>
        <v>43831</v>
      </c>
      <c r="B245" s="467" t="n">
        <v>0.072254091706441</v>
      </c>
      <c r="C245" s="467" t="n">
        <v>4.634</v>
      </c>
      <c r="D245" s="467"/>
      <c r="E245" s="467" t="n">
        <v>0</v>
      </c>
      <c r="F245" s="467" t="n">
        <v>0</v>
      </c>
      <c r="G245" s="467"/>
      <c r="H245" s="467"/>
      <c r="I245" s="467"/>
      <c r="J245" s="467"/>
      <c r="K245" s="467"/>
      <c r="L245" s="467"/>
      <c r="M245" s="467"/>
      <c r="N245" s="467"/>
      <c r="O245" s="467"/>
      <c r="P245" s="467"/>
      <c r="Q245" s="467"/>
      <c r="R245" s="467"/>
      <c r="S245" s="467"/>
      <c r="T245" s="467"/>
      <c r="U245" s="467"/>
      <c r="V245" s="467"/>
      <c r="W245" s="467"/>
      <c r="X245" s="467"/>
      <c r="Y245" s="467"/>
      <c r="Z245" s="467"/>
      <c r="AA245" s="467"/>
      <c r="AB245" s="467"/>
      <c r="AC245" s="467"/>
      <c r="AD245" s="467"/>
      <c r="AE245" s="467"/>
      <c r="AF245" s="467"/>
      <c r="AG245" s="467"/>
      <c r="AH245" s="467"/>
      <c r="AI245" s="467"/>
      <c r="AJ245" s="467"/>
      <c r="AK245" s="467"/>
      <c r="AL245" s="467"/>
      <c r="AM245" s="467"/>
      <c r="AN245" s="467"/>
      <c r="AO245" s="467"/>
      <c r="AP245" s="467"/>
      <c r="AQ245" s="467"/>
      <c r="AR245" s="467"/>
      <c r="AS245" s="467"/>
      <c r="AT245" s="467"/>
      <c r="AU245" s="467"/>
      <c r="AV245" s="467"/>
      <c r="AW245" s="467"/>
      <c r="AX245" s="467"/>
      <c r="AY245" s="467"/>
      <c r="AZ245" s="467"/>
      <c r="BA245" s="467"/>
      <c r="BB245" s="467"/>
      <c r="BC245" s="467"/>
      <c r="BD245" s="467"/>
      <c r="BE245" s="467"/>
      <c r="BF245" s="467"/>
      <c r="BG245" s="467"/>
      <c r="BH245" s="467"/>
      <c r="BI245" s="467"/>
      <c r="BJ245" s="467"/>
      <c r="BK245" s="467"/>
      <c r="BL245" s="467"/>
    </row>
    <row r="246" customFormat="false" ht="12.75" hidden="false" customHeight="false" outlineLevel="0" collapsed="false">
      <c r="A246" s="464" t="n">
        <f aca="false">EOMONTH(A245,0)+1</f>
        <v>43862</v>
      </c>
      <c r="B246" s="467" t="n">
        <v>0.07225376304412</v>
      </c>
      <c r="C246" s="467" t="n">
        <v>4.572</v>
      </c>
      <c r="D246" s="467"/>
      <c r="E246" s="467" t="n">
        <v>0</v>
      </c>
      <c r="F246" s="467" t="n">
        <v>0</v>
      </c>
      <c r="G246" s="467"/>
      <c r="H246" s="467"/>
      <c r="I246" s="467"/>
      <c r="J246" s="467"/>
      <c r="K246" s="467"/>
      <c r="L246" s="467"/>
      <c r="M246" s="467"/>
      <c r="N246" s="467"/>
      <c r="O246" s="467"/>
      <c r="P246" s="467"/>
      <c r="Q246" s="467"/>
      <c r="R246" s="467"/>
      <c r="S246" s="467"/>
      <c r="T246" s="467"/>
      <c r="U246" s="467"/>
      <c r="V246" s="467"/>
      <c r="W246" s="467"/>
      <c r="X246" s="467"/>
      <c r="Y246" s="467"/>
      <c r="Z246" s="467"/>
      <c r="AA246" s="467"/>
      <c r="AB246" s="467"/>
      <c r="AC246" s="467"/>
      <c r="AD246" s="467"/>
      <c r="AE246" s="467"/>
      <c r="AF246" s="467"/>
      <c r="AG246" s="467"/>
      <c r="AH246" s="467"/>
      <c r="AI246" s="467"/>
      <c r="AJ246" s="467"/>
      <c r="AK246" s="467"/>
      <c r="AL246" s="467"/>
      <c r="AM246" s="467"/>
      <c r="AN246" s="467"/>
      <c r="AO246" s="467"/>
      <c r="AP246" s="467"/>
      <c r="AQ246" s="467"/>
      <c r="AR246" s="467"/>
      <c r="AS246" s="467"/>
      <c r="AT246" s="467"/>
      <c r="AU246" s="467"/>
      <c r="AV246" s="467"/>
      <c r="AW246" s="467"/>
      <c r="AX246" s="467"/>
      <c r="AY246" s="467"/>
      <c r="AZ246" s="467"/>
      <c r="BA246" s="467"/>
      <c r="BB246" s="467"/>
      <c r="BC246" s="467"/>
      <c r="BD246" s="467"/>
      <c r="BE246" s="467"/>
      <c r="BF246" s="467"/>
      <c r="BG246" s="467"/>
      <c r="BH246" s="467"/>
      <c r="BI246" s="467"/>
      <c r="BJ246" s="467"/>
      <c r="BK246" s="467"/>
      <c r="BL246" s="467"/>
    </row>
    <row r="247" customFormat="false" ht="12.75" hidden="false" customHeight="false" outlineLevel="0" collapsed="false">
      <c r="A247" s="464" t="n">
        <f aca="false">EOMONTH(A246,0)+1</f>
        <v>43891</v>
      </c>
      <c r="B247" s="467" t="n">
        <v>0.07225345558582</v>
      </c>
      <c r="C247" s="467" t="n">
        <v>4.483</v>
      </c>
      <c r="D247" s="467"/>
      <c r="E247" s="467" t="n">
        <v>0</v>
      </c>
      <c r="F247" s="467" t="n">
        <v>0</v>
      </c>
      <c r="G247" s="467"/>
      <c r="H247" s="467"/>
      <c r="I247" s="467"/>
      <c r="J247" s="467"/>
      <c r="K247" s="467"/>
      <c r="L247" s="467"/>
      <c r="M247" s="467"/>
      <c r="N247" s="467"/>
      <c r="O247" s="467"/>
      <c r="P247" s="467"/>
      <c r="Q247" s="467"/>
      <c r="R247" s="467"/>
      <c r="S247" s="467"/>
      <c r="T247" s="467"/>
      <c r="U247" s="467"/>
      <c r="V247" s="467"/>
      <c r="W247" s="467"/>
      <c r="X247" s="467"/>
      <c r="Y247" s="467"/>
      <c r="Z247" s="467"/>
      <c r="AA247" s="467"/>
      <c r="AB247" s="467"/>
      <c r="AC247" s="467"/>
      <c r="AD247" s="467"/>
      <c r="AE247" s="467"/>
      <c r="AF247" s="467"/>
      <c r="AG247" s="467"/>
      <c r="AH247" s="467"/>
      <c r="AI247" s="467"/>
      <c r="AJ247" s="467"/>
      <c r="AK247" s="467"/>
      <c r="AL247" s="467"/>
      <c r="AM247" s="467"/>
      <c r="AN247" s="467"/>
      <c r="AO247" s="467"/>
      <c r="AP247" s="467"/>
      <c r="AQ247" s="467"/>
      <c r="AR247" s="467"/>
      <c r="AS247" s="467"/>
      <c r="AT247" s="467"/>
      <c r="AU247" s="467"/>
      <c r="AV247" s="467"/>
      <c r="AW247" s="467"/>
      <c r="AX247" s="467"/>
      <c r="AY247" s="467"/>
      <c r="AZ247" s="467"/>
      <c r="BA247" s="467"/>
      <c r="BB247" s="467"/>
      <c r="BC247" s="467"/>
      <c r="BD247" s="467"/>
      <c r="BE247" s="467"/>
      <c r="BF247" s="467"/>
      <c r="BG247" s="467"/>
      <c r="BH247" s="467"/>
      <c r="BI247" s="467"/>
      <c r="BJ247" s="467"/>
      <c r="BK247" s="467"/>
      <c r="BL247" s="467"/>
    </row>
    <row r="248" customFormat="false" ht="12.75" hidden="false" customHeight="false" outlineLevel="0" collapsed="false">
      <c r="A248" s="464" t="n">
        <f aca="false">EOMONTH(A247,0)+1</f>
        <v>43922</v>
      </c>
      <c r="B248" s="467" t="n">
        <v>0.072253126923498</v>
      </c>
      <c r="C248" s="467" t="n">
        <v>4.394</v>
      </c>
      <c r="D248" s="467"/>
      <c r="E248" s="467" t="n">
        <v>0</v>
      </c>
      <c r="F248" s="467" t="n">
        <v>0</v>
      </c>
      <c r="G248" s="467"/>
      <c r="H248" s="467"/>
      <c r="I248" s="467"/>
      <c r="J248" s="467"/>
      <c r="K248" s="467"/>
      <c r="L248" s="467"/>
      <c r="M248" s="467"/>
      <c r="N248" s="467"/>
      <c r="O248" s="467"/>
      <c r="P248" s="467"/>
      <c r="Q248" s="467"/>
      <c r="R248" s="467"/>
      <c r="S248" s="467"/>
      <c r="T248" s="467"/>
      <c r="U248" s="467"/>
      <c r="V248" s="467"/>
      <c r="W248" s="467"/>
      <c r="X248" s="467"/>
      <c r="Y248" s="467"/>
      <c r="Z248" s="467"/>
      <c r="AA248" s="467"/>
      <c r="AB248" s="467"/>
      <c r="AC248" s="467"/>
      <c r="AD248" s="467"/>
      <c r="AE248" s="467"/>
      <c r="AF248" s="467"/>
      <c r="AG248" s="467"/>
      <c r="AH248" s="467"/>
      <c r="AI248" s="467"/>
      <c r="AJ248" s="467"/>
      <c r="AK248" s="467"/>
      <c r="AL248" s="467"/>
      <c r="AM248" s="467"/>
      <c r="AN248" s="467"/>
      <c r="AO248" s="467"/>
      <c r="AP248" s="467"/>
      <c r="AQ248" s="467"/>
      <c r="AR248" s="467"/>
      <c r="AS248" s="467"/>
      <c r="AT248" s="467"/>
      <c r="AU248" s="467"/>
      <c r="AV248" s="467"/>
      <c r="AW248" s="467"/>
      <c r="AX248" s="467"/>
      <c r="AY248" s="467"/>
      <c r="AZ248" s="467"/>
      <c r="BA248" s="467"/>
      <c r="BB248" s="467"/>
      <c r="BC248" s="467"/>
      <c r="BD248" s="467"/>
      <c r="BE248" s="467"/>
      <c r="BF248" s="467"/>
      <c r="BG248" s="467"/>
      <c r="BH248" s="467"/>
      <c r="BI248" s="467"/>
      <c r="BJ248" s="467"/>
      <c r="BK248" s="467"/>
      <c r="BL248" s="467"/>
    </row>
    <row r="249" customFormat="false" ht="12.75" hidden="false" customHeight="false" outlineLevel="0" collapsed="false">
      <c r="A249" s="464" t="n">
        <f aca="false">EOMONTH(A248,0)+1</f>
        <v>43952</v>
      </c>
      <c r="B249" s="467" t="n">
        <v>0.072252808863188</v>
      </c>
      <c r="C249" s="467" t="n">
        <v>4.396</v>
      </c>
      <c r="D249" s="467"/>
      <c r="E249" s="467" t="n">
        <v>0</v>
      </c>
      <c r="F249" s="467" t="n">
        <v>0</v>
      </c>
      <c r="G249" s="467"/>
      <c r="H249" s="467"/>
      <c r="I249" s="467"/>
      <c r="J249" s="467"/>
      <c r="K249" s="467"/>
      <c r="L249" s="467"/>
      <c r="M249" s="467"/>
      <c r="N249" s="467"/>
      <c r="O249" s="467"/>
      <c r="P249" s="467"/>
      <c r="Q249" s="467"/>
      <c r="R249" s="467"/>
      <c r="S249" s="467"/>
      <c r="T249" s="467"/>
      <c r="U249" s="467"/>
      <c r="V249" s="467"/>
      <c r="W249" s="467"/>
      <c r="X249" s="467"/>
      <c r="Y249" s="467"/>
      <c r="Z249" s="467"/>
      <c r="AA249" s="467"/>
      <c r="AB249" s="467"/>
      <c r="AC249" s="467"/>
      <c r="AD249" s="467"/>
      <c r="AE249" s="467"/>
      <c r="AF249" s="467"/>
      <c r="AG249" s="467"/>
      <c r="AH249" s="467"/>
      <c r="AI249" s="467"/>
      <c r="AJ249" s="467"/>
      <c r="AK249" s="467"/>
      <c r="AL249" s="467"/>
      <c r="AM249" s="467"/>
      <c r="AN249" s="467"/>
      <c r="AO249" s="467"/>
      <c r="AP249" s="467"/>
      <c r="AQ249" s="467"/>
      <c r="AR249" s="467"/>
      <c r="AS249" s="467"/>
      <c r="AT249" s="467"/>
      <c r="AU249" s="467"/>
      <c r="AV249" s="467"/>
      <c r="AW249" s="467"/>
      <c r="AX249" s="467"/>
      <c r="AY249" s="467"/>
      <c r="AZ249" s="467"/>
      <c r="BA249" s="467"/>
      <c r="BB249" s="467"/>
      <c r="BC249" s="467"/>
      <c r="BD249" s="467"/>
      <c r="BE249" s="467"/>
      <c r="BF249" s="467"/>
      <c r="BG249" s="467"/>
      <c r="BH249" s="467"/>
      <c r="BI249" s="467"/>
      <c r="BJ249" s="467"/>
      <c r="BK249" s="467"/>
      <c r="BL249" s="467"/>
    </row>
    <row r="250" customFormat="false" ht="12.75" hidden="false" customHeight="false" outlineLevel="0" collapsed="false">
      <c r="A250" s="464" t="n">
        <f aca="false">EOMONTH(A249,0)+1</f>
        <v>43983</v>
      </c>
      <c r="B250" s="467" t="n">
        <v>0.072252480200867</v>
      </c>
      <c r="C250" s="467" t="n">
        <v>4.443</v>
      </c>
      <c r="D250" s="467"/>
      <c r="E250" s="467" t="n">
        <v>0</v>
      </c>
      <c r="F250" s="467" t="n">
        <v>0</v>
      </c>
      <c r="G250" s="467"/>
      <c r="H250" s="467"/>
      <c r="I250" s="467"/>
      <c r="J250" s="467"/>
      <c r="K250" s="467"/>
      <c r="L250" s="467"/>
      <c r="M250" s="467"/>
      <c r="N250" s="467"/>
      <c r="O250" s="467"/>
      <c r="P250" s="467"/>
      <c r="Q250" s="467"/>
      <c r="R250" s="467"/>
      <c r="S250" s="467"/>
      <c r="T250" s="467"/>
      <c r="U250" s="467"/>
      <c r="V250" s="467"/>
      <c r="W250" s="467"/>
      <c r="X250" s="467"/>
      <c r="Y250" s="467"/>
      <c r="Z250" s="467"/>
      <c r="AA250" s="467"/>
      <c r="AB250" s="467"/>
      <c r="AC250" s="467"/>
      <c r="AD250" s="467"/>
      <c r="AE250" s="467"/>
      <c r="AF250" s="467"/>
      <c r="AG250" s="467"/>
      <c r="AH250" s="467"/>
      <c r="AI250" s="467"/>
      <c r="AJ250" s="467"/>
      <c r="AK250" s="467"/>
      <c r="AL250" s="467"/>
      <c r="AM250" s="467"/>
      <c r="AN250" s="467"/>
      <c r="AO250" s="467"/>
      <c r="AP250" s="467"/>
      <c r="AQ250" s="467"/>
      <c r="AR250" s="467"/>
      <c r="AS250" s="467"/>
      <c r="AT250" s="467"/>
      <c r="AU250" s="467"/>
      <c r="AV250" s="467"/>
      <c r="AW250" s="467"/>
      <c r="AX250" s="467"/>
      <c r="AY250" s="467"/>
      <c r="AZ250" s="467"/>
      <c r="BA250" s="467"/>
      <c r="BB250" s="467"/>
      <c r="BC250" s="467"/>
      <c r="BD250" s="467"/>
      <c r="BE250" s="467"/>
      <c r="BF250" s="467"/>
      <c r="BG250" s="467"/>
      <c r="BH250" s="467"/>
      <c r="BI250" s="467"/>
      <c r="BJ250" s="467"/>
      <c r="BK250" s="467"/>
      <c r="BL250" s="467"/>
    </row>
    <row r="251" customFormat="false" ht="12.75" hidden="false" customHeight="false" outlineLevel="0" collapsed="false">
      <c r="A251" s="464" t="n">
        <f aca="false">EOMONTH(A250,0)+1</f>
        <v>44013</v>
      </c>
      <c r="B251" s="467" t="n">
        <v>0.072252162140557</v>
      </c>
      <c r="C251" s="467" t="n">
        <v>4.443</v>
      </c>
      <c r="D251" s="467"/>
      <c r="E251" s="467" t="n">
        <v>0</v>
      </c>
      <c r="F251" s="467" t="n">
        <v>0</v>
      </c>
      <c r="G251" s="467"/>
      <c r="H251" s="467"/>
      <c r="I251" s="467"/>
      <c r="J251" s="467"/>
      <c r="K251" s="467"/>
      <c r="L251" s="467"/>
      <c r="M251" s="467"/>
      <c r="N251" s="467"/>
      <c r="O251" s="467"/>
      <c r="P251" s="467"/>
      <c r="Q251" s="467"/>
      <c r="R251" s="467"/>
      <c r="S251" s="467"/>
      <c r="T251" s="467"/>
      <c r="U251" s="467"/>
      <c r="V251" s="467"/>
      <c r="W251" s="467"/>
      <c r="X251" s="467"/>
      <c r="Y251" s="467"/>
      <c r="Z251" s="467"/>
      <c r="AA251" s="467"/>
      <c r="AB251" s="467"/>
      <c r="AC251" s="467"/>
      <c r="AD251" s="467"/>
      <c r="AE251" s="467"/>
      <c r="AF251" s="467"/>
      <c r="AG251" s="467"/>
      <c r="AH251" s="467"/>
      <c r="AI251" s="467"/>
      <c r="AJ251" s="467"/>
      <c r="AK251" s="467"/>
      <c r="AL251" s="467"/>
      <c r="AM251" s="467"/>
      <c r="AN251" s="467"/>
      <c r="AO251" s="467"/>
      <c r="AP251" s="467"/>
      <c r="AQ251" s="467"/>
      <c r="AR251" s="467"/>
      <c r="AS251" s="467"/>
      <c r="AT251" s="467"/>
      <c r="AU251" s="467"/>
      <c r="AV251" s="467"/>
      <c r="AW251" s="467"/>
      <c r="AX251" s="467"/>
      <c r="AY251" s="467"/>
      <c r="AZ251" s="467"/>
      <c r="BA251" s="467"/>
      <c r="BB251" s="467"/>
      <c r="BC251" s="467"/>
      <c r="BD251" s="467"/>
      <c r="BE251" s="467"/>
      <c r="BF251" s="467"/>
      <c r="BG251" s="467"/>
      <c r="BH251" s="467"/>
      <c r="BI251" s="467"/>
      <c r="BJ251" s="467"/>
      <c r="BK251" s="467"/>
      <c r="BL251" s="467"/>
    </row>
    <row r="252" customFormat="false" ht="12.75" hidden="false" customHeight="false" outlineLevel="0" collapsed="false">
      <c r="A252" s="464" t="n">
        <f aca="false">EOMONTH(A251,0)+1</f>
        <v>44044</v>
      </c>
      <c r="B252" s="467" t="n">
        <v>0.072251212003724</v>
      </c>
      <c r="C252" s="467" t="n">
        <v>4.503</v>
      </c>
      <c r="D252" s="467"/>
      <c r="E252" s="467" t="n">
        <v>0</v>
      </c>
      <c r="F252" s="467" t="n">
        <v>0</v>
      </c>
      <c r="G252" s="467"/>
      <c r="H252" s="467"/>
      <c r="I252" s="467"/>
      <c r="J252" s="467"/>
      <c r="K252" s="467"/>
      <c r="L252" s="467"/>
      <c r="M252" s="467"/>
      <c r="N252" s="467"/>
      <c r="O252" s="467"/>
      <c r="P252" s="467"/>
      <c r="Q252" s="467"/>
      <c r="R252" s="467"/>
      <c r="S252" s="467"/>
      <c r="T252" s="467"/>
      <c r="U252" s="467"/>
      <c r="V252" s="467"/>
      <c r="W252" s="467"/>
      <c r="X252" s="467"/>
      <c r="Y252" s="467"/>
      <c r="Z252" s="467"/>
      <c r="AA252" s="467"/>
      <c r="AB252" s="467"/>
      <c r="AC252" s="467"/>
      <c r="AD252" s="467"/>
      <c r="AE252" s="467"/>
      <c r="AF252" s="467"/>
      <c r="AG252" s="467"/>
      <c r="AH252" s="467"/>
      <c r="AI252" s="467"/>
      <c r="AJ252" s="467"/>
      <c r="AK252" s="467"/>
      <c r="AL252" s="467"/>
      <c r="AM252" s="467"/>
      <c r="AN252" s="467"/>
      <c r="AO252" s="467"/>
      <c r="AP252" s="467"/>
      <c r="AQ252" s="467"/>
      <c r="AR252" s="467"/>
      <c r="AS252" s="467"/>
      <c r="AT252" s="467"/>
      <c r="AU252" s="467"/>
      <c r="AV252" s="467"/>
      <c r="AW252" s="467"/>
      <c r="AX252" s="467"/>
      <c r="AY252" s="467"/>
      <c r="AZ252" s="467"/>
      <c r="BA252" s="467"/>
      <c r="BB252" s="467"/>
      <c r="BC252" s="467"/>
      <c r="BD252" s="467"/>
      <c r="BE252" s="467"/>
      <c r="BF252" s="467"/>
      <c r="BG252" s="467"/>
      <c r="BH252" s="467"/>
      <c r="BI252" s="467"/>
      <c r="BJ252" s="467"/>
      <c r="BK252" s="467"/>
      <c r="BL252" s="467"/>
    </row>
    <row r="253" customFormat="false" ht="12.75" hidden="false" customHeight="false" outlineLevel="0" collapsed="false">
      <c r="A253" s="464" t="n">
        <f aca="false">EOMONTH(A252,0)+1</f>
        <v>44075</v>
      </c>
      <c r="B253" s="467" t="n">
        <v>0.072247030199431</v>
      </c>
      <c r="C253" s="467" t="n">
        <v>4.476</v>
      </c>
      <c r="D253" s="467"/>
      <c r="E253" s="467" t="n">
        <v>0</v>
      </c>
      <c r="F253" s="467" t="n">
        <v>0</v>
      </c>
      <c r="G253" s="467"/>
      <c r="H253" s="467"/>
      <c r="I253" s="467"/>
      <c r="J253" s="467"/>
      <c r="K253" s="467"/>
      <c r="L253" s="467"/>
      <c r="M253" s="467"/>
      <c r="N253" s="467"/>
      <c r="O253" s="467"/>
      <c r="P253" s="467"/>
      <c r="Q253" s="467"/>
      <c r="R253" s="467"/>
      <c r="S253" s="467"/>
      <c r="T253" s="467"/>
      <c r="U253" s="467"/>
      <c r="V253" s="467"/>
      <c r="W253" s="467"/>
      <c r="X253" s="467"/>
      <c r="Y253" s="467"/>
      <c r="Z253" s="467"/>
      <c r="AA253" s="467"/>
      <c r="AB253" s="467"/>
      <c r="AC253" s="467"/>
      <c r="AD253" s="467"/>
      <c r="AE253" s="467"/>
      <c r="AF253" s="467"/>
      <c r="AG253" s="467"/>
      <c r="AH253" s="467"/>
      <c r="AI253" s="467"/>
      <c r="AJ253" s="467"/>
      <c r="AK253" s="467"/>
      <c r="AL253" s="467"/>
      <c r="AM253" s="467"/>
      <c r="AN253" s="467"/>
      <c r="AO253" s="467"/>
      <c r="AP253" s="467"/>
      <c r="AQ253" s="467"/>
      <c r="AR253" s="467"/>
      <c r="AS253" s="467"/>
      <c r="AT253" s="467"/>
      <c r="AU253" s="467"/>
      <c r="AV253" s="467"/>
      <c r="AW253" s="467"/>
      <c r="AX253" s="467"/>
      <c r="AY253" s="467"/>
      <c r="AZ253" s="467"/>
      <c r="BA253" s="467"/>
      <c r="BB253" s="467"/>
      <c r="BC253" s="467"/>
      <c r="BD253" s="467"/>
      <c r="BE253" s="467"/>
      <c r="BF253" s="467"/>
      <c r="BG253" s="467"/>
      <c r="BH253" s="467"/>
      <c r="BI253" s="467"/>
      <c r="BJ253" s="467"/>
      <c r="BK253" s="467"/>
      <c r="BL253" s="467"/>
    </row>
    <row r="254" customFormat="false" ht="12.75" hidden="false" customHeight="false" outlineLevel="0" collapsed="false">
      <c r="A254" s="464" t="n">
        <f aca="false">EOMONTH(A253,0)+1</f>
        <v>44105</v>
      </c>
      <c r="B254" s="467" t="n">
        <v>0.072242983292057</v>
      </c>
      <c r="C254" s="467" t="n">
        <v>4.479</v>
      </c>
      <c r="D254" s="467"/>
      <c r="E254" s="467" t="n">
        <v>0</v>
      </c>
      <c r="F254" s="467" t="n">
        <v>0</v>
      </c>
      <c r="G254" s="467"/>
      <c r="H254" s="467"/>
      <c r="I254" s="467"/>
      <c r="J254" s="467"/>
      <c r="K254" s="467"/>
      <c r="L254" s="467"/>
      <c r="M254" s="467"/>
      <c r="N254" s="467"/>
      <c r="O254" s="467"/>
      <c r="P254" s="467"/>
      <c r="Q254" s="467"/>
      <c r="R254" s="467"/>
      <c r="S254" s="467"/>
      <c r="T254" s="467"/>
      <c r="U254" s="467"/>
      <c r="V254" s="467"/>
      <c r="W254" s="467"/>
      <c r="X254" s="467"/>
      <c r="Y254" s="467"/>
      <c r="Z254" s="467"/>
      <c r="AA254" s="467"/>
      <c r="AB254" s="467"/>
      <c r="AC254" s="467"/>
      <c r="AD254" s="467"/>
      <c r="AE254" s="467"/>
      <c r="AF254" s="467"/>
      <c r="AG254" s="467"/>
      <c r="AH254" s="467"/>
      <c r="AI254" s="467"/>
      <c r="AJ254" s="467"/>
      <c r="AK254" s="467"/>
      <c r="AL254" s="467"/>
      <c r="AM254" s="467"/>
      <c r="AN254" s="467"/>
      <c r="AO254" s="467"/>
      <c r="AP254" s="467"/>
      <c r="AQ254" s="467"/>
      <c r="AR254" s="467"/>
      <c r="AS254" s="467"/>
      <c r="AT254" s="467"/>
      <c r="AU254" s="467"/>
      <c r="AV254" s="467"/>
      <c r="AW254" s="467"/>
      <c r="AX254" s="467"/>
      <c r="AY254" s="467"/>
      <c r="AZ254" s="467"/>
      <c r="BA254" s="467"/>
      <c r="BB254" s="467"/>
      <c r="BC254" s="467"/>
      <c r="BD254" s="467"/>
      <c r="BE254" s="467"/>
      <c r="BF254" s="467"/>
      <c r="BG254" s="467"/>
      <c r="BH254" s="467"/>
      <c r="BI254" s="467"/>
      <c r="BJ254" s="467"/>
      <c r="BK254" s="467"/>
      <c r="BL254" s="467"/>
    </row>
    <row r="255" customFormat="false" ht="12.75" hidden="false" customHeight="false" outlineLevel="0" collapsed="false">
      <c r="A255" s="464" t="n">
        <f aca="false">EOMONTH(A254,0)+1</f>
        <v>44136</v>
      </c>
      <c r="B255" s="467" t="n">
        <v>0.072238801487776</v>
      </c>
      <c r="C255" s="467" t="n">
        <v>4.503</v>
      </c>
      <c r="D255" s="467"/>
      <c r="E255" s="467" t="n">
        <v>0</v>
      </c>
      <c r="F255" s="467" t="n">
        <v>0</v>
      </c>
      <c r="G255" s="467"/>
      <c r="H255" s="467"/>
      <c r="I255" s="467"/>
      <c r="J255" s="467"/>
      <c r="K255" s="467"/>
      <c r="L255" s="467"/>
      <c r="M255" s="467"/>
      <c r="N255" s="467"/>
      <c r="O255" s="467"/>
      <c r="P255" s="467"/>
      <c r="Q255" s="467"/>
      <c r="R255" s="467"/>
      <c r="S255" s="467"/>
      <c r="T255" s="467"/>
      <c r="U255" s="467"/>
      <c r="V255" s="467"/>
      <c r="W255" s="467"/>
      <c r="X255" s="467"/>
      <c r="Y255" s="467"/>
      <c r="Z255" s="467"/>
      <c r="AA255" s="467"/>
      <c r="AB255" s="467"/>
      <c r="AC255" s="467"/>
      <c r="AD255" s="467"/>
      <c r="AE255" s="467"/>
      <c r="AF255" s="467"/>
      <c r="AG255" s="467"/>
      <c r="AH255" s="467"/>
      <c r="AI255" s="467"/>
      <c r="AJ255" s="467"/>
      <c r="AK255" s="467"/>
      <c r="AL255" s="467"/>
      <c r="AM255" s="467"/>
      <c r="AN255" s="467"/>
      <c r="AO255" s="467"/>
      <c r="AP255" s="467"/>
      <c r="AQ255" s="467"/>
      <c r="AR255" s="467"/>
      <c r="AS255" s="467"/>
      <c r="AT255" s="467"/>
      <c r="AU255" s="467"/>
      <c r="AV255" s="467"/>
      <c r="AW255" s="467"/>
      <c r="AX255" s="467"/>
      <c r="AY255" s="467"/>
      <c r="AZ255" s="467"/>
      <c r="BA255" s="467"/>
      <c r="BB255" s="467"/>
      <c r="BC255" s="467"/>
      <c r="BD255" s="467"/>
      <c r="BE255" s="467"/>
      <c r="BF255" s="467"/>
      <c r="BG255" s="467"/>
      <c r="BH255" s="467"/>
      <c r="BI255" s="467"/>
      <c r="BJ255" s="467"/>
      <c r="BK255" s="467"/>
      <c r="BL255" s="467"/>
    </row>
    <row r="256" customFormat="false" ht="12.75" hidden="false" customHeight="false" outlineLevel="0" collapsed="false">
      <c r="A256" s="464" t="n">
        <f aca="false">EOMONTH(A255,0)+1</f>
        <v>44166</v>
      </c>
      <c r="B256" s="467" t="n">
        <v>0.072234754580412</v>
      </c>
      <c r="C256" s="467" t="n">
        <v>4.557</v>
      </c>
      <c r="D256" s="467"/>
      <c r="E256" s="467" t="n">
        <v>0</v>
      </c>
      <c r="F256" s="467" t="n">
        <v>0</v>
      </c>
      <c r="G256" s="467"/>
      <c r="H256" s="467"/>
      <c r="I256" s="467"/>
      <c r="J256" s="467"/>
      <c r="K256" s="467"/>
      <c r="L256" s="467"/>
      <c r="M256" s="467"/>
      <c r="N256" s="467"/>
      <c r="O256" s="467"/>
      <c r="P256" s="467"/>
      <c r="Q256" s="467"/>
      <c r="R256" s="467"/>
      <c r="S256" s="467"/>
      <c r="T256" s="467"/>
      <c r="U256" s="467"/>
      <c r="V256" s="467"/>
      <c r="W256" s="467"/>
      <c r="X256" s="467"/>
      <c r="Y256" s="467"/>
      <c r="Z256" s="467"/>
      <c r="AA256" s="467"/>
      <c r="AB256" s="467"/>
      <c r="AC256" s="467"/>
      <c r="AD256" s="467"/>
      <c r="AE256" s="467"/>
      <c r="AF256" s="467"/>
      <c r="AG256" s="467"/>
      <c r="AH256" s="467"/>
      <c r="AI256" s="467"/>
      <c r="AJ256" s="467"/>
      <c r="AK256" s="467"/>
      <c r="AL256" s="467"/>
      <c r="AM256" s="467"/>
      <c r="AN256" s="467"/>
      <c r="AO256" s="467"/>
      <c r="AP256" s="467"/>
      <c r="AQ256" s="467"/>
      <c r="AR256" s="467"/>
      <c r="AS256" s="467"/>
      <c r="AT256" s="467"/>
      <c r="AU256" s="467"/>
      <c r="AV256" s="467"/>
      <c r="AW256" s="467"/>
      <c r="AX256" s="467"/>
      <c r="AY256" s="467"/>
      <c r="AZ256" s="467"/>
      <c r="BA256" s="467"/>
      <c r="BB256" s="467"/>
      <c r="BC256" s="467"/>
      <c r="BD256" s="467"/>
      <c r="BE256" s="467"/>
      <c r="BF256" s="467"/>
      <c r="BG256" s="467"/>
      <c r="BH256" s="467"/>
      <c r="BI256" s="467"/>
      <c r="BJ256" s="467"/>
      <c r="BK256" s="467"/>
      <c r="BL256" s="467"/>
    </row>
    <row r="257" customFormat="false" ht="12.75" hidden="false" customHeight="false" outlineLevel="0" collapsed="false">
      <c r="A257" s="464" t="n">
        <f aca="false">EOMONTH(A256,0)+1</f>
        <v>44197</v>
      </c>
      <c r="B257" s="467" t="n">
        <v>0.072230572776142</v>
      </c>
      <c r="C257" s="467" t="n">
        <v>4.766</v>
      </c>
      <c r="D257" s="467"/>
      <c r="E257" s="467"/>
      <c r="F257" s="467"/>
      <c r="G257" s="467"/>
      <c r="H257" s="467"/>
      <c r="I257" s="467"/>
      <c r="J257" s="467"/>
      <c r="K257" s="467"/>
      <c r="L257" s="467"/>
      <c r="M257" s="467"/>
      <c r="N257" s="467"/>
      <c r="O257" s="467"/>
      <c r="P257" s="467"/>
      <c r="Q257" s="467"/>
      <c r="R257" s="467"/>
      <c r="S257" s="467"/>
      <c r="T257" s="467"/>
      <c r="U257" s="467"/>
      <c r="V257" s="467"/>
      <c r="W257" s="467"/>
      <c r="X257" s="467"/>
      <c r="Y257" s="467"/>
      <c r="Z257" s="467"/>
      <c r="AA257" s="467"/>
      <c r="AB257" s="467"/>
      <c r="AC257" s="467"/>
      <c r="AD257" s="467"/>
      <c r="AE257" s="467"/>
      <c r="AF257" s="467"/>
      <c r="AG257" s="467"/>
      <c r="AH257" s="467"/>
      <c r="AI257" s="467"/>
      <c r="AJ257" s="467"/>
      <c r="AK257" s="467"/>
      <c r="AL257" s="467"/>
      <c r="AM257" s="467"/>
      <c r="AN257" s="467"/>
      <c r="AO257" s="467"/>
      <c r="AP257" s="467"/>
      <c r="AQ257" s="467"/>
      <c r="AR257" s="467"/>
      <c r="AS257" s="467"/>
      <c r="AT257" s="467"/>
      <c r="AU257" s="467"/>
      <c r="AV257" s="467"/>
      <c r="AW257" s="467"/>
      <c r="AX257" s="467"/>
      <c r="AY257" s="467"/>
      <c r="AZ257" s="467"/>
      <c r="BA257" s="467"/>
      <c r="BB257" s="467"/>
      <c r="BC257" s="467"/>
      <c r="BD257" s="467"/>
      <c r="BE257" s="467"/>
      <c r="BF257" s="467"/>
      <c r="BG257" s="467"/>
      <c r="BH257" s="467"/>
      <c r="BI257" s="467"/>
      <c r="BJ257" s="467"/>
      <c r="BK257" s="467"/>
      <c r="BL257" s="467"/>
    </row>
    <row r="258" customFormat="false" ht="12.75" hidden="false" customHeight="false" outlineLevel="0" collapsed="false">
      <c r="A258" s="464" t="n">
        <f aca="false">EOMONTH(A257,0)+1</f>
        <v>44228</v>
      </c>
      <c r="B258" s="467" t="n">
        <v>0.072226390971878</v>
      </c>
      <c r="C258" s="467" t="n">
        <v>4.708</v>
      </c>
      <c r="D258" s="467"/>
      <c r="E258" s="467"/>
      <c r="F258" s="467"/>
      <c r="G258" s="467"/>
      <c r="H258" s="467"/>
      <c r="I258" s="467"/>
      <c r="J258" s="467"/>
      <c r="K258" s="467"/>
      <c r="L258" s="467"/>
      <c r="M258" s="467"/>
      <c r="N258" s="467"/>
      <c r="O258" s="467"/>
      <c r="P258" s="467"/>
      <c r="Q258" s="467"/>
      <c r="R258" s="467"/>
      <c r="S258" s="467"/>
      <c r="T258" s="467"/>
      <c r="U258" s="467"/>
      <c r="V258" s="467"/>
      <c r="W258" s="467"/>
      <c r="X258" s="467"/>
      <c r="Y258" s="467"/>
      <c r="Z258" s="467"/>
      <c r="AA258" s="467"/>
      <c r="AB258" s="467"/>
      <c r="AC258" s="467"/>
      <c r="AD258" s="467"/>
      <c r="AE258" s="467"/>
      <c r="AF258" s="467"/>
      <c r="AG258" s="467"/>
      <c r="AH258" s="467"/>
      <c r="AI258" s="467"/>
      <c r="AJ258" s="467"/>
      <c r="AK258" s="467"/>
      <c r="AL258" s="467"/>
      <c r="AM258" s="467"/>
      <c r="AN258" s="467"/>
      <c r="AO258" s="467"/>
      <c r="AP258" s="467"/>
      <c r="AQ258" s="467"/>
      <c r="AR258" s="467"/>
      <c r="AS258" s="467"/>
      <c r="AT258" s="467"/>
      <c r="AU258" s="467"/>
      <c r="AV258" s="467"/>
      <c r="AW258" s="467"/>
      <c r="AX258" s="467"/>
      <c r="AY258" s="467"/>
      <c r="AZ258" s="467"/>
      <c r="BA258" s="467"/>
      <c r="BB258" s="467"/>
      <c r="BC258" s="467"/>
      <c r="BD258" s="467"/>
      <c r="BE258" s="467"/>
      <c r="BF258" s="467"/>
      <c r="BG258" s="467"/>
      <c r="BH258" s="467"/>
      <c r="BI258" s="467"/>
      <c r="BJ258" s="467"/>
      <c r="BK258" s="467"/>
      <c r="BL258" s="467"/>
    </row>
    <row r="259" customFormat="false" ht="12.75" hidden="false" customHeight="false" outlineLevel="0" collapsed="false">
      <c r="A259" s="464" t="n">
        <f aca="false">EOMONTH(A258,0)+1</f>
        <v>44256</v>
      </c>
      <c r="B259" s="467" t="n">
        <v>0.072222613858354</v>
      </c>
      <c r="C259" s="467" t="n">
        <v>4.622</v>
      </c>
      <c r="D259" s="467"/>
      <c r="E259" s="467"/>
      <c r="F259" s="467"/>
      <c r="G259" s="467"/>
      <c r="H259" s="467"/>
      <c r="I259" s="467"/>
      <c r="J259" s="467"/>
      <c r="K259" s="467"/>
      <c r="L259" s="467"/>
      <c r="M259" s="467"/>
      <c r="N259" s="467"/>
      <c r="O259" s="467"/>
      <c r="P259" s="467"/>
      <c r="Q259" s="467"/>
      <c r="R259" s="467"/>
      <c r="S259" s="467"/>
      <c r="T259" s="467"/>
      <c r="U259" s="467"/>
      <c r="V259" s="467"/>
      <c r="W259" s="467"/>
      <c r="X259" s="467"/>
      <c r="Y259" s="467"/>
      <c r="Z259" s="467"/>
      <c r="AA259" s="467"/>
      <c r="AB259" s="467"/>
      <c r="AC259" s="467"/>
      <c r="AD259" s="467"/>
      <c r="AE259" s="467"/>
      <c r="AF259" s="467"/>
      <c r="AG259" s="467"/>
      <c r="AH259" s="467"/>
      <c r="AI259" s="467"/>
      <c r="AJ259" s="467"/>
      <c r="AK259" s="467"/>
      <c r="AL259" s="467"/>
      <c r="AM259" s="467"/>
      <c r="AN259" s="467"/>
      <c r="AO259" s="467"/>
      <c r="AP259" s="467"/>
      <c r="AQ259" s="467"/>
      <c r="AR259" s="467"/>
      <c r="AS259" s="467"/>
      <c r="AT259" s="467"/>
      <c r="AU259" s="467"/>
      <c r="AV259" s="467"/>
      <c r="AW259" s="467"/>
      <c r="AX259" s="467"/>
      <c r="AY259" s="467"/>
      <c r="AZ259" s="467"/>
      <c r="BA259" s="467"/>
      <c r="BB259" s="467"/>
      <c r="BC259" s="467"/>
      <c r="BD259" s="467"/>
      <c r="BE259" s="467"/>
      <c r="BF259" s="467"/>
      <c r="BG259" s="467"/>
      <c r="BH259" s="467"/>
      <c r="BI259" s="467"/>
      <c r="BJ259" s="467"/>
      <c r="BK259" s="467"/>
      <c r="BL259" s="467"/>
    </row>
    <row r="260" customFormat="false" ht="12.75" hidden="false" customHeight="false" outlineLevel="0" collapsed="false">
      <c r="A260" s="464" t="n">
        <f aca="false">EOMONTH(A259,0)+1</f>
        <v>44287</v>
      </c>
      <c r="B260" s="467" t="n">
        <v>0.072218432054101</v>
      </c>
      <c r="C260" s="467" t="n">
        <v>4.536</v>
      </c>
      <c r="D260" s="467"/>
      <c r="E260" s="467"/>
      <c r="F260" s="467"/>
      <c r="G260" s="467"/>
      <c r="H260" s="467"/>
      <c r="I260" s="467"/>
      <c r="J260" s="467"/>
      <c r="K260" s="467"/>
      <c r="L260" s="467"/>
      <c r="M260" s="467"/>
      <c r="N260" s="467"/>
      <c r="O260" s="467"/>
      <c r="P260" s="467"/>
      <c r="Q260" s="467"/>
      <c r="R260" s="467"/>
      <c r="S260" s="467"/>
      <c r="T260" s="467"/>
      <c r="U260" s="467"/>
      <c r="V260" s="467"/>
      <c r="W260" s="467"/>
      <c r="X260" s="467"/>
      <c r="Y260" s="467"/>
      <c r="Z260" s="467"/>
      <c r="AA260" s="467"/>
      <c r="AB260" s="467"/>
      <c r="AC260" s="467"/>
      <c r="AD260" s="467"/>
      <c r="AE260" s="467"/>
      <c r="AF260" s="467"/>
      <c r="AG260" s="467"/>
      <c r="AH260" s="467"/>
      <c r="AI260" s="467"/>
      <c r="AJ260" s="467"/>
      <c r="AK260" s="467"/>
      <c r="AL260" s="467"/>
      <c r="AM260" s="467"/>
      <c r="AN260" s="467"/>
      <c r="AO260" s="467"/>
      <c r="AP260" s="467"/>
      <c r="AQ260" s="467"/>
      <c r="AR260" s="467"/>
      <c r="AS260" s="467"/>
      <c r="AT260" s="467"/>
      <c r="AU260" s="467"/>
      <c r="AV260" s="467"/>
      <c r="AW260" s="467"/>
      <c r="AX260" s="467"/>
      <c r="AY260" s="467"/>
      <c r="AZ260" s="467"/>
      <c r="BA260" s="467"/>
      <c r="BB260" s="467"/>
      <c r="BC260" s="467"/>
      <c r="BD260" s="467"/>
      <c r="BE260" s="467"/>
      <c r="BF260" s="467"/>
      <c r="BG260" s="467"/>
      <c r="BH260" s="467"/>
      <c r="BI260" s="467"/>
      <c r="BJ260" s="467"/>
      <c r="BK260" s="467"/>
      <c r="BL260" s="467"/>
    </row>
    <row r="261" customFormat="false" ht="12.75" hidden="false" customHeight="false" outlineLevel="0" collapsed="false">
      <c r="A261" s="464" t="n">
        <f aca="false">EOMONTH(A260,0)+1</f>
        <v>44317</v>
      </c>
      <c r="B261" s="467" t="n">
        <v>0.072214385146765</v>
      </c>
      <c r="C261" s="467" t="n">
        <v>4.539</v>
      </c>
      <c r="D261" s="467"/>
      <c r="E261" s="467"/>
      <c r="F261" s="467"/>
      <c r="G261" s="467"/>
      <c r="H261" s="467"/>
      <c r="I261" s="467"/>
      <c r="J261" s="467"/>
      <c r="K261" s="467"/>
      <c r="L261" s="467"/>
      <c r="M261" s="467"/>
      <c r="N261" s="467"/>
      <c r="O261" s="467"/>
      <c r="P261" s="467"/>
      <c r="Q261" s="467"/>
      <c r="R261" s="467"/>
      <c r="S261" s="467"/>
      <c r="T261" s="467"/>
      <c r="U261" s="467"/>
      <c r="V261" s="467"/>
      <c r="W261" s="467"/>
      <c r="X261" s="467"/>
      <c r="Y261" s="467"/>
      <c r="Z261" s="467"/>
      <c r="AA261" s="467"/>
      <c r="AB261" s="467"/>
      <c r="AC261" s="467"/>
      <c r="AD261" s="467"/>
      <c r="AE261" s="467"/>
      <c r="AF261" s="467"/>
      <c r="AG261" s="467"/>
      <c r="AH261" s="467"/>
      <c r="AI261" s="467"/>
      <c r="AJ261" s="467"/>
      <c r="AK261" s="467"/>
      <c r="AL261" s="467"/>
      <c r="AM261" s="467"/>
      <c r="AN261" s="467"/>
      <c r="AO261" s="467"/>
      <c r="AP261" s="467"/>
      <c r="AQ261" s="467"/>
      <c r="AR261" s="467"/>
      <c r="AS261" s="467"/>
      <c r="AT261" s="467"/>
      <c r="AU261" s="467"/>
      <c r="AV261" s="467"/>
      <c r="AW261" s="467"/>
      <c r="AX261" s="467"/>
      <c r="AY261" s="467"/>
      <c r="AZ261" s="467"/>
      <c r="BA261" s="467"/>
      <c r="BB261" s="467"/>
      <c r="BC261" s="467"/>
      <c r="BD261" s="467"/>
      <c r="BE261" s="467"/>
      <c r="BF261" s="467"/>
      <c r="BG261" s="467"/>
      <c r="BH261" s="467"/>
      <c r="BI261" s="467"/>
      <c r="BJ261" s="467"/>
      <c r="BK261" s="467"/>
      <c r="BL261" s="467"/>
    </row>
    <row r="262" customFormat="false" ht="12.75" hidden="false" customHeight="false" outlineLevel="0" collapsed="false">
      <c r="A262" s="464" t="n">
        <f aca="false">EOMONTH(A261,0)+1</f>
        <v>44348</v>
      </c>
      <c r="B262" s="467" t="n">
        <v>0.072210203342523</v>
      </c>
      <c r="C262" s="467" t="n">
        <v>4.587</v>
      </c>
      <c r="D262" s="467"/>
      <c r="E262" s="467"/>
      <c r="F262" s="467"/>
      <c r="G262" s="467"/>
      <c r="H262" s="467"/>
      <c r="I262" s="467"/>
      <c r="J262" s="467"/>
      <c r="K262" s="467"/>
      <c r="L262" s="467"/>
      <c r="M262" s="467"/>
      <c r="N262" s="467"/>
      <c r="O262" s="467"/>
      <c r="P262" s="467"/>
      <c r="Q262" s="467"/>
      <c r="R262" s="467"/>
      <c r="S262" s="467"/>
      <c r="T262" s="467"/>
      <c r="U262" s="467"/>
      <c r="V262" s="467"/>
      <c r="W262" s="467"/>
      <c r="X262" s="467"/>
      <c r="Y262" s="467"/>
      <c r="Z262" s="467"/>
      <c r="AA262" s="467"/>
      <c r="AB262" s="467"/>
      <c r="AC262" s="467"/>
      <c r="AD262" s="467"/>
      <c r="AE262" s="467"/>
      <c r="AF262" s="467"/>
      <c r="AG262" s="467"/>
      <c r="AH262" s="467"/>
      <c r="AI262" s="467"/>
      <c r="AJ262" s="467"/>
      <c r="AK262" s="467"/>
      <c r="AL262" s="467"/>
      <c r="AM262" s="467"/>
      <c r="AN262" s="467"/>
      <c r="AO262" s="467"/>
      <c r="AP262" s="467"/>
      <c r="AQ262" s="467"/>
      <c r="AR262" s="467"/>
      <c r="AS262" s="467"/>
      <c r="AT262" s="467"/>
      <c r="AU262" s="467"/>
      <c r="AV262" s="467"/>
      <c r="AW262" s="467"/>
      <c r="AX262" s="467"/>
      <c r="AY262" s="467"/>
      <c r="AZ262" s="467"/>
      <c r="BA262" s="467"/>
      <c r="BB262" s="467"/>
      <c r="BC262" s="467"/>
      <c r="BD262" s="467"/>
      <c r="BE262" s="467"/>
      <c r="BF262" s="467"/>
      <c r="BG262" s="467"/>
      <c r="BH262" s="467"/>
      <c r="BI262" s="467"/>
      <c r="BJ262" s="467"/>
      <c r="BK262" s="467"/>
      <c r="BL262" s="467"/>
    </row>
    <row r="263" customFormat="false" ht="12.75" hidden="false" customHeight="false" outlineLevel="0" collapsed="false">
      <c r="A263" s="464" t="n">
        <f aca="false">EOMONTH(A262,0)+1</f>
        <v>44378</v>
      </c>
      <c r="B263" s="467" t="n">
        <v>0.072206156435198</v>
      </c>
      <c r="C263" s="467" t="n">
        <v>4.587</v>
      </c>
      <c r="D263" s="467"/>
      <c r="E263" s="467"/>
      <c r="F263" s="467"/>
      <c r="G263" s="467"/>
      <c r="H263" s="467"/>
      <c r="I263" s="467"/>
      <c r="J263" s="467"/>
      <c r="K263" s="467"/>
      <c r="L263" s="467"/>
      <c r="M263" s="467"/>
      <c r="N263" s="467"/>
      <c r="O263" s="467"/>
      <c r="P263" s="467"/>
      <c r="Q263" s="467"/>
      <c r="R263" s="467"/>
      <c r="S263" s="467"/>
      <c r="T263" s="467"/>
      <c r="U263" s="467"/>
      <c r="V263" s="467"/>
      <c r="W263" s="467"/>
      <c r="X263" s="467"/>
      <c r="Y263" s="467"/>
      <c r="Z263" s="467"/>
      <c r="AA263" s="467"/>
      <c r="AB263" s="467"/>
      <c r="AC263" s="467"/>
      <c r="AD263" s="467"/>
      <c r="AE263" s="467"/>
      <c r="AF263" s="467"/>
      <c r="AG263" s="467"/>
      <c r="AH263" s="467"/>
      <c r="AI263" s="467"/>
      <c r="AJ263" s="467"/>
      <c r="AK263" s="467"/>
      <c r="AL263" s="467"/>
      <c r="AM263" s="467"/>
      <c r="AN263" s="467"/>
      <c r="AO263" s="467"/>
      <c r="AP263" s="467"/>
      <c r="AQ263" s="467"/>
      <c r="AR263" s="467"/>
      <c r="AS263" s="467"/>
      <c r="AT263" s="467"/>
      <c r="AU263" s="467"/>
      <c r="AV263" s="467"/>
      <c r="AW263" s="467"/>
      <c r="AX263" s="467"/>
      <c r="AY263" s="467"/>
      <c r="AZ263" s="467"/>
      <c r="BA263" s="467"/>
      <c r="BB263" s="467"/>
      <c r="BC263" s="467"/>
      <c r="BD263" s="467"/>
      <c r="BE263" s="467"/>
      <c r="BF263" s="467"/>
      <c r="BG263" s="467"/>
      <c r="BH263" s="467"/>
      <c r="BI263" s="467"/>
      <c r="BJ263" s="467"/>
      <c r="BK263" s="467"/>
      <c r="BL263" s="467"/>
    </row>
    <row r="264" customFormat="false" ht="12.75" hidden="false" customHeight="false" outlineLevel="0" collapsed="false">
      <c r="A264" s="464" t="n">
        <f aca="false">EOMONTH(A263,0)+1</f>
        <v>44409</v>
      </c>
      <c r="B264" s="467" t="n">
        <v>0.072201974630968</v>
      </c>
      <c r="C264" s="467" t="n">
        <v>4.647</v>
      </c>
      <c r="D264" s="467"/>
      <c r="E264" s="467"/>
      <c r="F264" s="467"/>
      <c r="G264" s="467"/>
      <c r="H264" s="467"/>
      <c r="I264" s="467"/>
      <c r="J264" s="467"/>
      <c r="K264" s="467"/>
      <c r="L264" s="467"/>
      <c r="M264" s="467"/>
      <c r="N264" s="467"/>
      <c r="O264" s="467"/>
      <c r="P264" s="467"/>
      <c r="Q264" s="467"/>
      <c r="R264" s="467"/>
      <c r="S264" s="467"/>
      <c r="T264" s="467"/>
      <c r="U264" s="467"/>
      <c r="V264" s="467"/>
      <c r="W264" s="467"/>
      <c r="X264" s="467"/>
      <c r="Y264" s="467"/>
      <c r="Z264" s="467"/>
      <c r="AA264" s="467"/>
      <c r="AB264" s="467"/>
      <c r="AC264" s="467"/>
      <c r="AD264" s="467"/>
      <c r="AE264" s="467"/>
      <c r="AF264" s="467"/>
      <c r="AG264" s="467"/>
      <c r="AH264" s="467"/>
      <c r="AI264" s="467"/>
      <c r="AJ264" s="467"/>
      <c r="AK264" s="467"/>
      <c r="AL264" s="467"/>
      <c r="AM264" s="467"/>
      <c r="AN264" s="467"/>
      <c r="AO264" s="467"/>
      <c r="AP264" s="467"/>
      <c r="AQ264" s="467"/>
      <c r="AR264" s="467"/>
      <c r="AS264" s="467"/>
      <c r="AT264" s="467"/>
      <c r="AU264" s="467"/>
      <c r="AV264" s="467"/>
      <c r="AW264" s="467"/>
      <c r="AX264" s="467"/>
      <c r="AY264" s="467"/>
      <c r="AZ264" s="467"/>
      <c r="BA264" s="467"/>
      <c r="BB264" s="467"/>
      <c r="BC264" s="467"/>
      <c r="BD264" s="467"/>
      <c r="BE264" s="467"/>
      <c r="BF264" s="467"/>
      <c r="BG264" s="467"/>
      <c r="BH264" s="467"/>
      <c r="BI264" s="467"/>
      <c r="BJ264" s="467"/>
      <c r="BK264" s="467"/>
      <c r="BL264" s="467"/>
    </row>
    <row r="265" customFormat="false" ht="12.75" hidden="false" customHeight="false" outlineLevel="0" collapsed="false">
      <c r="A265" s="464" t="n">
        <f aca="false">EOMONTH(A264,0)+1</f>
        <v>44440</v>
      </c>
      <c r="B265" s="467" t="n">
        <v>0.072197792826743</v>
      </c>
      <c r="C265" s="467" t="n">
        <v>4.619</v>
      </c>
      <c r="D265" s="467"/>
      <c r="E265" s="467"/>
      <c r="F265" s="467"/>
      <c r="G265" s="467"/>
      <c r="H265" s="467"/>
      <c r="I265" s="467"/>
      <c r="J265" s="467"/>
      <c r="K265" s="467"/>
      <c r="L265" s="467"/>
      <c r="M265" s="467"/>
      <c r="N265" s="467"/>
      <c r="O265" s="467"/>
      <c r="P265" s="467"/>
      <c r="Q265" s="467"/>
      <c r="R265" s="467"/>
      <c r="S265" s="467"/>
      <c r="T265" s="467"/>
      <c r="U265" s="467"/>
      <c r="V265" s="467"/>
      <c r="W265" s="467"/>
      <c r="X265" s="467"/>
      <c r="Y265" s="467"/>
      <c r="Z265" s="467"/>
      <c r="AA265" s="467"/>
      <c r="AB265" s="467"/>
      <c r="AC265" s="467"/>
      <c r="AD265" s="467"/>
      <c r="AE265" s="467"/>
      <c r="AF265" s="467"/>
      <c r="AG265" s="467"/>
      <c r="AH265" s="467"/>
      <c r="AI265" s="467"/>
      <c r="AJ265" s="467"/>
      <c r="AK265" s="467"/>
      <c r="AL265" s="467"/>
      <c r="AM265" s="467"/>
      <c r="AN265" s="467"/>
      <c r="AO265" s="467"/>
      <c r="AP265" s="467"/>
      <c r="AQ265" s="467"/>
      <c r="AR265" s="467"/>
      <c r="AS265" s="467"/>
      <c r="AT265" s="467"/>
      <c r="AU265" s="467"/>
      <c r="AV265" s="467"/>
      <c r="AW265" s="467"/>
      <c r="AX265" s="467"/>
      <c r="AY265" s="467"/>
      <c r="AZ265" s="467"/>
      <c r="BA265" s="467"/>
      <c r="BB265" s="467"/>
      <c r="BC265" s="467"/>
      <c r="BD265" s="467"/>
      <c r="BE265" s="467"/>
      <c r="BF265" s="467"/>
      <c r="BG265" s="467"/>
      <c r="BH265" s="467"/>
      <c r="BI265" s="467"/>
      <c r="BJ265" s="467"/>
      <c r="BK265" s="467"/>
      <c r="BL265" s="467"/>
    </row>
    <row r="266" customFormat="false" ht="12.75" hidden="false" customHeight="false" outlineLevel="0" collapsed="false">
      <c r="A266" s="464" t="n">
        <f aca="false">EOMONTH(A265,0)+1</f>
        <v>44470</v>
      </c>
      <c r="B266" s="467" t="n">
        <v>0.072193745919435</v>
      </c>
      <c r="C266" s="467" t="n">
        <v>4.621</v>
      </c>
      <c r="D266" s="467"/>
      <c r="E266" s="467"/>
      <c r="F266" s="467"/>
      <c r="G266" s="467"/>
      <c r="H266" s="467"/>
      <c r="I266" s="467"/>
      <c r="J266" s="467"/>
      <c r="K266" s="467"/>
      <c r="L266" s="467"/>
      <c r="M266" s="467"/>
      <c r="N266" s="467"/>
      <c r="O266" s="467"/>
      <c r="P266" s="467"/>
      <c r="Q266" s="467"/>
      <c r="R266" s="467"/>
      <c r="S266" s="467"/>
      <c r="T266" s="467"/>
      <c r="U266" s="467"/>
      <c r="V266" s="467"/>
      <c r="W266" s="467"/>
      <c r="X266" s="467"/>
      <c r="Y266" s="467"/>
      <c r="Z266" s="467"/>
      <c r="AA266" s="467"/>
      <c r="AB266" s="467"/>
      <c r="AC266" s="467"/>
      <c r="AD266" s="467"/>
      <c r="AE266" s="467"/>
      <c r="AF266" s="467"/>
      <c r="AG266" s="467"/>
      <c r="AH266" s="467"/>
      <c r="AI266" s="467"/>
      <c r="AJ266" s="467"/>
      <c r="AK266" s="467"/>
      <c r="AL266" s="467"/>
      <c r="AM266" s="467"/>
      <c r="AN266" s="467"/>
      <c r="AO266" s="467"/>
      <c r="AP266" s="467"/>
      <c r="AQ266" s="467"/>
      <c r="AR266" s="467"/>
      <c r="AS266" s="467"/>
      <c r="AT266" s="467"/>
      <c r="AU266" s="467"/>
      <c r="AV266" s="467"/>
      <c r="AW266" s="467"/>
      <c r="AX266" s="467"/>
      <c r="AY266" s="467"/>
      <c r="AZ266" s="467"/>
      <c r="BA266" s="467"/>
      <c r="BB266" s="467"/>
      <c r="BC266" s="467"/>
      <c r="BD266" s="467"/>
      <c r="BE266" s="467"/>
      <c r="BF266" s="467"/>
      <c r="BG266" s="467"/>
      <c r="BH266" s="467"/>
      <c r="BI266" s="467"/>
      <c r="BJ266" s="467"/>
      <c r="BK266" s="467"/>
      <c r="BL266" s="467"/>
    </row>
    <row r="267" customFormat="false" ht="12.75" hidden="false" customHeight="false" outlineLevel="0" collapsed="false">
      <c r="A267" s="464" t="n">
        <f aca="false">EOMONTH(A266,0)+1</f>
        <v>44501</v>
      </c>
      <c r="B267" s="467" t="n">
        <v>0.072189564115221</v>
      </c>
      <c r="C267" s="467" t="n">
        <v>4.64</v>
      </c>
      <c r="D267" s="467"/>
      <c r="E267" s="467"/>
      <c r="F267" s="467"/>
      <c r="G267" s="467"/>
      <c r="H267" s="467"/>
      <c r="I267" s="467"/>
      <c r="J267" s="467"/>
      <c r="K267" s="467"/>
      <c r="L267" s="467"/>
      <c r="M267" s="467"/>
      <c r="N267" s="467"/>
      <c r="O267" s="467"/>
      <c r="P267" s="467"/>
      <c r="Q267" s="467"/>
      <c r="R267" s="467"/>
      <c r="S267" s="467"/>
      <c r="T267" s="467"/>
      <c r="U267" s="467"/>
      <c r="V267" s="467"/>
      <c r="W267" s="467"/>
      <c r="X267" s="467"/>
      <c r="Y267" s="467"/>
      <c r="Z267" s="467"/>
      <c r="AA267" s="467"/>
      <c r="AB267" s="467"/>
      <c r="AC267" s="467"/>
      <c r="AD267" s="467"/>
      <c r="AE267" s="467"/>
      <c r="AF267" s="467"/>
      <c r="AG267" s="467"/>
      <c r="AH267" s="467"/>
      <c r="AI267" s="467"/>
      <c r="AJ267" s="467"/>
      <c r="AK267" s="467"/>
      <c r="AL267" s="467"/>
      <c r="AM267" s="467"/>
      <c r="AN267" s="467"/>
      <c r="AO267" s="467"/>
      <c r="AP267" s="467"/>
      <c r="AQ267" s="467"/>
      <c r="AR267" s="467"/>
      <c r="AS267" s="467"/>
      <c r="AT267" s="467"/>
      <c r="AU267" s="467"/>
      <c r="AV267" s="467"/>
      <c r="AW267" s="467"/>
      <c r="AX267" s="467"/>
      <c r="AY267" s="467"/>
      <c r="AZ267" s="467"/>
      <c r="BA267" s="467"/>
      <c r="BB267" s="467"/>
      <c r="BC267" s="467"/>
      <c r="BD267" s="467"/>
      <c r="BE267" s="467"/>
      <c r="BF267" s="467"/>
      <c r="BG267" s="467"/>
      <c r="BH267" s="467"/>
      <c r="BI267" s="467"/>
      <c r="BJ267" s="467"/>
      <c r="BK267" s="467"/>
      <c r="BL267" s="467"/>
    </row>
    <row r="268" customFormat="false" ht="12.75" hidden="false" customHeight="false" outlineLevel="0" collapsed="false">
      <c r="A268" s="464" t="n">
        <f aca="false">EOMONTH(A267,0)+1</f>
        <v>44531</v>
      </c>
      <c r="B268" s="467" t="n">
        <v>0.072185517207924</v>
      </c>
      <c r="C268" s="467" t="n">
        <v>4.691</v>
      </c>
      <c r="D268" s="467"/>
      <c r="E268" s="467"/>
      <c r="F268" s="467"/>
      <c r="G268" s="467"/>
      <c r="H268" s="467"/>
      <c r="I268" s="467"/>
      <c r="J268" s="467"/>
      <c r="K268" s="467"/>
      <c r="L268" s="467"/>
      <c r="M268" s="467"/>
      <c r="N268" s="467"/>
      <c r="O268" s="467"/>
      <c r="P268" s="467"/>
      <c r="Q268" s="467"/>
      <c r="R268" s="467"/>
      <c r="S268" s="467"/>
      <c r="T268" s="467"/>
      <c r="U268" s="467"/>
      <c r="V268" s="467"/>
      <c r="W268" s="467"/>
      <c r="X268" s="467"/>
      <c r="Y268" s="467"/>
      <c r="Z268" s="467"/>
      <c r="AA268" s="467"/>
      <c r="AB268" s="467"/>
      <c r="AC268" s="467"/>
      <c r="AD268" s="467"/>
      <c r="AE268" s="467"/>
      <c r="AF268" s="467"/>
      <c r="AG268" s="467"/>
      <c r="AH268" s="467"/>
      <c r="AI268" s="467"/>
      <c r="AJ268" s="467"/>
      <c r="AK268" s="467"/>
      <c r="AL268" s="467"/>
      <c r="AM268" s="467"/>
      <c r="AN268" s="467"/>
      <c r="AO268" s="467"/>
      <c r="AP268" s="467"/>
      <c r="AQ268" s="467"/>
      <c r="AR268" s="467"/>
      <c r="AS268" s="467"/>
      <c r="AT268" s="467"/>
      <c r="AU268" s="467"/>
      <c r="AV268" s="467"/>
      <c r="AW268" s="467"/>
      <c r="AX268" s="467"/>
      <c r="AY268" s="467"/>
      <c r="AZ268" s="467"/>
      <c r="BA268" s="467"/>
      <c r="BB268" s="467"/>
      <c r="BC268" s="467"/>
      <c r="BD268" s="467"/>
      <c r="BE268" s="467"/>
      <c r="BF268" s="467"/>
      <c r="BG268" s="467"/>
      <c r="BH268" s="467"/>
      <c r="BI268" s="467"/>
      <c r="BJ268" s="467"/>
      <c r="BK268" s="467"/>
      <c r="BL268" s="467"/>
    </row>
    <row r="269" customFormat="false" ht="12.75" hidden="false" customHeight="false" outlineLevel="0" collapsed="false">
      <c r="A269" s="464" t="n">
        <f aca="false">EOMONTH(A268,0)+1</f>
        <v>44562</v>
      </c>
      <c r="B269" s="467" t="n">
        <v>0.072181335403722</v>
      </c>
      <c r="C269" s="467" t="n">
        <v>4.903</v>
      </c>
      <c r="D269" s="467"/>
      <c r="E269" s="467"/>
      <c r="F269" s="467"/>
      <c r="G269" s="467"/>
      <c r="H269" s="467"/>
      <c r="I269" s="467"/>
      <c r="J269" s="467"/>
      <c r="K269" s="467"/>
      <c r="L269" s="467"/>
      <c r="M269" s="467"/>
      <c r="N269" s="467"/>
      <c r="O269" s="467"/>
      <c r="P269" s="467"/>
      <c r="Q269" s="467"/>
      <c r="R269" s="467"/>
      <c r="S269" s="467"/>
      <c r="T269" s="467"/>
      <c r="U269" s="467"/>
      <c r="V269" s="467"/>
      <c r="W269" s="467"/>
      <c r="X269" s="467"/>
      <c r="Y269" s="467"/>
      <c r="Z269" s="467"/>
      <c r="AA269" s="467"/>
      <c r="AB269" s="467"/>
      <c r="AC269" s="467"/>
      <c r="AD269" s="467"/>
      <c r="AE269" s="467"/>
      <c r="AF269" s="467"/>
      <c r="AG269" s="467"/>
      <c r="AH269" s="467"/>
      <c r="AI269" s="467"/>
      <c r="AJ269" s="467"/>
      <c r="AK269" s="467"/>
      <c r="AL269" s="467"/>
      <c r="AM269" s="467"/>
      <c r="AN269" s="467"/>
      <c r="AO269" s="467"/>
      <c r="AP269" s="467"/>
      <c r="AQ269" s="467"/>
      <c r="AR269" s="467"/>
      <c r="AS269" s="467"/>
      <c r="AT269" s="467"/>
      <c r="AU269" s="467"/>
      <c r="AV269" s="467"/>
      <c r="AW269" s="467"/>
      <c r="AX269" s="467"/>
      <c r="AY269" s="467"/>
      <c r="AZ269" s="467"/>
      <c r="BA269" s="467"/>
      <c r="BB269" s="467"/>
      <c r="BC269" s="467"/>
      <c r="BD269" s="467"/>
      <c r="BE269" s="467"/>
      <c r="BF269" s="467"/>
      <c r="BG269" s="467"/>
      <c r="BH269" s="467"/>
      <c r="BI269" s="467"/>
      <c r="BJ269" s="467"/>
      <c r="BK269" s="467"/>
      <c r="BL269" s="467"/>
    </row>
    <row r="270" customFormat="false" ht="12.75" hidden="false" customHeight="false" outlineLevel="0" collapsed="false">
      <c r="A270" s="464" t="n">
        <f aca="false">EOMONTH(A269,0)+1</f>
        <v>44593</v>
      </c>
      <c r="B270" s="467" t="n">
        <v>0.072177153599526</v>
      </c>
      <c r="C270" s="467" t="n">
        <v>4.849</v>
      </c>
      <c r="D270" s="467"/>
      <c r="E270" s="467"/>
      <c r="F270" s="467"/>
      <c r="G270" s="467"/>
      <c r="H270" s="467"/>
      <c r="I270" s="467"/>
      <c r="J270" s="467"/>
      <c r="K270" s="467"/>
      <c r="L270" s="467"/>
      <c r="M270" s="467"/>
      <c r="N270" s="467"/>
      <c r="O270" s="467"/>
      <c r="P270" s="467"/>
      <c r="Q270" s="467"/>
      <c r="R270" s="467"/>
      <c r="S270" s="467"/>
      <c r="T270" s="467"/>
      <c r="U270" s="467"/>
      <c r="V270" s="467"/>
      <c r="W270" s="467"/>
      <c r="X270" s="467"/>
      <c r="Y270" s="467"/>
      <c r="Z270" s="467"/>
      <c r="AA270" s="467"/>
      <c r="AB270" s="467"/>
      <c r="AC270" s="467"/>
      <c r="AD270" s="467"/>
      <c r="AE270" s="467"/>
      <c r="AF270" s="467"/>
      <c r="AG270" s="467"/>
      <c r="AH270" s="467"/>
      <c r="AI270" s="467"/>
      <c r="AJ270" s="467"/>
      <c r="AK270" s="467"/>
      <c r="AL270" s="467"/>
      <c r="AM270" s="467"/>
      <c r="AN270" s="467"/>
      <c r="AO270" s="467"/>
      <c r="AP270" s="467"/>
      <c r="AQ270" s="467"/>
      <c r="AR270" s="467"/>
      <c r="AS270" s="467"/>
      <c r="AT270" s="467"/>
      <c r="AU270" s="467"/>
      <c r="AV270" s="467"/>
      <c r="AW270" s="467"/>
      <c r="AX270" s="467"/>
      <c r="AY270" s="467"/>
      <c r="AZ270" s="467"/>
      <c r="BA270" s="467"/>
      <c r="BB270" s="467"/>
      <c r="BC270" s="467"/>
      <c r="BD270" s="467"/>
      <c r="BE270" s="467"/>
      <c r="BF270" s="467"/>
      <c r="BG270" s="467"/>
      <c r="BH270" s="467"/>
      <c r="BI270" s="467"/>
      <c r="BJ270" s="467"/>
      <c r="BK270" s="467"/>
      <c r="BL270" s="467"/>
    </row>
    <row r="271" customFormat="false" ht="12.75" hidden="false" customHeight="false" outlineLevel="0" collapsed="false">
      <c r="A271" s="464" t="n">
        <f aca="false">EOMONTH(A270,0)+1</f>
        <v>44621</v>
      </c>
      <c r="B271" s="467" t="n">
        <v>0.072173376486063</v>
      </c>
      <c r="C271" s="467" t="n">
        <v>4.766</v>
      </c>
      <c r="D271" s="467"/>
      <c r="E271" s="467"/>
      <c r="F271" s="467"/>
      <c r="G271" s="467"/>
      <c r="H271" s="467"/>
      <c r="I271" s="467"/>
      <c r="J271" s="467"/>
      <c r="K271" s="467"/>
      <c r="L271" s="467"/>
      <c r="M271" s="467"/>
      <c r="N271" s="467"/>
      <c r="O271" s="467"/>
      <c r="P271" s="467"/>
      <c r="Q271" s="467"/>
      <c r="R271" s="467"/>
      <c r="S271" s="467"/>
      <c r="T271" s="467"/>
      <c r="U271" s="467"/>
      <c r="V271" s="467"/>
      <c r="W271" s="467"/>
      <c r="X271" s="467"/>
      <c r="Y271" s="467"/>
      <c r="Z271" s="467"/>
      <c r="AA271" s="467"/>
      <c r="AB271" s="467"/>
      <c r="AC271" s="467"/>
      <c r="AD271" s="467"/>
      <c r="AE271" s="467"/>
      <c r="AF271" s="467"/>
      <c r="AG271" s="467"/>
      <c r="AH271" s="467"/>
      <c r="AI271" s="467"/>
      <c r="AJ271" s="467"/>
      <c r="AK271" s="467"/>
      <c r="AL271" s="467"/>
      <c r="AM271" s="467"/>
      <c r="AN271" s="467"/>
      <c r="AO271" s="467"/>
      <c r="AP271" s="467"/>
      <c r="AQ271" s="467"/>
      <c r="AR271" s="467"/>
      <c r="AS271" s="467"/>
      <c r="AT271" s="467"/>
      <c r="AU271" s="467"/>
      <c r="AV271" s="467"/>
      <c r="AW271" s="467"/>
      <c r="AX271" s="467"/>
      <c r="AY271" s="467"/>
      <c r="AZ271" s="467"/>
      <c r="BA271" s="467"/>
      <c r="BB271" s="467"/>
      <c r="BC271" s="467"/>
      <c r="BD271" s="467"/>
      <c r="BE271" s="467"/>
      <c r="BF271" s="467"/>
      <c r="BG271" s="467"/>
      <c r="BH271" s="467"/>
      <c r="BI271" s="467"/>
      <c r="BJ271" s="467"/>
      <c r="BK271" s="467"/>
      <c r="BL271" s="467"/>
    </row>
    <row r="272" customFormat="false" ht="12.75" hidden="false" customHeight="false" outlineLevel="0" collapsed="false">
      <c r="A272" s="464" t="n">
        <f aca="false">EOMONTH(A271,0)+1</f>
        <v>44652</v>
      </c>
      <c r="B272" s="467" t="n">
        <v>0.072169194681878</v>
      </c>
      <c r="C272" s="467" t="n">
        <v>4.683</v>
      </c>
      <c r="D272" s="467"/>
      <c r="E272" s="467"/>
      <c r="F272" s="467"/>
      <c r="G272" s="467"/>
      <c r="H272" s="467"/>
      <c r="I272" s="467"/>
      <c r="J272" s="467"/>
      <c r="K272" s="467"/>
      <c r="L272" s="467"/>
      <c r="M272" s="467"/>
      <c r="N272" s="467"/>
      <c r="O272" s="467"/>
      <c r="P272" s="467"/>
      <c r="Q272" s="467"/>
      <c r="R272" s="467"/>
      <c r="S272" s="467"/>
      <c r="T272" s="467"/>
      <c r="U272" s="467"/>
      <c r="V272" s="467"/>
      <c r="W272" s="467"/>
      <c r="X272" s="467"/>
      <c r="Y272" s="467"/>
      <c r="Z272" s="467"/>
      <c r="AA272" s="467"/>
      <c r="AB272" s="467"/>
      <c r="AC272" s="467"/>
      <c r="AD272" s="467"/>
      <c r="AE272" s="467"/>
      <c r="AF272" s="467"/>
      <c r="AG272" s="467"/>
      <c r="AH272" s="467"/>
      <c r="AI272" s="467"/>
      <c r="AJ272" s="467"/>
      <c r="AK272" s="467"/>
      <c r="AL272" s="467"/>
      <c r="AM272" s="467"/>
      <c r="AN272" s="467"/>
      <c r="AO272" s="467"/>
      <c r="AP272" s="467"/>
      <c r="AQ272" s="467"/>
      <c r="AR272" s="467"/>
      <c r="AS272" s="467"/>
      <c r="AT272" s="467"/>
      <c r="AU272" s="467"/>
      <c r="AV272" s="467"/>
      <c r="AW272" s="467"/>
      <c r="AX272" s="467"/>
      <c r="AY272" s="467"/>
      <c r="AZ272" s="467"/>
      <c r="BA272" s="467"/>
      <c r="BB272" s="467"/>
      <c r="BC272" s="467"/>
      <c r="BD272" s="467"/>
      <c r="BE272" s="467"/>
      <c r="BF272" s="467"/>
      <c r="BG272" s="467"/>
      <c r="BH272" s="467"/>
      <c r="BI272" s="467"/>
      <c r="BJ272" s="467"/>
      <c r="BK272" s="467"/>
      <c r="BL272" s="467"/>
    </row>
    <row r="273" customFormat="false" ht="12.75" hidden="false" customHeight="false" outlineLevel="0" collapsed="false">
      <c r="A273" s="464" t="n">
        <f aca="false">EOMONTH(A272,0)+1</f>
        <v>44682</v>
      </c>
      <c r="B273" s="467" t="n">
        <v>0.072165147774608</v>
      </c>
      <c r="C273" s="467" t="n">
        <v>4.687</v>
      </c>
      <c r="D273" s="467"/>
      <c r="E273" s="467"/>
      <c r="F273" s="467"/>
      <c r="G273" s="467"/>
      <c r="H273" s="467"/>
      <c r="I273" s="467"/>
      <c r="J273" s="467"/>
      <c r="K273" s="467"/>
      <c r="L273" s="467"/>
      <c r="M273" s="467"/>
      <c r="N273" s="467"/>
      <c r="O273" s="467"/>
      <c r="P273" s="467"/>
      <c r="Q273" s="467"/>
      <c r="R273" s="467"/>
      <c r="S273" s="467"/>
      <c r="T273" s="467"/>
      <c r="U273" s="467"/>
      <c r="V273" s="467"/>
      <c r="W273" s="467"/>
      <c r="X273" s="467"/>
      <c r="Y273" s="467"/>
      <c r="Z273" s="467"/>
      <c r="AA273" s="467"/>
      <c r="AB273" s="467"/>
      <c r="AC273" s="467"/>
      <c r="AD273" s="467"/>
      <c r="AE273" s="467"/>
      <c r="AF273" s="467"/>
      <c r="AG273" s="467"/>
      <c r="AH273" s="467"/>
      <c r="AI273" s="467"/>
      <c r="AJ273" s="467"/>
      <c r="AK273" s="467"/>
      <c r="AL273" s="467"/>
      <c r="AM273" s="467"/>
      <c r="AN273" s="467"/>
      <c r="AO273" s="467"/>
      <c r="AP273" s="467"/>
      <c r="AQ273" s="467"/>
      <c r="AR273" s="467"/>
      <c r="AS273" s="467"/>
      <c r="AT273" s="467"/>
      <c r="AU273" s="467"/>
      <c r="AV273" s="467"/>
      <c r="AW273" s="467"/>
      <c r="AX273" s="467"/>
      <c r="AY273" s="467"/>
      <c r="AZ273" s="467"/>
      <c r="BA273" s="467"/>
      <c r="BB273" s="467"/>
      <c r="BC273" s="467"/>
      <c r="BD273" s="467"/>
      <c r="BE273" s="467"/>
      <c r="BF273" s="467"/>
      <c r="BG273" s="467"/>
      <c r="BH273" s="467"/>
      <c r="BI273" s="467"/>
      <c r="BJ273" s="467"/>
      <c r="BK273" s="467"/>
      <c r="BL273" s="467"/>
    </row>
    <row r="274" customFormat="false" ht="12.75" hidden="false" customHeight="false" outlineLevel="0" collapsed="false">
      <c r="A274" s="464" t="n">
        <f aca="false">EOMONTH(A273,0)+1</f>
        <v>44713</v>
      </c>
      <c r="B274" s="467" t="n">
        <v>0.072160965970435</v>
      </c>
      <c r="C274" s="467" t="n">
        <v>4.736</v>
      </c>
      <c r="D274" s="467"/>
      <c r="E274" s="467"/>
      <c r="F274" s="467"/>
      <c r="G274" s="467"/>
      <c r="H274" s="467"/>
      <c r="I274" s="467"/>
      <c r="J274" s="467"/>
      <c r="K274" s="467"/>
      <c r="L274" s="467"/>
      <c r="M274" s="467"/>
      <c r="N274" s="467"/>
      <c r="O274" s="467"/>
      <c r="P274" s="467"/>
      <c r="Q274" s="467"/>
      <c r="R274" s="467"/>
      <c r="S274" s="467"/>
      <c r="T274" s="467"/>
      <c r="U274" s="467"/>
      <c r="V274" s="467"/>
      <c r="W274" s="467"/>
      <c r="X274" s="467"/>
      <c r="Y274" s="467"/>
      <c r="Z274" s="467"/>
      <c r="AA274" s="467"/>
      <c r="AB274" s="467"/>
      <c r="AC274" s="467"/>
      <c r="AD274" s="467"/>
      <c r="AE274" s="467"/>
      <c r="AF274" s="467"/>
      <c r="AG274" s="467"/>
      <c r="AH274" s="467"/>
      <c r="AI274" s="467"/>
      <c r="AJ274" s="467"/>
      <c r="AK274" s="467"/>
      <c r="AL274" s="467"/>
      <c r="AM274" s="467"/>
      <c r="AN274" s="467"/>
      <c r="AO274" s="467"/>
      <c r="AP274" s="467"/>
      <c r="AQ274" s="467"/>
      <c r="AR274" s="467"/>
      <c r="AS274" s="467"/>
      <c r="AT274" s="467"/>
      <c r="AU274" s="467"/>
      <c r="AV274" s="467"/>
      <c r="AW274" s="467"/>
      <c r="AX274" s="467"/>
      <c r="AY274" s="467"/>
      <c r="AZ274" s="467"/>
      <c r="BA274" s="467"/>
      <c r="BB274" s="467"/>
      <c r="BC274" s="467"/>
      <c r="BD274" s="467"/>
      <c r="BE274" s="467"/>
      <c r="BF274" s="467"/>
      <c r="BG274" s="467"/>
      <c r="BH274" s="467"/>
      <c r="BI274" s="467"/>
      <c r="BJ274" s="467"/>
      <c r="BK274" s="467"/>
      <c r="BL274" s="467"/>
    </row>
    <row r="275" customFormat="false" ht="12.75" hidden="false" customHeight="false" outlineLevel="0" collapsed="false">
      <c r="A275" s="464" t="n">
        <f aca="false">EOMONTH(A274,0)+1</f>
        <v>44743</v>
      </c>
      <c r="B275" s="467" t="n">
        <v>0.072156919063175</v>
      </c>
      <c r="C275" s="467" t="n">
        <v>4.736</v>
      </c>
      <c r="D275" s="467"/>
      <c r="E275" s="467"/>
      <c r="F275" s="467"/>
      <c r="G275" s="467"/>
      <c r="H275" s="467"/>
      <c r="I275" s="467"/>
      <c r="J275" s="467"/>
      <c r="K275" s="467"/>
      <c r="L275" s="467"/>
      <c r="M275" s="467"/>
      <c r="N275" s="467"/>
      <c r="O275" s="467"/>
      <c r="P275" s="467"/>
      <c r="Q275" s="467"/>
      <c r="R275" s="467"/>
      <c r="S275" s="467"/>
      <c r="T275" s="467"/>
      <c r="U275" s="467"/>
      <c r="V275" s="467"/>
      <c r="W275" s="467"/>
      <c r="X275" s="467"/>
      <c r="Y275" s="467"/>
      <c r="Z275" s="467"/>
      <c r="AA275" s="467"/>
      <c r="AB275" s="467"/>
      <c r="AC275" s="467"/>
      <c r="AD275" s="467"/>
      <c r="AE275" s="467"/>
      <c r="AF275" s="467"/>
      <c r="AG275" s="467"/>
      <c r="AH275" s="467"/>
      <c r="AI275" s="467"/>
      <c r="AJ275" s="467"/>
      <c r="AK275" s="467"/>
      <c r="AL275" s="467"/>
      <c r="AM275" s="467"/>
      <c r="AN275" s="467"/>
      <c r="AO275" s="467"/>
      <c r="AP275" s="467"/>
      <c r="AQ275" s="467"/>
      <c r="AR275" s="467"/>
      <c r="AS275" s="467"/>
      <c r="AT275" s="467"/>
      <c r="AU275" s="467"/>
      <c r="AV275" s="467"/>
      <c r="AW275" s="467"/>
      <c r="AX275" s="467"/>
      <c r="AY275" s="467"/>
      <c r="AZ275" s="467"/>
      <c r="BA275" s="467"/>
      <c r="BB275" s="467"/>
      <c r="BC275" s="467"/>
      <c r="BD275" s="467"/>
      <c r="BE275" s="467"/>
      <c r="BF275" s="467"/>
      <c r="BG275" s="467"/>
      <c r="BH275" s="467"/>
      <c r="BI275" s="467"/>
      <c r="BJ275" s="467"/>
      <c r="BK275" s="467"/>
      <c r="BL275" s="467"/>
    </row>
    <row r="276" customFormat="false" ht="12.75" hidden="false" customHeight="false" outlineLevel="0" collapsed="false">
      <c r="A276" s="464" t="n">
        <f aca="false">EOMONTH(A275,0)+1</f>
        <v>44774</v>
      </c>
      <c r="B276" s="467" t="n">
        <v>0.072152737259013</v>
      </c>
      <c r="C276" s="467" t="n">
        <v>4.796</v>
      </c>
      <c r="D276" s="467"/>
      <c r="E276" s="467"/>
      <c r="F276" s="467"/>
      <c r="G276" s="467"/>
      <c r="H276" s="467"/>
      <c r="I276" s="467"/>
      <c r="J276" s="467"/>
      <c r="K276" s="467"/>
      <c r="L276" s="467"/>
      <c r="M276" s="467"/>
      <c r="N276" s="467"/>
      <c r="O276" s="467"/>
      <c r="P276" s="467"/>
      <c r="Q276" s="467"/>
      <c r="R276" s="467"/>
      <c r="S276" s="467"/>
      <c r="T276" s="467"/>
      <c r="U276" s="467"/>
      <c r="V276" s="467"/>
      <c r="W276" s="467"/>
      <c r="X276" s="467"/>
      <c r="Y276" s="467"/>
      <c r="Z276" s="467"/>
      <c r="AA276" s="467"/>
      <c r="AB276" s="467"/>
      <c r="AC276" s="467"/>
      <c r="AD276" s="467"/>
      <c r="AE276" s="467"/>
      <c r="AF276" s="467"/>
      <c r="AG276" s="467"/>
      <c r="AH276" s="467"/>
      <c r="AI276" s="467"/>
      <c r="AJ276" s="467"/>
      <c r="AK276" s="467"/>
      <c r="AL276" s="467"/>
      <c r="AM276" s="467"/>
      <c r="AN276" s="467"/>
      <c r="AO276" s="467"/>
      <c r="AP276" s="467"/>
      <c r="AQ276" s="467"/>
      <c r="AR276" s="467"/>
      <c r="AS276" s="467"/>
      <c r="AT276" s="467"/>
      <c r="AU276" s="467"/>
      <c r="AV276" s="467"/>
      <c r="AW276" s="467"/>
      <c r="AX276" s="467"/>
      <c r="AY276" s="467"/>
      <c r="AZ276" s="467"/>
      <c r="BA276" s="467"/>
      <c r="BB276" s="467"/>
      <c r="BC276" s="467"/>
      <c r="BD276" s="467"/>
      <c r="BE276" s="467"/>
      <c r="BF276" s="467"/>
      <c r="BG276" s="467"/>
      <c r="BH276" s="467"/>
      <c r="BI276" s="467"/>
      <c r="BJ276" s="467"/>
      <c r="BK276" s="467"/>
      <c r="BL276" s="467"/>
    </row>
    <row r="277" customFormat="false" ht="12.75" hidden="false" customHeight="false" outlineLevel="0" collapsed="false">
      <c r="A277" s="464" t="n">
        <f aca="false">EOMONTH(A276,0)+1</f>
        <v>44805</v>
      </c>
      <c r="B277" s="467" t="n">
        <v>0.072148555454856</v>
      </c>
      <c r="C277" s="467" t="n">
        <v>4.767</v>
      </c>
      <c r="D277" s="467"/>
      <c r="E277" s="467"/>
      <c r="F277" s="467"/>
      <c r="G277" s="467"/>
      <c r="H277" s="467"/>
      <c r="I277" s="467"/>
      <c r="J277" s="467"/>
      <c r="K277" s="467"/>
      <c r="L277" s="467"/>
      <c r="M277" s="467"/>
      <c r="N277" s="467"/>
      <c r="O277" s="467"/>
      <c r="P277" s="467"/>
      <c r="Q277" s="467"/>
      <c r="R277" s="467"/>
      <c r="S277" s="467"/>
      <c r="T277" s="467"/>
      <c r="U277" s="467"/>
      <c r="V277" s="467"/>
      <c r="W277" s="467"/>
      <c r="X277" s="467"/>
      <c r="Y277" s="467"/>
      <c r="Z277" s="467"/>
      <c r="AA277" s="467"/>
      <c r="AB277" s="467"/>
      <c r="AC277" s="467"/>
      <c r="AD277" s="467"/>
      <c r="AE277" s="467"/>
      <c r="AF277" s="467"/>
      <c r="AG277" s="467"/>
      <c r="AH277" s="467"/>
      <c r="AI277" s="467"/>
      <c r="AJ277" s="467"/>
      <c r="AK277" s="467"/>
      <c r="AL277" s="467"/>
      <c r="AM277" s="467"/>
      <c r="AN277" s="467"/>
      <c r="AO277" s="467"/>
      <c r="AP277" s="467"/>
      <c r="AQ277" s="467"/>
      <c r="AR277" s="467"/>
      <c r="AS277" s="467"/>
      <c r="AT277" s="467"/>
      <c r="AU277" s="467"/>
      <c r="AV277" s="467"/>
      <c r="AW277" s="467"/>
      <c r="AX277" s="467"/>
      <c r="AY277" s="467"/>
      <c r="AZ277" s="467"/>
      <c r="BA277" s="467"/>
      <c r="BB277" s="467"/>
      <c r="BC277" s="467"/>
      <c r="BD277" s="467"/>
      <c r="BE277" s="467"/>
      <c r="BF277" s="467"/>
      <c r="BG277" s="467"/>
      <c r="BH277" s="467"/>
      <c r="BI277" s="467"/>
      <c r="BJ277" s="467"/>
      <c r="BK277" s="467"/>
      <c r="BL277" s="467"/>
    </row>
    <row r="278" customFormat="false" ht="12.75" hidden="false" customHeight="false" outlineLevel="0" collapsed="false">
      <c r="A278" s="464" t="n">
        <f aca="false">EOMONTH(A277,0)+1</f>
        <v>44835</v>
      </c>
      <c r="B278" s="467" t="n">
        <v>0.072144508547613</v>
      </c>
      <c r="C278" s="467" t="n">
        <v>4.768</v>
      </c>
      <c r="D278" s="467"/>
      <c r="E278" s="467"/>
      <c r="F278" s="467"/>
      <c r="G278" s="467"/>
      <c r="H278" s="467"/>
      <c r="I278" s="467"/>
      <c r="J278" s="467"/>
      <c r="K278" s="467"/>
      <c r="L278" s="467"/>
      <c r="M278" s="467"/>
      <c r="N278" s="467"/>
      <c r="O278" s="467"/>
      <c r="P278" s="467"/>
      <c r="Q278" s="467"/>
      <c r="R278" s="467"/>
      <c r="S278" s="467"/>
      <c r="T278" s="467"/>
      <c r="U278" s="467"/>
      <c r="V278" s="467"/>
      <c r="W278" s="467"/>
      <c r="X278" s="467"/>
      <c r="Y278" s="467"/>
      <c r="Z278" s="467"/>
      <c r="AA278" s="467"/>
      <c r="AB278" s="467"/>
      <c r="AC278" s="467"/>
      <c r="AD278" s="467"/>
      <c r="AE278" s="467"/>
      <c r="AF278" s="467"/>
      <c r="AG278" s="467"/>
      <c r="AH278" s="467"/>
      <c r="AI278" s="467"/>
      <c r="AJ278" s="467"/>
      <c r="AK278" s="467"/>
      <c r="AL278" s="467"/>
      <c r="AM278" s="467"/>
      <c r="AN278" s="467"/>
      <c r="AO278" s="467"/>
      <c r="AP278" s="467"/>
      <c r="AQ278" s="467"/>
      <c r="AR278" s="467"/>
      <c r="AS278" s="467"/>
      <c r="AT278" s="467"/>
      <c r="AU278" s="467"/>
      <c r="AV278" s="467"/>
      <c r="AW278" s="467"/>
      <c r="AX278" s="467"/>
      <c r="AY278" s="467"/>
      <c r="AZ278" s="467"/>
      <c r="BA278" s="467"/>
      <c r="BB278" s="467"/>
      <c r="BC278" s="467"/>
      <c r="BD278" s="467"/>
      <c r="BE278" s="467"/>
      <c r="BF278" s="467"/>
      <c r="BG278" s="467"/>
      <c r="BH278" s="467"/>
      <c r="BI278" s="467"/>
      <c r="BJ278" s="467"/>
      <c r="BK278" s="467"/>
      <c r="BL278" s="467"/>
    </row>
    <row r="279" customFormat="false" ht="12.75" hidden="false" customHeight="false" outlineLevel="0" collapsed="false">
      <c r="A279" s="464" t="n">
        <f aca="false">EOMONTH(A278,0)+1</f>
        <v>44866</v>
      </c>
      <c r="B279" s="467" t="n">
        <v>0.072140326743468</v>
      </c>
      <c r="C279" s="467" t="n">
        <v>4.782</v>
      </c>
      <c r="D279" s="467"/>
      <c r="E279" s="467"/>
      <c r="F279" s="467"/>
      <c r="G279" s="467"/>
      <c r="H279" s="467"/>
      <c r="I279" s="467"/>
      <c r="J279" s="467"/>
      <c r="K279" s="467"/>
      <c r="L279" s="467"/>
      <c r="M279" s="467"/>
      <c r="N279" s="467"/>
      <c r="O279" s="467"/>
      <c r="P279" s="467"/>
      <c r="Q279" s="467"/>
      <c r="R279" s="467"/>
      <c r="S279" s="467"/>
      <c r="T279" s="467"/>
      <c r="U279" s="467"/>
      <c r="V279" s="467"/>
      <c r="W279" s="467"/>
      <c r="X279" s="467"/>
      <c r="Y279" s="467"/>
      <c r="Z279" s="467"/>
      <c r="AA279" s="467"/>
      <c r="AB279" s="467"/>
      <c r="AC279" s="467"/>
      <c r="AD279" s="467"/>
      <c r="AE279" s="467"/>
      <c r="AF279" s="467"/>
      <c r="AG279" s="467"/>
      <c r="AH279" s="467"/>
      <c r="AI279" s="467"/>
      <c r="AJ279" s="467"/>
      <c r="AK279" s="467"/>
      <c r="AL279" s="467"/>
      <c r="AM279" s="467"/>
      <c r="AN279" s="467"/>
      <c r="AO279" s="467"/>
      <c r="AP279" s="467"/>
      <c r="AQ279" s="467"/>
      <c r="AR279" s="467"/>
      <c r="AS279" s="467"/>
      <c r="AT279" s="467"/>
      <c r="AU279" s="467"/>
      <c r="AV279" s="467"/>
      <c r="AW279" s="467"/>
      <c r="AX279" s="467"/>
      <c r="AY279" s="467"/>
      <c r="AZ279" s="467"/>
      <c r="BA279" s="467"/>
      <c r="BB279" s="467"/>
      <c r="BC279" s="467"/>
      <c r="BD279" s="467"/>
      <c r="BE279" s="467"/>
      <c r="BF279" s="467"/>
      <c r="BG279" s="467"/>
      <c r="BH279" s="467"/>
      <c r="BI279" s="467"/>
      <c r="BJ279" s="467"/>
      <c r="BK279" s="467"/>
      <c r="BL279" s="467"/>
    </row>
    <row r="280" customFormat="false" ht="12.75" hidden="false" customHeight="false" outlineLevel="0" collapsed="false">
      <c r="A280" s="464" t="n">
        <f aca="false">EOMONTH(A279,0)+1</f>
        <v>44896</v>
      </c>
      <c r="B280" s="467" t="n">
        <v>0.072136279836236</v>
      </c>
      <c r="C280" s="467" t="n">
        <v>4.83</v>
      </c>
      <c r="D280" s="467"/>
      <c r="E280" s="467"/>
      <c r="F280" s="467"/>
      <c r="G280" s="467"/>
      <c r="H280" s="467"/>
      <c r="I280" s="467"/>
      <c r="J280" s="467"/>
      <c r="K280" s="467"/>
      <c r="L280" s="467"/>
      <c r="M280" s="467"/>
      <c r="N280" s="467"/>
      <c r="O280" s="467"/>
      <c r="P280" s="467"/>
      <c r="Q280" s="467"/>
      <c r="R280" s="467"/>
      <c r="S280" s="467"/>
      <c r="T280" s="467"/>
      <c r="U280" s="467"/>
      <c r="V280" s="467"/>
      <c r="W280" s="467"/>
      <c r="X280" s="467"/>
      <c r="Y280" s="467"/>
      <c r="Z280" s="467"/>
      <c r="AA280" s="467"/>
      <c r="AB280" s="467"/>
      <c r="AC280" s="467"/>
      <c r="AD280" s="467"/>
      <c r="AE280" s="467"/>
      <c r="AF280" s="467"/>
      <c r="AG280" s="467"/>
      <c r="AH280" s="467"/>
      <c r="AI280" s="467"/>
      <c r="AJ280" s="467"/>
      <c r="AK280" s="467"/>
      <c r="AL280" s="467"/>
      <c r="AM280" s="467"/>
      <c r="AN280" s="467"/>
      <c r="AO280" s="467"/>
      <c r="AP280" s="467"/>
      <c r="AQ280" s="467"/>
      <c r="AR280" s="467"/>
      <c r="AS280" s="467"/>
      <c r="AT280" s="467"/>
      <c r="AU280" s="467"/>
      <c r="AV280" s="467"/>
      <c r="AW280" s="467"/>
      <c r="AX280" s="467"/>
      <c r="AY280" s="467"/>
      <c r="AZ280" s="467"/>
      <c r="BA280" s="467"/>
      <c r="BB280" s="467"/>
      <c r="BC280" s="467"/>
      <c r="BD280" s="467"/>
      <c r="BE280" s="467"/>
      <c r="BF280" s="467"/>
      <c r="BG280" s="467"/>
      <c r="BH280" s="467"/>
      <c r="BI280" s="467"/>
      <c r="BJ280" s="467"/>
      <c r="BK280" s="467"/>
      <c r="BL280" s="467"/>
    </row>
    <row r="281" customFormat="false" ht="12.75" hidden="false" customHeight="false" outlineLevel="0" collapsed="false">
      <c r="A281" s="464" t="n">
        <f aca="false">EOMONTH(A280,0)+1</f>
        <v>44927</v>
      </c>
      <c r="B281" s="467" t="n">
        <v>0.072132098032103</v>
      </c>
      <c r="C281" s="467" t="n">
        <v>5.045</v>
      </c>
      <c r="D281" s="467"/>
      <c r="E281" s="467"/>
      <c r="F281" s="467"/>
      <c r="G281" s="467"/>
      <c r="H281" s="467"/>
      <c r="I281" s="467"/>
      <c r="J281" s="467"/>
      <c r="K281" s="467"/>
      <c r="L281" s="467"/>
      <c r="M281" s="467"/>
      <c r="N281" s="467"/>
      <c r="O281" s="467"/>
      <c r="P281" s="467"/>
      <c r="Q281" s="467"/>
      <c r="R281" s="467"/>
      <c r="S281" s="467"/>
      <c r="T281" s="467"/>
      <c r="U281" s="467"/>
      <c r="V281" s="467"/>
      <c r="W281" s="467"/>
      <c r="X281" s="467"/>
      <c r="Y281" s="467"/>
      <c r="Z281" s="467"/>
      <c r="AA281" s="467"/>
      <c r="AB281" s="467"/>
      <c r="AC281" s="467"/>
      <c r="AD281" s="467"/>
      <c r="AE281" s="467"/>
      <c r="AF281" s="467"/>
      <c r="AG281" s="467"/>
      <c r="AH281" s="467"/>
      <c r="AI281" s="467"/>
      <c r="AJ281" s="467"/>
      <c r="AK281" s="467"/>
      <c r="AL281" s="467"/>
      <c r="AM281" s="467"/>
      <c r="AN281" s="467"/>
      <c r="AO281" s="467"/>
      <c r="AP281" s="467"/>
      <c r="AQ281" s="467"/>
      <c r="AR281" s="467"/>
      <c r="AS281" s="467"/>
      <c r="AT281" s="467"/>
      <c r="AU281" s="467"/>
      <c r="AV281" s="467"/>
      <c r="AW281" s="467"/>
      <c r="AX281" s="467"/>
      <c r="AY281" s="467"/>
      <c r="AZ281" s="467"/>
      <c r="BA281" s="467"/>
      <c r="BB281" s="467"/>
      <c r="BC281" s="467"/>
      <c r="BD281" s="467"/>
      <c r="BE281" s="467"/>
      <c r="BF281" s="467"/>
      <c r="BG281" s="467"/>
      <c r="BH281" s="467"/>
      <c r="BI281" s="467"/>
      <c r="BJ281" s="467"/>
      <c r="BK281" s="467"/>
      <c r="BL281" s="467"/>
    </row>
    <row r="282" customFormat="false" ht="12.75" hidden="false" customHeight="false" outlineLevel="0" collapsed="false">
      <c r="A282" s="464" t="n">
        <f aca="false">EOMONTH(A281,0)+1</f>
        <v>44958</v>
      </c>
      <c r="B282" s="467" t="n">
        <v>0.072127916227974</v>
      </c>
      <c r="C282" s="467" t="n">
        <v>4.995</v>
      </c>
      <c r="D282" s="467"/>
      <c r="E282" s="467"/>
      <c r="F282" s="467"/>
      <c r="G282" s="467"/>
      <c r="H282" s="467"/>
      <c r="I282" s="467"/>
      <c r="J282" s="467"/>
      <c r="K282" s="467"/>
      <c r="L282" s="467"/>
      <c r="M282" s="467"/>
      <c r="N282" s="467"/>
      <c r="O282" s="467"/>
      <c r="P282" s="467"/>
      <c r="Q282" s="467"/>
      <c r="R282" s="467"/>
      <c r="S282" s="467"/>
      <c r="T282" s="467"/>
      <c r="U282" s="467"/>
      <c r="V282" s="467"/>
      <c r="W282" s="467"/>
      <c r="X282" s="467"/>
      <c r="Y282" s="467"/>
      <c r="Z282" s="467"/>
      <c r="AA282" s="467"/>
      <c r="AB282" s="467"/>
      <c r="AC282" s="467"/>
      <c r="AD282" s="467"/>
      <c r="AE282" s="467"/>
      <c r="AF282" s="467"/>
      <c r="AG282" s="467"/>
      <c r="AH282" s="467"/>
      <c r="AI282" s="467"/>
      <c r="AJ282" s="467"/>
      <c r="AK282" s="467"/>
      <c r="AL282" s="467"/>
      <c r="AM282" s="467"/>
      <c r="AN282" s="467"/>
      <c r="AO282" s="467"/>
      <c r="AP282" s="467"/>
      <c r="AQ282" s="467"/>
      <c r="AR282" s="467"/>
      <c r="AS282" s="467"/>
      <c r="AT282" s="467"/>
      <c r="AU282" s="467"/>
      <c r="AV282" s="467"/>
      <c r="AW282" s="467"/>
      <c r="AX282" s="467"/>
      <c r="AY282" s="467"/>
      <c r="AZ282" s="467"/>
      <c r="BA282" s="467"/>
      <c r="BB282" s="467"/>
      <c r="BC282" s="467"/>
      <c r="BD282" s="467"/>
      <c r="BE282" s="467"/>
      <c r="BF282" s="467"/>
      <c r="BG282" s="467"/>
      <c r="BH282" s="467"/>
      <c r="BI282" s="467"/>
      <c r="BJ282" s="467"/>
      <c r="BK282" s="467"/>
      <c r="BL282" s="467"/>
    </row>
    <row r="283" customFormat="false" ht="12.75" hidden="false" customHeight="false" outlineLevel="0" collapsed="false">
      <c r="A283" s="464" t="n">
        <f aca="false">EOMONTH(A282,0)+1</f>
        <v>44986</v>
      </c>
      <c r="B283" s="467" t="n">
        <v>0.072124139114574</v>
      </c>
      <c r="C283" s="467" t="n">
        <v>4.915</v>
      </c>
      <c r="D283" s="467"/>
      <c r="E283" s="467"/>
      <c r="F283" s="467"/>
      <c r="G283" s="467"/>
      <c r="H283" s="467"/>
      <c r="I283" s="467"/>
      <c r="J283" s="467"/>
      <c r="K283" s="467"/>
      <c r="L283" s="467"/>
      <c r="M283" s="467"/>
      <c r="N283" s="467"/>
      <c r="O283" s="467"/>
      <c r="P283" s="467"/>
      <c r="Q283" s="467"/>
      <c r="R283" s="467"/>
      <c r="S283" s="467"/>
      <c r="T283" s="467"/>
      <c r="U283" s="467"/>
      <c r="V283" s="467"/>
      <c r="W283" s="467"/>
      <c r="X283" s="467"/>
      <c r="Y283" s="467"/>
      <c r="Z283" s="467"/>
      <c r="AA283" s="467"/>
      <c r="AB283" s="467"/>
      <c r="AC283" s="467"/>
      <c r="AD283" s="467"/>
      <c r="AE283" s="467"/>
      <c r="AF283" s="467"/>
      <c r="AG283" s="467"/>
      <c r="AH283" s="467"/>
      <c r="AI283" s="467"/>
      <c r="AJ283" s="467"/>
      <c r="AK283" s="467"/>
      <c r="AL283" s="467"/>
      <c r="AM283" s="467"/>
      <c r="AN283" s="467"/>
      <c r="AO283" s="467"/>
      <c r="AP283" s="467"/>
      <c r="AQ283" s="467"/>
      <c r="AR283" s="467"/>
      <c r="AS283" s="467"/>
      <c r="AT283" s="467"/>
      <c r="AU283" s="467"/>
      <c r="AV283" s="467"/>
      <c r="AW283" s="467"/>
      <c r="AX283" s="467"/>
      <c r="AY283" s="467"/>
      <c r="AZ283" s="467"/>
      <c r="BA283" s="467"/>
      <c r="BB283" s="467"/>
      <c r="BC283" s="467"/>
      <c r="BD283" s="467"/>
      <c r="BE283" s="467"/>
      <c r="BF283" s="467"/>
      <c r="BG283" s="467"/>
      <c r="BH283" s="467"/>
      <c r="BI283" s="467"/>
      <c r="BJ283" s="467"/>
      <c r="BK283" s="467"/>
      <c r="BL283" s="467"/>
    </row>
    <row r="284" customFormat="false" ht="12.75" hidden="false" customHeight="false" outlineLevel="0" collapsed="false">
      <c r="A284" s="464" t="n">
        <f aca="false">EOMONTH(A283,0)+1</f>
        <v>45017</v>
      </c>
      <c r="B284" s="467" t="n">
        <v>0.072119957310457</v>
      </c>
      <c r="C284" s="467" t="n">
        <v>4.835</v>
      </c>
      <c r="D284" s="467"/>
      <c r="E284" s="467"/>
      <c r="F284" s="467"/>
      <c r="G284" s="467"/>
      <c r="H284" s="467"/>
      <c r="I284" s="467"/>
      <c r="J284" s="467"/>
      <c r="K284" s="467"/>
      <c r="L284" s="467"/>
      <c r="M284" s="467"/>
      <c r="N284" s="467"/>
      <c r="O284" s="467"/>
      <c r="P284" s="467"/>
      <c r="Q284" s="467"/>
      <c r="R284" s="467"/>
      <c r="S284" s="467"/>
      <c r="T284" s="467"/>
      <c r="U284" s="467"/>
      <c r="V284" s="467"/>
      <c r="W284" s="467"/>
      <c r="X284" s="467"/>
      <c r="Y284" s="467"/>
      <c r="Z284" s="467"/>
      <c r="AA284" s="467"/>
      <c r="AB284" s="467"/>
      <c r="AC284" s="467"/>
      <c r="AD284" s="467"/>
      <c r="AE284" s="467"/>
      <c r="AF284" s="467"/>
      <c r="AG284" s="467"/>
      <c r="AH284" s="467"/>
      <c r="AI284" s="467"/>
      <c r="AJ284" s="467"/>
      <c r="AK284" s="467"/>
      <c r="AL284" s="467"/>
      <c r="AM284" s="467"/>
      <c r="AN284" s="467"/>
      <c r="AO284" s="467"/>
      <c r="AP284" s="467"/>
      <c r="AQ284" s="467"/>
      <c r="AR284" s="467"/>
      <c r="AS284" s="467"/>
      <c r="AT284" s="467"/>
      <c r="AU284" s="467"/>
      <c r="AV284" s="467"/>
      <c r="AW284" s="467"/>
      <c r="AX284" s="467"/>
      <c r="AY284" s="467"/>
      <c r="AZ284" s="467"/>
      <c r="BA284" s="467"/>
      <c r="BB284" s="467"/>
      <c r="BC284" s="467"/>
      <c r="BD284" s="467"/>
      <c r="BE284" s="467"/>
      <c r="BF284" s="467"/>
      <c r="BG284" s="467"/>
      <c r="BH284" s="467"/>
      <c r="BI284" s="467"/>
      <c r="BJ284" s="467"/>
      <c r="BK284" s="467"/>
      <c r="BL284" s="467"/>
    </row>
    <row r="285" customFormat="false" ht="12.75" hidden="false" customHeight="false" outlineLevel="0" collapsed="false">
      <c r="A285" s="464" t="n">
        <f aca="false">EOMONTH(A284,0)+1</f>
        <v>45047</v>
      </c>
      <c r="B285" s="467" t="n">
        <v>0.072115910403252</v>
      </c>
      <c r="C285" s="467" t="n">
        <v>4.84</v>
      </c>
      <c r="D285" s="467"/>
      <c r="E285" s="467"/>
      <c r="F285" s="467"/>
      <c r="G285" s="467"/>
      <c r="H285" s="467"/>
      <c r="I285" s="467"/>
      <c r="J285" s="467"/>
      <c r="K285" s="467"/>
      <c r="L285" s="467"/>
      <c r="M285" s="467"/>
      <c r="N285" s="467"/>
      <c r="O285" s="467"/>
      <c r="P285" s="467"/>
      <c r="Q285" s="467"/>
      <c r="R285" s="467"/>
      <c r="S285" s="467"/>
      <c r="T285" s="467"/>
      <c r="U285" s="467"/>
      <c r="V285" s="467"/>
      <c r="W285" s="467"/>
      <c r="X285" s="467"/>
      <c r="Y285" s="467"/>
      <c r="Z285" s="467"/>
      <c r="AA285" s="467"/>
      <c r="AB285" s="467"/>
      <c r="AC285" s="467"/>
      <c r="AD285" s="467"/>
      <c r="AE285" s="467"/>
      <c r="AF285" s="467"/>
      <c r="AG285" s="467"/>
      <c r="AH285" s="467"/>
      <c r="AI285" s="467"/>
      <c r="AJ285" s="467"/>
      <c r="AK285" s="467"/>
      <c r="AL285" s="467"/>
      <c r="AM285" s="467"/>
      <c r="AN285" s="467"/>
      <c r="AO285" s="467"/>
      <c r="AP285" s="467"/>
      <c r="AQ285" s="467"/>
      <c r="AR285" s="467"/>
      <c r="AS285" s="467"/>
      <c r="AT285" s="467"/>
      <c r="AU285" s="467"/>
      <c r="AV285" s="467"/>
      <c r="AW285" s="467"/>
      <c r="AX285" s="467"/>
      <c r="AY285" s="467"/>
      <c r="AZ285" s="467"/>
      <c r="BA285" s="467"/>
      <c r="BB285" s="467"/>
      <c r="BC285" s="467"/>
      <c r="BD285" s="467"/>
      <c r="BE285" s="467"/>
      <c r="BF285" s="467"/>
      <c r="BG285" s="467"/>
      <c r="BH285" s="467"/>
      <c r="BI285" s="467"/>
      <c r="BJ285" s="467"/>
      <c r="BK285" s="467"/>
      <c r="BL285" s="467"/>
    </row>
    <row r="286" customFormat="false" ht="12.75" hidden="false" customHeight="false" outlineLevel="0" collapsed="false">
      <c r="A286" s="464" t="n">
        <f aca="false">EOMONTH(A285,0)+1</f>
        <v>45078</v>
      </c>
      <c r="B286" s="467" t="n">
        <v>0.072111728599146</v>
      </c>
      <c r="C286" s="467" t="n">
        <v>4.89</v>
      </c>
      <c r="D286" s="467"/>
      <c r="E286" s="467"/>
      <c r="F286" s="467"/>
      <c r="G286" s="467"/>
      <c r="H286" s="467"/>
      <c r="I286" s="467"/>
      <c r="J286" s="467"/>
      <c r="K286" s="467"/>
      <c r="L286" s="467"/>
      <c r="M286" s="467"/>
      <c r="N286" s="467"/>
      <c r="O286" s="467"/>
      <c r="P286" s="467"/>
      <c r="Q286" s="467"/>
      <c r="R286" s="467"/>
      <c r="S286" s="467"/>
      <c r="T286" s="467"/>
      <c r="U286" s="467"/>
      <c r="V286" s="467"/>
      <c r="W286" s="467"/>
      <c r="X286" s="467"/>
      <c r="Y286" s="467"/>
      <c r="Z286" s="467"/>
      <c r="AA286" s="467"/>
      <c r="AB286" s="467"/>
      <c r="AC286" s="467"/>
      <c r="AD286" s="467"/>
      <c r="AE286" s="467"/>
      <c r="AF286" s="467"/>
      <c r="AG286" s="467"/>
      <c r="AH286" s="467"/>
      <c r="AI286" s="467"/>
      <c r="AJ286" s="467"/>
      <c r="AK286" s="467"/>
      <c r="AL286" s="467"/>
      <c r="AM286" s="467"/>
      <c r="AN286" s="467"/>
      <c r="AO286" s="467"/>
      <c r="AP286" s="467"/>
      <c r="AQ286" s="467"/>
      <c r="AR286" s="467"/>
      <c r="AS286" s="467"/>
      <c r="AT286" s="467"/>
      <c r="AU286" s="467"/>
      <c r="AV286" s="467"/>
      <c r="AW286" s="467"/>
      <c r="AX286" s="467"/>
      <c r="AY286" s="467"/>
      <c r="AZ286" s="467"/>
      <c r="BA286" s="467"/>
      <c r="BB286" s="467"/>
      <c r="BC286" s="467"/>
      <c r="BD286" s="467"/>
      <c r="BE286" s="467"/>
      <c r="BF286" s="467"/>
      <c r="BG286" s="467"/>
      <c r="BH286" s="467"/>
      <c r="BI286" s="467"/>
      <c r="BJ286" s="467"/>
      <c r="BK286" s="467"/>
      <c r="BL286" s="467"/>
    </row>
    <row r="287" customFormat="false" ht="12.75" hidden="false" customHeight="false" outlineLevel="0" collapsed="false">
      <c r="A287" s="464" t="n">
        <f aca="false">EOMONTH(A286,0)+1</f>
        <v>45108</v>
      </c>
      <c r="B287" s="467" t="n">
        <v>0.072107681691953</v>
      </c>
      <c r="C287" s="467" t="n">
        <v>4.89</v>
      </c>
      <c r="D287" s="467"/>
      <c r="E287" s="467"/>
      <c r="F287" s="467"/>
      <c r="G287" s="467"/>
      <c r="H287" s="467"/>
      <c r="I287" s="467"/>
      <c r="J287" s="467"/>
      <c r="K287" s="467"/>
      <c r="L287" s="467"/>
      <c r="M287" s="467"/>
      <c r="N287" s="467"/>
      <c r="O287" s="467"/>
      <c r="P287" s="467"/>
      <c r="Q287" s="467"/>
      <c r="R287" s="467"/>
      <c r="S287" s="467"/>
      <c r="T287" s="467"/>
      <c r="U287" s="467"/>
      <c r="V287" s="467"/>
      <c r="W287" s="467"/>
      <c r="X287" s="467"/>
      <c r="Y287" s="467"/>
      <c r="Z287" s="467"/>
      <c r="AA287" s="467"/>
      <c r="AB287" s="467"/>
      <c r="AC287" s="467"/>
      <c r="AD287" s="467"/>
      <c r="AE287" s="467"/>
      <c r="AF287" s="467"/>
      <c r="AG287" s="467"/>
      <c r="AH287" s="467"/>
      <c r="AI287" s="467"/>
      <c r="AJ287" s="467"/>
      <c r="AK287" s="467"/>
      <c r="AL287" s="467"/>
      <c r="AM287" s="467"/>
      <c r="AN287" s="467"/>
      <c r="AO287" s="467"/>
      <c r="AP287" s="467"/>
      <c r="AQ287" s="467"/>
      <c r="AR287" s="467"/>
      <c r="AS287" s="467"/>
      <c r="AT287" s="467"/>
      <c r="AU287" s="467"/>
      <c r="AV287" s="467"/>
      <c r="AW287" s="467"/>
      <c r="AX287" s="467"/>
      <c r="AY287" s="467"/>
      <c r="AZ287" s="467"/>
      <c r="BA287" s="467"/>
      <c r="BB287" s="467"/>
      <c r="BC287" s="467"/>
      <c r="BD287" s="467"/>
      <c r="BE287" s="467"/>
      <c r="BF287" s="467"/>
      <c r="BG287" s="467"/>
      <c r="BH287" s="467"/>
      <c r="BI287" s="467"/>
      <c r="BJ287" s="467"/>
      <c r="BK287" s="467"/>
      <c r="BL287" s="467"/>
    </row>
    <row r="288" customFormat="false" ht="12.75" hidden="false" customHeight="false" outlineLevel="0" collapsed="false">
      <c r="A288" s="464" t="n">
        <f aca="false">EOMONTH(A287,0)+1</f>
        <v>45139</v>
      </c>
      <c r="B288" s="467" t="n">
        <v>0.072103499887858</v>
      </c>
      <c r="C288" s="467" t="n">
        <v>4.95</v>
      </c>
      <c r="D288" s="467"/>
      <c r="E288" s="467"/>
      <c r="F288" s="467"/>
      <c r="G288" s="467"/>
      <c r="H288" s="467"/>
      <c r="I288" s="467"/>
      <c r="J288" s="467"/>
      <c r="K288" s="467"/>
      <c r="L288" s="467"/>
      <c r="M288" s="467"/>
      <c r="N288" s="467"/>
      <c r="O288" s="467"/>
      <c r="P288" s="467"/>
      <c r="Q288" s="467"/>
      <c r="R288" s="467"/>
      <c r="S288" s="467"/>
      <c r="T288" s="467"/>
      <c r="U288" s="467"/>
      <c r="V288" s="467"/>
      <c r="W288" s="467"/>
      <c r="X288" s="467"/>
      <c r="Y288" s="467"/>
      <c r="Z288" s="467"/>
      <c r="AA288" s="467"/>
      <c r="AB288" s="467"/>
      <c r="AC288" s="467"/>
      <c r="AD288" s="467"/>
      <c r="AE288" s="467"/>
      <c r="AF288" s="467"/>
      <c r="AG288" s="467"/>
      <c r="AH288" s="467"/>
      <c r="AI288" s="467"/>
      <c r="AJ288" s="467"/>
      <c r="AK288" s="467"/>
      <c r="AL288" s="467"/>
      <c r="AM288" s="467"/>
      <c r="AN288" s="467"/>
      <c r="AO288" s="467"/>
      <c r="AP288" s="467"/>
      <c r="AQ288" s="467"/>
      <c r="AR288" s="467"/>
      <c r="AS288" s="467"/>
      <c r="AT288" s="467"/>
      <c r="AU288" s="467"/>
      <c r="AV288" s="467"/>
      <c r="AW288" s="467"/>
      <c r="AX288" s="467"/>
      <c r="AY288" s="467"/>
      <c r="AZ288" s="467"/>
      <c r="BA288" s="467"/>
      <c r="BB288" s="467"/>
      <c r="BC288" s="467"/>
      <c r="BD288" s="467"/>
      <c r="BE288" s="467"/>
      <c r="BF288" s="467"/>
      <c r="BG288" s="467"/>
      <c r="BH288" s="467"/>
      <c r="BI288" s="467"/>
      <c r="BJ288" s="467"/>
      <c r="BK288" s="467"/>
      <c r="BL288" s="467"/>
    </row>
    <row r="289" customFormat="false" ht="12.75" hidden="false" customHeight="false" outlineLevel="0" collapsed="false">
      <c r="A289" s="464" t="n">
        <f aca="false">EOMONTH(A288,0)+1</f>
        <v>45170</v>
      </c>
      <c r="B289" s="467" t="n">
        <v>0.07209931808377</v>
      </c>
      <c r="C289" s="467" t="n">
        <v>4.92</v>
      </c>
      <c r="D289" s="467"/>
      <c r="E289" s="467"/>
      <c r="F289" s="467"/>
      <c r="G289" s="467"/>
      <c r="H289" s="467"/>
      <c r="I289" s="467"/>
      <c r="J289" s="467"/>
      <c r="K289" s="467"/>
      <c r="L289" s="467"/>
      <c r="M289" s="467"/>
      <c r="N289" s="467"/>
      <c r="O289" s="467"/>
      <c r="P289" s="467"/>
      <c r="Q289" s="467"/>
      <c r="R289" s="467"/>
      <c r="S289" s="467"/>
      <c r="T289" s="467"/>
      <c r="U289" s="467"/>
      <c r="V289" s="467"/>
      <c r="W289" s="467"/>
      <c r="X289" s="467"/>
      <c r="Y289" s="467"/>
      <c r="Z289" s="467"/>
      <c r="AA289" s="467"/>
      <c r="AB289" s="467"/>
      <c r="AC289" s="467"/>
      <c r="AD289" s="467"/>
      <c r="AE289" s="467"/>
      <c r="AF289" s="467"/>
      <c r="AG289" s="467"/>
      <c r="AH289" s="467"/>
      <c r="AI289" s="467"/>
      <c r="AJ289" s="467"/>
      <c r="AK289" s="467"/>
      <c r="AL289" s="467"/>
      <c r="AM289" s="467"/>
      <c r="AN289" s="467"/>
      <c r="AO289" s="467"/>
      <c r="AP289" s="467"/>
      <c r="AQ289" s="467"/>
      <c r="AR289" s="467"/>
      <c r="AS289" s="467"/>
      <c r="AT289" s="467"/>
      <c r="AU289" s="467"/>
      <c r="AV289" s="467"/>
      <c r="AW289" s="467"/>
      <c r="AX289" s="467"/>
      <c r="AY289" s="467"/>
      <c r="AZ289" s="467"/>
      <c r="BA289" s="467"/>
      <c r="BB289" s="467"/>
      <c r="BC289" s="467"/>
      <c r="BD289" s="467"/>
      <c r="BE289" s="467"/>
      <c r="BF289" s="467"/>
      <c r="BG289" s="467"/>
      <c r="BH289" s="467"/>
      <c r="BI289" s="467"/>
      <c r="BJ289" s="467"/>
      <c r="BK289" s="467"/>
      <c r="BL289" s="467"/>
    </row>
    <row r="290" customFormat="false" ht="12.75" hidden="false" customHeight="false" outlineLevel="0" collapsed="false">
      <c r="A290" s="464" t="n">
        <f aca="false">EOMONTH(A289,0)+1</f>
        <v>45200</v>
      </c>
      <c r="B290" s="467" t="n">
        <v>0.072095271176593</v>
      </c>
      <c r="C290" s="467" t="n">
        <v>4.92</v>
      </c>
      <c r="D290" s="467"/>
      <c r="E290" s="467"/>
      <c r="F290" s="467"/>
      <c r="G290" s="467"/>
      <c r="H290" s="467"/>
      <c r="I290" s="467"/>
      <c r="J290" s="467"/>
      <c r="K290" s="467"/>
      <c r="L290" s="467"/>
      <c r="M290" s="467"/>
      <c r="N290" s="467"/>
      <c r="O290" s="467"/>
      <c r="P290" s="467"/>
      <c r="Q290" s="467"/>
      <c r="R290" s="467"/>
      <c r="S290" s="467"/>
      <c r="T290" s="467"/>
      <c r="U290" s="467"/>
      <c r="V290" s="467"/>
      <c r="W290" s="467"/>
      <c r="X290" s="467"/>
      <c r="Y290" s="467"/>
      <c r="Z290" s="467"/>
      <c r="AA290" s="467"/>
      <c r="AB290" s="467"/>
      <c r="AC290" s="467"/>
      <c r="AD290" s="467"/>
      <c r="AE290" s="467"/>
      <c r="AF290" s="467"/>
      <c r="AG290" s="467"/>
      <c r="AH290" s="467"/>
      <c r="AI290" s="467"/>
      <c r="AJ290" s="467"/>
      <c r="AK290" s="467"/>
      <c r="AL290" s="467"/>
      <c r="AM290" s="467"/>
      <c r="AN290" s="467"/>
      <c r="AO290" s="467"/>
      <c r="AP290" s="467"/>
      <c r="AQ290" s="467"/>
      <c r="AR290" s="467"/>
      <c r="AS290" s="467"/>
      <c r="AT290" s="467"/>
      <c r="AU290" s="467"/>
      <c r="AV290" s="467"/>
      <c r="AW290" s="467"/>
      <c r="AX290" s="467"/>
      <c r="AY290" s="467"/>
      <c r="AZ290" s="467"/>
      <c r="BA290" s="467"/>
      <c r="BB290" s="467"/>
      <c r="BC290" s="467"/>
      <c r="BD290" s="467"/>
      <c r="BE290" s="467"/>
      <c r="BF290" s="467"/>
      <c r="BG290" s="467"/>
      <c r="BH290" s="467"/>
      <c r="BI290" s="467"/>
      <c r="BJ290" s="467"/>
      <c r="BK290" s="467"/>
      <c r="BL290" s="467"/>
    </row>
    <row r="291" customFormat="false" ht="12.75" hidden="false" customHeight="false" outlineLevel="0" collapsed="false">
      <c r="A291" s="464" t="n">
        <f aca="false">EOMONTH(A290,0)+1</f>
        <v>45231</v>
      </c>
      <c r="B291" s="467" t="n">
        <v>0.072091089372516</v>
      </c>
      <c r="C291" s="467" t="n">
        <v>4.929</v>
      </c>
      <c r="D291" s="467"/>
      <c r="E291" s="467"/>
      <c r="F291" s="467"/>
      <c r="G291" s="467"/>
      <c r="H291" s="467"/>
      <c r="I291" s="467"/>
      <c r="J291" s="467"/>
      <c r="K291" s="467"/>
      <c r="L291" s="467"/>
      <c r="M291" s="467"/>
      <c r="N291" s="467"/>
      <c r="O291" s="467"/>
      <c r="P291" s="467"/>
      <c r="Q291" s="467"/>
      <c r="R291" s="467"/>
      <c r="S291" s="467"/>
      <c r="T291" s="467"/>
      <c r="U291" s="467"/>
      <c r="V291" s="467"/>
      <c r="W291" s="467"/>
      <c r="X291" s="467"/>
      <c r="Y291" s="467"/>
      <c r="Z291" s="467"/>
      <c r="AA291" s="467"/>
      <c r="AB291" s="467"/>
      <c r="AC291" s="467"/>
      <c r="AD291" s="467"/>
      <c r="AE291" s="467"/>
      <c r="AF291" s="467"/>
      <c r="AG291" s="467"/>
      <c r="AH291" s="467"/>
      <c r="AI291" s="467"/>
      <c r="AJ291" s="467"/>
      <c r="AK291" s="467"/>
      <c r="AL291" s="467"/>
      <c r="AM291" s="467"/>
      <c r="AN291" s="467"/>
      <c r="AO291" s="467"/>
      <c r="AP291" s="467"/>
      <c r="AQ291" s="467"/>
      <c r="AR291" s="467"/>
      <c r="AS291" s="467"/>
      <c r="AT291" s="467"/>
      <c r="AU291" s="467"/>
      <c r="AV291" s="467"/>
      <c r="AW291" s="467"/>
      <c r="AX291" s="467"/>
      <c r="AY291" s="467"/>
      <c r="AZ291" s="467"/>
      <c r="BA291" s="467"/>
      <c r="BB291" s="467"/>
      <c r="BC291" s="467"/>
      <c r="BD291" s="467"/>
      <c r="BE291" s="467"/>
      <c r="BF291" s="467"/>
      <c r="BG291" s="467"/>
      <c r="BH291" s="467"/>
      <c r="BI291" s="467"/>
      <c r="BJ291" s="467"/>
      <c r="BK291" s="467"/>
      <c r="BL291" s="467"/>
    </row>
    <row r="292" customFormat="false" ht="12.75" hidden="false" customHeight="false" outlineLevel="0" collapsed="false">
      <c r="A292" s="464" t="n">
        <f aca="false">EOMONTH(A291,0)+1</f>
        <v>45261</v>
      </c>
      <c r="B292" s="467" t="n">
        <v>0.07208704246535</v>
      </c>
      <c r="C292" s="467" t="n">
        <v>4.974</v>
      </c>
      <c r="D292" s="467"/>
      <c r="E292" s="467"/>
      <c r="F292" s="467"/>
      <c r="G292" s="467"/>
      <c r="H292" s="467"/>
      <c r="I292" s="467"/>
      <c r="J292" s="467"/>
      <c r="K292" s="467"/>
      <c r="L292" s="467"/>
      <c r="M292" s="467"/>
      <c r="N292" s="467"/>
      <c r="O292" s="467"/>
      <c r="P292" s="467"/>
      <c r="Q292" s="467"/>
      <c r="R292" s="467"/>
      <c r="S292" s="467"/>
      <c r="T292" s="467"/>
      <c r="U292" s="467"/>
      <c r="V292" s="467"/>
      <c r="W292" s="467"/>
      <c r="X292" s="467"/>
      <c r="Y292" s="467"/>
      <c r="Z292" s="467"/>
      <c r="AA292" s="467"/>
      <c r="AB292" s="467"/>
      <c r="AC292" s="467"/>
      <c r="AD292" s="467"/>
      <c r="AE292" s="467"/>
      <c r="AF292" s="467"/>
      <c r="AG292" s="467"/>
      <c r="AH292" s="467"/>
      <c r="AI292" s="467"/>
      <c r="AJ292" s="467"/>
      <c r="AK292" s="467"/>
      <c r="AL292" s="467"/>
      <c r="AM292" s="467"/>
      <c r="AN292" s="467"/>
      <c r="AO292" s="467"/>
      <c r="AP292" s="467"/>
      <c r="AQ292" s="467"/>
      <c r="AR292" s="467"/>
      <c r="AS292" s="467"/>
      <c r="AT292" s="467"/>
      <c r="AU292" s="467"/>
      <c r="AV292" s="467"/>
      <c r="AW292" s="467"/>
      <c r="AX292" s="467"/>
      <c r="AY292" s="467"/>
      <c r="AZ292" s="467"/>
      <c r="BA292" s="467"/>
      <c r="BB292" s="467"/>
      <c r="BC292" s="467"/>
      <c r="BD292" s="467"/>
      <c r="BE292" s="467"/>
      <c r="BF292" s="467"/>
      <c r="BG292" s="467"/>
      <c r="BH292" s="467"/>
      <c r="BI292" s="467"/>
      <c r="BJ292" s="467"/>
      <c r="BK292" s="467"/>
      <c r="BL292" s="467"/>
    </row>
    <row r="293" customFormat="false" ht="12.75" hidden="false" customHeight="false" outlineLevel="0" collapsed="false">
      <c r="A293" s="464" t="n">
        <f aca="false">EOMONTH(A292,0)+1</f>
        <v>45292</v>
      </c>
      <c r="B293" s="467" t="n">
        <v>0.072082860661284</v>
      </c>
      <c r="C293" s="467" t="n">
        <v>5.192</v>
      </c>
      <c r="D293" s="467"/>
      <c r="E293" s="467"/>
      <c r="F293" s="467"/>
      <c r="G293" s="467"/>
      <c r="H293" s="467"/>
      <c r="I293" s="467"/>
      <c r="J293" s="467"/>
      <c r="K293" s="467"/>
      <c r="L293" s="467"/>
      <c r="M293" s="467"/>
      <c r="N293" s="467"/>
      <c r="O293" s="467"/>
      <c r="P293" s="467"/>
      <c r="Q293" s="467"/>
      <c r="R293" s="467"/>
      <c r="S293" s="467"/>
      <c r="T293" s="467"/>
      <c r="U293" s="467"/>
      <c r="V293" s="467"/>
      <c r="W293" s="467"/>
      <c r="X293" s="467"/>
      <c r="Y293" s="467"/>
      <c r="Z293" s="467"/>
      <c r="AA293" s="467"/>
      <c r="AB293" s="467"/>
      <c r="AC293" s="467"/>
      <c r="AD293" s="467"/>
      <c r="AE293" s="467"/>
      <c r="AF293" s="467"/>
      <c r="AG293" s="467"/>
      <c r="AH293" s="467"/>
      <c r="AI293" s="467"/>
      <c r="AJ293" s="467"/>
      <c r="AK293" s="467"/>
      <c r="AL293" s="467"/>
      <c r="AM293" s="467"/>
      <c r="AN293" s="467"/>
      <c r="AO293" s="467"/>
      <c r="AP293" s="467"/>
      <c r="AQ293" s="467"/>
      <c r="AR293" s="467"/>
      <c r="AS293" s="467"/>
      <c r="AT293" s="467"/>
      <c r="AU293" s="467"/>
      <c r="AV293" s="467"/>
      <c r="AW293" s="467"/>
      <c r="AX293" s="467"/>
      <c r="AY293" s="467"/>
      <c r="AZ293" s="467"/>
      <c r="BA293" s="467"/>
      <c r="BB293" s="467"/>
      <c r="BC293" s="467"/>
      <c r="BD293" s="467"/>
      <c r="BE293" s="467"/>
      <c r="BF293" s="467"/>
      <c r="BG293" s="467"/>
      <c r="BH293" s="467"/>
      <c r="BI293" s="467"/>
      <c r="BJ293" s="467"/>
      <c r="BK293" s="467"/>
      <c r="BL293" s="467"/>
    </row>
    <row r="294" customFormat="false" ht="12.75" hidden="false" customHeight="false" outlineLevel="0" collapsed="false">
      <c r="A294" s="464" t="n">
        <f aca="false">EOMONTH(A293,0)+1</f>
        <v>45323</v>
      </c>
      <c r="B294" s="467" t="n">
        <v>0.072078678857224</v>
      </c>
      <c r="C294" s="467" t="n">
        <v>5.146</v>
      </c>
      <c r="D294" s="467"/>
      <c r="E294" s="467"/>
      <c r="F294" s="467"/>
      <c r="G294" s="467"/>
      <c r="H294" s="467"/>
      <c r="I294" s="467"/>
      <c r="J294" s="467"/>
      <c r="K294" s="467"/>
      <c r="L294" s="467"/>
      <c r="M294" s="467"/>
      <c r="N294" s="467"/>
      <c r="O294" s="467"/>
      <c r="P294" s="467"/>
      <c r="Q294" s="467"/>
      <c r="R294" s="467"/>
      <c r="S294" s="467"/>
      <c r="T294" s="467"/>
      <c r="U294" s="467"/>
      <c r="V294" s="467"/>
      <c r="W294" s="467"/>
      <c r="X294" s="467"/>
      <c r="Y294" s="467"/>
      <c r="Z294" s="467"/>
      <c r="AA294" s="467"/>
      <c r="AB294" s="467"/>
      <c r="AC294" s="467"/>
      <c r="AD294" s="467"/>
      <c r="AE294" s="467"/>
      <c r="AF294" s="467"/>
      <c r="AG294" s="467"/>
      <c r="AH294" s="467"/>
      <c r="AI294" s="467"/>
      <c r="AJ294" s="467"/>
      <c r="AK294" s="467"/>
      <c r="AL294" s="467"/>
      <c r="AM294" s="467"/>
      <c r="AN294" s="467"/>
      <c r="AO294" s="467"/>
      <c r="AP294" s="467"/>
      <c r="AQ294" s="467"/>
      <c r="AR294" s="467"/>
      <c r="AS294" s="467"/>
      <c r="AT294" s="467"/>
      <c r="AU294" s="467"/>
      <c r="AV294" s="467"/>
      <c r="AW294" s="467"/>
      <c r="AX294" s="467"/>
      <c r="AY294" s="467"/>
      <c r="AZ294" s="467"/>
      <c r="BA294" s="467"/>
      <c r="BB294" s="467"/>
      <c r="BC294" s="467"/>
      <c r="BD294" s="467"/>
      <c r="BE294" s="467"/>
      <c r="BF294" s="467"/>
      <c r="BG294" s="467"/>
      <c r="BH294" s="467"/>
      <c r="BI294" s="467"/>
      <c r="BJ294" s="467"/>
      <c r="BK294" s="467"/>
      <c r="BL294" s="467"/>
    </row>
    <row r="295" customFormat="false" ht="12.75" hidden="false" customHeight="false" outlineLevel="0" collapsed="false">
      <c r="A295" s="464" t="n">
        <f aca="false">EOMONTH(A294,0)+1</f>
        <v>45352</v>
      </c>
      <c r="B295" s="467" t="n">
        <v>0.072074766846979</v>
      </c>
      <c r="C295" s="467" t="n">
        <v>5.069</v>
      </c>
      <c r="D295" s="467"/>
      <c r="E295" s="467"/>
      <c r="F295" s="467"/>
      <c r="G295" s="467"/>
      <c r="H295" s="467"/>
      <c r="I295" s="467"/>
      <c r="J295" s="467"/>
      <c r="K295" s="467"/>
      <c r="L295" s="467"/>
      <c r="M295" s="467"/>
      <c r="N295" s="467"/>
      <c r="O295" s="467"/>
      <c r="P295" s="467"/>
      <c r="Q295" s="467"/>
      <c r="R295" s="467"/>
      <c r="S295" s="467"/>
      <c r="T295" s="467"/>
      <c r="U295" s="467"/>
      <c r="V295" s="467"/>
      <c r="W295" s="467"/>
      <c r="X295" s="467"/>
      <c r="Y295" s="467"/>
      <c r="Z295" s="467"/>
      <c r="AA295" s="467"/>
      <c r="AB295" s="467"/>
      <c r="AC295" s="467"/>
      <c r="AD295" s="467"/>
      <c r="AE295" s="467"/>
      <c r="AF295" s="467"/>
      <c r="AG295" s="467"/>
      <c r="AH295" s="467"/>
      <c r="AI295" s="467"/>
      <c r="AJ295" s="467"/>
      <c r="AK295" s="467"/>
      <c r="AL295" s="467"/>
      <c r="AM295" s="467"/>
      <c r="AN295" s="467"/>
      <c r="AO295" s="467"/>
      <c r="AP295" s="467"/>
      <c r="AQ295" s="467"/>
      <c r="AR295" s="467"/>
      <c r="AS295" s="467"/>
      <c r="AT295" s="467"/>
      <c r="AU295" s="467"/>
      <c r="AV295" s="467"/>
      <c r="AW295" s="467"/>
      <c r="AX295" s="467"/>
      <c r="AY295" s="467"/>
      <c r="AZ295" s="467"/>
      <c r="BA295" s="467"/>
      <c r="BB295" s="467"/>
      <c r="BC295" s="467"/>
      <c r="BD295" s="467"/>
      <c r="BE295" s="467"/>
      <c r="BF295" s="467"/>
      <c r="BG295" s="467"/>
      <c r="BH295" s="467"/>
      <c r="BI295" s="467"/>
      <c r="BJ295" s="467"/>
      <c r="BK295" s="467"/>
      <c r="BL295" s="467"/>
    </row>
    <row r="296" customFormat="false" ht="12.75" hidden="false" customHeight="false" outlineLevel="0" collapsed="false">
      <c r="A296" s="464" t="n">
        <f aca="false">EOMONTH(A295,0)+1</f>
        <v>45383</v>
      </c>
      <c r="B296" s="467" t="n">
        <v>0.072070585042931</v>
      </c>
      <c r="C296" s="467" t="n">
        <v>4.992</v>
      </c>
      <c r="D296" s="467"/>
      <c r="E296" s="467"/>
      <c r="F296" s="467"/>
      <c r="G296" s="467"/>
      <c r="H296" s="467"/>
      <c r="I296" s="467"/>
      <c r="J296" s="467"/>
      <c r="K296" s="467"/>
      <c r="L296" s="467"/>
      <c r="M296" s="467"/>
      <c r="N296" s="467"/>
      <c r="O296" s="467"/>
      <c r="P296" s="467"/>
      <c r="Q296" s="467"/>
      <c r="R296" s="467"/>
      <c r="S296" s="467"/>
      <c r="T296" s="467"/>
      <c r="U296" s="467"/>
      <c r="V296" s="467"/>
      <c r="W296" s="467"/>
      <c r="X296" s="467"/>
      <c r="Y296" s="467"/>
      <c r="Z296" s="467"/>
      <c r="AA296" s="467"/>
      <c r="AB296" s="467"/>
      <c r="AC296" s="467"/>
      <c r="AD296" s="467"/>
      <c r="AE296" s="467"/>
      <c r="AF296" s="467"/>
      <c r="AG296" s="467"/>
      <c r="AH296" s="467"/>
      <c r="AI296" s="467"/>
      <c r="AJ296" s="467"/>
      <c r="AK296" s="467"/>
      <c r="AL296" s="467"/>
      <c r="AM296" s="467"/>
      <c r="AN296" s="467"/>
      <c r="AO296" s="467"/>
      <c r="AP296" s="467"/>
      <c r="AQ296" s="467"/>
      <c r="AR296" s="467"/>
      <c r="AS296" s="467"/>
      <c r="AT296" s="467"/>
      <c r="AU296" s="467"/>
      <c r="AV296" s="467"/>
      <c r="AW296" s="467"/>
      <c r="AX296" s="467"/>
      <c r="AY296" s="467"/>
      <c r="AZ296" s="467"/>
      <c r="BA296" s="467"/>
      <c r="BB296" s="467"/>
      <c r="BC296" s="467"/>
      <c r="BD296" s="467"/>
      <c r="BE296" s="467"/>
      <c r="BF296" s="467"/>
      <c r="BG296" s="467"/>
      <c r="BH296" s="467"/>
      <c r="BI296" s="467"/>
      <c r="BJ296" s="467"/>
      <c r="BK296" s="467"/>
      <c r="BL296" s="467"/>
    </row>
    <row r="297" customFormat="false" ht="12.75" hidden="false" customHeight="false" outlineLevel="0" collapsed="false">
      <c r="A297" s="464" t="n">
        <f aca="false">EOMONTH(A296,0)+1</f>
        <v>45413</v>
      </c>
      <c r="B297" s="467" t="n">
        <v>0.072066538135792</v>
      </c>
      <c r="C297" s="467" t="n">
        <v>4.998</v>
      </c>
      <c r="D297" s="467"/>
      <c r="E297" s="467"/>
      <c r="F297" s="467"/>
      <c r="G297" s="467"/>
      <c r="H297" s="467"/>
      <c r="I297" s="467"/>
      <c r="J297" s="467"/>
      <c r="K297" s="467"/>
      <c r="L297" s="467"/>
      <c r="M297" s="467"/>
      <c r="N297" s="467"/>
      <c r="O297" s="467"/>
      <c r="P297" s="467"/>
      <c r="Q297" s="467"/>
      <c r="R297" s="467"/>
      <c r="S297" s="467"/>
      <c r="T297" s="467"/>
      <c r="U297" s="467"/>
      <c r="V297" s="467"/>
      <c r="W297" s="467"/>
      <c r="X297" s="467"/>
      <c r="Y297" s="467"/>
      <c r="Z297" s="467"/>
      <c r="AA297" s="467"/>
      <c r="AB297" s="467"/>
      <c r="AC297" s="467"/>
      <c r="AD297" s="467"/>
      <c r="AE297" s="467"/>
      <c r="AF297" s="467"/>
      <c r="AG297" s="467"/>
      <c r="AH297" s="467"/>
      <c r="AI297" s="467"/>
      <c r="AJ297" s="467"/>
      <c r="AK297" s="467"/>
      <c r="AL297" s="467"/>
      <c r="AM297" s="467"/>
      <c r="AN297" s="467"/>
      <c r="AO297" s="467"/>
      <c r="AP297" s="467"/>
      <c r="AQ297" s="467"/>
      <c r="AR297" s="467"/>
      <c r="AS297" s="467"/>
      <c r="AT297" s="467"/>
      <c r="AU297" s="467"/>
      <c r="AV297" s="467"/>
      <c r="AW297" s="467"/>
      <c r="AX297" s="467"/>
      <c r="AY297" s="467"/>
      <c r="AZ297" s="467"/>
      <c r="BA297" s="467"/>
      <c r="BB297" s="467"/>
      <c r="BC297" s="467"/>
      <c r="BD297" s="467"/>
      <c r="BE297" s="467"/>
      <c r="BF297" s="467"/>
      <c r="BG297" s="467"/>
      <c r="BH297" s="467"/>
      <c r="BI297" s="467"/>
      <c r="BJ297" s="467"/>
      <c r="BK297" s="467"/>
      <c r="BL297" s="467"/>
    </row>
    <row r="298" customFormat="false" ht="12.75" hidden="false" customHeight="false" outlineLevel="0" collapsed="false">
      <c r="A298" s="464" t="n">
        <f aca="false">EOMONTH(A297,0)+1</f>
        <v>45444</v>
      </c>
      <c r="B298" s="467" t="n">
        <v>0.072062356331754</v>
      </c>
      <c r="C298" s="467"/>
      <c r="D298" s="467"/>
      <c r="E298" s="467"/>
      <c r="F298" s="467"/>
      <c r="G298" s="467"/>
      <c r="H298" s="467"/>
      <c r="I298" s="467"/>
      <c r="J298" s="467"/>
      <c r="K298" s="467"/>
      <c r="L298" s="467"/>
      <c r="M298" s="467"/>
      <c r="N298" s="467"/>
      <c r="O298" s="467"/>
      <c r="P298" s="467"/>
      <c r="Q298" s="467"/>
      <c r="R298" s="467"/>
      <c r="S298" s="467"/>
      <c r="T298" s="467"/>
      <c r="U298" s="467"/>
      <c r="V298" s="467"/>
      <c r="W298" s="467"/>
      <c r="X298" s="467"/>
      <c r="Y298" s="467"/>
      <c r="Z298" s="467"/>
      <c r="AA298" s="467"/>
      <c r="AB298" s="467"/>
      <c r="AC298" s="467"/>
      <c r="AD298" s="467"/>
      <c r="AE298" s="467"/>
      <c r="AF298" s="467"/>
      <c r="AG298" s="467"/>
      <c r="AH298" s="467"/>
      <c r="AI298" s="467"/>
      <c r="AJ298" s="467"/>
      <c r="AK298" s="467"/>
      <c r="AL298" s="467"/>
      <c r="AM298" s="467"/>
      <c r="AN298" s="467"/>
      <c r="AO298" s="467"/>
      <c r="AP298" s="467"/>
      <c r="AQ298" s="467"/>
      <c r="AR298" s="467"/>
      <c r="AS298" s="467"/>
      <c r="AT298" s="467"/>
      <c r="AU298" s="467"/>
      <c r="AV298" s="467"/>
      <c r="AW298" s="467"/>
      <c r="AX298" s="467"/>
      <c r="AY298" s="467"/>
      <c r="AZ298" s="467"/>
      <c r="BA298" s="467"/>
      <c r="BB298" s="467"/>
      <c r="BC298" s="467"/>
      <c r="BD298" s="467"/>
      <c r="BE298" s="467"/>
      <c r="BF298" s="467"/>
      <c r="BG298" s="467"/>
      <c r="BH298" s="467"/>
      <c r="BI298" s="467"/>
      <c r="BJ298" s="467"/>
      <c r="BK298" s="467"/>
      <c r="BL298" s="467"/>
    </row>
    <row r="299" customFormat="false" ht="12.75" hidden="false" customHeight="false" outlineLevel="0" collapsed="false">
      <c r="A299" s="464" t="n">
        <f aca="false">EOMONTH(A298,0)+1</f>
        <v>45474</v>
      </c>
      <c r="B299" s="467" t="n">
        <v>0.072058309424627</v>
      </c>
      <c r="C299" s="467"/>
      <c r="D299" s="467"/>
      <c r="E299" s="467"/>
      <c r="F299" s="467"/>
      <c r="G299" s="467"/>
      <c r="H299" s="467"/>
      <c r="I299" s="467"/>
      <c r="J299" s="467"/>
      <c r="K299" s="467"/>
      <c r="L299" s="467"/>
      <c r="M299" s="467"/>
      <c r="N299" s="467"/>
      <c r="O299" s="467"/>
      <c r="P299" s="467"/>
      <c r="Q299" s="467"/>
      <c r="R299" s="467"/>
      <c r="S299" s="467"/>
      <c r="T299" s="467"/>
      <c r="U299" s="467"/>
      <c r="V299" s="467"/>
      <c r="W299" s="467"/>
      <c r="X299" s="467"/>
      <c r="Y299" s="467"/>
      <c r="Z299" s="467"/>
      <c r="AA299" s="467"/>
      <c r="AB299" s="467"/>
      <c r="AC299" s="467"/>
      <c r="AD299" s="467"/>
      <c r="AE299" s="467"/>
      <c r="AF299" s="467"/>
      <c r="AG299" s="467"/>
      <c r="AH299" s="467"/>
      <c r="AI299" s="467"/>
      <c r="AJ299" s="467"/>
      <c r="AK299" s="467"/>
      <c r="AL299" s="467"/>
      <c r="AM299" s="467"/>
      <c r="AN299" s="467"/>
      <c r="AO299" s="467"/>
      <c r="AP299" s="467"/>
      <c r="AQ299" s="467"/>
      <c r="AR299" s="467"/>
      <c r="AS299" s="467"/>
      <c r="AT299" s="467"/>
      <c r="AU299" s="467"/>
      <c r="AV299" s="467"/>
      <c r="AW299" s="467"/>
      <c r="AX299" s="467"/>
      <c r="AY299" s="467"/>
      <c r="AZ299" s="467"/>
      <c r="BA299" s="467"/>
      <c r="BB299" s="467"/>
      <c r="BC299" s="467"/>
      <c r="BD299" s="467"/>
      <c r="BE299" s="467"/>
      <c r="BF299" s="467"/>
      <c r="BG299" s="467"/>
      <c r="BH299" s="467"/>
      <c r="BI299" s="467"/>
      <c r="BJ299" s="467"/>
      <c r="BK299" s="467"/>
      <c r="BL299" s="467"/>
    </row>
    <row r="300" customFormat="false" ht="12.75" hidden="false" customHeight="false" outlineLevel="0" collapsed="false">
      <c r="A300" s="464" t="n">
        <f aca="false">EOMONTH(A299,0)+1</f>
        <v>45505</v>
      </c>
      <c r="B300" s="467" t="n">
        <v>0.072054127620601</v>
      </c>
      <c r="C300" s="467"/>
      <c r="D300" s="467"/>
      <c r="E300" s="467"/>
      <c r="F300" s="467"/>
      <c r="G300" s="467"/>
      <c r="H300" s="467"/>
      <c r="I300" s="467"/>
      <c r="J300" s="467"/>
      <c r="K300" s="467"/>
      <c r="L300" s="467"/>
      <c r="M300" s="467"/>
      <c r="N300" s="467"/>
      <c r="O300" s="467"/>
      <c r="P300" s="467"/>
      <c r="Q300" s="467"/>
      <c r="R300" s="467"/>
      <c r="S300" s="467"/>
      <c r="T300" s="467"/>
      <c r="U300" s="467"/>
      <c r="V300" s="467"/>
      <c r="W300" s="467"/>
      <c r="X300" s="467"/>
      <c r="Y300" s="467"/>
      <c r="Z300" s="467"/>
      <c r="AA300" s="467"/>
      <c r="AB300" s="467"/>
      <c r="AC300" s="467"/>
      <c r="AD300" s="467"/>
      <c r="AE300" s="467"/>
      <c r="AF300" s="467"/>
      <c r="AG300" s="467"/>
      <c r="AH300" s="467"/>
      <c r="AI300" s="467"/>
      <c r="AJ300" s="467"/>
      <c r="AK300" s="467"/>
      <c r="AL300" s="467"/>
      <c r="AM300" s="467"/>
      <c r="AN300" s="467"/>
      <c r="AO300" s="467"/>
      <c r="AP300" s="467"/>
      <c r="AQ300" s="467"/>
      <c r="AR300" s="467"/>
      <c r="AS300" s="467"/>
      <c r="AT300" s="467"/>
      <c r="AU300" s="467"/>
      <c r="AV300" s="467"/>
      <c r="AW300" s="467"/>
      <c r="AX300" s="467"/>
      <c r="AY300" s="467"/>
      <c r="AZ300" s="467"/>
      <c r="BA300" s="467"/>
      <c r="BB300" s="467"/>
      <c r="BC300" s="467"/>
      <c r="BD300" s="467"/>
      <c r="BE300" s="467"/>
      <c r="BF300" s="467"/>
      <c r="BG300" s="467"/>
      <c r="BH300" s="467"/>
      <c r="BI300" s="467"/>
      <c r="BJ300" s="467"/>
      <c r="BK300" s="467"/>
      <c r="BL300" s="467"/>
    </row>
    <row r="301" customFormat="false" ht="12.75" hidden="false" customHeight="false" outlineLevel="0" collapsed="false">
      <c r="A301" s="464" t="n">
        <f aca="false">EOMONTH(A300,0)+1</f>
        <v>45536</v>
      </c>
      <c r="B301" s="467" t="n">
        <v>0.072049945816581</v>
      </c>
      <c r="C301" s="467"/>
      <c r="D301" s="467"/>
      <c r="E301" s="467"/>
      <c r="F301" s="467"/>
      <c r="G301" s="467"/>
      <c r="H301" s="467"/>
      <c r="I301" s="467"/>
      <c r="J301" s="467"/>
      <c r="K301" s="467"/>
      <c r="L301" s="467"/>
      <c r="M301" s="467"/>
      <c r="N301" s="467"/>
      <c r="O301" s="467"/>
      <c r="P301" s="467"/>
      <c r="Q301" s="467"/>
      <c r="R301" s="467"/>
      <c r="S301" s="467"/>
      <c r="T301" s="467"/>
      <c r="U301" s="467"/>
      <c r="V301" s="467"/>
      <c r="W301" s="467"/>
      <c r="X301" s="467"/>
      <c r="Y301" s="467"/>
      <c r="Z301" s="467"/>
      <c r="AA301" s="467"/>
      <c r="AB301" s="467"/>
      <c r="AC301" s="467"/>
      <c r="AD301" s="467"/>
      <c r="AE301" s="467"/>
      <c r="AF301" s="467"/>
      <c r="AG301" s="467"/>
      <c r="AH301" s="467"/>
      <c r="AI301" s="467"/>
      <c r="AJ301" s="467"/>
      <c r="AK301" s="467"/>
      <c r="AL301" s="467"/>
      <c r="AM301" s="467"/>
      <c r="AN301" s="467"/>
      <c r="AO301" s="467"/>
      <c r="AP301" s="467"/>
      <c r="AQ301" s="467"/>
      <c r="AR301" s="467"/>
      <c r="AS301" s="467"/>
      <c r="AT301" s="467"/>
      <c r="AU301" s="467"/>
      <c r="AV301" s="467"/>
      <c r="AW301" s="467"/>
      <c r="AX301" s="467"/>
      <c r="AY301" s="467"/>
      <c r="AZ301" s="467"/>
      <c r="BA301" s="467"/>
      <c r="BB301" s="467"/>
      <c r="BC301" s="467"/>
      <c r="BD301" s="467"/>
      <c r="BE301" s="467"/>
      <c r="BF301" s="467"/>
      <c r="BG301" s="467"/>
      <c r="BH301" s="467"/>
      <c r="BI301" s="467"/>
      <c r="BJ301" s="467"/>
      <c r="BK301" s="467"/>
      <c r="BL301" s="467"/>
    </row>
    <row r="302" customFormat="false" ht="12.75" hidden="false" customHeight="false" outlineLevel="0" collapsed="false">
      <c r="A302" s="464" t="n">
        <f aca="false">EOMONTH(A301,0)+1</f>
        <v>45566</v>
      </c>
      <c r="B302" s="467" t="n">
        <v>0.07204589890947</v>
      </c>
      <c r="C302" s="467"/>
      <c r="D302" s="467"/>
      <c r="E302" s="467"/>
      <c r="F302" s="467"/>
      <c r="G302" s="467"/>
      <c r="H302" s="467"/>
      <c r="I302" s="467"/>
      <c r="J302" s="467"/>
      <c r="K302" s="467"/>
      <c r="L302" s="467"/>
      <c r="M302" s="467"/>
      <c r="N302" s="467"/>
      <c r="O302" s="467"/>
      <c r="P302" s="467"/>
      <c r="Q302" s="467"/>
      <c r="R302" s="467"/>
      <c r="S302" s="467"/>
      <c r="T302" s="467"/>
      <c r="U302" s="467"/>
      <c r="V302" s="467"/>
      <c r="W302" s="467"/>
      <c r="X302" s="467"/>
      <c r="Y302" s="467"/>
      <c r="Z302" s="467"/>
      <c r="AA302" s="467"/>
      <c r="AB302" s="467"/>
      <c r="AC302" s="467"/>
      <c r="AD302" s="467"/>
      <c r="AE302" s="467"/>
      <c r="AF302" s="467"/>
      <c r="AG302" s="467"/>
      <c r="AH302" s="467"/>
      <c r="AI302" s="467"/>
      <c r="AJ302" s="467"/>
      <c r="AK302" s="467"/>
      <c r="AL302" s="467"/>
      <c r="AM302" s="467"/>
      <c r="AN302" s="467"/>
      <c r="AO302" s="467"/>
      <c r="AP302" s="467"/>
      <c r="AQ302" s="467"/>
      <c r="AR302" s="467"/>
      <c r="AS302" s="467"/>
      <c r="AT302" s="467"/>
      <c r="AU302" s="467"/>
      <c r="AV302" s="467"/>
      <c r="AW302" s="467"/>
      <c r="AX302" s="467"/>
      <c r="AY302" s="467"/>
      <c r="AZ302" s="467"/>
      <c r="BA302" s="467"/>
      <c r="BB302" s="467"/>
      <c r="BC302" s="467"/>
      <c r="BD302" s="467"/>
      <c r="BE302" s="467"/>
      <c r="BF302" s="467"/>
      <c r="BG302" s="467"/>
      <c r="BH302" s="467"/>
      <c r="BI302" s="467"/>
      <c r="BJ302" s="467"/>
      <c r="BK302" s="467"/>
      <c r="BL302" s="467"/>
    </row>
    <row r="303" customFormat="false" ht="12.75" hidden="false" customHeight="false" outlineLevel="0" collapsed="false">
      <c r="A303" s="464" t="n">
        <f aca="false">EOMONTH(A302,0)+1</f>
        <v>45597</v>
      </c>
      <c r="B303" s="467" t="n">
        <v>0.07204171710546</v>
      </c>
      <c r="C303" s="467"/>
      <c r="D303" s="467"/>
      <c r="E303" s="467"/>
      <c r="F303" s="467"/>
      <c r="G303" s="467"/>
      <c r="H303" s="467"/>
      <c r="I303" s="467"/>
      <c r="J303" s="467"/>
      <c r="K303" s="467"/>
      <c r="L303" s="467"/>
      <c r="M303" s="467"/>
      <c r="N303" s="467"/>
      <c r="O303" s="467"/>
      <c r="P303" s="467"/>
      <c r="Q303" s="467"/>
      <c r="R303" s="467"/>
      <c r="S303" s="467"/>
      <c r="T303" s="467"/>
      <c r="U303" s="467"/>
      <c r="V303" s="467"/>
      <c r="W303" s="467"/>
      <c r="X303" s="467"/>
      <c r="Y303" s="467"/>
      <c r="Z303" s="467"/>
      <c r="AA303" s="467"/>
      <c r="AB303" s="467"/>
      <c r="AC303" s="467"/>
      <c r="AD303" s="467"/>
      <c r="AE303" s="467"/>
      <c r="AF303" s="467"/>
      <c r="AG303" s="467"/>
      <c r="AH303" s="467"/>
      <c r="AI303" s="467"/>
      <c r="AJ303" s="467"/>
      <c r="AK303" s="467"/>
      <c r="AL303" s="467"/>
      <c r="AM303" s="467"/>
      <c r="AN303" s="467"/>
      <c r="AO303" s="467"/>
      <c r="AP303" s="467"/>
      <c r="AQ303" s="467"/>
      <c r="AR303" s="467"/>
      <c r="AS303" s="467"/>
      <c r="AT303" s="467"/>
      <c r="AU303" s="467"/>
      <c r="AV303" s="467"/>
      <c r="AW303" s="467"/>
      <c r="AX303" s="467"/>
      <c r="AY303" s="467"/>
      <c r="AZ303" s="467"/>
      <c r="BA303" s="467"/>
      <c r="BB303" s="467"/>
      <c r="BC303" s="467"/>
      <c r="BD303" s="467"/>
      <c r="BE303" s="467"/>
      <c r="BF303" s="467"/>
      <c r="BG303" s="467"/>
      <c r="BH303" s="467"/>
      <c r="BI303" s="467"/>
      <c r="BJ303" s="467"/>
      <c r="BK303" s="467"/>
      <c r="BL303" s="467"/>
    </row>
    <row r="304" customFormat="false" ht="12.75" hidden="false" customHeight="false" outlineLevel="0" collapsed="false">
      <c r="A304" s="464" t="n">
        <f aca="false">EOMONTH(A303,0)+1</f>
        <v>45627</v>
      </c>
      <c r="B304" s="467" t="n">
        <v>0.072037670198361</v>
      </c>
      <c r="C304" s="467"/>
      <c r="D304" s="467"/>
      <c r="E304" s="467"/>
      <c r="F304" s="467"/>
      <c r="G304" s="467"/>
      <c r="H304" s="467"/>
      <c r="I304" s="467"/>
      <c r="J304" s="467"/>
      <c r="K304" s="467"/>
      <c r="L304" s="467"/>
      <c r="M304" s="467"/>
      <c r="N304" s="467"/>
      <c r="O304" s="467"/>
      <c r="P304" s="467"/>
      <c r="Q304" s="467"/>
      <c r="R304" s="467"/>
      <c r="S304" s="467"/>
      <c r="T304" s="467"/>
      <c r="U304" s="467"/>
      <c r="V304" s="467"/>
      <c r="W304" s="467"/>
      <c r="X304" s="467"/>
      <c r="Y304" s="467"/>
      <c r="Z304" s="467"/>
      <c r="AA304" s="467"/>
      <c r="AB304" s="467"/>
      <c r="AC304" s="467"/>
      <c r="AD304" s="467"/>
      <c r="AE304" s="467"/>
      <c r="AF304" s="467"/>
      <c r="AG304" s="467"/>
      <c r="AH304" s="467"/>
      <c r="AI304" s="467"/>
      <c r="AJ304" s="467"/>
      <c r="AK304" s="467"/>
      <c r="AL304" s="467"/>
      <c r="AM304" s="467"/>
      <c r="AN304" s="467"/>
      <c r="AO304" s="467"/>
      <c r="AP304" s="467"/>
      <c r="AQ304" s="467"/>
      <c r="AR304" s="467"/>
      <c r="AS304" s="467"/>
      <c r="AT304" s="467"/>
      <c r="AU304" s="467"/>
      <c r="AV304" s="467"/>
      <c r="AW304" s="467"/>
      <c r="AX304" s="467"/>
      <c r="AY304" s="467"/>
      <c r="AZ304" s="467"/>
      <c r="BA304" s="467"/>
      <c r="BB304" s="467"/>
      <c r="BC304" s="467"/>
      <c r="BD304" s="467"/>
      <c r="BE304" s="467"/>
      <c r="BF304" s="467"/>
      <c r="BG304" s="467"/>
      <c r="BH304" s="467"/>
      <c r="BI304" s="467"/>
      <c r="BJ304" s="467"/>
      <c r="BK304" s="467"/>
      <c r="BL304" s="467"/>
    </row>
    <row r="305" customFormat="false" ht="12.75" hidden="false" customHeight="false" outlineLevel="0" collapsed="false">
      <c r="A305" s="464" t="n">
        <f aca="false">EOMONTH(A304,0)+1</f>
        <v>45658</v>
      </c>
      <c r="B305" s="467" t="n">
        <v>0.072033488394363</v>
      </c>
      <c r="C305" s="467"/>
      <c r="D305" s="467"/>
      <c r="E305" s="467"/>
      <c r="F305" s="467"/>
      <c r="G305" s="467"/>
      <c r="H305" s="467"/>
      <c r="I305" s="467"/>
      <c r="J305" s="467"/>
      <c r="K305" s="467"/>
      <c r="L305" s="467"/>
      <c r="M305" s="467"/>
      <c r="N305" s="467"/>
      <c r="O305" s="467"/>
      <c r="P305" s="467"/>
      <c r="Q305" s="467"/>
      <c r="R305" s="467"/>
      <c r="S305" s="467"/>
      <c r="T305" s="467"/>
      <c r="U305" s="467"/>
      <c r="V305" s="467"/>
      <c r="W305" s="467"/>
      <c r="X305" s="467"/>
      <c r="Y305" s="467"/>
      <c r="Z305" s="467"/>
      <c r="AA305" s="467"/>
      <c r="AB305" s="467"/>
      <c r="AC305" s="467"/>
      <c r="AD305" s="467"/>
      <c r="AE305" s="467"/>
      <c r="AF305" s="467"/>
      <c r="AG305" s="467"/>
      <c r="AH305" s="467"/>
      <c r="AI305" s="467"/>
      <c r="AJ305" s="467"/>
      <c r="AK305" s="467"/>
      <c r="AL305" s="467"/>
      <c r="AM305" s="467"/>
      <c r="AN305" s="467"/>
      <c r="AO305" s="467"/>
      <c r="AP305" s="467"/>
      <c r="AQ305" s="467"/>
      <c r="AR305" s="467"/>
      <c r="AS305" s="467"/>
      <c r="AT305" s="467"/>
      <c r="AU305" s="467"/>
      <c r="AV305" s="467"/>
      <c r="AW305" s="467"/>
      <c r="AX305" s="467"/>
      <c r="AY305" s="467"/>
      <c r="AZ305" s="467"/>
      <c r="BA305" s="467"/>
      <c r="BB305" s="467"/>
      <c r="BC305" s="467"/>
      <c r="BD305" s="467"/>
      <c r="BE305" s="467"/>
      <c r="BF305" s="467"/>
      <c r="BG305" s="467"/>
      <c r="BH305" s="467"/>
      <c r="BI305" s="467"/>
      <c r="BJ305" s="467"/>
      <c r="BK305" s="467"/>
      <c r="BL305" s="467"/>
    </row>
    <row r="306" customFormat="false" ht="12.75" hidden="false" customHeight="false" outlineLevel="0" collapsed="false">
      <c r="A306" s="464" t="n">
        <f aca="false">EOMONTH(A305,0)+1</f>
        <v>45689</v>
      </c>
      <c r="B306" s="467" t="n">
        <v>0.072029306590371</v>
      </c>
      <c r="C306" s="467"/>
      <c r="D306" s="467"/>
      <c r="E306" s="467"/>
      <c r="F306" s="467"/>
      <c r="G306" s="467"/>
      <c r="H306" s="467"/>
      <c r="I306" s="467"/>
      <c r="J306" s="467"/>
      <c r="K306" s="467"/>
      <c r="L306" s="467"/>
      <c r="M306" s="467"/>
      <c r="N306" s="467"/>
      <c r="O306" s="467"/>
      <c r="P306" s="467"/>
      <c r="Q306" s="467"/>
      <c r="R306" s="467"/>
      <c r="S306" s="467"/>
      <c r="T306" s="467"/>
      <c r="U306" s="467"/>
      <c r="V306" s="467"/>
      <c r="W306" s="467"/>
      <c r="X306" s="467"/>
      <c r="Y306" s="467"/>
      <c r="Z306" s="467"/>
      <c r="AA306" s="467"/>
      <c r="AB306" s="467"/>
      <c r="AC306" s="467"/>
      <c r="AD306" s="467"/>
      <c r="AE306" s="467"/>
      <c r="AF306" s="467"/>
      <c r="AG306" s="467"/>
      <c r="AH306" s="467"/>
      <c r="AI306" s="467"/>
      <c r="AJ306" s="467"/>
      <c r="AK306" s="467"/>
      <c r="AL306" s="467"/>
      <c r="AM306" s="467"/>
      <c r="AN306" s="467"/>
      <c r="AO306" s="467"/>
      <c r="AP306" s="467"/>
      <c r="AQ306" s="467"/>
      <c r="AR306" s="467"/>
      <c r="AS306" s="467"/>
      <c r="AT306" s="467"/>
      <c r="AU306" s="467"/>
      <c r="AV306" s="467"/>
      <c r="AW306" s="467"/>
      <c r="AX306" s="467"/>
      <c r="AY306" s="467"/>
      <c r="AZ306" s="467"/>
      <c r="BA306" s="467"/>
      <c r="BB306" s="467"/>
      <c r="BC306" s="467"/>
      <c r="BD306" s="467"/>
      <c r="BE306" s="467"/>
      <c r="BF306" s="467"/>
      <c r="BG306" s="467"/>
      <c r="BH306" s="467"/>
      <c r="BI306" s="467"/>
      <c r="BJ306" s="467"/>
      <c r="BK306" s="467"/>
      <c r="BL306" s="467"/>
    </row>
    <row r="307" customFormat="false" ht="12.75" hidden="false" customHeight="false" outlineLevel="0" collapsed="false">
      <c r="A307" s="464" t="n">
        <f aca="false">EOMONTH(A306,0)+1</f>
        <v>45717</v>
      </c>
      <c r="B307" s="467" t="n">
        <v>0.072025529477093</v>
      </c>
      <c r="C307" s="467"/>
      <c r="D307" s="467"/>
      <c r="E307" s="467"/>
      <c r="F307" s="467"/>
      <c r="G307" s="467"/>
      <c r="H307" s="467"/>
      <c r="I307" s="467"/>
      <c r="J307" s="467"/>
      <c r="K307" s="467"/>
      <c r="L307" s="467"/>
      <c r="M307" s="467"/>
      <c r="N307" s="467"/>
      <c r="O307" s="467"/>
      <c r="P307" s="467"/>
      <c r="Q307" s="467"/>
      <c r="R307" s="467"/>
      <c r="S307" s="467"/>
      <c r="T307" s="467"/>
      <c r="U307" s="467"/>
      <c r="V307" s="467"/>
      <c r="W307" s="467"/>
      <c r="X307" s="467"/>
      <c r="Y307" s="467"/>
      <c r="Z307" s="467"/>
      <c r="AA307" s="467"/>
      <c r="AB307" s="467"/>
      <c r="AC307" s="467"/>
      <c r="AD307" s="467"/>
      <c r="AE307" s="467"/>
      <c r="AF307" s="467"/>
      <c r="AG307" s="467"/>
      <c r="AH307" s="467"/>
      <c r="AI307" s="467"/>
      <c r="AJ307" s="467"/>
      <c r="AK307" s="467"/>
      <c r="AL307" s="467"/>
      <c r="AM307" s="467"/>
      <c r="AN307" s="467"/>
      <c r="AO307" s="467"/>
      <c r="AP307" s="467"/>
      <c r="AQ307" s="467"/>
      <c r="AR307" s="467"/>
      <c r="AS307" s="467"/>
      <c r="AT307" s="467"/>
      <c r="AU307" s="467"/>
      <c r="AV307" s="467"/>
      <c r="AW307" s="467"/>
      <c r="AX307" s="467"/>
      <c r="AY307" s="467"/>
      <c r="AZ307" s="467"/>
      <c r="BA307" s="467"/>
      <c r="BB307" s="467"/>
      <c r="BC307" s="467"/>
      <c r="BD307" s="467"/>
      <c r="BE307" s="467"/>
      <c r="BF307" s="467"/>
      <c r="BG307" s="467"/>
      <c r="BH307" s="467"/>
      <c r="BI307" s="467"/>
      <c r="BJ307" s="467"/>
      <c r="BK307" s="467"/>
      <c r="BL307" s="467"/>
    </row>
    <row r="308" customFormat="false" ht="12.75" hidden="false" customHeight="false" outlineLevel="0" collapsed="false">
      <c r="A308" s="464" t="n">
        <f aca="false">EOMONTH(A307,0)+1</f>
        <v>45748</v>
      </c>
      <c r="B308" s="467" t="n">
        <v>0.072021347673112</v>
      </c>
      <c r="C308" s="467"/>
      <c r="D308" s="467"/>
      <c r="E308" s="467"/>
      <c r="F308" s="467"/>
      <c r="G308" s="467"/>
      <c r="H308" s="467"/>
      <c r="I308" s="467"/>
      <c r="J308" s="467"/>
      <c r="K308" s="467"/>
      <c r="L308" s="467"/>
      <c r="M308" s="467"/>
      <c r="N308" s="467"/>
      <c r="O308" s="467"/>
      <c r="P308" s="467"/>
      <c r="Q308" s="467"/>
      <c r="R308" s="467"/>
      <c r="S308" s="467"/>
      <c r="T308" s="467"/>
      <c r="U308" s="467"/>
      <c r="V308" s="467"/>
      <c r="W308" s="467"/>
      <c r="X308" s="467"/>
      <c r="Y308" s="467"/>
      <c r="Z308" s="467"/>
      <c r="AA308" s="467"/>
      <c r="AB308" s="467"/>
      <c r="AC308" s="467"/>
      <c r="AD308" s="467"/>
      <c r="AE308" s="467"/>
      <c r="AF308" s="467"/>
      <c r="AG308" s="467"/>
      <c r="AH308" s="467"/>
      <c r="AI308" s="467"/>
      <c r="AJ308" s="467"/>
      <c r="AK308" s="467"/>
      <c r="AL308" s="467"/>
      <c r="AM308" s="467"/>
      <c r="AN308" s="467"/>
      <c r="AO308" s="467"/>
      <c r="AP308" s="467"/>
      <c r="AQ308" s="467"/>
      <c r="AR308" s="467"/>
      <c r="AS308" s="467"/>
      <c r="AT308" s="467"/>
      <c r="AU308" s="467"/>
      <c r="AV308" s="467"/>
      <c r="AW308" s="467"/>
      <c r="AX308" s="467"/>
      <c r="AY308" s="467"/>
      <c r="AZ308" s="467"/>
      <c r="BA308" s="467"/>
      <c r="BB308" s="467"/>
      <c r="BC308" s="467"/>
      <c r="BD308" s="467"/>
      <c r="BE308" s="467"/>
      <c r="BF308" s="467"/>
      <c r="BG308" s="467"/>
      <c r="BH308" s="467"/>
      <c r="BI308" s="467"/>
      <c r="BJ308" s="467"/>
      <c r="BK308" s="467"/>
      <c r="BL308" s="467"/>
    </row>
    <row r="309" customFormat="false" ht="12.75" hidden="false" customHeight="false" outlineLevel="0" collapsed="false">
      <c r="A309" s="464" t="n">
        <f aca="false">EOMONTH(A308,0)+1</f>
        <v>45778</v>
      </c>
      <c r="B309" s="467" t="n">
        <v>0.07201730076604</v>
      </c>
      <c r="C309" s="467"/>
      <c r="D309" s="467"/>
      <c r="E309" s="467"/>
      <c r="F309" s="467"/>
      <c r="G309" s="467"/>
      <c r="H309" s="467"/>
      <c r="I309" s="467"/>
      <c r="J309" s="467"/>
      <c r="K309" s="467"/>
      <c r="L309" s="467"/>
      <c r="M309" s="467"/>
      <c r="N309" s="467"/>
      <c r="O309" s="467"/>
      <c r="P309" s="467"/>
      <c r="Q309" s="467"/>
      <c r="R309" s="467"/>
      <c r="S309" s="467"/>
      <c r="T309" s="467"/>
      <c r="U309" s="467"/>
      <c r="V309" s="467"/>
      <c r="W309" s="467"/>
      <c r="X309" s="467"/>
      <c r="Y309" s="467"/>
      <c r="Z309" s="467"/>
      <c r="AA309" s="467"/>
      <c r="AB309" s="467"/>
      <c r="AC309" s="467"/>
      <c r="AD309" s="467"/>
      <c r="AE309" s="467"/>
      <c r="AF309" s="467"/>
      <c r="AG309" s="467"/>
      <c r="AH309" s="467"/>
      <c r="AI309" s="467"/>
      <c r="AJ309" s="467"/>
      <c r="AK309" s="467"/>
      <c r="AL309" s="467"/>
      <c r="AM309" s="467"/>
      <c r="AN309" s="467"/>
      <c r="AO309" s="467"/>
      <c r="AP309" s="467"/>
      <c r="AQ309" s="467"/>
      <c r="AR309" s="467"/>
      <c r="AS309" s="467"/>
      <c r="AT309" s="467"/>
      <c r="AU309" s="467"/>
      <c r="AV309" s="467"/>
      <c r="AW309" s="467"/>
      <c r="AX309" s="467"/>
      <c r="AY309" s="467"/>
      <c r="AZ309" s="467"/>
      <c r="BA309" s="467"/>
      <c r="BB309" s="467"/>
      <c r="BC309" s="467"/>
      <c r="BD309" s="467"/>
      <c r="BE309" s="467"/>
      <c r="BF309" s="467"/>
      <c r="BG309" s="467"/>
      <c r="BH309" s="467"/>
      <c r="BI309" s="467"/>
      <c r="BJ309" s="467"/>
      <c r="BK309" s="467"/>
      <c r="BL309" s="467"/>
    </row>
    <row r="310" customFormat="false" ht="12.75" hidden="false" customHeight="false" outlineLevel="0" collapsed="false">
      <c r="A310" s="464" t="n">
        <f aca="false">EOMONTH(A309,0)+1</f>
        <v>45809</v>
      </c>
      <c r="B310" s="467" t="n">
        <v>0.07201311896207</v>
      </c>
      <c r="C310" s="467"/>
      <c r="D310" s="467"/>
      <c r="E310" s="467"/>
      <c r="F310" s="467"/>
      <c r="G310" s="467"/>
      <c r="H310" s="467"/>
      <c r="I310" s="467"/>
      <c r="J310" s="467"/>
      <c r="K310" s="467"/>
      <c r="L310" s="467"/>
      <c r="M310" s="467"/>
      <c r="N310" s="467"/>
      <c r="O310" s="467"/>
      <c r="P310" s="467"/>
      <c r="Q310" s="467"/>
      <c r="R310" s="467"/>
      <c r="S310" s="467"/>
      <c r="T310" s="467"/>
      <c r="U310" s="467"/>
      <c r="V310" s="467"/>
      <c r="W310" s="467"/>
      <c r="X310" s="467"/>
      <c r="Y310" s="467"/>
      <c r="Z310" s="467"/>
      <c r="AA310" s="467"/>
      <c r="AB310" s="467"/>
      <c r="AC310" s="467"/>
      <c r="AD310" s="467"/>
      <c r="AE310" s="467"/>
      <c r="AF310" s="467"/>
      <c r="AG310" s="467"/>
      <c r="AH310" s="467"/>
      <c r="AI310" s="467"/>
      <c r="AJ310" s="467"/>
      <c r="AK310" s="467"/>
      <c r="AL310" s="467"/>
      <c r="AM310" s="467"/>
      <c r="AN310" s="467"/>
      <c r="AO310" s="467"/>
      <c r="AP310" s="467"/>
      <c r="AQ310" s="467"/>
      <c r="AR310" s="467"/>
      <c r="AS310" s="467"/>
      <c r="AT310" s="467"/>
      <c r="AU310" s="467"/>
      <c r="AV310" s="467"/>
      <c r="AW310" s="467"/>
      <c r="AX310" s="467"/>
      <c r="AY310" s="467"/>
      <c r="AZ310" s="467"/>
      <c r="BA310" s="467"/>
      <c r="BB310" s="467"/>
      <c r="BC310" s="467"/>
      <c r="BD310" s="467"/>
      <c r="BE310" s="467"/>
      <c r="BF310" s="467"/>
      <c r="BG310" s="467"/>
      <c r="BH310" s="467"/>
      <c r="BI310" s="467"/>
      <c r="BJ310" s="467"/>
      <c r="BK310" s="467"/>
      <c r="BL310" s="467"/>
    </row>
    <row r="311" customFormat="false" ht="12.75" hidden="false" customHeight="false" outlineLevel="0" collapsed="false">
      <c r="A311" s="464" t="n">
        <f aca="false">EOMONTH(A310,0)+1</f>
        <v>45839</v>
      </c>
      <c r="B311" s="467" t="n">
        <v>0.072009072055009</v>
      </c>
      <c r="C311" s="467"/>
      <c r="D311" s="467"/>
      <c r="E311" s="467"/>
      <c r="F311" s="467"/>
      <c r="G311" s="467"/>
      <c r="H311" s="467"/>
      <c r="I311" s="467"/>
      <c r="J311" s="467"/>
      <c r="K311" s="467"/>
      <c r="L311" s="467"/>
      <c r="M311" s="467"/>
      <c r="N311" s="467"/>
      <c r="O311" s="467"/>
      <c r="P311" s="467"/>
      <c r="Q311" s="467"/>
      <c r="R311" s="467"/>
      <c r="S311" s="467"/>
      <c r="T311" s="467"/>
      <c r="U311" s="467"/>
      <c r="V311" s="467"/>
      <c r="W311" s="467"/>
      <c r="X311" s="467"/>
      <c r="Y311" s="467"/>
      <c r="Z311" s="467"/>
      <c r="AA311" s="467"/>
      <c r="AB311" s="467"/>
      <c r="AC311" s="467"/>
      <c r="AD311" s="467"/>
      <c r="AE311" s="467"/>
      <c r="AF311" s="467"/>
      <c r="AG311" s="467"/>
      <c r="AH311" s="467"/>
      <c r="AI311" s="467"/>
      <c r="AJ311" s="467"/>
      <c r="AK311" s="467"/>
      <c r="AL311" s="467"/>
      <c r="AM311" s="467"/>
      <c r="AN311" s="467"/>
      <c r="AO311" s="467"/>
      <c r="AP311" s="467"/>
      <c r="AQ311" s="467"/>
      <c r="AR311" s="467"/>
      <c r="AS311" s="467"/>
      <c r="AT311" s="467"/>
      <c r="AU311" s="467"/>
      <c r="AV311" s="467"/>
      <c r="AW311" s="467"/>
      <c r="AX311" s="467"/>
      <c r="AY311" s="467"/>
      <c r="AZ311" s="467"/>
      <c r="BA311" s="467"/>
      <c r="BB311" s="467"/>
      <c r="BC311" s="467"/>
      <c r="BD311" s="467"/>
      <c r="BE311" s="467"/>
      <c r="BF311" s="467"/>
      <c r="BG311" s="467"/>
      <c r="BH311" s="467"/>
      <c r="BI311" s="467"/>
      <c r="BJ311" s="467"/>
      <c r="BK311" s="467"/>
      <c r="BL311" s="467"/>
    </row>
    <row r="312" customFormat="false" ht="12.75" hidden="false" customHeight="false" outlineLevel="0" collapsed="false">
      <c r="A312" s="464" t="n">
        <f aca="false">EOMONTH(A311,0)+1</f>
        <v>45870</v>
      </c>
      <c r="B312" s="467" t="n">
        <v>0.07200489025105</v>
      </c>
      <c r="C312" s="467"/>
      <c r="D312" s="467"/>
      <c r="E312" s="467"/>
      <c r="F312" s="467"/>
      <c r="G312" s="467"/>
      <c r="H312" s="467"/>
      <c r="I312" s="467"/>
      <c r="J312" s="467"/>
      <c r="K312" s="467"/>
      <c r="L312" s="467"/>
      <c r="M312" s="467"/>
      <c r="N312" s="467"/>
      <c r="O312" s="467"/>
      <c r="P312" s="467"/>
      <c r="Q312" s="467"/>
      <c r="R312" s="467"/>
      <c r="S312" s="467"/>
      <c r="T312" s="467"/>
      <c r="U312" s="467"/>
      <c r="V312" s="467"/>
      <c r="W312" s="467"/>
      <c r="X312" s="467"/>
      <c r="Y312" s="467"/>
      <c r="Z312" s="467"/>
      <c r="AA312" s="467"/>
      <c r="AB312" s="467"/>
      <c r="AC312" s="467"/>
      <c r="AD312" s="467"/>
      <c r="AE312" s="467"/>
      <c r="AF312" s="467"/>
      <c r="AG312" s="467"/>
      <c r="AH312" s="467"/>
      <c r="AI312" s="467"/>
      <c r="AJ312" s="467"/>
      <c r="AK312" s="467"/>
      <c r="AL312" s="467"/>
      <c r="AM312" s="467"/>
      <c r="AN312" s="467"/>
      <c r="AO312" s="467"/>
      <c r="AP312" s="467"/>
      <c r="AQ312" s="467"/>
      <c r="AR312" s="467"/>
      <c r="AS312" s="467"/>
      <c r="AT312" s="467"/>
      <c r="AU312" s="467"/>
      <c r="AV312" s="467"/>
      <c r="AW312" s="467"/>
      <c r="AX312" s="467"/>
      <c r="AY312" s="467"/>
      <c r="AZ312" s="467"/>
      <c r="BA312" s="467"/>
      <c r="BB312" s="467"/>
      <c r="BC312" s="467"/>
      <c r="BD312" s="467"/>
      <c r="BE312" s="467"/>
      <c r="BF312" s="467"/>
      <c r="BG312" s="467"/>
      <c r="BH312" s="467"/>
      <c r="BI312" s="467"/>
      <c r="BJ312" s="467"/>
      <c r="BK312" s="467"/>
      <c r="BL312" s="467"/>
    </row>
    <row r="313" customFormat="false" ht="12.75" hidden="false" customHeight="false" outlineLevel="0" collapsed="false">
      <c r="A313" s="464" t="n">
        <f aca="false">EOMONTH(A312,0)+1</f>
        <v>45901</v>
      </c>
      <c r="B313" s="467" t="n">
        <v>0.072000708447098</v>
      </c>
      <c r="C313" s="467"/>
      <c r="D313" s="467"/>
      <c r="E313" s="467"/>
      <c r="F313" s="467"/>
      <c r="G313" s="467"/>
      <c r="H313" s="467"/>
      <c r="I313" s="467"/>
      <c r="J313" s="467"/>
      <c r="K313" s="467"/>
      <c r="L313" s="467"/>
      <c r="M313" s="467"/>
      <c r="N313" s="467"/>
      <c r="O313" s="467"/>
      <c r="P313" s="467"/>
      <c r="Q313" s="467"/>
      <c r="R313" s="467"/>
      <c r="S313" s="467"/>
      <c r="T313" s="467"/>
      <c r="U313" s="467"/>
      <c r="V313" s="467"/>
      <c r="W313" s="467"/>
      <c r="X313" s="467"/>
      <c r="Y313" s="467"/>
      <c r="Z313" s="467"/>
      <c r="AA313" s="467"/>
      <c r="AB313" s="467"/>
      <c r="AC313" s="467"/>
      <c r="AD313" s="467"/>
      <c r="AE313" s="467"/>
      <c r="AF313" s="467"/>
      <c r="AG313" s="467"/>
      <c r="AH313" s="467"/>
      <c r="AI313" s="467"/>
      <c r="AJ313" s="467"/>
      <c r="AK313" s="467"/>
      <c r="AL313" s="467"/>
      <c r="AM313" s="467"/>
      <c r="AN313" s="467"/>
      <c r="AO313" s="467"/>
      <c r="AP313" s="467"/>
      <c r="AQ313" s="467"/>
      <c r="AR313" s="467"/>
      <c r="AS313" s="467"/>
      <c r="AT313" s="467"/>
      <c r="AU313" s="467"/>
      <c r="AV313" s="467"/>
      <c r="AW313" s="467"/>
      <c r="AX313" s="467"/>
      <c r="AY313" s="467"/>
      <c r="AZ313" s="467"/>
      <c r="BA313" s="467"/>
      <c r="BB313" s="467"/>
      <c r="BC313" s="467"/>
      <c r="BD313" s="467"/>
      <c r="BE313" s="467"/>
      <c r="BF313" s="467"/>
      <c r="BG313" s="467"/>
      <c r="BH313" s="467"/>
      <c r="BI313" s="467"/>
      <c r="BJ313" s="467"/>
      <c r="BK313" s="467"/>
      <c r="BL313" s="467"/>
    </row>
    <row r="314" customFormat="false" ht="12.75" hidden="false" customHeight="false" outlineLevel="0" collapsed="false">
      <c r="A314" s="464" t="n">
        <f aca="false">EOMONTH(A313,0)+1</f>
        <v>45931</v>
      </c>
      <c r="B314" s="467" t="n">
        <v>0.071996661540053</v>
      </c>
      <c r="C314" s="467"/>
      <c r="D314" s="467"/>
      <c r="E314" s="467"/>
      <c r="F314" s="467"/>
      <c r="G314" s="467"/>
      <c r="H314" s="467"/>
      <c r="I314" s="467"/>
      <c r="J314" s="467"/>
      <c r="K314" s="467"/>
      <c r="L314" s="467"/>
      <c r="M314" s="467"/>
      <c r="N314" s="467"/>
      <c r="O314" s="467"/>
      <c r="P314" s="467"/>
      <c r="Q314" s="467"/>
      <c r="R314" s="467"/>
      <c r="S314" s="467"/>
      <c r="T314" s="467"/>
      <c r="U314" s="467"/>
      <c r="V314" s="467"/>
      <c r="W314" s="467"/>
      <c r="X314" s="467"/>
      <c r="Y314" s="467"/>
      <c r="Z314" s="467"/>
      <c r="AA314" s="467"/>
      <c r="AB314" s="467"/>
      <c r="AC314" s="467"/>
      <c r="AD314" s="467"/>
      <c r="AE314" s="467"/>
      <c r="AF314" s="467"/>
      <c r="AG314" s="467"/>
      <c r="AH314" s="467"/>
      <c r="AI314" s="467"/>
      <c r="AJ314" s="467"/>
      <c r="AK314" s="467"/>
      <c r="AL314" s="467"/>
      <c r="AM314" s="467"/>
      <c r="AN314" s="467"/>
      <c r="AO314" s="467"/>
      <c r="AP314" s="467"/>
      <c r="AQ314" s="467"/>
      <c r="AR314" s="467"/>
      <c r="AS314" s="467"/>
      <c r="AT314" s="467"/>
      <c r="AU314" s="467"/>
      <c r="AV314" s="467"/>
      <c r="AW314" s="467"/>
      <c r="AX314" s="467"/>
      <c r="AY314" s="467"/>
      <c r="AZ314" s="467"/>
      <c r="BA314" s="467"/>
      <c r="BB314" s="467"/>
      <c r="BC314" s="467"/>
      <c r="BD314" s="467"/>
      <c r="BE314" s="467"/>
      <c r="BF314" s="467"/>
      <c r="BG314" s="467"/>
      <c r="BH314" s="467"/>
      <c r="BI314" s="467"/>
      <c r="BJ314" s="467"/>
      <c r="BK314" s="467"/>
      <c r="BL314" s="467"/>
    </row>
    <row r="315" customFormat="false" ht="12.75" hidden="false" customHeight="false" outlineLevel="0" collapsed="false">
      <c r="A315" s="464" t="n">
        <f aca="false">EOMONTH(A314,0)+1</f>
        <v>45962</v>
      </c>
      <c r="B315" s="467" t="n">
        <v>0.071992479736112</v>
      </c>
      <c r="C315" s="467"/>
      <c r="D315" s="467"/>
      <c r="E315" s="467"/>
      <c r="F315" s="467"/>
      <c r="G315" s="467"/>
      <c r="H315" s="467"/>
      <c r="I315" s="467"/>
      <c r="J315" s="467"/>
      <c r="K315" s="467"/>
      <c r="L315" s="467"/>
      <c r="M315" s="467"/>
      <c r="N315" s="467"/>
      <c r="O315" s="467"/>
      <c r="P315" s="467"/>
      <c r="Q315" s="467"/>
      <c r="R315" s="467"/>
      <c r="S315" s="467"/>
      <c r="T315" s="467"/>
      <c r="U315" s="467"/>
      <c r="V315" s="467"/>
      <c r="W315" s="467"/>
      <c r="X315" s="467"/>
      <c r="Y315" s="467"/>
      <c r="Z315" s="467"/>
      <c r="AA315" s="467"/>
      <c r="AB315" s="467"/>
      <c r="AC315" s="467"/>
      <c r="AD315" s="467"/>
      <c r="AE315" s="467"/>
      <c r="AF315" s="467"/>
      <c r="AG315" s="467"/>
      <c r="AH315" s="467"/>
      <c r="AI315" s="467"/>
      <c r="AJ315" s="467"/>
      <c r="AK315" s="467"/>
      <c r="AL315" s="467"/>
      <c r="AM315" s="467"/>
      <c r="AN315" s="467"/>
      <c r="AO315" s="467"/>
      <c r="AP315" s="467"/>
      <c r="AQ315" s="467"/>
      <c r="AR315" s="467"/>
      <c r="AS315" s="467"/>
      <c r="AT315" s="467"/>
      <c r="AU315" s="467"/>
      <c r="AV315" s="467"/>
      <c r="AW315" s="467"/>
      <c r="AX315" s="467"/>
      <c r="AY315" s="467"/>
      <c r="AZ315" s="467"/>
      <c r="BA315" s="467"/>
      <c r="BB315" s="467"/>
      <c r="BC315" s="467"/>
      <c r="BD315" s="467"/>
      <c r="BE315" s="467"/>
      <c r="BF315" s="467"/>
      <c r="BG315" s="467"/>
      <c r="BH315" s="467"/>
      <c r="BI315" s="467"/>
      <c r="BJ315" s="467"/>
      <c r="BK315" s="467"/>
      <c r="BL315" s="467"/>
    </row>
    <row r="316" customFormat="false" ht="12.75" hidden="false" customHeight="false" outlineLevel="0" collapsed="false">
      <c r="A316" s="464" t="n">
        <f aca="false">EOMONTH(A315,0)+1</f>
        <v>45992</v>
      </c>
      <c r="B316" s="467" t="n">
        <v>0.071988432829078</v>
      </c>
      <c r="C316" s="467"/>
      <c r="D316" s="467"/>
      <c r="E316" s="467"/>
      <c r="F316" s="467"/>
      <c r="G316" s="467"/>
      <c r="H316" s="467"/>
      <c r="I316" s="467"/>
      <c r="J316" s="467"/>
      <c r="K316" s="467"/>
      <c r="L316" s="467"/>
      <c r="M316" s="467"/>
      <c r="N316" s="467"/>
      <c r="O316" s="467"/>
      <c r="P316" s="467"/>
      <c r="Q316" s="467"/>
      <c r="R316" s="467"/>
      <c r="S316" s="467"/>
      <c r="T316" s="467"/>
      <c r="U316" s="467"/>
      <c r="V316" s="467"/>
      <c r="W316" s="467"/>
      <c r="X316" s="467"/>
      <c r="Y316" s="467"/>
      <c r="Z316" s="467"/>
      <c r="AA316" s="467"/>
      <c r="AB316" s="467"/>
      <c r="AC316" s="467"/>
      <c r="AD316" s="467"/>
      <c r="AE316" s="467"/>
      <c r="AF316" s="467"/>
      <c r="AG316" s="467"/>
      <c r="AH316" s="467"/>
      <c r="AI316" s="467"/>
      <c r="AJ316" s="467"/>
      <c r="AK316" s="467"/>
      <c r="AL316" s="467"/>
      <c r="AM316" s="467"/>
      <c r="AN316" s="467"/>
      <c r="AO316" s="467"/>
      <c r="AP316" s="467"/>
      <c r="AQ316" s="467"/>
      <c r="AR316" s="467"/>
      <c r="AS316" s="467"/>
      <c r="AT316" s="467"/>
      <c r="AU316" s="467"/>
      <c r="AV316" s="467"/>
      <c r="AW316" s="467"/>
      <c r="AX316" s="467"/>
      <c r="AY316" s="467"/>
      <c r="AZ316" s="467"/>
      <c r="BA316" s="467"/>
      <c r="BB316" s="467"/>
      <c r="BC316" s="467"/>
      <c r="BD316" s="467"/>
      <c r="BE316" s="467"/>
      <c r="BF316" s="467"/>
      <c r="BG316" s="467"/>
      <c r="BH316" s="467"/>
      <c r="BI316" s="467"/>
      <c r="BJ316" s="467"/>
      <c r="BK316" s="467"/>
      <c r="BL316" s="467"/>
    </row>
    <row r="317" customFormat="false" ht="12.75" hidden="false" customHeight="false" outlineLevel="0" collapsed="false">
      <c r="A317" s="464" t="n">
        <f aca="false">EOMONTH(A316,0)+1</f>
        <v>46023</v>
      </c>
      <c r="B317" s="467" t="n">
        <v>0.071984251025148</v>
      </c>
      <c r="C317" s="467"/>
      <c r="D317" s="467"/>
      <c r="E317" s="467"/>
      <c r="F317" s="467"/>
      <c r="G317" s="467"/>
      <c r="H317" s="467"/>
      <c r="I317" s="467"/>
      <c r="J317" s="467"/>
      <c r="K317" s="467"/>
      <c r="L317" s="467"/>
      <c r="M317" s="467"/>
      <c r="N317" s="467"/>
      <c r="O317" s="467"/>
      <c r="P317" s="467"/>
      <c r="Q317" s="467"/>
      <c r="R317" s="467"/>
      <c r="S317" s="467"/>
      <c r="T317" s="467"/>
      <c r="U317" s="467"/>
      <c r="V317" s="467"/>
      <c r="W317" s="467"/>
      <c r="X317" s="467"/>
      <c r="Y317" s="467"/>
      <c r="Z317" s="467"/>
      <c r="AA317" s="467"/>
      <c r="AB317" s="467"/>
      <c r="AC317" s="467"/>
      <c r="AD317" s="467"/>
      <c r="AE317" s="467"/>
      <c r="AF317" s="467"/>
      <c r="AG317" s="467"/>
      <c r="AH317" s="467"/>
      <c r="AI317" s="467"/>
      <c r="AJ317" s="467"/>
      <c r="AK317" s="467"/>
      <c r="AL317" s="467"/>
      <c r="AM317" s="467"/>
      <c r="AN317" s="467"/>
      <c r="AO317" s="467"/>
      <c r="AP317" s="467"/>
      <c r="AQ317" s="467"/>
      <c r="AR317" s="467"/>
      <c r="AS317" s="467"/>
      <c r="AT317" s="467"/>
      <c r="AU317" s="467"/>
      <c r="AV317" s="467"/>
      <c r="AW317" s="467"/>
      <c r="AX317" s="467"/>
      <c r="AY317" s="467"/>
      <c r="AZ317" s="467"/>
      <c r="BA317" s="467"/>
      <c r="BB317" s="467"/>
      <c r="BC317" s="467"/>
      <c r="BD317" s="467"/>
      <c r="BE317" s="467"/>
      <c r="BF317" s="467"/>
      <c r="BG317" s="467"/>
      <c r="BH317" s="467"/>
      <c r="BI317" s="467"/>
      <c r="BJ317" s="467"/>
      <c r="BK317" s="467"/>
      <c r="BL317" s="467"/>
    </row>
    <row r="318" customFormat="false" ht="12.75" hidden="false" customHeight="false" outlineLevel="0" collapsed="false">
      <c r="A318" s="464" t="n">
        <f aca="false">EOMONTH(A317,0)+1</f>
        <v>46054</v>
      </c>
      <c r="B318" s="467" t="n">
        <v>0.071980069221225</v>
      </c>
      <c r="C318" s="467"/>
      <c r="D318" s="467"/>
      <c r="E318" s="467"/>
      <c r="F318" s="467"/>
      <c r="G318" s="467"/>
      <c r="H318" s="467"/>
      <c r="I318" s="467"/>
      <c r="J318" s="467"/>
      <c r="K318" s="467"/>
      <c r="L318" s="467"/>
      <c r="M318" s="467"/>
      <c r="N318" s="467"/>
      <c r="O318" s="467"/>
      <c r="P318" s="467"/>
      <c r="Q318" s="467"/>
      <c r="R318" s="467"/>
      <c r="S318" s="467"/>
      <c r="T318" s="467"/>
      <c r="U318" s="467"/>
      <c r="V318" s="467"/>
      <c r="W318" s="467"/>
      <c r="X318" s="467"/>
      <c r="Y318" s="467"/>
      <c r="Z318" s="467"/>
      <c r="AA318" s="467"/>
      <c r="AB318" s="467"/>
      <c r="AC318" s="467"/>
      <c r="AD318" s="467"/>
      <c r="AE318" s="467"/>
      <c r="AF318" s="467"/>
      <c r="AG318" s="467"/>
      <c r="AH318" s="467"/>
      <c r="AI318" s="467"/>
      <c r="AJ318" s="467"/>
      <c r="AK318" s="467"/>
      <c r="AL318" s="467"/>
      <c r="AM318" s="467"/>
      <c r="AN318" s="467"/>
      <c r="AO318" s="467"/>
      <c r="AP318" s="467"/>
      <c r="AQ318" s="467"/>
      <c r="AR318" s="467"/>
      <c r="AS318" s="467"/>
      <c r="AT318" s="467"/>
      <c r="AU318" s="467"/>
      <c r="AV318" s="467"/>
      <c r="AW318" s="467"/>
      <c r="AX318" s="467"/>
      <c r="AY318" s="467"/>
      <c r="AZ318" s="467"/>
      <c r="BA318" s="467"/>
      <c r="BB318" s="467"/>
      <c r="BC318" s="467"/>
      <c r="BD318" s="467"/>
      <c r="BE318" s="467"/>
      <c r="BF318" s="467"/>
      <c r="BG318" s="467"/>
      <c r="BH318" s="467"/>
      <c r="BI318" s="467"/>
      <c r="BJ318" s="467"/>
      <c r="BK318" s="467"/>
      <c r="BL318" s="467"/>
    </row>
    <row r="319" customFormat="false" ht="12.75" hidden="false" customHeight="false" outlineLevel="0" collapsed="false">
      <c r="A319" s="464" t="n">
        <f aca="false">EOMONTH(A318,0)+1</f>
        <v>46082</v>
      </c>
      <c r="B319" s="467" t="n">
        <v>0.071976292108008</v>
      </c>
      <c r="C319" s="467"/>
      <c r="D319" s="467"/>
      <c r="E319" s="467"/>
      <c r="F319" s="467"/>
      <c r="G319" s="467"/>
      <c r="H319" s="467"/>
      <c r="I319" s="467"/>
      <c r="J319" s="467"/>
      <c r="K319" s="467"/>
      <c r="L319" s="467"/>
      <c r="M319" s="467"/>
      <c r="N319" s="467"/>
      <c r="O319" s="467"/>
      <c r="P319" s="467"/>
      <c r="Q319" s="467"/>
      <c r="R319" s="467"/>
      <c r="S319" s="467"/>
      <c r="T319" s="467"/>
      <c r="U319" s="467"/>
      <c r="V319" s="467"/>
      <c r="W319" s="467"/>
      <c r="X319" s="467"/>
      <c r="Y319" s="467"/>
      <c r="Z319" s="467"/>
      <c r="AA319" s="467"/>
      <c r="AB319" s="467"/>
      <c r="AC319" s="467"/>
      <c r="AD319" s="467"/>
      <c r="AE319" s="467"/>
      <c r="AF319" s="467"/>
      <c r="AG319" s="467"/>
      <c r="AH319" s="467"/>
      <c r="AI319" s="467"/>
      <c r="AJ319" s="467"/>
      <c r="AK319" s="467"/>
      <c r="AL319" s="467"/>
      <c r="AM319" s="467"/>
      <c r="AN319" s="467"/>
      <c r="AO319" s="467"/>
      <c r="AP319" s="467"/>
      <c r="AQ319" s="467"/>
      <c r="AR319" s="467"/>
      <c r="AS319" s="467"/>
      <c r="AT319" s="467"/>
      <c r="AU319" s="467"/>
      <c r="AV319" s="467"/>
      <c r="AW319" s="467"/>
      <c r="AX319" s="467"/>
      <c r="AY319" s="467"/>
      <c r="AZ319" s="467"/>
      <c r="BA319" s="467"/>
      <c r="BB319" s="467"/>
      <c r="BC319" s="467"/>
      <c r="BD319" s="467"/>
      <c r="BE319" s="467"/>
      <c r="BF319" s="467"/>
      <c r="BG319" s="467"/>
      <c r="BH319" s="467"/>
      <c r="BI319" s="467"/>
      <c r="BJ319" s="467"/>
      <c r="BK319" s="467"/>
      <c r="BL319" s="467"/>
    </row>
    <row r="320" customFormat="false" ht="12.75" hidden="false" customHeight="false" outlineLevel="0" collapsed="false">
      <c r="A320" s="464" t="n">
        <f aca="false">EOMONTH(A319,0)+1</f>
        <v>46113</v>
      </c>
      <c r="B320" s="467" t="n">
        <v>0.071972110304095</v>
      </c>
      <c r="C320" s="467"/>
      <c r="D320" s="467"/>
      <c r="E320" s="467"/>
      <c r="F320" s="467"/>
      <c r="G320" s="467"/>
      <c r="H320" s="467"/>
      <c r="I320" s="467"/>
      <c r="J320" s="467"/>
      <c r="K320" s="467"/>
      <c r="L320" s="467"/>
      <c r="M320" s="467"/>
      <c r="N320" s="467"/>
      <c r="O320" s="467"/>
      <c r="P320" s="467"/>
      <c r="Q320" s="467"/>
      <c r="R320" s="467"/>
      <c r="S320" s="467"/>
      <c r="T320" s="467"/>
      <c r="U320" s="467"/>
      <c r="V320" s="467"/>
      <c r="W320" s="467"/>
      <c r="X320" s="467"/>
      <c r="Y320" s="467"/>
      <c r="Z320" s="467"/>
      <c r="AA320" s="467"/>
      <c r="AB320" s="467"/>
      <c r="AC320" s="467"/>
      <c r="AD320" s="467"/>
      <c r="AE320" s="467"/>
      <c r="AF320" s="467"/>
      <c r="AG320" s="467"/>
      <c r="AH320" s="467"/>
      <c r="AI320" s="467"/>
      <c r="AJ320" s="467"/>
      <c r="AK320" s="467"/>
      <c r="AL320" s="467"/>
      <c r="AM320" s="467"/>
      <c r="AN320" s="467"/>
      <c r="AO320" s="467"/>
      <c r="AP320" s="467"/>
      <c r="AQ320" s="467"/>
      <c r="AR320" s="467"/>
      <c r="AS320" s="467"/>
      <c r="AT320" s="467"/>
      <c r="AU320" s="467"/>
      <c r="AV320" s="467"/>
      <c r="AW320" s="467"/>
      <c r="AX320" s="467"/>
      <c r="AY320" s="467"/>
      <c r="AZ320" s="467"/>
      <c r="BA320" s="467"/>
      <c r="BB320" s="467"/>
      <c r="BC320" s="467"/>
      <c r="BD320" s="467"/>
      <c r="BE320" s="467"/>
      <c r="BF320" s="467"/>
      <c r="BG320" s="467"/>
      <c r="BH320" s="467"/>
      <c r="BI320" s="467"/>
      <c r="BJ320" s="467"/>
      <c r="BK320" s="467"/>
      <c r="BL320" s="467"/>
    </row>
    <row r="321" customFormat="false" ht="12.75" hidden="false" customHeight="false" outlineLevel="0" collapsed="false">
      <c r="A321" s="464" t="n">
        <f aca="false">EOMONTH(A320,0)+1</f>
        <v>46143</v>
      </c>
      <c r="B321" s="467" t="n">
        <v>0.071968063397088</v>
      </c>
      <c r="C321" s="467"/>
      <c r="D321" s="467"/>
      <c r="E321" s="467"/>
      <c r="F321" s="467"/>
      <c r="G321" s="467"/>
      <c r="H321" s="467"/>
      <c r="I321" s="467"/>
      <c r="J321" s="467"/>
      <c r="K321" s="467"/>
      <c r="L321" s="467"/>
      <c r="M321" s="467"/>
      <c r="N321" s="467"/>
      <c r="O321" s="467"/>
      <c r="P321" s="467"/>
      <c r="Q321" s="467"/>
      <c r="R321" s="467"/>
      <c r="S321" s="467"/>
      <c r="T321" s="467"/>
      <c r="U321" s="467"/>
      <c r="V321" s="467"/>
      <c r="W321" s="467"/>
      <c r="X321" s="467"/>
      <c r="Y321" s="467"/>
      <c r="Z321" s="467"/>
      <c r="AA321" s="467"/>
      <c r="AB321" s="467"/>
      <c r="AC321" s="467"/>
      <c r="AD321" s="467"/>
      <c r="AE321" s="467"/>
      <c r="AF321" s="467"/>
      <c r="AG321" s="467"/>
      <c r="AH321" s="467"/>
      <c r="AI321" s="467"/>
      <c r="AJ321" s="467"/>
      <c r="AK321" s="467"/>
      <c r="AL321" s="467"/>
      <c r="AM321" s="467"/>
      <c r="AN321" s="467"/>
      <c r="AO321" s="467"/>
      <c r="AP321" s="467"/>
      <c r="AQ321" s="467"/>
      <c r="AR321" s="467"/>
      <c r="AS321" s="467"/>
      <c r="AT321" s="467"/>
      <c r="AU321" s="467"/>
      <c r="AV321" s="467"/>
      <c r="AW321" s="467"/>
      <c r="AX321" s="467"/>
      <c r="AY321" s="467"/>
      <c r="AZ321" s="467"/>
      <c r="BA321" s="467"/>
      <c r="BB321" s="467"/>
      <c r="BC321" s="467"/>
      <c r="BD321" s="467"/>
      <c r="BE321" s="467"/>
      <c r="BF321" s="467"/>
      <c r="BG321" s="467"/>
      <c r="BH321" s="467"/>
      <c r="BI321" s="467"/>
      <c r="BJ321" s="467"/>
      <c r="BK321" s="467"/>
      <c r="BL321" s="467"/>
    </row>
    <row r="322" customFormat="false" ht="12.75" hidden="false" customHeight="false" outlineLevel="0" collapsed="false">
      <c r="A322" s="464" t="n">
        <f aca="false">EOMONTH(A321,0)+1</f>
        <v>46174</v>
      </c>
      <c r="B322" s="467" t="n">
        <v>0.071963881593187</v>
      </c>
      <c r="C322" s="467"/>
      <c r="D322" s="467"/>
      <c r="E322" s="467"/>
      <c r="F322" s="467"/>
      <c r="G322" s="467"/>
      <c r="H322" s="467"/>
      <c r="I322" s="467"/>
      <c r="J322" s="467"/>
      <c r="K322" s="467"/>
      <c r="L322" s="467"/>
      <c r="M322" s="467"/>
      <c r="N322" s="467"/>
      <c r="O322" s="467"/>
      <c r="P322" s="467"/>
      <c r="Q322" s="467"/>
      <c r="R322" s="467"/>
      <c r="S322" s="467"/>
      <c r="T322" s="467"/>
      <c r="U322" s="467"/>
      <c r="V322" s="467"/>
      <c r="W322" s="467"/>
      <c r="X322" s="467"/>
      <c r="Y322" s="467"/>
      <c r="Z322" s="467"/>
      <c r="AA322" s="467"/>
      <c r="AB322" s="467"/>
      <c r="AC322" s="467"/>
      <c r="AD322" s="467"/>
      <c r="AE322" s="467"/>
      <c r="AF322" s="467"/>
      <c r="AG322" s="467"/>
      <c r="AH322" s="467"/>
      <c r="AI322" s="467"/>
      <c r="AJ322" s="467"/>
      <c r="AK322" s="467"/>
      <c r="AL322" s="467"/>
      <c r="AM322" s="467"/>
      <c r="AN322" s="467"/>
      <c r="AO322" s="467"/>
      <c r="AP322" s="467"/>
      <c r="AQ322" s="467"/>
      <c r="AR322" s="467"/>
      <c r="AS322" s="467"/>
      <c r="AT322" s="467"/>
      <c r="AU322" s="467"/>
      <c r="AV322" s="467"/>
      <c r="AW322" s="467"/>
      <c r="AX322" s="467"/>
      <c r="AY322" s="467"/>
      <c r="AZ322" s="467"/>
      <c r="BA322" s="467"/>
      <c r="BB322" s="467"/>
      <c r="BC322" s="467"/>
      <c r="BD322" s="467"/>
      <c r="BE322" s="467"/>
      <c r="BF322" s="467"/>
      <c r="BG322" s="467"/>
      <c r="BH322" s="467"/>
      <c r="BI322" s="467"/>
      <c r="BJ322" s="467"/>
      <c r="BK322" s="467"/>
      <c r="BL322" s="467"/>
    </row>
    <row r="323" customFormat="false" ht="12.75" hidden="false" customHeight="false" outlineLevel="0" collapsed="false">
      <c r="A323" s="464" t="n">
        <f aca="false">EOMONTH(A322,0)+1</f>
        <v>46204</v>
      </c>
      <c r="B323" s="467" t="n">
        <v>0.071959834686191</v>
      </c>
      <c r="C323" s="467"/>
      <c r="D323" s="467"/>
      <c r="E323" s="467"/>
      <c r="F323" s="467"/>
      <c r="G323" s="467"/>
      <c r="H323" s="467"/>
      <c r="I323" s="467"/>
      <c r="J323" s="467"/>
      <c r="K323" s="467"/>
      <c r="L323" s="467"/>
      <c r="M323" s="467"/>
      <c r="N323" s="467"/>
      <c r="O323" s="467"/>
      <c r="P323" s="467"/>
      <c r="Q323" s="467"/>
      <c r="R323" s="467"/>
      <c r="S323" s="467"/>
      <c r="T323" s="467"/>
      <c r="U323" s="467"/>
      <c r="V323" s="467"/>
      <c r="W323" s="467"/>
      <c r="X323" s="467"/>
      <c r="Y323" s="467"/>
      <c r="Z323" s="467"/>
      <c r="AA323" s="467"/>
      <c r="AB323" s="467"/>
      <c r="AC323" s="467"/>
      <c r="AD323" s="467"/>
      <c r="AE323" s="467"/>
      <c r="AF323" s="467"/>
      <c r="AG323" s="467"/>
      <c r="AH323" s="467"/>
      <c r="AI323" s="467"/>
      <c r="AJ323" s="467"/>
      <c r="AK323" s="467"/>
      <c r="AL323" s="467"/>
      <c r="AM323" s="467"/>
      <c r="AN323" s="467"/>
      <c r="AO323" s="467"/>
      <c r="AP323" s="467"/>
      <c r="AQ323" s="467"/>
      <c r="AR323" s="467"/>
      <c r="AS323" s="467"/>
      <c r="AT323" s="467"/>
      <c r="AU323" s="467"/>
      <c r="AV323" s="467"/>
      <c r="AW323" s="467"/>
      <c r="AX323" s="467"/>
      <c r="AY323" s="467"/>
      <c r="AZ323" s="467"/>
      <c r="BA323" s="467"/>
      <c r="BB323" s="467"/>
      <c r="BC323" s="467"/>
      <c r="BD323" s="467"/>
      <c r="BE323" s="467"/>
      <c r="BF323" s="467"/>
      <c r="BG323" s="467"/>
      <c r="BH323" s="467"/>
      <c r="BI323" s="467"/>
      <c r="BJ323" s="467"/>
      <c r="BK323" s="467"/>
      <c r="BL323" s="467"/>
    </row>
    <row r="324" customFormat="false" ht="12.75" hidden="false" customHeight="false" outlineLevel="0" collapsed="false">
      <c r="A324" s="464" t="n">
        <f aca="false">EOMONTH(A323,0)+1</f>
        <v>46235</v>
      </c>
      <c r="B324" s="467" t="n">
        <v>0.071955652882301</v>
      </c>
      <c r="C324" s="467"/>
      <c r="D324" s="467"/>
      <c r="E324" s="467"/>
      <c r="F324" s="467"/>
      <c r="G324" s="467"/>
      <c r="H324" s="467"/>
      <c r="I324" s="467"/>
      <c r="J324" s="467"/>
      <c r="K324" s="467"/>
      <c r="L324" s="467"/>
      <c r="M324" s="467"/>
      <c r="N324" s="467"/>
      <c r="O324" s="467"/>
      <c r="P324" s="467"/>
      <c r="Q324" s="467"/>
      <c r="R324" s="467"/>
      <c r="S324" s="467"/>
      <c r="T324" s="467"/>
      <c r="U324" s="467"/>
      <c r="V324" s="467"/>
      <c r="W324" s="467"/>
      <c r="X324" s="467"/>
      <c r="Y324" s="467"/>
      <c r="Z324" s="467"/>
      <c r="AA324" s="467"/>
      <c r="AB324" s="467"/>
      <c r="AC324" s="467"/>
      <c r="AD324" s="467"/>
      <c r="AE324" s="467"/>
      <c r="AF324" s="467"/>
      <c r="AG324" s="467"/>
      <c r="AH324" s="467"/>
      <c r="AI324" s="467"/>
      <c r="AJ324" s="467"/>
      <c r="AK324" s="467"/>
      <c r="AL324" s="467"/>
      <c r="AM324" s="467"/>
      <c r="AN324" s="467"/>
      <c r="AO324" s="467"/>
      <c r="AP324" s="467"/>
      <c r="AQ324" s="467"/>
      <c r="AR324" s="467"/>
      <c r="AS324" s="467"/>
      <c r="AT324" s="467"/>
      <c r="AU324" s="467"/>
      <c r="AV324" s="467"/>
      <c r="AW324" s="467"/>
      <c r="AX324" s="467"/>
      <c r="AY324" s="467"/>
      <c r="AZ324" s="467"/>
      <c r="BA324" s="467"/>
      <c r="BB324" s="467"/>
      <c r="BC324" s="467"/>
      <c r="BD324" s="467"/>
      <c r="BE324" s="467"/>
      <c r="BF324" s="467"/>
      <c r="BG324" s="467"/>
      <c r="BH324" s="467"/>
      <c r="BI324" s="467"/>
      <c r="BJ324" s="467"/>
      <c r="BK324" s="467"/>
      <c r="BL324" s="467"/>
    </row>
    <row r="325" customFormat="false" ht="12.75" hidden="false" customHeight="false" outlineLevel="0" collapsed="false">
      <c r="A325" s="464" t="n">
        <f aca="false">EOMONTH(A324,0)+1</f>
        <v>46266</v>
      </c>
      <c r="B325" s="467" t="n">
        <v>0.071951471078416</v>
      </c>
      <c r="C325" s="467"/>
      <c r="D325" s="467"/>
      <c r="E325" s="467"/>
      <c r="F325" s="467"/>
      <c r="G325" s="467"/>
      <c r="H325" s="467"/>
      <c r="I325" s="467"/>
      <c r="J325" s="467"/>
      <c r="K325" s="467"/>
      <c r="L325" s="467"/>
      <c r="M325" s="467"/>
      <c r="N325" s="467"/>
      <c r="O325" s="467"/>
      <c r="P325" s="467"/>
      <c r="Q325" s="467"/>
      <c r="R325" s="467"/>
      <c r="S325" s="467"/>
      <c r="T325" s="467"/>
      <c r="U325" s="467"/>
      <c r="V325" s="467"/>
      <c r="W325" s="467"/>
      <c r="X325" s="467"/>
      <c r="Y325" s="467"/>
      <c r="Z325" s="467"/>
      <c r="AA325" s="467"/>
      <c r="AB325" s="467"/>
      <c r="AC325" s="467"/>
      <c r="AD325" s="467"/>
      <c r="AE325" s="467"/>
      <c r="AF325" s="467"/>
      <c r="AG325" s="467"/>
      <c r="AH325" s="467"/>
      <c r="AI325" s="467"/>
      <c r="AJ325" s="467"/>
      <c r="AK325" s="467"/>
      <c r="AL325" s="467"/>
      <c r="AM325" s="467"/>
      <c r="AN325" s="467"/>
      <c r="AO325" s="467"/>
      <c r="AP325" s="467"/>
      <c r="AQ325" s="467"/>
      <c r="AR325" s="467"/>
      <c r="AS325" s="467"/>
      <c r="AT325" s="467"/>
      <c r="AU325" s="467"/>
      <c r="AV325" s="467"/>
      <c r="AW325" s="467"/>
      <c r="AX325" s="467"/>
      <c r="AY325" s="467"/>
      <c r="AZ325" s="467"/>
      <c r="BA325" s="467"/>
      <c r="BB325" s="467"/>
      <c r="BC325" s="467"/>
      <c r="BD325" s="467"/>
      <c r="BE325" s="467"/>
      <c r="BF325" s="467"/>
      <c r="BG325" s="467"/>
      <c r="BH325" s="467"/>
      <c r="BI325" s="467"/>
      <c r="BJ325" s="467"/>
      <c r="BK325" s="467"/>
      <c r="BL325" s="467"/>
    </row>
    <row r="326" customFormat="false" ht="12.75" hidden="false" customHeight="false" outlineLevel="0" collapsed="false">
      <c r="A326" s="464" t="n">
        <f aca="false">EOMONTH(A325,0)+1</f>
        <v>46296</v>
      </c>
      <c r="B326" s="467" t="n">
        <v>0.071947424171437</v>
      </c>
      <c r="C326" s="467"/>
      <c r="D326" s="467"/>
      <c r="E326" s="467"/>
      <c r="F326" s="467"/>
      <c r="G326" s="467"/>
      <c r="H326" s="467"/>
      <c r="I326" s="467"/>
      <c r="J326" s="467"/>
      <c r="K326" s="467"/>
      <c r="L326" s="467"/>
      <c r="M326" s="467"/>
      <c r="N326" s="467"/>
      <c r="O326" s="467"/>
      <c r="P326" s="467"/>
      <c r="Q326" s="467"/>
      <c r="R326" s="467"/>
      <c r="S326" s="467"/>
      <c r="T326" s="467"/>
      <c r="U326" s="467"/>
      <c r="V326" s="467"/>
      <c r="W326" s="467"/>
      <c r="X326" s="467"/>
      <c r="Y326" s="467"/>
      <c r="Z326" s="467"/>
      <c r="AA326" s="467"/>
      <c r="AB326" s="467"/>
      <c r="AC326" s="467"/>
      <c r="AD326" s="467"/>
      <c r="AE326" s="467"/>
      <c r="AF326" s="467"/>
      <c r="AG326" s="467"/>
      <c r="AH326" s="467"/>
      <c r="AI326" s="467"/>
      <c r="AJ326" s="467"/>
      <c r="AK326" s="467"/>
      <c r="AL326" s="467"/>
      <c r="AM326" s="467"/>
      <c r="AN326" s="467"/>
      <c r="AO326" s="467"/>
      <c r="AP326" s="467"/>
      <c r="AQ326" s="467"/>
      <c r="AR326" s="467"/>
      <c r="AS326" s="467"/>
      <c r="AT326" s="467"/>
      <c r="AU326" s="467"/>
      <c r="AV326" s="467"/>
      <c r="AW326" s="467"/>
      <c r="AX326" s="467"/>
      <c r="AY326" s="467"/>
      <c r="AZ326" s="467"/>
      <c r="BA326" s="467"/>
      <c r="BB326" s="467"/>
      <c r="BC326" s="467"/>
      <c r="BD326" s="467"/>
      <c r="BE326" s="467"/>
      <c r="BF326" s="467"/>
      <c r="BG326" s="467"/>
      <c r="BH326" s="467"/>
      <c r="BI326" s="467"/>
      <c r="BJ326" s="467"/>
      <c r="BK326" s="467"/>
      <c r="BL326" s="467"/>
    </row>
    <row r="327" customFormat="false" ht="12.75" hidden="false" customHeight="false" outlineLevel="0" collapsed="false">
      <c r="A327" s="464" t="n">
        <f aca="false">EOMONTH(A326,0)+1</f>
        <v>46327</v>
      </c>
      <c r="B327" s="467" t="n">
        <v>0.071943242367564</v>
      </c>
      <c r="C327" s="467"/>
      <c r="D327" s="467"/>
      <c r="E327" s="467"/>
      <c r="F327" s="467"/>
      <c r="G327" s="467"/>
      <c r="H327" s="467"/>
      <c r="I327" s="467"/>
      <c r="J327" s="467"/>
      <c r="K327" s="467"/>
      <c r="L327" s="467"/>
      <c r="M327" s="467"/>
      <c r="N327" s="467"/>
      <c r="O327" s="467"/>
      <c r="P327" s="467"/>
      <c r="Q327" s="467"/>
      <c r="R327" s="467"/>
      <c r="S327" s="467"/>
      <c r="T327" s="467"/>
      <c r="U327" s="467"/>
      <c r="V327" s="467"/>
      <c r="W327" s="467"/>
      <c r="X327" s="467"/>
      <c r="Y327" s="467"/>
      <c r="Z327" s="467"/>
      <c r="AA327" s="467"/>
      <c r="AB327" s="467"/>
      <c r="AC327" s="467"/>
      <c r="AD327" s="467"/>
      <c r="AE327" s="467"/>
      <c r="AF327" s="467"/>
      <c r="AG327" s="467"/>
      <c r="AH327" s="467"/>
      <c r="AI327" s="467"/>
      <c r="AJ327" s="467"/>
      <c r="AK327" s="467"/>
      <c r="AL327" s="467"/>
      <c r="AM327" s="467"/>
      <c r="AN327" s="467"/>
      <c r="AO327" s="467"/>
      <c r="AP327" s="467"/>
      <c r="AQ327" s="467"/>
      <c r="AR327" s="467"/>
      <c r="AS327" s="467"/>
      <c r="AT327" s="467"/>
      <c r="AU327" s="467"/>
      <c r="AV327" s="467"/>
      <c r="AW327" s="467"/>
      <c r="AX327" s="467"/>
      <c r="AY327" s="467"/>
      <c r="AZ327" s="467"/>
      <c r="BA327" s="467"/>
      <c r="BB327" s="467"/>
      <c r="BC327" s="467"/>
      <c r="BD327" s="467"/>
      <c r="BE327" s="467"/>
      <c r="BF327" s="467"/>
      <c r="BG327" s="467"/>
      <c r="BH327" s="467"/>
      <c r="BI327" s="467"/>
      <c r="BJ327" s="467"/>
      <c r="BK327" s="467"/>
      <c r="BL327" s="467"/>
    </row>
    <row r="328" customFormat="false" ht="12.75" hidden="false" customHeight="false" outlineLevel="0" collapsed="false">
      <c r="A328" s="464" t="n">
        <f aca="false">EOMONTH(A327,0)+1</f>
        <v>46357</v>
      </c>
      <c r="B328" s="467" t="n">
        <v>0.071939195460596</v>
      </c>
      <c r="C328" s="467"/>
      <c r="D328" s="467"/>
      <c r="E328" s="467"/>
      <c r="F328" s="467"/>
      <c r="G328" s="467"/>
      <c r="H328" s="467"/>
      <c r="I328" s="467"/>
      <c r="J328" s="467"/>
      <c r="K328" s="467"/>
      <c r="L328" s="467"/>
      <c r="M328" s="467"/>
      <c r="N328" s="467"/>
      <c r="O328" s="467"/>
      <c r="P328" s="467"/>
      <c r="Q328" s="467"/>
      <c r="R328" s="467"/>
      <c r="S328" s="467"/>
      <c r="T328" s="467"/>
      <c r="U328" s="467"/>
      <c r="V328" s="467"/>
      <c r="W328" s="467"/>
      <c r="X328" s="467"/>
      <c r="Y328" s="467"/>
      <c r="Z328" s="467"/>
      <c r="AA328" s="467"/>
      <c r="AB328" s="467"/>
      <c r="AC328" s="467"/>
      <c r="AD328" s="467"/>
      <c r="AE328" s="467"/>
      <c r="AF328" s="467"/>
      <c r="AG328" s="467"/>
      <c r="AH328" s="467"/>
      <c r="AI328" s="467"/>
      <c r="AJ328" s="467"/>
      <c r="AK328" s="467"/>
      <c r="AL328" s="467"/>
      <c r="AM328" s="467"/>
      <c r="AN328" s="467"/>
      <c r="AO328" s="467"/>
      <c r="AP328" s="467"/>
      <c r="AQ328" s="467"/>
      <c r="AR328" s="467"/>
      <c r="AS328" s="467"/>
      <c r="AT328" s="467"/>
      <c r="AU328" s="467"/>
      <c r="AV328" s="467"/>
      <c r="AW328" s="467"/>
      <c r="AX328" s="467"/>
      <c r="AY328" s="467"/>
      <c r="AZ328" s="467"/>
      <c r="BA328" s="467"/>
      <c r="BB328" s="467"/>
      <c r="BC328" s="467"/>
      <c r="BD328" s="467"/>
      <c r="BE328" s="467"/>
      <c r="BF328" s="467"/>
      <c r="BG328" s="467"/>
      <c r="BH328" s="467"/>
      <c r="BI328" s="467"/>
      <c r="BJ328" s="467"/>
      <c r="BK328" s="467"/>
      <c r="BL328" s="467"/>
    </row>
    <row r="329" customFormat="false" ht="12.75" hidden="false" customHeight="false" outlineLevel="0" collapsed="false">
      <c r="A329" s="464" t="n">
        <f aca="false">EOMONTH(A328,0)+1</f>
        <v>46388</v>
      </c>
      <c r="B329" s="467" t="n">
        <v>0.071935013656734</v>
      </c>
      <c r="C329" s="467"/>
      <c r="D329" s="467"/>
      <c r="E329" s="467"/>
      <c r="F329" s="467"/>
      <c r="G329" s="467"/>
      <c r="H329" s="467"/>
      <c r="I329" s="467"/>
      <c r="J329" s="467"/>
      <c r="K329" s="467"/>
      <c r="L329" s="467"/>
      <c r="M329" s="467"/>
      <c r="N329" s="467"/>
      <c r="O329" s="467"/>
      <c r="P329" s="467"/>
      <c r="Q329" s="467"/>
      <c r="R329" s="467"/>
      <c r="S329" s="467"/>
      <c r="T329" s="467"/>
      <c r="U329" s="467"/>
      <c r="V329" s="467"/>
      <c r="W329" s="467"/>
      <c r="X329" s="467"/>
      <c r="Y329" s="467"/>
      <c r="Z329" s="467"/>
      <c r="AA329" s="467"/>
      <c r="AB329" s="467"/>
      <c r="AC329" s="467"/>
      <c r="AD329" s="467"/>
      <c r="AE329" s="467"/>
      <c r="AF329" s="467"/>
      <c r="AG329" s="467"/>
      <c r="AH329" s="467"/>
      <c r="AI329" s="467"/>
      <c r="AJ329" s="467"/>
      <c r="AK329" s="467"/>
      <c r="AL329" s="467"/>
      <c r="AM329" s="467"/>
      <c r="AN329" s="467"/>
      <c r="AO329" s="467"/>
      <c r="AP329" s="467"/>
      <c r="AQ329" s="467"/>
      <c r="AR329" s="467"/>
      <c r="AS329" s="467"/>
      <c r="AT329" s="467"/>
      <c r="AU329" s="467"/>
      <c r="AV329" s="467"/>
      <c r="AW329" s="467"/>
      <c r="AX329" s="467"/>
      <c r="AY329" s="467"/>
      <c r="AZ329" s="467"/>
      <c r="BA329" s="467"/>
      <c r="BB329" s="467"/>
      <c r="BC329" s="467"/>
      <c r="BD329" s="467"/>
      <c r="BE329" s="467"/>
      <c r="BF329" s="467"/>
      <c r="BG329" s="467"/>
      <c r="BH329" s="467"/>
      <c r="BI329" s="467"/>
      <c r="BJ329" s="467"/>
      <c r="BK329" s="467"/>
      <c r="BL329" s="467"/>
    </row>
    <row r="330" customFormat="false" ht="12.75" hidden="false" customHeight="false" outlineLevel="0" collapsed="false">
      <c r="A330" s="464" t="n">
        <f aca="false">EOMONTH(A329,0)+1</f>
        <v>46419</v>
      </c>
      <c r="B330" s="467" t="n">
        <v>0.071930831852879</v>
      </c>
      <c r="C330" s="467"/>
      <c r="D330" s="467"/>
      <c r="E330" s="467"/>
      <c r="F330" s="467"/>
      <c r="G330" s="467"/>
      <c r="H330" s="467"/>
      <c r="I330" s="467"/>
      <c r="J330" s="467"/>
      <c r="K330" s="467"/>
      <c r="L330" s="467"/>
      <c r="M330" s="467"/>
      <c r="N330" s="467"/>
      <c r="O330" s="467"/>
      <c r="P330" s="467"/>
      <c r="Q330" s="467"/>
      <c r="R330" s="467"/>
      <c r="S330" s="467"/>
      <c r="T330" s="467"/>
      <c r="U330" s="467"/>
      <c r="V330" s="467"/>
      <c r="W330" s="467"/>
      <c r="X330" s="467"/>
      <c r="Y330" s="467"/>
      <c r="Z330" s="467"/>
      <c r="AA330" s="467"/>
      <c r="AB330" s="467"/>
      <c r="AC330" s="467"/>
      <c r="AD330" s="467"/>
      <c r="AE330" s="467"/>
      <c r="AF330" s="467"/>
      <c r="AG330" s="467"/>
      <c r="AH330" s="467"/>
      <c r="AI330" s="467"/>
      <c r="AJ330" s="467"/>
      <c r="AK330" s="467"/>
      <c r="AL330" s="467"/>
      <c r="AM330" s="467"/>
      <c r="AN330" s="467"/>
      <c r="AO330" s="467"/>
      <c r="AP330" s="467"/>
      <c r="AQ330" s="467"/>
      <c r="AR330" s="467"/>
      <c r="AS330" s="467"/>
      <c r="AT330" s="467"/>
      <c r="AU330" s="467"/>
      <c r="AV330" s="467"/>
      <c r="AW330" s="467"/>
      <c r="AX330" s="467"/>
      <c r="AY330" s="467"/>
      <c r="AZ330" s="467"/>
      <c r="BA330" s="467"/>
      <c r="BB330" s="467"/>
      <c r="BC330" s="467"/>
      <c r="BD330" s="467"/>
      <c r="BE330" s="467"/>
      <c r="BF330" s="467"/>
      <c r="BG330" s="467"/>
      <c r="BH330" s="467"/>
      <c r="BI330" s="467"/>
      <c r="BJ330" s="467"/>
      <c r="BK330" s="467"/>
      <c r="BL330" s="467"/>
    </row>
    <row r="331" customFormat="false" ht="12.75" hidden="false" customHeight="false" outlineLevel="0" collapsed="false">
      <c r="A331" s="464" t="n">
        <f aca="false">EOMONTH(A330,0)+1</f>
        <v>46447</v>
      </c>
      <c r="B331" s="467" t="n">
        <v>0.071927054739723</v>
      </c>
      <c r="C331" s="467"/>
      <c r="D331" s="467"/>
      <c r="E331" s="467"/>
      <c r="F331" s="467"/>
      <c r="G331" s="467"/>
      <c r="H331" s="467"/>
      <c r="I331" s="467"/>
      <c r="J331" s="467"/>
      <c r="K331" s="467"/>
      <c r="L331" s="467"/>
      <c r="M331" s="467"/>
      <c r="N331" s="467"/>
      <c r="O331" s="467"/>
      <c r="P331" s="467"/>
      <c r="Q331" s="467"/>
      <c r="R331" s="467"/>
      <c r="S331" s="467"/>
      <c r="T331" s="467"/>
      <c r="U331" s="467"/>
      <c r="V331" s="467"/>
      <c r="W331" s="467"/>
      <c r="X331" s="467"/>
      <c r="Y331" s="467"/>
      <c r="Z331" s="467"/>
      <c r="AA331" s="467"/>
      <c r="AB331" s="467"/>
      <c r="AC331" s="467"/>
      <c r="AD331" s="467"/>
      <c r="AE331" s="467"/>
      <c r="AF331" s="467"/>
      <c r="AG331" s="467"/>
      <c r="AH331" s="467"/>
      <c r="AI331" s="467"/>
      <c r="AJ331" s="467"/>
      <c r="AK331" s="467"/>
      <c r="AL331" s="467"/>
      <c r="AM331" s="467"/>
      <c r="AN331" s="467"/>
      <c r="AO331" s="467"/>
      <c r="AP331" s="467"/>
      <c r="AQ331" s="467"/>
      <c r="AR331" s="467"/>
      <c r="AS331" s="467"/>
      <c r="AT331" s="467"/>
      <c r="AU331" s="467"/>
      <c r="AV331" s="467"/>
      <c r="AW331" s="467"/>
      <c r="AX331" s="467"/>
      <c r="AY331" s="467"/>
      <c r="AZ331" s="467"/>
      <c r="BA331" s="467"/>
      <c r="BB331" s="467"/>
      <c r="BC331" s="467"/>
      <c r="BD331" s="467"/>
      <c r="BE331" s="467"/>
      <c r="BF331" s="467"/>
      <c r="BG331" s="467"/>
      <c r="BH331" s="467"/>
      <c r="BI331" s="467"/>
      <c r="BJ331" s="467"/>
      <c r="BK331" s="467"/>
      <c r="BL331" s="467"/>
    </row>
    <row r="332" customFormat="false" ht="12.75" hidden="false" customHeight="false" outlineLevel="0" collapsed="false">
      <c r="A332" s="464" t="n">
        <f aca="false">EOMONTH(A331,0)+1</f>
        <v>46478</v>
      </c>
      <c r="B332" s="467" t="n">
        <v>0.071922872935879</v>
      </c>
      <c r="C332" s="467"/>
      <c r="D332" s="467"/>
      <c r="E332" s="467"/>
      <c r="F332" s="467"/>
      <c r="G332" s="467"/>
      <c r="H332" s="467"/>
      <c r="I332" s="467"/>
      <c r="J332" s="467"/>
      <c r="K332" s="467"/>
      <c r="L332" s="467"/>
      <c r="M332" s="467"/>
      <c r="N332" s="467"/>
      <c r="O332" s="467"/>
      <c r="P332" s="467"/>
      <c r="Q332" s="467"/>
      <c r="R332" s="467"/>
      <c r="S332" s="467"/>
      <c r="T332" s="467"/>
      <c r="U332" s="467"/>
      <c r="V332" s="467"/>
      <c r="W332" s="467"/>
      <c r="X332" s="467"/>
      <c r="Y332" s="467"/>
      <c r="Z332" s="467"/>
      <c r="AA332" s="467"/>
      <c r="AB332" s="467"/>
      <c r="AC332" s="467"/>
      <c r="AD332" s="467"/>
      <c r="AE332" s="467"/>
      <c r="AF332" s="467"/>
      <c r="AG332" s="467"/>
      <c r="AH332" s="467"/>
      <c r="AI332" s="467"/>
      <c r="AJ332" s="467"/>
      <c r="AK332" s="467"/>
      <c r="AL332" s="467"/>
      <c r="AM332" s="467"/>
      <c r="AN332" s="467"/>
      <c r="AO332" s="467"/>
      <c r="AP332" s="467"/>
      <c r="AQ332" s="467"/>
      <c r="AR332" s="467"/>
      <c r="AS332" s="467"/>
      <c r="AT332" s="467"/>
      <c r="AU332" s="467"/>
      <c r="AV332" s="467"/>
      <c r="AW332" s="467"/>
      <c r="AX332" s="467"/>
      <c r="AY332" s="467"/>
      <c r="AZ332" s="467"/>
      <c r="BA332" s="467"/>
      <c r="BB332" s="467"/>
      <c r="BC332" s="467"/>
      <c r="BD332" s="467"/>
      <c r="BE332" s="467"/>
      <c r="BF332" s="467"/>
      <c r="BG332" s="467"/>
      <c r="BH332" s="467"/>
      <c r="BI332" s="467"/>
      <c r="BJ332" s="467"/>
      <c r="BK332" s="467"/>
      <c r="BL332" s="467"/>
    </row>
    <row r="333" customFormat="false" ht="12.75" hidden="false" customHeight="false" outlineLevel="0" collapsed="false">
      <c r="A333" s="464" t="n">
        <f aca="false">EOMONTH(A332,0)+1</f>
        <v>46508</v>
      </c>
      <c r="B333" s="467" t="n">
        <v>0.071918826028937</v>
      </c>
      <c r="C333" s="467"/>
      <c r="D333" s="467"/>
      <c r="E333" s="467"/>
      <c r="F333" s="467"/>
      <c r="G333" s="467"/>
      <c r="H333" s="467"/>
      <c r="I333" s="467"/>
      <c r="J333" s="467"/>
      <c r="K333" s="467"/>
      <c r="L333" s="467"/>
      <c r="M333" s="467"/>
      <c r="N333" s="467"/>
      <c r="O333" s="467"/>
      <c r="P333" s="467"/>
      <c r="Q333" s="467"/>
      <c r="R333" s="467"/>
      <c r="S333" s="467"/>
      <c r="T333" s="467"/>
      <c r="U333" s="467"/>
      <c r="V333" s="467"/>
      <c r="W333" s="467"/>
      <c r="X333" s="467"/>
      <c r="Y333" s="467"/>
      <c r="Z333" s="467"/>
      <c r="AA333" s="467"/>
      <c r="AB333" s="467"/>
      <c r="AC333" s="467"/>
      <c r="AD333" s="467"/>
      <c r="AE333" s="467"/>
      <c r="AF333" s="467"/>
      <c r="AG333" s="467"/>
      <c r="AH333" s="467"/>
      <c r="AI333" s="467"/>
      <c r="AJ333" s="467"/>
      <c r="AK333" s="467"/>
      <c r="AL333" s="467"/>
      <c r="AM333" s="467"/>
      <c r="AN333" s="467"/>
      <c r="AO333" s="467"/>
      <c r="AP333" s="467"/>
      <c r="AQ333" s="467"/>
      <c r="AR333" s="467"/>
      <c r="AS333" s="467"/>
      <c r="AT333" s="467"/>
      <c r="AU333" s="467"/>
      <c r="AV333" s="467"/>
      <c r="AW333" s="467"/>
      <c r="AX333" s="467"/>
      <c r="AY333" s="467"/>
      <c r="AZ333" s="467"/>
      <c r="BA333" s="467"/>
      <c r="BB333" s="467"/>
      <c r="BC333" s="467"/>
      <c r="BD333" s="467"/>
      <c r="BE333" s="467"/>
      <c r="BF333" s="467"/>
      <c r="BG333" s="467"/>
      <c r="BH333" s="467"/>
      <c r="BI333" s="467"/>
      <c r="BJ333" s="467"/>
      <c r="BK333" s="467"/>
      <c r="BL333" s="467"/>
    </row>
    <row r="334" customFormat="false" ht="12.75" hidden="false" customHeight="false" outlineLevel="0" collapsed="false">
      <c r="A334" s="464" t="n">
        <f aca="false">EOMONTH(A333,0)+1</f>
        <v>46539</v>
      </c>
      <c r="B334" s="467" t="n">
        <v>0.071914644225104</v>
      </c>
      <c r="C334" s="467"/>
      <c r="D334" s="467"/>
      <c r="E334" s="467"/>
      <c r="F334" s="467"/>
      <c r="G334" s="467"/>
      <c r="H334" s="467"/>
      <c r="I334" s="467"/>
      <c r="J334" s="467"/>
      <c r="K334" s="467"/>
      <c r="L334" s="467"/>
      <c r="M334" s="467"/>
      <c r="N334" s="467"/>
      <c r="O334" s="467"/>
      <c r="P334" s="467"/>
      <c r="Q334" s="467"/>
      <c r="R334" s="467"/>
      <c r="S334" s="467"/>
      <c r="T334" s="467"/>
      <c r="U334" s="467"/>
      <c r="V334" s="467"/>
      <c r="W334" s="467"/>
      <c r="X334" s="467"/>
      <c r="Y334" s="467"/>
      <c r="Z334" s="467"/>
      <c r="AA334" s="467"/>
      <c r="AB334" s="467"/>
      <c r="AC334" s="467"/>
      <c r="AD334" s="467"/>
      <c r="AE334" s="467"/>
      <c r="AF334" s="467"/>
      <c r="AG334" s="467"/>
      <c r="AH334" s="467"/>
      <c r="AI334" s="467"/>
      <c r="AJ334" s="467"/>
      <c r="AK334" s="467"/>
      <c r="AL334" s="467"/>
      <c r="AM334" s="467"/>
      <c r="AN334" s="467"/>
      <c r="AO334" s="467"/>
      <c r="AP334" s="467"/>
      <c r="AQ334" s="467"/>
      <c r="AR334" s="467"/>
      <c r="AS334" s="467"/>
      <c r="AT334" s="467"/>
      <c r="AU334" s="467"/>
      <c r="AV334" s="467"/>
      <c r="AW334" s="467"/>
      <c r="AX334" s="467"/>
      <c r="AY334" s="467"/>
      <c r="AZ334" s="467"/>
      <c r="BA334" s="467"/>
      <c r="BB334" s="467"/>
      <c r="BC334" s="467"/>
      <c r="BD334" s="467"/>
      <c r="BE334" s="467"/>
      <c r="BF334" s="467"/>
      <c r="BG334" s="467"/>
      <c r="BH334" s="467"/>
      <c r="BI334" s="467"/>
      <c r="BJ334" s="467"/>
      <c r="BK334" s="467"/>
      <c r="BL334" s="467"/>
    </row>
    <row r="335" customFormat="false" ht="12.75" hidden="false" customHeight="false" outlineLevel="0" collapsed="false">
      <c r="A335" s="464"/>
      <c r="B335" s="467" t="n">
        <v>0.071910597318174</v>
      </c>
      <c r="C335" s="467"/>
      <c r="D335" s="467"/>
      <c r="E335" s="467"/>
      <c r="F335" s="467"/>
      <c r="G335" s="467"/>
      <c r="H335" s="467"/>
      <c r="I335" s="467"/>
      <c r="J335" s="467"/>
      <c r="K335" s="467"/>
      <c r="L335" s="467"/>
      <c r="M335" s="467"/>
      <c r="N335" s="467"/>
      <c r="O335" s="467"/>
      <c r="P335" s="467"/>
      <c r="Q335" s="467"/>
      <c r="R335" s="467"/>
      <c r="S335" s="467"/>
      <c r="T335" s="467"/>
      <c r="U335" s="467"/>
      <c r="V335" s="467"/>
      <c r="W335" s="467"/>
      <c r="X335" s="467"/>
      <c r="Y335" s="467"/>
      <c r="Z335" s="467"/>
      <c r="AA335" s="467"/>
      <c r="AB335" s="467"/>
      <c r="AC335" s="467"/>
      <c r="AD335" s="467"/>
      <c r="AE335" s="467"/>
      <c r="AF335" s="467"/>
      <c r="AG335" s="467"/>
      <c r="AH335" s="467"/>
      <c r="AI335" s="467"/>
      <c r="AJ335" s="467"/>
      <c r="AK335" s="467"/>
      <c r="AL335" s="467"/>
      <c r="AM335" s="467"/>
      <c r="AN335" s="467"/>
      <c r="AO335" s="467"/>
      <c r="AP335" s="467"/>
      <c r="AQ335" s="467"/>
      <c r="AR335" s="467"/>
      <c r="AS335" s="467"/>
      <c r="AT335" s="467"/>
      <c r="AU335" s="467"/>
      <c r="AV335" s="467"/>
      <c r="AW335" s="467"/>
      <c r="AX335" s="467"/>
      <c r="AY335" s="467"/>
      <c r="AZ335" s="467"/>
      <c r="BA335" s="467"/>
      <c r="BB335" s="467"/>
      <c r="BC335" s="467"/>
      <c r="BD335" s="467"/>
      <c r="BE335" s="467"/>
      <c r="BF335" s="467"/>
      <c r="BG335" s="467"/>
      <c r="BH335" s="467"/>
      <c r="BI335" s="467"/>
      <c r="BJ335" s="467"/>
      <c r="BK335" s="467"/>
      <c r="BL335" s="467"/>
    </row>
    <row r="336" customFormat="false" ht="12.75" hidden="false" customHeight="false" outlineLevel="0" collapsed="false">
      <c r="A336" s="464"/>
      <c r="B336" s="467" t="n">
        <v>0.071906415514352</v>
      </c>
      <c r="C336" s="467"/>
      <c r="D336" s="467"/>
      <c r="E336" s="467"/>
      <c r="F336" s="467"/>
      <c r="G336" s="467"/>
      <c r="H336" s="467"/>
      <c r="I336" s="467"/>
      <c r="J336" s="467"/>
      <c r="K336" s="467"/>
      <c r="L336" s="467"/>
      <c r="M336" s="467"/>
      <c r="N336" s="467"/>
      <c r="O336" s="467"/>
      <c r="P336" s="467"/>
      <c r="Q336" s="467"/>
      <c r="R336" s="467"/>
      <c r="S336" s="467"/>
      <c r="T336" s="467"/>
      <c r="U336" s="467"/>
      <c r="V336" s="467"/>
      <c r="W336" s="467"/>
      <c r="X336" s="467"/>
      <c r="Y336" s="467"/>
      <c r="Z336" s="467"/>
      <c r="AA336" s="467"/>
      <c r="AB336" s="467"/>
      <c r="AC336" s="467"/>
      <c r="AD336" s="467"/>
      <c r="AE336" s="467"/>
      <c r="AF336" s="467"/>
      <c r="AG336" s="467"/>
      <c r="AH336" s="467"/>
      <c r="AI336" s="467"/>
      <c r="AJ336" s="467"/>
      <c r="AK336" s="467"/>
      <c r="AL336" s="467"/>
      <c r="AM336" s="467"/>
      <c r="AN336" s="467"/>
      <c r="AO336" s="467"/>
      <c r="AP336" s="467"/>
      <c r="AQ336" s="467"/>
      <c r="AR336" s="467"/>
      <c r="AS336" s="467"/>
      <c r="AT336" s="467"/>
      <c r="AU336" s="467"/>
      <c r="AV336" s="467"/>
      <c r="AW336" s="467"/>
      <c r="AX336" s="467"/>
      <c r="AY336" s="467"/>
      <c r="AZ336" s="467"/>
      <c r="BA336" s="467"/>
      <c r="BB336" s="467"/>
      <c r="BC336" s="467"/>
      <c r="BD336" s="467"/>
      <c r="BE336" s="467"/>
      <c r="BF336" s="467"/>
      <c r="BG336" s="467"/>
      <c r="BH336" s="467"/>
      <c r="BI336" s="467"/>
      <c r="BJ336" s="467"/>
      <c r="BK336" s="467"/>
      <c r="BL336" s="467"/>
    </row>
    <row r="337" customFormat="false" ht="12.75" hidden="false" customHeight="false" outlineLevel="0" collapsed="false">
      <c r="A337" s="464"/>
      <c r="B337" s="467" t="n">
        <v>0.071902233710535</v>
      </c>
      <c r="C337" s="467"/>
      <c r="D337" s="467"/>
      <c r="E337" s="467"/>
      <c r="F337" s="467"/>
      <c r="G337" s="467"/>
      <c r="H337" s="467"/>
      <c r="I337" s="467"/>
      <c r="J337" s="467"/>
      <c r="K337" s="467"/>
      <c r="L337" s="467"/>
      <c r="M337" s="467"/>
      <c r="N337" s="467"/>
      <c r="O337" s="467"/>
      <c r="P337" s="467"/>
      <c r="Q337" s="467"/>
      <c r="R337" s="467"/>
      <c r="S337" s="467"/>
      <c r="T337" s="467"/>
      <c r="U337" s="467"/>
      <c r="V337" s="467"/>
      <c r="W337" s="467"/>
      <c r="X337" s="467"/>
      <c r="Y337" s="467"/>
      <c r="Z337" s="467"/>
      <c r="AA337" s="467"/>
      <c r="AB337" s="467"/>
      <c r="AC337" s="467"/>
      <c r="AD337" s="467"/>
      <c r="AE337" s="467"/>
      <c r="AF337" s="467"/>
      <c r="AG337" s="467"/>
      <c r="AH337" s="467"/>
      <c r="AI337" s="467"/>
      <c r="AJ337" s="467"/>
      <c r="AK337" s="467"/>
      <c r="AL337" s="467"/>
      <c r="AM337" s="467"/>
      <c r="AN337" s="467"/>
      <c r="AO337" s="467"/>
      <c r="AP337" s="467"/>
      <c r="AQ337" s="467"/>
      <c r="AR337" s="467"/>
      <c r="AS337" s="467"/>
      <c r="AT337" s="467"/>
      <c r="AU337" s="467"/>
      <c r="AV337" s="467"/>
      <c r="AW337" s="467"/>
      <c r="AX337" s="467"/>
      <c r="AY337" s="467"/>
      <c r="AZ337" s="467"/>
      <c r="BA337" s="467"/>
      <c r="BB337" s="467"/>
      <c r="BC337" s="467"/>
      <c r="BD337" s="467"/>
      <c r="BE337" s="467"/>
      <c r="BF337" s="467"/>
      <c r="BG337" s="467"/>
      <c r="BH337" s="467"/>
      <c r="BI337" s="467"/>
      <c r="BJ337" s="467"/>
      <c r="BK337" s="467"/>
      <c r="BL337" s="467"/>
    </row>
    <row r="338" customFormat="false" ht="12.75" hidden="false" customHeight="false" outlineLevel="0" collapsed="false">
      <c r="A338" s="464"/>
      <c r="B338" s="467" t="n">
        <v>0.071898186803622</v>
      </c>
      <c r="C338" s="467"/>
      <c r="D338" s="467"/>
      <c r="E338" s="467"/>
      <c r="F338" s="467"/>
      <c r="G338" s="467"/>
      <c r="H338" s="467"/>
      <c r="I338" s="467"/>
      <c r="J338" s="467"/>
      <c r="K338" s="467"/>
      <c r="L338" s="467"/>
      <c r="M338" s="467"/>
      <c r="N338" s="467"/>
      <c r="O338" s="467"/>
      <c r="P338" s="467"/>
      <c r="Q338" s="467"/>
      <c r="R338" s="467"/>
      <c r="S338" s="467"/>
      <c r="T338" s="467"/>
      <c r="U338" s="467"/>
      <c r="V338" s="467"/>
      <c r="W338" s="467"/>
      <c r="X338" s="467"/>
      <c r="Y338" s="467"/>
      <c r="Z338" s="467"/>
      <c r="AA338" s="467"/>
      <c r="AB338" s="467"/>
      <c r="AC338" s="467"/>
      <c r="AD338" s="467"/>
      <c r="AE338" s="467"/>
      <c r="AF338" s="467"/>
      <c r="AG338" s="467"/>
      <c r="AH338" s="467"/>
      <c r="AI338" s="467"/>
      <c r="AJ338" s="467"/>
      <c r="AK338" s="467"/>
      <c r="AL338" s="467"/>
      <c r="AM338" s="467"/>
      <c r="AN338" s="467"/>
      <c r="AO338" s="467"/>
      <c r="AP338" s="467"/>
      <c r="AQ338" s="467"/>
      <c r="AR338" s="467"/>
      <c r="AS338" s="467"/>
      <c r="AT338" s="467"/>
      <c r="AU338" s="467"/>
      <c r="AV338" s="467"/>
      <c r="AW338" s="467"/>
      <c r="AX338" s="467"/>
      <c r="AY338" s="467"/>
      <c r="AZ338" s="467"/>
      <c r="BA338" s="467"/>
      <c r="BB338" s="467"/>
      <c r="BC338" s="467"/>
      <c r="BD338" s="467"/>
      <c r="BE338" s="467"/>
      <c r="BF338" s="467"/>
      <c r="BG338" s="467"/>
      <c r="BH338" s="467"/>
      <c r="BI338" s="467"/>
      <c r="BJ338" s="467"/>
      <c r="BK338" s="467"/>
      <c r="BL338" s="467"/>
    </row>
    <row r="339" customFormat="false" ht="12.75" hidden="false" customHeight="false" outlineLevel="0" collapsed="false">
      <c r="A339" s="464"/>
      <c r="B339" s="467" t="n">
        <v>0.071894004999817</v>
      </c>
      <c r="C339" s="467"/>
      <c r="D339" s="467"/>
      <c r="E339" s="467"/>
      <c r="F339" s="467"/>
      <c r="G339" s="467"/>
      <c r="H339" s="467"/>
      <c r="I339" s="467"/>
      <c r="J339" s="467"/>
      <c r="K339" s="467"/>
      <c r="L339" s="467"/>
      <c r="M339" s="467"/>
      <c r="N339" s="467"/>
      <c r="O339" s="467"/>
      <c r="P339" s="467"/>
      <c r="Q339" s="467"/>
      <c r="R339" s="467"/>
      <c r="S339" s="467"/>
      <c r="T339" s="467"/>
      <c r="U339" s="467"/>
      <c r="V339" s="467"/>
      <c r="W339" s="467"/>
      <c r="X339" s="467"/>
      <c r="Y339" s="467"/>
      <c r="Z339" s="467"/>
      <c r="AA339" s="467"/>
      <c r="AB339" s="467"/>
      <c r="AC339" s="467"/>
      <c r="AD339" s="467"/>
      <c r="AE339" s="467"/>
      <c r="AF339" s="467"/>
      <c r="AG339" s="467"/>
      <c r="AH339" s="467"/>
      <c r="AI339" s="467"/>
      <c r="AJ339" s="467"/>
      <c r="AK339" s="467"/>
      <c r="AL339" s="467"/>
      <c r="AM339" s="467"/>
      <c r="AN339" s="467"/>
      <c r="AO339" s="467"/>
      <c r="AP339" s="467"/>
      <c r="AQ339" s="467"/>
      <c r="AR339" s="467"/>
      <c r="AS339" s="467"/>
      <c r="AT339" s="467"/>
      <c r="AU339" s="467"/>
      <c r="AV339" s="467"/>
      <c r="AW339" s="467"/>
      <c r="AX339" s="467"/>
      <c r="AY339" s="467"/>
      <c r="AZ339" s="467"/>
      <c r="BA339" s="467"/>
      <c r="BB339" s="467"/>
      <c r="BC339" s="467"/>
      <c r="BD339" s="467"/>
      <c r="BE339" s="467"/>
      <c r="BF339" s="467"/>
      <c r="BG339" s="467"/>
      <c r="BH339" s="467"/>
      <c r="BI339" s="467"/>
      <c r="BJ339" s="467"/>
      <c r="BK339" s="467"/>
      <c r="BL339" s="467"/>
    </row>
    <row r="340" customFormat="false" ht="12.75" hidden="false" customHeight="false" outlineLevel="0" collapsed="false">
      <c r="A340" s="464"/>
      <c r="B340" s="467" t="n">
        <v>0.071889958092915</v>
      </c>
      <c r="C340" s="467"/>
      <c r="D340" s="467"/>
      <c r="E340" s="467"/>
      <c r="F340" s="467"/>
      <c r="G340" s="467"/>
      <c r="H340" s="467"/>
      <c r="I340" s="467"/>
      <c r="J340" s="467"/>
      <c r="K340" s="467"/>
      <c r="L340" s="467"/>
      <c r="M340" s="467"/>
      <c r="N340" s="467"/>
      <c r="O340" s="467"/>
      <c r="P340" s="467"/>
      <c r="Q340" s="467"/>
      <c r="R340" s="467"/>
      <c r="S340" s="467"/>
      <c r="T340" s="467"/>
      <c r="U340" s="467"/>
      <c r="V340" s="467"/>
      <c r="W340" s="467"/>
      <c r="X340" s="467"/>
      <c r="Y340" s="467"/>
      <c r="Z340" s="467"/>
      <c r="AA340" s="467"/>
      <c r="AB340" s="467"/>
      <c r="AC340" s="467"/>
      <c r="AD340" s="467"/>
      <c r="AE340" s="467"/>
      <c r="AF340" s="467"/>
      <c r="AG340" s="467"/>
      <c r="AH340" s="467"/>
      <c r="AI340" s="467"/>
      <c r="AJ340" s="467"/>
      <c r="AK340" s="467"/>
      <c r="AL340" s="467"/>
      <c r="AM340" s="467"/>
      <c r="AN340" s="467"/>
      <c r="AO340" s="467"/>
      <c r="AP340" s="467"/>
      <c r="AQ340" s="467"/>
      <c r="AR340" s="467"/>
      <c r="AS340" s="467"/>
      <c r="AT340" s="467"/>
      <c r="AU340" s="467"/>
      <c r="AV340" s="467"/>
      <c r="AW340" s="467"/>
      <c r="AX340" s="467"/>
      <c r="AY340" s="467"/>
      <c r="AZ340" s="467"/>
      <c r="BA340" s="467"/>
      <c r="BB340" s="467"/>
      <c r="BC340" s="467"/>
      <c r="BD340" s="467"/>
      <c r="BE340" s="467"/>
      <c r="BF340" s="467"/>
      <c r="BG340" s="467"/>
      <c r="BH340" s="467"/>
      <c r="BI340" s="467"/>
      <c r="BJ340" s="467"/>
      <c r="BK340" s="467"/>
      <c r="BL340" s="467"/>
    </row>
    <row r="341" customFormat="false" ht="12.75" hidden="false" customHeight="false" outlineLevel="0" collapsed="false">
      <c r="A341" s="464"/>
      <c r="B341" s="467" t="n">
        <v>0.071885776289121</v>
      </c>
      <c r="C341" s="467"/>
      <c r="D341" s="467"/>
      <c r="E341" s="467"/>
      <c r="F341" s="467"/>
      <c r="G341" s="467"/>
      <c r="H341" s="467"/>
      <c r="I341" s="467"/>
      <c r="J341" s="467"/>
      <c r="K341" s="467"/>
      <c r="L341" s="467"/>
      <c r="M341" s="467"/>
      <c r="N341" s="467"/>
      <c r="O341" s="467"/>
      <c r="P341" s="467"/>
      <c r="Q341" s="467"/>
      <c r="R341" s="467"/>
      <c r="S341" s="467"/>
      <c r="T341" s="467"/>
      <c r="U341" s="467"/>
      <c r="V341" s="467"/>
      <c r="W341" s="467"/>
      <c r="X341" s="467"/>
      <c r="Y341" s="467"/>
      <c r="Z341" s="467"/>
      <c r="AA341" s="467"/>
      <c r="AB341" s="467"/>
      <c r="AC341" s="467"/>
      <c r="AD341" s="467"/>
      <c r="AE341" s="467"/>
      <c r="AF341" s="467"/>
      <c r="AG341" s="467"/>
      <c r="AH341" s="467"/>
      <c r="AI341" s="467"/>
      <c r="AJ341" s="467"/>
      <c r="AK341" s="467"/>
      <c r="AL341" s="467"/>
      <c r="AM341" s="467"/>
      <c r="AN341" s="467"/>
      <c r="AO341" s="467"/>
      <c r="AP341" s="467"/>
      <c r="AQ341" s="467"/>
      <c r="AR341" s="467"/>
      <c r="AS341" s="467"/>
      <c r="AT341" s="467"/>
      <c r="AU341" s="467"/>
      <c r="AV341" s="467"/>
      <c r="AW341" s="467"/>
      <c r="AX341" s="467"/>
      <c r="AY341" s="467"/>
      <c r="AZ341" s="467"/>
      <c r="BA341" s="467"/>
      <c r="BB341" s="467"/>
      <c r="BC341" s="467"/>
      <c r="BD341" s="467"/>
      <c r="BE341" s="467"/>
      <c r="BF341" s="467"/>
      <c r="BG341" s="467"/>
      <c r="BH341" s="467"/>
      <c r="BI341" s="467"/>
      <c r="BJ341" s="467"/>
      <c r="BK341" s="467"/>
      <c r="BL341" s="467"/>
    </row>
    <row r="342" customFormat="false" ht="12.75" hidden="false" customHeight="false" outlineLevel="0" collapsed="false">
      <c r="A342" s="464"/>
      <c r="B342" s="467" t="n">
        <v>0.071881594485333</v>
      </c>
      <c r="C342" s="467"/>
      <c r="D342" s="467"/>
      <c r="E342" s="467"/>
      <c r="F342" s="467"/>
      <c r="G342" s="467"/>
      <c r="H342" s="467"/>
      <c r="I342" s="467"/>
      <c r="J342" s="467"/>
      <c r="K342" s="467"/>
      <c r="L342" s="467"/>
      <c r="M342" s="467"/>
      <c r="N342" s="467"/>
      <c r="O342" s="467"/>
      <c r="P342" s="467"/>
      <c r="Q342" s="467"/>
      <c r="R342" s="467"/>
      <c r="S342" s="467"/>
      <c r="T342" s="467"/>
      <c r="U342" s="467"/>
      <c r="V342" s="467"/>
      <c r="W342" s="467"/>
      <c r="X342" s="467"/>
      <c r="Y342" s="467"/>
      <c r="Z342" s="467"/>
      <c r="AA342" s="467"/>
      <c r="AB342" s="467"/>
      <c r="AC342" s="467"/>
      <c r="AD342" s="467"/>
      <c r="AE342" s="467"/>
      <c r="AF342" s="467"/>
      <c r="AG342" s="467"/>
      <c r="AH342" s="467"/>
      <c r="AI342" s="467"/>
      <c r="AJ342" s="467"/>
      <c r="AK342" s="467"/>
      <c r="AL342" s="467"/>
      <c r="AM342" s="467"/>
      <c r="AN342" s="467"/>
      <c r="AO342" s="467"/>
      <c r="AP342" s="467"/>
      <c r="AQ342" s="467"/>
      <c r="AR342" s="467"/>
      <c r="AS342" s="467"/>
      <c r="AT342" s="467"/>
      <c r="AU342" s="467"/>
      <c r="AV342" s="467"/>
      <c r="AW342" s="467"/>
      <c r="AX342" s="467"/>
      <c r="AY342" s="467"/>
      <c r="AZ342" s="467"/>
      <c r="BA342" s="467"/>
      <c r="BB342" s="467"/>
      <c r="BC342" s="467"/>
      <c r="BD342" s="467"/>
      <c r="BE342" s="467"/>
      <c r="BF342" s="467"/>
      <c r="BG342" s="467"/>
      <c r="BH342" s="467"/>
      <c r="BI342" s="467"/>
      <c r="BJ342" s="467"/>
      <c r="BK342" s="467"/>
      <c r="BL342" s="467"/>
    </row>
    <row r="343" customFormat="false" ht="12.75" hidden="false" customHeight="false" outlineLevel="0" collapsed="false">
      <c r="A343" s="464"/>
      <c r="B343" s="467" t="n">
        <v>0.071877682475344</v>
      </c>
      <c r="C343" s="467"/>
      <c r="D343" s="467"/>
      <c r="E343" s="467"/>
      <c r="F343" s="467"/>
      <c r="G343" s="467"/>
      <c r="H343" s="467"/>
      <c r="I343" s="467"/>
      <c r="J343" s="467"/>
      <c r="K343" s="467"/>
      <c r="L343" s="467"/>
      <c r="M343" s="467"/>
      <c r="N343" s="467"/>
      <c r="O343" s="467"/>
      <c r="P343" s="467"/>
      <c r="Q343" s="467"/>
      <c r="R343" s="467"/>
      <c r="S343" s="467"/>
      <c r="T343" s="467"/>
      <c r="U343" s="467"/>
      <c r="V343" s="467"/>
      <c r="W343" s="467"/>
      <c r="X343" s="467"/>
      <c r="Y343" s="467"/>
      <c r="Z343" s="467"/>
      <c r="AA343" s="467"/>
      <c r="AB343" s="467"/>
      <c r="AC343" s="467"/>
      <c r="AD343" s="467"/>
      <c r="AE343" s="467"/>
      <c r="AF343" s="467"/>
      <c r="AG343" s="467"/>
      <c r="AH343" s="467"/>
      <c r="AI343" s="467"/>
      <c r="AJ343" s="467"/>
      <c r="AK343" s="467"/>
      <c r="AL343" s="467"/>
      <c r="AM343" s="467"/>
      <c r="AN343" s="467"/>
      <c r="AO343" s="467"/>
      <c r="AP343" s="467"/>
      <c r="AQ343" s="467"/>
      <c r="AR343" s="467"/>
      <c r="AS343" s="467"/>
      <c r="AT343" s="467"/>
      <c r="AU343" s="467"/>
      <c r="AV343" s="467"/>
      <c r="AW343" s="467"/>
      <c r="AX343" s="467"/>
      <c r="AY343" s="467"/>
      <c r="AZ343" s="467"/>
      <c r="BA343" s="467"/>
      <c r="BB343" s="467"/>
      <c r="BC343" s="467"/>
      <c r="BD343" s="467"/>
      <c r="BE343" s="467"/>
      <c r="BF343" s="467"/>
      <c r="BG343" s="467"/>
      <c r="BH343" s="467"/>
      <c r="BI343" s="467"/>
      <c r="BJ343" s="467"/>
      <c r="BK343" s="467"/>
      <c r="BL343" s="467"/>
    </row>
    <row r="344" customFormat="false" ht="12.75" hidden="false" customHeight="false" outlineLevel="0" collapsed="false">
      <c r="A344" s="464"/>
      <c r="B344" s="467" t="n">
        <v>0.071873500671567</v>
      </c>
      <c r="C344" s="467"/>
      <c r="D344" s="467"/>
      <c r="E344" s="467"/>
      <c r="F344" s="467"/>
      <c r="G344" s="467"/>
      <c r="H344" s="467"/>
      <c r="I344" s="467"/>
      <c r="J344" s="467"/>
      <c r="K344" s="467"/>
      <c r="L344" s="467"/>
      <c r="M344" s="467"/>
      <c r="N344" s="467"/>
      <c r="O344" s="467"/>
      <c r="P344" s="467"/>
      <c r="Q344" s="467"/>
      <c r="R344" s="467"/>
      <c r="S344" s="467"/>
      <c r="T344" s="467"/>
      <c r="U344" s="467"/>
      <c r="V344" s="467"/>
      <c r="W344" s="467"/>
      <c r="X344" s="467"/>
      <c r="Y344" s="467"/>
      <c r="Z344" s="467"/>
      <c r="AA344" s="467"/>
      <c r="AB344" s="467"/>
      <c r="AC344" s="467"/>
      <c r="AD344" s="467"/>
      <c r="AE344" s="467"/>
      <c r="AF344" s="467"/>
      <c r="AG344" s="467"/>
      <c r="AH344" s="467"/>
      <c r="AI344" s="467"/>
      <c r="AJ344" s="467"/>
      <c r="AK344" s="467"/>
      <c r="AL344" s="467"/>
      <c r="AM344" s="467"/>
      <c r="AN344" s="467"/>
      <c r="AO344" s="467"/>
      <c r="AP344" s="467"/>
      <c r="AQ344" s="467"/>
      <c r="AR344" s="467"/>
      <c r="AS344" s="467"/>
      <c r="AT344" s="467"/>
      <c r="AU344" s="467"/>
      <c r="AV344" s="467"/>
      <c r="AW344" s="467"/>
      <c r="AX344" s="467"/>
      <c r="AY344" s="467"/>
      <c r="AZ344" s="467"/>
      <c r="BA344" s="467"/>
      <c r="BB344" s="467"/>
      <c r="BC344" s="467"/>
      <c r="BD344" s="467"/>
      <c r="BE344" s="467"/>
      <c r="BF344" s="467"/>
      <c r="BG344" s="467"/>
      <c r="BH344" s="467"/>
      <c r="BI344" s="467"/>
      <c r="BJ344" s="467"/>
      <c r="BK344" s="467"/>
      <c r="BL344" s="467"/>
    </row>
    <row r="345" customFormat="false" ht="12.75" hidden="false" customHeight="false" outlineLevel="0" collapsed="false">
      <c r="A345" s="464"/>
      <c r="B345" s="467" t="n">
        <v>0.071869453764692</v>
      </c>
      <c r="C345" s="467"/>
      <c r="D345" s="467"/>
      <c r="E345" s="467"/>
      <c r="F345" s="467"/>
      <c r="G345" s="467"/>
      <c r="H345" s="467"/>
      <c r="I345" s="467"/>
      <c r="J345" s="467"/>
      <c r="K345" s="467"/>
      <c r="L345" s="467"/>
      <c r="M345" s="467"/>
      <c r="N345" s="467"/>
      <c r="O345" s="467"/>
      <c r="P345" s="467"/>
      <c r="Q345" s="467"/>
      <c r="R345" s="467"/>
      <c r="S345" s="467"/>
      <c r="T345" s="467"/>
      <c r="U345" s="467"/>
      <c r="V345" s="467"/>
      <c r="W345" s="467"/>
      <c r="X345" s="467"/>
      <c r="Y345" s="467"/>
      <c r="Z345" s="467"/>
      <c r="AA345" s="467"/>
      <c r="AB345" s="467"/>
      <c r="AC345" s="467"/>
      <c r="AD345" s="467"/>
      <c r="AE345" s="467"/>
      <c r="AF345" s="467"/>
      <c r="AG345" s="467"/>
      <c r="AH345" s="467"/>
      <c r="AI345" s="467"/>
      <c r="AJ345" s="467"/>
      <c r="AK345" s="467"/>
      <c r="AL345" s="467"/>
      <c r="AM345" s="467"/>
      <c r="AN345" s="467"/>
      <c r="AO345" s="467"/>
      <c r="AP345" s="467"/>
      <c r="AQ345" s="467"/>
      <c r="AR345" s="467"/>
      <c r="AS345" s="467"/>
      <c r="AT345" s="467"/>
      <c r="AU345" s="467"/>
      <c r="AV345" s="467"/>
      <c r="AW345" s="467"/>
      <c r="AX345" s="467"/>
      <c r="AY345" s="467"/>
      <c r="AZ345" s="467"/>
      <c r="BA345" s="467"/>
      <c r="BB345" s="467"/>
      <c r="BC345" s="467"/>
      <c r="BD345" s="467"/>
      <c r="BE345" s="467"/>
      <c r="BF345" s="467"/>
      <c r="BG345" s="467"/>
      <c r="BH345" s="467"/>
      <c r="BI345" s="467"/>
      <c r="BJ345" s="467"/>
      <c r="BK345" s="467"/>
      <c r="BL345" s="467"/>
    </row>
    <row r="346" customFormat="false" ht="12.75" hidden="false" customHeight="false" outlineLevel="0" collapsed="false">
      <c r="A346" s="464"/>
      <c r="B346" s="467" t="n">
        <v>0.071865271960927</v>
      </c>
      <c r="C346" s="467"/>
      <c r="D346" s="467"/>
      <c r="E346" s="467"/>
      <c r="F346" s="467"/>
      <c r="G346" s="467"/>
      <c r="H346" s="467"/>
      <c r="I346" s="467"/>
      <c r="J346" s="467"/>
      <c r="K346" s="467"/>
      <c r="L346" s="467"/>
      <c r="M346" s="467"/>
      <c r="N346" s="467"/>
      <c r="O346" s="467"/>
      <c r="P346" s="467"/>
      <c r="Q346" s="467"/>
      <c r="R346" s="467"/>
      <c r="S346" s="467"/>
      <c r="T346" s="467"/>
      <c r="U346" s="467"/>
      <c r="V346" s="467"/>
      <c r="W346" s="467"/>
      <c r="X346" s="467"/>
      <c r="Y346" s="467"/>
      <c r="Z346" s="467"/>
      <c r="AA346" s="467"/>
      <c r="AB346" s="467"/>
      <c r="AC346" s="467"/>
      <c r="AD346" s="467"/>
      <c r="AE346" s="467"/>
      <c r="AF346" s="467"/>
      <c r="AG346" s="467"/>
      <c r="AH346" s="467"/>
      <c r="AI346" s="467"/>
      <c r="AJ346" s="467"/>
      <c r="AK346" s="467"/>
      <c r="AL346" s="467"/>
      <c r="AM346" s="467"/>
      <c r="AN346" s="467"/>
      <c r="AO346" s="467"/>
      <c r="AP346" s="467"/>
      <c r="AQ346" s="467"/>
      <c r="AR346" s="467"/>
      <c r="AS346" s="467"/>
      <c r="AT346" s="467"/>
      <c r="AU346" s="467"/>
      <c r="AV346" s="467"/>
      <c r="AW346" s="467"/>
      <c r="AX346" s="467"/>
      <c r="AY346" s="467"/>
      <c r="AZ346" s="467"/>
      <c r="BA346" s="467"/>
      <c r="BB346" s="467"/>
      <c r="BC346" s="467"/>
      <c r="BD346" s="467"/>
      <c r="BE346" s="467"/>
      <c r="BF346" s="467"/>
      <c r="BG346" s="467"/>
      <c r="BH346" s="467"/>
      <c r="BI346" s="467"/>
      <c r="BJ346" s="467"/>
      <c r="BK346" s="467"/>
      <c r="BL346" s="467"/>
    </row>
    <row r="347" customFormat="false" ht="12.75" hidden="false" customHeight="false" outlineLevel="0" collapsed="false">
      <c r="A347" s="464"/>
      <c r="B347" s="467" t="n">
        <v>0.071861225054063</v>
      </c>
      <c r="C347" s="467"/>
      <c r="D347" s="467"/>
      <c r="E347" s="467"/>
      <c r="F347" s="467"/>
      <c r="G347" s="467"/>
      <c r="H347" s="467"/>
      <c r="I347" s="467"/>
      <c r="J347" s="467"/>
      <c r="K347" s="467"/>
      <c r="L347" s="467"/>
      <c r="M347" s="467"/>
      <c r="N347" s="467"/>
      <c r="O347" s="467"/>
      <c r="P347" s="467"/>
      <c r="Q347" s="467"/>
      <c r="R347" s="467"/>
      <c r="S347" s="467"/>
      <c r="T347" s="467"/>
      <c r="U347" s="467"/>
      <c r="V347" s="467"/>
      <c r="W347" s="467"/>
      <c r="X347" s="467"/>
      <c r="Y347" s="467"/>
      <c r="Z347" s="467"/>
      <c r="AA347" s="467"/>
      <c r="AB347" s="467"/>
      <c r="AC347" s="467"/>
      <c r="AD347" s="467"/>
      <c r="AE347" s="467"/>
      <c r="AF347" s="467"/>
      <c r="AG347" s="467"/>
      <c r="AH347" s="467"/>
      <c r="AI347" s="467"/>
      <c r="AJ347" s="467"/>
      <c r="AK347" s="467"/>
      <c r="AL347" s="467"/>
      <c r="AM347" s="467"/>
      <c r="AN347" s="467"/>
      <c r="AO347" s="467"/>
      <c r="AP347" s="467"/>
      <c r="AQ347" s="467"/>
      <c r="AR347" s="467"/>
      <c r="AS347" s="467"/>
      <c r="AT347" s="467"/>
      <c r="AU347" s="467"/>
      <c r="AV347" s="467"/>
      <c r="AW347" s="467"/>
      <c r="AX347" s="467"/>
      <c r="AY347" s="467"/>
      <c r="AZ347" s="467"/>
      <c r="BA347" s="467"/>
      <c r="BB347" s="467"/>
      <c r="BC347" s="467"/>
      <c r="BD347" s="467"/>
      <c r="BE347" s="467"/>
      <c r="BF347" s="467"/>
      <c r="BG347" s="467"/>
      <c r="BH347" s="467"/>
      <c r="BI347" s="467"/>
      <c r="BJ347" s="467"/>
      <c r="BK347" s="467"/>
      <c r="BL347" s="467"/>
    </row>
    <row r="348" customFormat="false" ht="12.75" hidden="false" customHeight="false" outlineLevel="0" collapsed="false">
      <c r="A348" s="464"/>
      <c r="B348" s="467" t="n">
        <v>0.071857043250309</v>
      </c>
      <c r="C348" s="467"/>
      <c r="D348" s="467"/>
      <c r="E348" s="467"/>
      <c r="F348" s="467"/>
      <c r="G348" s="467"/>
      <c r="H348" s="467"/>
      <c r="I348" s="467"/>
      <c r="J348" s="467"/>
      <c r="K348" s="467"/>
      <c r="L348" s="467"/>
      <c r="M348" s="467"/>
      <c r="N348" s="467"/>
      <c r="O348" s="467"/>
      <c r="P348" s="467"/>
      <c r="Q348" s="467"/>
      <c r="R348" s="467"/>
      <c r="S348" s="467"/>
      <c r="T348" s="467"/>
      <c r="U348" s="467"/>
      <c r="V348" s="467"/>
      <c r="W348" s="467"/>
      <c r="X348" s="467"/>
      <c r="Y348" s="467"/>
      <c r="Z348" s="467"/>
      <c r="AA348" s="467"/>
      <c r="AB348" s="467"/>
      <c r="AC348" s="467"/>
      <c r="AD348" s="467"/>
      <c r="AE348" s="467"/>
      <c r="AF348" s="467"/>
      <c r="AG348" s="467"/>
      <c r="AH348" s="467"/>
      <c r="AI348" s="467"/>
      <c r="AJ348" s="467"/>
      <c r="AK348" s="467"/>
      <c r="AL348" s="467"/>
      <c r="AM348" s="467"/>
      <c r="AN348" s="467"/>
      <c r="AO348" s="467"/>
      <c r="AP348" s="467"/>
      <c r="AQ348" s="467"/>
      <c r="AR348" s="467"/>
      <c r="AS348" s="467"/>
      <c r="AT348" s="467"/>
      <c r="AU348" s="467"/>
      <c r="AV348" s="467"/>
      <c r="AW348" s="467"/>
      <c r="AX348" s="467"/>
      <c r="AY348" s="467"/>
      <c r="AZ348" s="467"/>
      <c r="BA348" s="467"/>
      <c r="BB348" s="467"/>
      <c r="BC348" s="467"/>
      <c r="BD348" s="467"/>
      <c r="BE348" s="467"/>
      <c r="BF348" s="467"/>
      <c r="BG348" s="467"/>
      <c r="BH348" s="467"/>
      <c r="BI348" s="467"/>
      <c r="BJ348" s="467"/>
      <c r="BK348" s="467"/>
      <c r="BL348" s="467"/>
    </row>
    <row r="349" customFormat="false" ht="12.75" hidden="false" customHeight="false" outlineLevel="0" collapsed="false">
      <c r="A349" s="464"/>
      <c r="B349" s="467" t="n">
        <v>0.071852861446561</v>
      </c>
      <c r="C349" s="467"/>
      <c r="D349" s="467"/>
      <c r="E349" s="467"/>
      <c r="F349" s="467"/>
      <c r="G349" s="467"/>
      <c r="H349" s="467"/>
      <c r="I349" s="467"/>
      <c r="J349" s="467"/>
      <c r="K349" s="467"/>
      <c r="L349" s="467"/>
      <c r="M349" s="467"/>
      <c r="N349" s="467"/>
      <c r="O349" s="467"/>
      <c r="P349" s="467"/>
      <c r="Q349" s="467"/>
      <c r="R349" s="467"/>
      <c r="S349" s="467"/>
      <c r="T349" s="467"/>
      <c r="U349" s="467"/>
      <c r="V349" s="467"/>
      <c r="W349" s="467"/>
      <c r="X349" s="467"/>
      <c r="Y349" s="467"/>
      <c r="Z349" s="467"/>
      <c r="AA349" s="467"/>
      <c r="AB349" s="467"/>
      <c r="AC349" s="467"/>
      <c r="AD349" s="467"/>
      <c r="AE349" s="467"/>
      <c r="AF349" s="467"/>
      <c r="AG349" s="467"/>
      <c r="AH349" s="467"/>
      <c r="AI349" s="467"/>
      <c r="AJ349" s="467"/>
      <c r="AK349" s="467"/>
      <c r="AL349" s="467"/>
      <c r="AM349" s="467"/>
      <c r="AN349" s="467"/>
      <c r="AO349" s="467"/>
      <c r="AP349" s="467"/>
      <c r="AQ349" s="467"/>
      <c r="AR349" s="467"/>
      <c r="AS349" s="467"/>
      <c r="AT349" s="467"/>
      <c r="AU349" s="467"/>
      <c r="AV349" s="467"/>
      <c r="AW349" s="467"/>
      <c r="AX349" s="467"/>
      <c r="AY349" s="467"/>
      <c r="AZ349" s="467"/>
      <c r="BA349" s="467"/>
      <c r="BB349" s="467"/>
      <c r="BC349" s="467"/>
      <c r="BD349" s="467"/>
      <c r="BE349" s="467"/>
      <c r="BF349" s="467"/>
      <c r="BG349" s="467"/>
      <c r="BH349" s="467"/>
      <c r="BI349" s="467"/>
      <c r="BJ349" s="467"/>
      <c r="BK349" s="467"/>
      <c r="BL349" s="467"/>
    </row>
    <row r="350" customFormat="false" ht="12.75" hidden="false" customHeight="false" outlineLevel="0" collapsed="false">
      <c r="A350" s="464"/>
      <c r="B350" s="467" t="n">
        <v>0.071848814539713</v>
      </c>
      <c r="C350" s="467"/>
      <c r="D350" s="467"/>
      <c r="E350" s="467"/>
      <c r="F350" s="467"/>
      <c r="G350" s="467"/>
      <c r="H350" s="467"/>
      <c r="I350" s="467"/>
      <c r="J350" s="467"/>
      <c r="K350" s="467"/>
      <c r="L350" s="467"/>
      <c r="M350" s="467"/>
      <c r="N350" s="467"/>
      <c r="O350" s="467"/>
      <c r="P350" s="467"/>
      <c r="Q350" s="467"/>
      <c r="R350" s="467"/>
      <c r="S350" s="467"/>
      <c r="T350" s="467"/>
      <c r="U350" s="467"/>
      <c r="V350" s="467"/>
      <c r="W350" s="467"/>
      <c r="X350" s="467"/>
      <c r="Y350" s="467"/>
      <c r="Z350" s="467"/>
      <c r="AA350" s="467"/>
      <c r="AB350" s="467"/>
      <c r="AC350" s="467"/>
      <c r="AD350" s="467"/>
      <c r="AE350" s="467"/>
      <c r="AF350" s="467"/>
      <c r="AG350" s="467"/>
      <c r="AH350" s="467"/>
      <c r="AI350" s="467"/>
      <c r="AJ350" s="467"/>
      <c r="AK350" s="467"/>
      <c r="AL350" s="467"/>
      <c r="AM350" s="467"/>
      <c r="AN350" s="467"/>
      <c r="AO350" s="467"/>
      <c r="AP350" s="467"/>
      <c r="AQ350" s="467"/>
      <c r="AR350" s="467"/>
      <c r="AS350" s="467"/>
      <c r="AT350" s="467"/>
      <c r="AU350" s="467"/>
      <c r="AV350" s="467"/>
      <c r="AW350" s="467"/>
      <c r="AX350" s="467"/>
      <c r="AY350" s="467"/>
      <c r="AZ350" s="467"/>
      <c r="BA350" s="467"/>
      <c r="BB350" s="467"/>
      <c r="BC350" s="467"/>
      <c r="BD350" s="467"/>
      <c r="BE350" s="467"/>
      <c r="BF350" s="467"/>
      <c r="BG350" s="467"/>
      <c r="BH350" s="467"/>
      <c r="BI350" s="467"/>
      <c r="BJ350" s="467"/>
      <c r="BK350" s="467"/>
      <c r="BL350" s="467"/>
    </row>
    <row r="351" customFormat="false" ht="12.75" hidden="false" customHeight="false" outlineLevel="0" collapsed="false">
      <c r="A351" s="464"/>
      <c r="B351" s="467" t="n">
        <v>0.071844632735976</v>
      </c>
      <c r="C351" s="467"/>
      <c r="D351" s="467"/>
      <c r="E351" s="467"/>
      <c r="F351" s="467"/>
      <c r="G351" s="467"/>
      <c r="H351" s="467"/>
      <c r="I351" s="467"/>
      <c r="J351" s="467"/>
      <c r="K351" s="467"/>
      <c r="L351" s="467"/>
      <c r="M351" s="467"/>
      <c r="N351" s="467"/>
      <c r="O351" s="467"/>
      <c r="P351" s="467"/>
      <c r="Q351" s="467"/>
      <c r="R351" s="467"/>
      <c r="S351" s="467"/>
      <c r="T351" s="467"/>
      <c r="U351" s="467"/>
      <c r="V351" s="467"/>
      <c r="W351" s="467"/>
      <c r="X351" s="467"/>
      <c r="Y351" s="467"/>
      <c r="Z351" s="467"/>
      <c r="AA351" s="467"/>
      <c r="AB351" s="467"/>
      <c r="AC351" s="467"/>
      <c r="AD351" s="467"/>
      <c r="AE351" s="467"/>
      <c r="AF351" s="467"/>
      <c r="AG351" s="467"/>
      <c r="AH351" s="467"/>
      <c r="AI351" s="467"/>
      <c r="AJ351" s="467"/>
      <c r="AK351" s="467"/>
      <c r="AL351" s="467"/>
      <c r="AM351" s="467"/>
      <c r="AN351" s="467"/>
      <c r="AO351" s="467"/>
      <c r="AP351" s="467"/>
      <c r="AQ351" s="467"/>
      <c r="AR351" s="467"/>
      <c r="AS351" s="467"/>
      <c r="AT351" s="467"/>
      <c r="AU351" s="467"/>
      <c r="AV351" s="467"/>
      <c r="AW351" s="467"/>
      <c r="AX351" s="467"/>
      <c r="AY351" s="467"/>
      <c r="AZ351" s="467"/>
      <c r="BA351" s="467"/>
      <c r="BB351" s="467"/>
      <c r="BC351" s="467"/>
      <c r="BD351" s="467"/>
      <c r="BE351" s="467"/>
      <c r="BF351" s="467"/>
      <c r="BG351" s="467"/>
      <c r="BH351" s="467"/>
      <c r="BI351" s="467"/>
      <c r="BJ351" s="467"/>
      <c r="BK351" s="467"/>
      <c r="BL351" s="467"/>
    </row>
    <row r="352" customFormat="false" ht="12.75" hidden="false" customHeight="false" outlineLevel="0" collapsed="false">
      <c r="A352" s="464"/>
      <c r="B352" s="467" t="n">
        <v>0.07184058582914</v>
      </c>
      <c r="C352" s="467"/>
      <c r="D352" s="467"/>
      <c r="E352" s="467"/>
      <c r="F352" s="467"/>
      <c r="G352" s="467"/>
      <c r="H352" s="467"/>
      <c r="I352" s="467"/>
      <c r="J352" s="467"/>
      <c r="K352" s="467"/>
      <c r="L352" s="467"/>
      <c r="M352" s="467"/>
      <c r="N352" s="467"/>
      <c r="O352" s="467"/>
      <c r="P352" s="467"/>
      <c r="Q352" s="467"/>
      <c r="R352" s="467"/>
      <c r="S352" s="467"/>
      <c r="T352" s="467"/>
      <c r="U352" s="467"/>
      <c r="V352" s="467"/>
      <c r="W352" s="467"/>
      <c r="X352" s="467"/>
      <c r="Y352" s="467"/>
      <c r="Z352" s="467"/>
      <c r="AA352" s="467"/>
      <c r="AB352" s="467"/>
      <c r="AC352" s="467"/>
      <c r="AD352" s="467"/>
      <c r="AE352" s="467"/>
      <c r="AF352" s="467"/>
      <c r="AG352" s="467"/>
      <c r="AH352" s="467"/>
      <c r="AI352" s="467"/>
      <c r="AJ352" s="467"/>
      <c r="AK352" s="467"/>
      <c r="AL352" s="467"/>
      <c r="AM352" s="467"/>
      <c r="AN352" s="467"/>
      <c r="AO352" s="467"/>
      <c r="AP352" s="467"/>
      <c r="AQ352" s="467"/>
      <c r="AR352" s="467"/>
      <c r="AS352" s="467"/>
      <c r="AT352" s="467"/>
      <c r="AU352" s="467"/>
      <c r="AV352" s="467"/>
      <c r="AW352" s="467"/>
      <c r="AX352" s="467"/>
      <c r="AY352" s="467"/>
      <c r="AZ352" s="467"/>
      <c r="BA352" s="467"/>
      <c r="BB352" s="467"/>
      <c r="BC352" s="467"/>
      <c r="BD352" s="467"/>
      <c r="BE352" s="467"/>
      <c r="BF352" s="467"/>
      <c r="BG352" s="467"/>
      <c r="BH352" s="467"/>
      <c r="BI352" s="467"/>
      <c r="BJ352" s="467"/>
      <c r="BK352" s="467"/>
      <c r="BL352" s="467"/>
    </row>
    <row r="353" customFormat="false" ht="12.75" hidden="false" customHeight="false" outlineLevel="0" collapsed="false">
      <c r="A353" s="464"/>
      <c r="B353" s="467" t="n">
        <v>0.071836404025415</v>
      </c>
      <c r="C353" s="467"/>
      <c r="D353" s="467"/>
      <c r="E353" s="467"/>
      <c r="F353" s="467"/>
      <c r="G353" s="467"/>
      <c r="H353" s="467"/>
      <c r="I353" s="467"/>
      <c r="J353" s="467"/>
      <c r="K353" s="467"/>
      <c r="L353" s="467"/>
      <c r="M353" s="467"/>
      <c r="N353" s="467"/>
      <c r="O353" s="467"/>
      <c r="P353" s="467"/>
      <c r="Q353" s="467"/>
      <c r="R353" s="467"/>
      <c r="S353" s="467"/>
      <c r="T353" s="467"/>
      <c r="U353" s="467"/>
      <c r="V353" s="467"/>
      <c r="W353" s="467"/>
      <c r="X353" s="467"/>
      <c r="Y353" s="467"/>
      <c r="Z353" s="467"/>
      <c r="AA353" s="467"/>
      <c r="AB353" s="467"/>
      <c r="AC353" s="467"/>
      <c r="AD353" s="467"/>
      <c r="AE353" s="467"/>
      <c r="AF353" s="467"/>
      <c r="AG353" s="467"/>
      <c r="AH353" s="467"/>
      <c r="AI353" s="467"/>
      <c r="AJ353" s="467"/>
      <c r="AK353" s="467"/>
      <c r="AL353" s="467"/>
      <c r="AM353" s="467"/>
      <c r="AN353" s="467"/>
      <c r="AO353" s="467"/>
      <c r="AP353" s="467"/>
      <c r="AQ353" s="467"/>
      <c r="AR353" s="467"/>
      <c r="AS353" s="467"/>
      <c r="AT353" s="467"/>
      <c r="AU353" s="467"/>
      <c r="AV353" s="467"/>
      <c r="AW353" s="467"/>
      <c r="AX353" s="467"/>
      <c r="AY353" s="467"/>
      <c r="AZ353" s="467"/>
      <c r="BA353" s="467"/>
      <c r="BB353" s="467"/>
      <c r="BC353" s="467"/>
      <c r="BD353" s="467"/>
      <c r="BE353" s="467"/>
      <c r="BF353" s="467"/>
      <c r="BG353" s="467"/>
      <c r="BH353" s="467"/>
      <c r="BI353" s="467"/>
      <c r="BJ353" s="467"/>
      <c r="BK353" s="467"/>
      <c r="BL353" s="467"/>
    </row>
    <row r="354" customFormat="false" ht="12.75" hidden="false" customHeight="false" outlineLevel="0" collapsed="false">
      <c r="A354" s="464"/>
      <c r="B354" s="467" t="n">
        <v>0.071832222221695</v>
      </c>
      <c r="C354" s="467"/>
      <c r="D354" s="467"/>
      <c r="E354" s="467"/>
      <c r="F354" s="467"/>
      <c r="G354" s="467"/>
      <c r="H354" s="467"/>
      <c r="I354" s="467"/>
      <c r="J354" s="467"/>
      <c r="K354" s="467"/>
      <c r="L354" s="467"/>
      <c r="M354" s="467"/>
      <c r="N354" s="467"/>
      <c r="O354" s="467"/>
      <c r="P354" s="467"/>
      <c r="Q354" s="467"/>
      <c r="R354" s="467"/>
      <c r="S354" s="467"/>
      <c r="T354" s="467"/>
      <c r="U354" s="467"/>
      <c r="V354" s="467"/>
      <c r="W354" s="467"/>
      <c r="X354" s="467"/>
      <c r="Y354" s="467"/>
      <c r="Z354" s="467"/>
      <c r="AA354" s="467"/>
      <c r="AB354" s="467"/>
      <c r="AC354" s="467"/>
      <c r="AD354" s="467"/>
      <c r="AE354" s="467"/>
      <c r="AF354" s="467"/>
      <c r="AG354" s="467"/>
      <c r="AH354" s="467"/>
      <c r="AI354" s="467"/>
      <c r="AJ354" s="467"/>
      <c r="AK354" s="467"/>
      <c r="AL354" s="467"/>
      <c r="AM354" s="467"/>
      <c r="AN354" s="467"/>
      <c r="AO354" s="467"/>
      <c r="AP354" s="467"/>
      <c r="AQ354" s="467"/>
      <c r="AR354" s="467"/>
      <c r="AS354" s="467"/>
      <c r="AT354" s="467"/>
      <c r="AU354" s="467"/>
      <c r="AV354" s="467"/>
      <c r="AW354" s="467"/>
      <c r="AX354" s="467"/>
      <c r="AY354" s="467"/>
      <c r="AZ354" s="467"/>
      <c r="BA354" s="467"/>
      <c r="BB354" s="467"/>
      <c r="BC354" s="467"/>
      <c r="BD354" s="467"/>
      <c r="BE354" s="467"/>
      <c r="BF354" s="467"/>
      <c r="BG354" s="467"/>
      <c r="BH354" s="467"/>
      <c r="BI354" s="467"/>
      <c r="BJ354" s="467"/>
      <c r="BK354" s="467"/>
      <c r="BL354" s="467"/>
    </row>
    <row r="355" customFormat="false" ht="12.75" hidden="false" customHeight="false" outlineLevel="0" collapsed="false">
      <c r="A355" s="464"/>
      <c r="B355" s="467" t="n">
        <v>0.071828445108663</v>
      </c>
      <c r="C355" s="467"/>
      <c r="D355" s="467"/>
      <c r="E355" s="467"/>
      <c r="F355" s="467"/>
      <c r="G355" s="467"/>
      <c r="H355" s="467"/>
      <c r="I355" s="467"/>
      <c r="J355" s="467"/>
      <c r="K355" s="467"/>
      <c r="L355" s="467"/>
      <c r="M355" s="467"/>
      <c r="N355" s="467"/>
      <c r="O355" s="467"/>
      <c r="P355" s="467"/>
      <c r="Q355" s="467"/>
      <c r="R355" s="467"/>
      <c r="S355" s="467"/>
      <c r="T355" s="467"/>
      <c r="U355" s="467"/>
      <c r="V355" s="467"/>
      <c r="W355" s="467"/>
      <c r="X355" s="467"/>
      <c r="Y355" s="467"/>
      <c r="Z355" s="467"/>
      <c r="AA355" s="467"/>
      <c r="AB355" s="467"/>
      <c r="AC355" s="467"/>
      <c r="AD355" s="467"/>
      <c r="AE355" s="467"/>
      <c r="AF355" s="467"/>
      <c r="AG355" s="467"/>
      <c r="AH355" s="467"/>
      <c r="AI355" s="467"/>
      <c r="AJ355" s="467"/>
      <c r="AK355" s="467"/>
      <c r="AL355" s="467"/>
      <c r="AM355" s="467"/>
      <c r="AN355" s="467"/>
      <c r="AO355" s="467"/>
      <c r="AP355" s="467"/>
      <c r="AQ355" s="467"/>
      <c r="AR355" s="467"/>
      <c r="AS355" s="467"/>
      <c r="AT355" s="467"/>
      <c r="AU355" s="467"/>
      <c r="AV355" s="467"/>
      <c r="AW355" s="467"/>
      <c r="AX355" s="467"/>
      <c r="AY355" s="467"/>
      <c r="AZ355" s="467"/>
      <c r="BA355" s="467"/>
      <c r="BB355" s="467"/>
      <c r="BC355" s="467"/>
      <c r="BD355" s="467"/>
      <c r="BE355" s="467"/>
      <c r="BF355" s="467"/>
      <c r="BG355" s="467"/>
      <c r="BH355" s="467"/>
      <c r="BI355" s="467"/>
      <c r="BJ355" s="467"/>
      <c r="BK355" s="467"/>
      <c r="BL355" s="467"/>
    </row>
    <row r="356" customFormat="false" ht="12.75" hidden="false" customHeight="false" outlineLevel="0" collapsed="false">
      <c r="A356" s="464"/>
      <c r="B356" s="467" t="n">
        <v>0.0718242633049541</v>
      </c>
      <c r="C356" s="467"/>
      <c r="D356" s="467"/>
      <c r="E356" s="467"/>
      <c r="F356" s="467"/>
      <c r="G356" s="467"/>
      <c r="H356" s="467"/>
      <c r="I356" s="467"/>
      <c r="J356" s="467"/>
      <c r="K356" s="467"/>
      <c r="L356" s="467"/>
      <c r="M356" s="467"/>
      <c r="N356" s="467"/>
      <c r="O356" s="467"/>
      <c r="P356" s="467"/>
      <c r="Q356" s="467"/>
      <c r="R356" s="467"/>
      <c r="S356" s="467"/>
      <c r="T356" s="467"/>
      <c r="U356" s="467"/>
      <c r="V356" s="467"/>
      <c r="W356" s="467"/>
      <c r="X356" s="467"/>
      <c r="Y356" s="467"/>
      <c r="Z356" s="467"/>
      <c r="AA356" s="467"/>
      <c r="AB356" s="467"/>
      <c r="AC356" s="467"/>
      <c r="AD356" s="467"/>
      <c r="AE356" s="467"/>
      <c r="AF356" s="467"/>
      <c r="AG356" s="467"/>
      <c r="AH356" s="467"/>
      <c r="AI356" s="467"/>
      <c r="AJ356" s="467"/>
      <c r="AK356" s="467"/>
      <c r="AL356" s="467"/>
      <c r="AM356" s="467"/>
      <c r="AN356" s="467"/>
      <c r="AO356" s="467"/>
      <c r="AP356" s="467"/>
      <c r="AQ356" s="467"/>
      <c r="AR356" s="467"/>
      <c r="AS356" s="467"/>
      <c r="AT356" s="467"/>
      <c r="AU356" s="467"/>
      <c r="AV356" s="467"/>
      <c r="AW356" s="467"/>
      <c r="AX356" s="467"/>
      <c r="AY356" s="467"/>
      <c r="AZ356" s="467"/>
      <c r="BA356" s="467"/>
      <c r="BB356" s="467"/>
      <c r="BC356" s="467"/>
      <c r="BD356" s="467"/>
      <c r="BE356" s="467"/>
      <c r="BF356" s="467"/>
      <c r="BG356" s="467"/>
      <c r="BH356" s="467"/>
      <c r="BI356" s="467"/>
      <c r="BJ356" s="467"/>
      <c r="BK356" s="467"/>
      <c r="BL356" s="467"/>
    </row>
    <row r="357" customFormat="false" ht="12.75" hidden="false" customHeight="false" outlineLevel="0" collapsed="false">
      <c r="A357" s="464"/>
      <c r="B357" s="467" t="n">
        <v>0.071820216398145</v>
      </c>
      <c r="C357" s="467"/>
      <c r="D357" s="467"/>
      <c r="E357" s="467"/>
      <c r="F357" s="467"/>
      <c r="G357" s="467"/>
      <c r="H357" s="467"/>
      <c r="I357" s="467"/>
      <c r="J357" s="467"/>
      <c r="K357" s="467"/>
      <c r="L357" s="467"/>
      <c r="M357" s="467"/>
      <c r="N357" s="467"/>
      <c r="O357" s="467"/>
      <c r="P357" s="467"/>
      <c r="Q357" s="467"/>
      <c r="R357" s="467"/>
      <c r="S357" s="467"/>
      <c r="T357" s="467"/>
      <c r="U357" s="467"/>
      <c r="V357" s="467"/>
      <c r="W357" s="467"/>
      <c r="X357" s="467"/>
      <c r="Y357" s="467"/>
      <c r="Z357" s="467"/>
      <c r="AA357" s="467"/>
      <c r="AB357" s="467"/>
      <c r="AC357" s="467"/>
      <c r="AD357" s="467"/>
      <c r="AE357" s="467"/>
      <c r="AF357" s="467"/>
      <c r="AG357" s="467"/>
      <c r="AH357" s="467"/>
      <c r="AI357" s="467"/>
      <c r="AJ357" s="467"/>
      <c r="AK357" s="467"/>
      <c r="AL357" s="467"/>
      <c r="AM357" s="467"/>
      <c r="AN357" s="467"/>
      <c r="AO357" s="467"/>
      <c r="AP357" s="467"/>
      <c r="AQ357" s="467"/>
      <c r="AR357" s="467"/>
      <c r="AS357" s="467"/>
      <c r="AT357" s="467"/>
      <c r="AU357" s="467"/>
      <c r="AV357" s="467"/>
      <c r="AW357" s="467"/>
      <c r="AX357" s="467"/>
      <c r="AY357" s="467"/>
      <c r="AZ357" s="467"/>
      <c r="BA357" s="467"/>
      <c r="BB357" s="467"/>
      <c r="BC357" s="467"/>
      <c r="BD357" s="467"/>
      <c r="BE357" s="467"/>
      <c r="BF357" s="467"/>
      <c r="BG357" s="467"/>
      <c r="BH357" s="467"/>
      <c r="BI357" s="467"/>
      <c r="BJ357" s="467"/>
      <c r="BK357" s="467"/>
      <c r="BL357" s="467"/>
    </row>
    <row r="358" customFormat="false" ht="12.75" hidden="false" customHeight="false" outlineLevel="0" collapsed="false">
      <c r="A358" s="464"/>
      <c r="B358" s="467" t="n">
        <v>0.071816034594448</v>
      </c>
      <c r="C358" s="467"/>
      <c r="D358" s="467"/>
      <c r="E358" s="467"/>
      <c r="F358" s="467"/>
      <c r="G358" s="467"/>
      <c r="H358" s="467"/>
      <c r="I358" s="467"/>
      <c r="J358" s="467"/>
      <c r="K358" s="467"/>
      <c r="L358" s="467"/>
      <c r="M358" s="467"/>
      <c r="N358" s="467"/>
      <c r="O358" s="467"/>
      <c r="P358" s="467"/>
      <c r="Q358" s="467"/>
      <c r="R358" s="467"/>
      <c r="S358" s="467"/>
      <c r="T358" s="467"/>
      <c r="U358" s="467"/>
      <c r="V358" s="467"/>
      <c r="W358" s="467"/>
      <c r="X358" s="467"/>
      <c r="Y358" s="467"/>
      <c r="Z358" s="467"/>
      <c r="AA358" s="467"/>
      <c r="AB358" s="467"/>
      <c r="AC358" s="467"/>
      <c r="AD358" s="467"/>
      <c r="AE358" s="467"/>
      <c r="AF358" s="467"/>
      <c r="AG358" s="467"/>
      <c r="AH358" s="467"/>
      <c r="AI358" s="467"/>
      <c r="AJ358" s="467"/>
      <c r="AK358" s="467"/>
      <c r="AL358" s="467"/>
      <c r="AM358" s="467"/>
      <c r="AN358" s="467"/>
      <c r="AO358" s="467"/>
      <c r="AP358" s="467"/>
      <c r="AQ358" s="467"/>
      <c r="AR358" s="467"/>
      <c r="AS358" s="467"/>
      <c r="AT358" s="467"/>
      <c r="AU358" s="467"/>
      <c r="AV358" s="467"/>
      <c r="AW358" s="467"/>
      <c r="AX358" s="467"/>
      <c r="AY358" s="467"/>
      <c r="AZ358" s="467"/>
      <c r="BA358" s="467"/>
      <c r="BB358" s="467"/>
      <c r="BC358" s="467"/>
      <c r="BD358" s="467"/>
      <c r="BE358" s="467"/>
      <c r="BF358" s="467"/>
      <c r="BG358" s="467"/>
      <c r="BH358" s="467"/>
      <c r="BI358" s="467"/>
      <c r="BJ358" s="467"/>
      <c r="BK358" s="467"/>
      <c r="BL358" s="467"/>
    </row>
    <row r="359" customFormat="false" ht="12.75" hidden="false" customHeight="false" outlineLevel="0" collapsed="false">
      <c r="A359" s="464"/>
      <c r="B359" s="467" t="n">
        <v>0.07181198768765</v>
      </c>
      <c r="C359" s="467"/>
      <c r="D359" s="467"/>
      <c r="E359" s="467"/>
      <c r="F359" s="467"/>
      <c r="G359" s="467"/>
      <c r="H359" s="467"/>
      <c r="I359" s="467"/>
      <c r="J359" s="467"/>
      <c r="K359" s="467"/>
      <c r="L359" s="467"/>
      <c r="M359" s="467"/>
      <c r="N359" s="467"/>
      <c r="O359" s="467"/>
      <c r="P359" s="467"/>
      <c r="Q359" s="467"/>
      <c r="R359" s="467"/>
      <c r="S359" s="467"/>
      <c r="T359" s="467"/>
      <c r="U359" s="467"/>
      <c r="V359" s="467"/>
      <c r="W359" s="467"/>
      <c r="X359" s="467"/>
      <c r="Y359" s="467"/>
      <c r="Z359" s="467"/>
      <c r="AA359" s="467"/>
      <c r="AB359" s="467"/>
      <c r="AC359" s="467"/>
      <c r="AD359" s="467"/>
      <c r="AE359" s="467"/>
      <c r="AF359" s="467"/>
      <c r="AG359" s="467"/>
      <c r="AH359" s="467"/>
      <c r="AI359" s="467"/>
      <c r="AJ359" s="467"/>
      <c r="AK359" s="467"/>
      <c r="AL359" s="467"/>
      <c r="AM359" s="467"/>
      <c r="AN359" s="467"/>
      <c r="AO359" s="467"/>
      <c r="AP359" s="467"/>
      <c r="AQ359" s="467"/>
      <c r="AR359" s="467"/>
      <c r="AS359" s="467"/>
      <c r="AT359" s="467"/>
      <c r="AU359" s="467"/>
      <c r="AV359" s="467"/>
      <c r="AW359" s="467"/>
      <c r="AX359" s="467"/>
      <c r="AY359" s="467"/>
      <c r="AZ359" s="467"/>
      <c r="BA359" s="467"/>
      <c r="BB359" s="467"/>
      <c r="BC359" s="467"/>
      <c r="BD359" s="467"/>
      <c r="BE359" s="467"/>
      <c r="BF359" s="467"/>
      <c r="BG359" s="467"/>
      <c r="BH359" s="467"/>
      <c r="BI359" s="467"/>
      <c r="BJ359" s="467"/>
      <c r="BK359" s="467"/>
      <c r="BL359" s="467"/>
    </row>
    <row r="360" customFormat="false" ht="12.75" hidden="false" customHeight="false" outlineLevel="0" collapsed="false">
      <c r="A360" s="464"/>
      <c r="B360" s="467" t="n">
        <v>0.071807805883964</v>
      </c>
      <c r="C360" s="467"/>
      <c r="D360" s="467"/>
      <c r="E360" s="467"/>
      <c r="F360" s="467"/>
      <c r="G360" s="467"/>
      <c r="H360" s="467"/>
      <c r="I360" s="467"/>
      <c r="J360" s="467"/>
      <c r="K360" s="467"/>
      <c r="L360" s="467"/>
      <c r="M360" s="467"/>
      <c r="N360" s="467"/>
      <c r="O360" s="467"/>
      <c r="P360" s="467"/>
      <c r="Q360" s="467"/>
      <c r="R360" s="467"/>
      <c r="S360" s="467"/>
      <c r="T360" s="467"/>
      <c r="U360" s="467"/>
      <c r="V360" s="467"/>
      <c r="W360" s="467"/>
      <c r="X360" s="467"/>
      <c r="Y360" s="467"/>
      <c r="Z360" s="467"/>
      <c r="AA360" s="467"/>
      <c r="AB360" s="467"/>
      <c r="AC360" s="467"/>
      <c r="AD360" s="467"/>
      <c r="AE360" s="467"/>
      <c r="AF360" s="467"/>
      <c r="AG360" s="467"/>
      <c r="AH360" s="467"/>
      <c r="AI360" s="467"/>
      <c r="AJ360" s="467"/>
      <c r="AK360" s="467"/>
      <c r="AL360" s="467"/>
      <c r="AM360" s="467"/>
      <c r="AN360" s="467"/>
      <c r="AO360" s="467"/>
      <c r="AP360" s="467"/>
      <c r="AQ360" s="467"/>
      <c r="AR360" s="467"/>
      <c r="AS360" s="467"/>
      <c r="AT360" s="467"/>
      <c r="AU360" s="467"/>
      <c r="AV360" s="467"/>
      <c r="AW360" s="467"/>
      <c r="AX360" s="467"/>
      <c r="AY360" s="467"/>
      <c r="AZ360" s="467"/>
      <c r="BA360" s="467"/>
      <c r="BB360" s="467"/>
      <c r="BC360" s="467"/>
      <c r="BD360" s="467"/>
      <c r="BE360" s="467"/>
      <c r="BF360" s="467"/>
      <c r="BG360" s="467"/>
      <c r="BH360" s="467"/>
      <c r="BI360" s="467"/>
      <c r="BJ360" s="467"/>
      <c r="BK360" s="467"/>
      <c r="BL360" s="467"/>
    </row>
    <row r="361" customFormat="false" ht="12.75" hidden="false" customHeight="false" outlineLevel="0" collapsed="false">
      <c r="A361" s="464"/>
      <c r="B361" s="467" t="n">
        <v>0.071803624080284</v>
      </c>
      <c r="C361" s="467"/>
      <c r="D361" s="467"/>
      <c r="E361" s="467"/>
      <c r="F361" s="467"/>
      <c r="G361" s="467"/>
      <c r="H361" s="467"/>
      <c r="I361" s="467"/>
      <c r="J361" s="467"/>
      <c r="K361" s="467"/>
      <c r="L361" s="467"/>
      <c r="M361" s="467"/>
      <c r="N361" s="467"/>
      <c r="O361" s="467"/>
      <c r="P361" s="467"/>
      <c r="Q361" s="467"/>
      <c r="R361" s="467"/>
      <c r="S361" s="467"/>
      <c r="T361" s="467"/>
      <c r="U361" s="467"/>
      <c r="V361" s="467"/>
      <c r="W361" s="467"/>
      <c r="X361" s="467"/>
      <c r="Y361" s="467"/>
      <c r="Z361" s="467"/>
      <c r="AA361" s="467"/>
      <c r="AB361" s="467"/>
      <c r="AC361" s="467"/>
      <c r="AD361" s="467"/>
      <c r="AE361" s="467"/>
      <c r="AF361" s="467"/>
      <c r="AG361" s="467"/>
      <c r="AH361" s="467"/>
      <c r="AI361" s="467"/>
      <c r="AJ361" s="467"/>
      <c r="AK361" s="467"/>
      <c r="AL361" s="467"/>
      <c r="AM361" s="467"/>
      <c r="AN361" s="467"/>
      <c r="AO361" s="467"/>
      <c r="AP361" s="467"/>
      <c r="AQ361" s="467"/>
      <c r="AR361" s="467"/>
      <c r="AS361" s="467"/>
      <c r="AT361" s="467"/>
      <c r="AU361" s="467"/>
      <c r="AV361" s="467"/>
      <c r="AW361" s="467"/>
      <c r="AX361" s="467"/>
      <c r="AY361" s="467"/>
      <c r="AZ361" s="467"/>
      <c r="BA361" s="467"/>
      <c r="BB361" s="467"/>
      <c r="BC361" s="467"/>
      <c r="BD361" s="467"/>
      <c r="BE361" s="467"/>
      <c r="BF361" s="467"/>
      <c r="BG361" s="467"/>
      <c r="BH361" s="467"/>
      <c r="BI361" s="467"/>
      <c r="BJ361" s="467"/>
      <c r="BK361" s="467"/>
      <c r="BL361" s="467"/>
    </row>
    <row r="362" customFormat="false" ht="12.75" hidden="false" customHeight="false" outlineLevel="0" collapsed="false">
      <c r="A362" s="464"/>
      <c r="B362" s="467" t="n">
        <v>0.071799577173502</v>
      </c>
      <c r="C362" s="467"/>
      <c r="D362" s="467"/>
      <c r="E362" s="467"/>
      <c r="F362" s="467"/>
      <c r="G362" s="467"/>
      <c r="H362" s="467"/>
      <c r="I362" s="467"/>
      <c r="J362" s="467"/>
      <c r="K362" s="467"/>
      <c r="L362" s="467"/>
      <c r="M362" s="467"/>
      <c r="N362" s="467"/>
      <c r="O362" s="467"/>
      <c r="P362" s="467"/>
      <c r="Q362" s="467"/>
      <c r="R362" s="467"/>
      <c r="S362" s="467"/>
      <c r="T362" s="467"/>
      <c r="U362" s="467"/>
      <c r="V362" s="467"/>
      <c r="W362" s="467"/>
      <c r="X362" s="467"/>
      <c r="Y362" s="467"/>
      <c r="Z362" s="467"/>
      <c r="AA362" s="467"/>
      <c r="AB362" s="467"/>
      <c r="AC362" s="467"/>
      <c r="AD362" s="467"/>
      <c r="AE362" s="467"/>
      <c r="AF362" s="467"/>
      <c r="AG362" s="467"/>
      <c r="AH362" s="467"/>
      <c r="AI362" s="467"/>
      <c r="AJ362" s="467"/>
      <c r="AK362" s="467"/>
      <c r="AL362" s="467"/>
      <c r="AM362" s="467"/>
      <c r="AN362" s="467"/>
      <c r="AO362" s="467"/>
      <c r="AP362" s="467"/>
      <c r="AQ362" s="467"/>
      <c r="AR362" s="467"/>
      <c r="AS362" s="467"/>
      <c r="AT362" s="467"/>
      <c r="AU362" s="467"/>
      <c r="AV362" s="467"/>
      <c r="AW362" s="467"/>
      <c r="AX362" s="467"/>
      <c r="AY362" s="467"/>
      <c r="AZ362" s="467"/>
      <c r="BA362" s="467"/>
      <c r="BB362" s="467"/>
      <c r="BC362" s="467"/>
      <c r="BD362" s="467"/>
      <c r="BE362" s="467"/>
      <c r="BF362" s="467"/>
      <c r="BG362" s="467"/>
      <c r="BH362" s="467"/>
      <c r="BI362" s="467"/>
      <c r="BJ362" s="467"/>
      <c r="BK362" s="467"/>
      <c r="BL362" s="467"/>
    </row>
    <row r="363" customFormat="false" ht="12.75" hidden="false" customHeight="false" outlineLevel="0" collapsed="false">
      <c r="A363" s="464"/>
      <c r="B363" s="467" t="n">
        <v>0.071795395369833</v>
      </c>
      <c r="C363" s="467"/>
      <c r="D363" s="467"/>
      <c r="E363" s="467"/>
      <c r="F363" s="467"/>
      <c r="G363" s="467"/>
      <c r="H363" s="467"/>
      <c r="I363" s="467"/>
      <c r="J363" s="467"/>
      <c r="K363" s="467"/>
      <c r="L363" s="467"/>
      <c r="M363" s="467"/>
      <c r="N363" s="467"/>
      <c r="O363" s="467"/>
      <c r="P363" s="467"/>
      <c r="Q363" s="467"/>
      <c r="R363" s="467"/>
      <c r="S363" s="467"/>
      <c r="T363" s="467"/>
      <c r="U363" s="467"/>
      <c r="V363" s="467"/>
      <c r="W363" s="467"/>
      <c r="X363" s="467"/>
      <c r="Y363" s="467"/>
      <c r="Z363" s="467"/>
      <c r="AA363" s="467"/>
      <c r="AB363" s="467"/>
      <c r="AC363" s="467"/>
      <c r="AD363" s="467"/>
      <c r="AE363" s="467"/>
      <c r="AF363" s="467"/>
      <c r="AG363" s="467"/>
      <c r="AH363" s="467"/>
      <c r="AI363" s="467"/>
      <c r="AJ363" s="467"/>
      <c r="AK363" s="467"/>
      <c r="AL363" s="467"/>
      <c r="AM363" s="467"/>
      <c r="AN363" s="467"/>
      <c r="AO363" s="467"/>
      <c r="AP363" s="467"/>
      <c r="AQ363" s="467"/>
      <c r="AR363" s="467"/>
      <c r="AS363" s="467"/>
      <c r="AT363" s="467"/>
      <c r="AU363" s="467"/>
      <c r="AV363" s="467"/>
      <c r="AW363" s="467"/>
      <c r="AX363" s="467"/>
      <c r="AY363" s="467"/>
      <c r="AZ363" s="467"/>
      <c r="BA363" s="467"/>
      <c r="BB363" s="467"/>
      <c r="BC363" s="467"/>
      <c r="BD363" s="467"/>
      <c r="BE363" s="467"/>
      <c r="BF363" s="467"/>
      <c r="BG363" s="467"/>
      <c r="BH363" s="467"/>
      <c r="BI363" s="467"/>
      <c r="BJ363" s="467"/>
      <c r="BK363" s="467"/>
      <c r="BL363" s="467"/>
    </row>
    <row r="364" customFormat="false" ht="12.75" hidden="false" customHeight="false" outlineLevel="0" collapsed="false">
      <c r="A364" s="464"/>
      <c r="B364" s="467" t="n">
        <v>0.071791348463062</v>
      </c>
      <c r="C364" s="467"/>
      <c r="D364" s="467"/>
      <c r="E364" s="467"/>
      <c r="F364" s="467"/>
      <c r="G364" s="467"/>
      <c r="H364" s="467"/>
      <c r="I364" s="467"/>
      <c r="J364" s="467"/>
      <c r="K364" s="467"/>
      <c r="L364" s="467"/>
      <c r="M364" s="467"/>
      <c r="N364" s="467"/>
      <c r="O364" s="467"/>
      <c r="P364" s="467"/>
      <c r="Q364" s="467"/>
      <c r="R364" s="467"/>
      <c r="S364" s="467"/>
      <c r="T364" s="467"/>
      <c r="U364" s="467"/>
      <c r="V364" s="467"/>
      <c r="W364" s="467"/>
      <c r="X364" s="467"/>
      <c r="Y364" s="467"/>
      <c r="Z364" s="467"/>
      <c r="AA364" s="467"/>
      <c r="AB364" s="467"/>
      <c r="AC364" s="467"/>
      <c r="AD364" s="467"/>
      <c r="AE364" s="467"/>
      <c r="AF364" s="467"/>
      <c r="AG364" s="467"/>
      <c r="AH364" s="467"/>
      <c r="AI364" s="467"/>
      <c r="AJ364" s="467"/>
      <c r="AK364" s="467"/>
      <c r="AL364" s="467"/>
      <c r="AM364" s="467"/>
      <c r="AN364" s="467"/>
      <c r="AO364" s="467"/>
      <c r="AP364" s="467"/>
      <c r="AQ364" s="467"/>
      <c r="AR364" s="467"/>
      <c r="AS364" s="467"/>
      <c r="AT364" s="467"/>
      <c r="AU364" s="467"/>
      <c r="AV364" s="467"/>
      <c r="AW364" s="467"/>
      <c r="AX364" s="467"/>
      <c r="AY364" s="467"/>
      <c r="AZ364" s="467"/>
      <c r="BA364" s="467"/>
      <c r="BB364" s="467"/>
      <c r="BC364" s="467"/>
      <c r="BD364" s="467"/>
      <c r="BE364" s="467"/>
      <c r="BF364" s="467"/>
      <c r="BG364" s="467"/>
      <c r="BH364" s="467"/>
      <c r="BI364" s="467"/>
      <c r="BJ364" s="467"/>
      <c r="BK364" s="467"/>
      <c r="BL364" s="467"/>
    </row>
    <row r="365" customFormat="false" ht="12.75" hidden="false" customHeight="false" outlineLevel="0" collapsed="false">
      <c r="A365" s="464"/>
      <c r="B365" s="467" t="n">
        <v>0.071787166659405</v>
      </c>
      <c r="C365" s="467"/>
      <c r="D365" s="467"/>
      <c r="E365" s="467"/>
      <c r="F365" s="467"/>
      <c r="G365" s="467"/>
      <c r="H365" s="467"/>
      <c r="I365" s="467"/>
      <c r="J365" s="467"/>
      <c r="K365" s="467"/>
      <c r="L365" s="467"/>
      <c r="M365" s="467"/>
      <c r="N365" s="467"/>
      <c r="O365" s="467"/>
      <c r="P365" s="467"/>
      <c r="Q365" s="467"/>
      <c r="R365" s="467"/>
      <c r="S365" s="467"/>
      <c r="T365" s="467"/>
      <c r="U365" s="467"/>
      <c r="V365" s="467"/>
      <c r="W365" s="467"/>
      <c r="X365" s="467"/>
      <c r="Y365" s="467"/>
      <c r="Z365" s="467"/>
      <c r="AA365" s="467"/>
      <c r="AB365" s="467"/>
      <c r="AC365" s="467"/>
      <c r="AD365" s="467"/>
      <c r="AE365" s="467"/>
      <c r="AF365" s="467"/>
      <c r="AG365" s="467"/>
      <c r="AH365" s="467"/>
      <c r="AI365" s="467"/>
      <c r="AJ365" s="467"/>
      <c r="AK365" s="467"/>
      <c r="AL365" s="467"/>
      <c r="AM365" s="467"/>
      <c r="AN365" s="467"/>
      <c r="AO365" s="467"/>
      <c r="AP365" s="467"/>
      <c r="AQ365" s="467"/>
      <c r="AR365" s="467"/>
      <c r="AS365" s="467"/>
      <c r="AT365" s="467"/>
      <c r="AU365" s="467"/>
      <c r="AV365" s="467"/>
      <c r="AW365" s="467"/>
      <c r="AX365" s="467"/>
      <c r="AY365" s="467"/>
      <c r="AZ365" s="467"/>
      <c r="BA365" s="467"/>
      <c r="BB365" s="467"/>
      <c r="BC365" s="467"/>
      <c r="BD365" s="467"/>
      <c r="BE365" s="467"/>
      <c r="BF365" s="467"/>
      <c r="BG365" s="467"/>
      <c r="BH365" s="467"/>
      <c r="BI365" s="467"/>
      <c r="BJ365" s="467"/>
      <c r="BK365" s="467"/>
      <c r="BL365" s="467"/>
    </row>
    <row r="366" customFormat="false" ht="12.75" hidden="false" customHeight="false" outlineLevel="0" collapsed="false">
      <c r="A366" s="464"/>
      <c r="B366" s="467" t="n">
        <v>0.071782984855754</v>
      </c>
      <c r="C366" s="467"/>
      <c r="D366" s="467"/>
      <c r="E366" s="467"/>
      <c r="F366" s="467"/>
      <c r="G366" s="467"/>
      <c r="H366" s="467"/>
      <c r="I366" s="467"/>
      <c r="J366" s="467"/>
      <c r="K366" s="467"/>
      <c r="L366" s="467"/>
      <c r="M366" s="467"/>
      <c r="N366" s="467"/>
      <c r="O366" s="467"/>
      <c r="P366" s="467"/>
      <c r="Q366" s="467"/>
      <c r="R366" s="467"/>
      <c r="S366" s="467"/>
      <c r="T366" s="467"/>
      <c r="U366" s="467"/>
      <c r="V366" s="467"/>
      <c r="W366" s="467"/>
      <c r="X366" s="467"/>
      <c r="Y366" s="467"/>
      <c r="Z366" s="467"/>
      <c r="AA366" s="467"/>
      <c r="AB366" s="467"/>
      <c r="AC366" s="467"/>
      <c r="AD366" s="467"/>
      <c r="AE366" s="467"/>
      <c r="AF366" s="467"/>
      <c r="AG366" s="467"/>
      <c r="AH366" s="467"/>
      <c r="AI366" s="467"/>
      <c r="AJ366" s="467"/>
      <c r="AK366" s="467"/>
      <c r="AL366" s="467"/>
      <c r="AM366" s="467"/>
      <c r="AN366" s="467"/>
      <c r="AO366" s="467"/>
      <c r="AP366" s="467"/>
      <c r="AQ366" s="467"/>
      <c r="AR366" s="467"/>
      <c r="AS366" s="467"/>
      <c r="AT366" s="467"/>
      <c r="AU366" s="467"/>
      <c r="AV366" s="467"/>
      <c r="AW366" s="467"/>
      <c r="AX366" s="467"/>
      <c r="AY366" s="467"/>
      <c r="AZ366" s="467"/>
      <c r="BA366" s="467"/>
      <c r="BB366" s="467"/>
      <c r="BC366" s="467"/>
      <c r="BD366" s="467"/>
      <c r="BE366" s="467"/>
      <c r="BF366" s="467"/>
      <c r="BG366" s="467"/>
      <c r="BH366" s="467"/>
      <c r="BI366" s="467"/>
      <c r="BJ366" s="467"/>
      <c r="BK366" s="467"/>
      <c r="BL366" s="467"/>
    </row>
    <row r="367" customFormat="false" ht="12.75" hidden="false" customHeight="false" outlineLevel="0" collapsed="false">
      <c r="A367" s="464"/>
      <c r="B367" s="467" t="n">
        <v>0.071779207742783</v>
      </c>
      <c r="C367" s="467"/>
      <c r="D367" s="467"/>
      <c r="E367" s="467"/>
      <c r="F367" s="467"/>
      <c r="G367" s="467"/>
      <c r="H367" s="467"/>
      <c r="I367" s="467"/>
      <c r="J367" s="467"/>
      <c r="K367" s="467"/>
      <c r="L367" s="467"/>
      <c r="M367" s="467"/>
      <c r="N367" s="467"/>
      <c r="O367" s="467"/>
      <c r="P367" s="467"/>
      <c r="Q367" s="467"/>
      <c r="R367" s="467"/>
      <c r="S367" s="467"/>
      <c r="T367" s="467"/>
      <c r="U367" s="467"/>
      <c r="V367" s="467"/>
      <c r="W367" s="467"/>
      <c r="X367" s="467"/>
      <c r="Y367" s="467"/>
      <c r="Z367" s="467"/>
      <c r="AA367" s="467"/>
      <c r="AB367" s="467"/>
      <c r="AC367" s="467"/>
      <c r="AD367" s="467"/>
      <c r="AE367" s="467"/>
      <c r="AF367" s="467"/>
      <c r="AG367" s="467"/>
      <c r="AH367" s="467"/>
      <c r="AI367" s="467"/>
      <c r="AJ367" s="467"/>
      <c r="AK367" s="467"/>
      <c r="AL367" s="467"/>
      <c r="AM367" s="467"/>
      <c r="AN367" s="467"/>
      <c r="AO367" s="467"/>
      <c r="AP367" s="467"/>
      <c r="AQ367" s="467"/>
      <c r="AR367" s="467"/>
      <c r="AS367" s="467"/>
      <c r="AT367" s="467"/>
      <c r="AU367" s="467"/>
      <c r="AV367" s="467"/>
      <c r="AW367" s="467"/>
      <c r="AX367" s="467"/>
      <c r="AY367" s="467"/>
      <c r="AZ367" s="467"/>
      <c r="BA367" s="467"/>
      <c r="BB367" s="467"/>
      <c r="BC367" s="467"/>
      <c r="BD367" s="467"/>
      <c r="BE367" s="467"/>
      <c r="BF367" s="467"/>
      <c r="BG367" s="467"/>
      <c r="BH367" s="467"/>
      <c r="BI367" s="467"/>
      <c r="BJ367" s="467"/>
      <c r="BK367" s="467"/>
      <c r="BL367" s="467"/>
    </row>
    <row r="368" customFormat="false" ht="12.75" hidden="false" customHeight="false" outlineLevel="0" collapsed="false">
      <c r="A368" s="464"/>
      <c r="B368" s="467" t="n">
        <v>0.071775025939143</v>
      </c>
      <c r="C368" s="467"/>
      <c r="D368" s="467"/>
      <c r="E368" s="467"/>
      <c r="F368" s="467"/>
      <c r="G368" s="467"/>
      <c r="H368" s="467"/>
      <c r="I368" s="467"/>
      <c r="J368" s="467"/>
      <c r="K368" s="467"/>
      <c r="L368" s="467"/>
      <c r="M368" s="467"/>
      <c r="N368" s="467"/>
      <c r="O368" s="467"/>
      <c r="P368" s="467"/>
      <c r="Q368" s="467"/>
      <c r="R368" s="467"/>
      <c r="S368" s="467"/>
      <c r="T368" s="467"/>
      <c r="U368" s="467"/>
      <c r="V368" s="467"/>
      <c r="W368" s="467"/>
      <c r="X368" s="467"/>
      <c r="Y368" s="467"/>
      <c r="Z368" s="467"/>
      <c r="AA368" s="467"/>
      <c r="AB368" s="467"/>
      <c r="AC368" s="467"/>
      <c r="AD368" s="467"/>
      <c r="AE368" s="467"/>
      <c r="AF368" s="467"/>
      <c r="AG368" s="467"/>
      <c r="AH368" s="467"/>
      <c r="AI368" s="467"/>
      <c r="AJ368" s="467"/>
      <c r="AK368" s="467"/>
      <c r="AL368" s="467"/>
      <c r="AM368" s="467"/>
      <c r="AN368" s="467"/>
      <c r="AO368" s="467"/>
      <c r="AP368" s="467"/>
      <c r="AQ368" s="467"/>
      <c r="AR368" s="467"/>
      <c r="AS368" s="467"/>
      <c r="AT368" s="467"/>
      <c r="AU368" s="467"/>
      <c r="AV368" s="467"/>
      <c r="AW368" s="467"/>
      <c r="AX368" s="467"/>
      <c r="AY368" s="467"/>
      <c r="AZ368" s="467"/>
      <c r="BA368" s="467"/>
      <c r="BB368" s="467"/>
      <c r="BC368" s="467"/>
      <c r="BD368" s="467"/>
      <c r="BE368" s="467"/>
      <c r="BF368" s="467"/>
      <c r="BG368" s="467"/>
      <c r="BH368" s="467"/>
      <c r="BI368" s="467"/>
      <c r="BJ368" s="467"/>
      <c r="BK368" s="467"/>
      <c r="BL368" s="467"/>
    </row>
    <row r="369" customFormat="false" ht="12.75" hidden="false" customHeight="false" outlineLevel="0" collapsed="false">
      <c r="A369" s="464"/>
      <c r="B369" s="467" t="n">
        <v>0.071770979032399</v>
      </c>
      <c r="C369" s="467"/>
      <c r="D369" s="467"/>
      <c r="E369" s="467"/>
      <c r="F369" s="467"/>
      <c r="G369" s="467"/>
      <c r="H369" s="467"/>
      <c r="I369" s="467"/>
      <c r="J369" s="467"/>
      <c r="K369" s="467"/>
      <c r="L369" s="467"/>
      <c r="M369" s="467"/>
      <c r="N369" s="467"/>
      <c r="O369" s="467"/>
      <c r="P369" s="467"/>
      <c r="Q369" s="467"/>
      <c r="R369" s="467"/>
      <c r="S369" s="467"/>
      <c r="T369" s="467"/>
      <c r="U369" s="467"/>
      <c r="V369" s="467"/>
      <c r="W369" s="467"/>
      <c r="X369" s="467"/>
      <c r="Y369" s="467"/>
      <c r="Z369" s="467"/>
      <c r="AA369" s="467"/>
      <c r="AB369" s="467"/>
      <c r="AC369" s="467"/>
      <c r="AD369" s="467"/>
      <c r="AE369" s="467"/>
      <c r="AF369" s="467"/>
      <c r="AG369" s="467"/>
      <c r="AH369" s="467"/>
      <c r="AI369" s="467"/>
      <c r="AJ369" s="467"/>
      <c r="AK369" s="467"/>
      <c r="AL369" s="467"/>
      <c r="AM369" s="467"/>
      <c r="AN369" s="467"/>
      <c r="AO369" s="467"/>
      <c r="AP369" s="467"/>
      <c r="AQ369" s="467"/>
      <c r="AR369" s="467"/>
      <c r="AS369" s="467"/>
      <c r="AT369" s="467"/>
      <c r="AU369" s="467"/>
      <c r="AV369" s="467"/>
      <c r="AW369" s="467"/>
      <c r="AX369" s="467"/>
      <c r="AY369" s="467"/>
      <c r="AZ369" s="467"/>
      <c r="BA369" s="467"/>
      <c r="BB369" s="467"/>
      <c r="BC369" s="467"/>
      <c r="BD369" s="467"/>
      <c r="BE369" s="467"/>
      <c r="BF369" s="467"/>
      <c r="BG369" s="467"/>
      <c r="BH369" s="467"/>
      <c r="BI369" s="467"/>
      <c r="BJ369" s="467"/>
      <c r="BK369" s="467"/>
      <c r="BL369" s="467"/>
    </row>
    <row r="370" customFormat="false" ht="12.75" hidden="false" customHeight="false" outlineLevel="0" collapsed="false">
      <c r="A370" s="464"/>
      <c r="B370" s="467" t="n">
        <v>0.07176679722877</v>
      </c>
      <c r="C370" s="467"/>
      <c r="D370" s="467"/>
      <c r="E370" s="467"/>
      <c r="F370" s="467"/>
      <c r="G370" s="467"/>
      <c r="H370" s="467"/>
      <c r="I370" s="467"/>
      <c r="J370" s="467"/>
      <c r="K370" s="467"/>
      <c r="L370" s="467"/>
      <c r="M370" s="467"/>
      <c r="N370" s="467"/>
      <c r="O370" s="467"/>
      <c r="P370" s="467"/>
      <c r="Q370" s="467"/>
      <c r="R370" s="467"/>
      <c r="S370" s="467"/>
      <c r="T370" s="467"/>
      <c r="U370" s="467"/>
      <c r="V370" s="467"/>
      <c r="W370" s="467"/>
      <c r="X370" s="467"/>
      <c r="Y370" s="467"/>
      <c r="Z370" s="467"/>
      <c r="AA370" s="467"/>
      <c r="AB370" s="467"/>
      <c r="AC370" s="467"/>
      <c r="AD370" s="467"/>
      <c r="AE370" s="467"/>
      <c r="AF370" s="467"/>
      <c r="AG370" s="467"/>
      <c r="AH370" s="467"/>
      <c r="AI370" s="467"/>
      <c r="AJ370" s="467"/>
      <c r="AK370" s="467"/>
      <c r="AL370" s="467"/>
      <c r="AM370" s="467"/>
      <c r="AN370" s="467"/>
      <c r="AO370" s="467"/>
      <c r="AP370" s="467"/>
      <c r="AQ370" s="467"/>
      <c r="AR370" s="467"/>
      <c r="AS370" s="467"/>
      <c r="AT370" s="467"/>
      <c r="AU370" s="467"/>
      <c r="AV370" s="467"/>
      <c r="AW370" s="467"/>
      <c r="AX370" s="467"/>
      <c r="AY370" s="467"/>
      <c r="AZ370" s="467"/>
      <c r="BA370" s="467"/>
      <c r="BB370" s="467"/>
      <c r="BC370" s="467"/>
      <c r="BD370" s="467"/>
      <c r="BE370" s="467"/>
      <c r="BF370" s="467"/>
      <c r="BG370" s="467"/>
      <c r="BH370" s="467"/>
      <c r="BI370" s="467"/>
      <c r="BJ370" s="467"/>
      <c r="BK370" s="467"/>
      <c r="BL370" s="467"/>
    </row>
    <row r="371" customFormat="false" ht="12.75" hidden="false" customHeight="false" outlineLevel="0" collapsed="false">
      <c r="A371" s="464"/>
      <c r="B371" s="467" t="n">
        <v>0.071762750322037</v>
      </c>
      <c r="C371" s="467"/>
      <c r="D371" s="467"/>
      <c r="E371" s="467"/>
      <c r="F371" s="467"/>
      <c r="G371" s="467"/>
      <c r="H371" s="467"/>
      <c r="I371" s="467"/>
      <c r="J371" s="467"/>
      <c r="K371" s="467"/>
      <c r="L371" s="467"/>
      <c r="M371" s="467"/>
      <c r="N371" s="467"/>
      <c r="O371" s="467"/>
      <c r="P371" s="467"/>
      <c r="Q371" s="467"/>
      <c r="R371" s="467"/>
      <c r="S371" s="467"/>
      <c r="T371" s="467"/>
      <c r="U371" s="467"/>
      <c r="V371" s="467"/>
      <c r="W371" s="467"/>
      <c r="X371" s="467"/>
      <c r="Y371" s="467"/>
      <c r="Z371" s="467"/>
      <c r="AA371" s="467"/>
      <c r="AB371" s="467"/>
      <c r="AC371" s="467"/>
      <c r="AD371" s="467"/>
      <c r="AE371" s="467"/>
      <c r="AF371" s="467"/>
      <c r="AG371" s="467"/>
      <c r="AH371" s="467"/>
      <c r="AI371" s="467"/>
      <c r="AJ371" s="467"/>
      <c r="AK371" s="467"/>
      <c r="AL371" s="467"/>
      <c r="AM371" s="467"/>
      <c r="AN371" s="467"/>
      <c r="AO371" s="467"/>
      <c r="AP371" s="467"/>
      <c r="AQ371" s="467"/>
      <c r="AR371" s="467"/>
      <c r="AS371" s="467"/>
      <c r="AT371" s="467"/>
      <c r="AU371" s="467"/>
      <c r="AV371" s="467"/>
      <c r="AW371" s="467"/>
      <c r="AX371" s="467"/>
      <c r="AY371" s="467"/>
      <c r="AZ371" s="467"/>
      <c r="BA371" s="467"/>
      <c r="BB371" s="467"/>
      <c r="BC371" s="467"/>
      <c r="BD371" s="467"/>
      <c r="BE371" s="467"/>
      <c r="BF371" s="467"/>
      <c r="BG371" s="467"/>
      <c r="BH371" s="467"/>
      <c r="BI371" s="467"/>
      <c r="BJ371" s="467"/>
      <c r="BK371" s="467"/>
      <c r="BL371" s="467"/>
    </row>
    <row r="372" customFormat="false" ht="12.75" hidden="false" customHeight="false" outlineLevel="0" collapsed="false">
      <c r="A372" s="464"/>
      <c r="B372" s="467"/>
      <c r="C372" s="467"/>
      <c r="D372" s="467"/>
      <c r="E372" s="467"/>
      <c r="F372" s="467"/>
      <c r="G372" s="467"/>
      <c r="H372" s="467"/>
      <c r="I372" s="467"/>
      <c r="J372" s="467"/>
      <c r="K372" s="467"/>
      <c r="L372" s="467"/>
      <c r="M372" s="467"/>
      <c r="N372" s="467"/>
      <c r="O372" s="467"/>
      <c r="P372" s="467"/>
      <c r="Q372" s="467"/>
      <c r="R372" s="467"/>
      <c r="S372" s="467"/>
      <c r="T372" s="467"/>
      <c r="U372" s="467"/>
      <c r="V372" s="467"/>
      <c r="W372" s="467"/>
      <c r="X372" s="467"/>
      <c r="Y372" s="467"/>
      <c r="Z372" s="467"/>
      <c r="AA372" s="467"/>
      <c r="AB372" s="467"/>
      <c r="AC372" s="467"/>
      <c r="AD372" s="467"/>
      <c r="AE372" s="467"/>
      <c r="AF372" s="467"/>
      <c r="AG372" s="467"/>
      <c r="AH372" s="467"/>
      <c r="AI372" s="467"/>
      <c r="AJ372" s="467"/>
      <c r="AK372" s="467"/>
      <c r="AL372" s="467"/>
      <c r="AM372" s="467"/>
      <c r="AN372" s="467"/>
      <c r="AO372" s="467"/>
      <c r="AP372" s="467"/>
      <c r="AQ372" s="467"/>
      <c r="AR372" s="467"/>
      <c r="AS372" s="467"/>
      <c r="AT372" s="467"/>
      <c r="AU372" s="467"/>
      <c r="AV372" s="467"/>
      <c r="AW372" s="467"/>
      <c r="AX372" s="467"/>
      <c r="AY372" s="467"/>
      <c r="AZ372" s="467"/>
      <c r="BA372" s="467"/>
      <c r="BB372" s="467"/>
      <c r="BC372" s="467"/>
      <c r="BD372" s="467"/>
      <c r="BE372" s="467"/>
      <c r="BF372" s="467"/>
      <c r="BG372" s="467"/>
      <c r="BH372" s="467"/>
      <c r="BI372" s="467"/>
      <c r="BJ372" s="467"/>
      <c r="BK372" s="467"/>
      <c r="BL372" s="467"/>
    </row>
    <row r="373" customFormat="false" ht="12.75" hidden="false" customHeight="false" outlineLevel="0" collapsed="false">
      <c r="A373" s="464"/>
      <c r="B373" s="467"/>
      <c r="C373" s="467"/>
      <c r="D373" s="467"/>
      <c r="E373" s="467"/>
      <c r="F373" s="467"/>
      <c r="G373" s="467"/>
      <c r="H373" s="467"/>
      <c r="I373" s="467"/>
      <c r="J373" s="467"/>
      <c r="K373" s="467"/>
      <c r="L373" s="467"/>
      <c r="M373" s="467"/>
      <c r="N373" s="467"/>
      <c r="O373" s="467"/>
      <c r="P373" s="467"/>
      <c r="Q373" s="467"/>
      <c r="R373" s="467"/>
      <c r="S373" s="467"/>
      <c r="T373" s="467"/>
      <c r="U373" s="467"/>
      <c r="V373" s="467"/>
      <c r="W373" s="467"/>
      <c r="X373" s="467"/>
      <c r="Y373" s="467"/>
      <c r="Z373" s="467"/>
      <c r="AA373" s="467"/>
      <c r="AB373" s="467"/>
      <c r="AC373" s="467"/>
      <c r="AD373" s="467"/>
      <c r="AE373" s="467"/>
      <c r="AF373" s="467"/>
      <c r="AG373" s="467"/>
      <c r="AH373" s="467"/>
      <c r="AI373" s="467"/>
      <c r="AJ373" s="467"/>
      <c r="AK373" s="467"/>
      <c r="AL373" s="467"/>
      <c r="AM373" s="467"/>
      <c r="AN373" s="467"/>
      <c r="AO373" s="467"/>
      <c r="AP373" s="467"/>
      <c r="AQ373" s="467"/>
      <c r="AR373" s="467"/>
      <c r="AS373" s="467"/>
      <c r="AT373" s="467"/>
      <c r="AU373" s="467"/>
      <c r="AV373" s="467"/>
      <c r="AW373" s="467"/>
      <c r="AX373" s="467"/>
      <c r="AY373" s="467"/>
      <c r="AZ373" s="467"/>
      <c r="BA373" s="467"/>
      <c r="BB373" s="467"/>
      <c r="BC373" s="467"/>
      <c r="BD373" s="467"/>
      <c r="BE373" s="467"/>
      <c r="BF373" s="467"/>
      <c r="BG373" s="467"/>
      <c r="BH373" s="467"/>
      <c r="BI373" s="467"/>
      <c r="BJ373" s="467"/>
      <c r="BK373" s="467"/>
      <c r="BL373" s="467"/>
    </row>
    <row r="374" customFormat="false" ht="12.75" hidden="false" customHeight="false" outlineLevel="0" collapsed="false">
      <c r="A374" s="464"/>
      <c r="B374" s="467"/>
      <c r="C374" s="467"/>
      <c r="D374" s="467"/>
      <c r="E374" s="467"/>
      <c r="F374" s="467"/>
      <c r="G374" s="467"/>
      <c r="H374" s="467"/>
      <c r="I374" s="467"/>
      <c r="J374" s="467"/>
      <c r="K374" s="467"/>
      <c r="L374" s="467"/>
      <c r="M374" s="467"/>
      <c r="N374" s="467"/>
      <c r="O374" s="467"/>
      <c r="P374" s="467"/>
      <c r="Q374" s="467"/>
      <c r="R374" s="467"/>
      <c r="S374" s="467"/>
      <c r="T374" s="467"/>
      <c r="U374" s="467"/>
      <c r="V374" s="467"/>
      <c r="W374" s="467"/>
      <c r="X374" s="467"/>
      <c r="Y374" s="467"/>
      <c r="Z374" s="467"/>
      <c r="AA374" s="467"/>
      <c r="AB374" s="467"/>
      <c r="AC374" s="467"/>
      <c r="AD374" s="467"/>
      <c r="AE374" s="467"/>
      <c r="AF374" s="467"/>
      <c r="AG374" s="467"/>
      <c r="AH374" s="467"/>
      <c r="AI374" s="467"/>
      <c r="AJ374" s="467"/>
      <c r="AK374" s="467"/>
      <c r="AL374" s="467"/>
      <c r="AM374" s="467"/>
      <c r="AN374" s="467"/>
      <c r="AO374" s="467"/>
      <c r="AP374" s="467"/>
      <c r="AQ374" s="467"/>
      <c r="AR374" s="467"/>
      <c r="AS374" s="467"/>
      <c r="AT374" s="467"/>
      <c r="AU374" s="467"/>
      <c r="AV374" s="467"/>
      <c r="AW374" s="467"/>
      <c r="AX374" s="467"/>
      <c r="AY374" s="467"/>
      <c r="AZ374" s="467"/>
      <c r="BA374" s="467"/>
      <c r="BB374" s="467"/>
      <c r="BC374" s="467"/>
      <c r="BD374" s="467"/>
      <c r="BE374" s="467"/>
      <c r="BF374" s="467"/>
      <c r="BG374" s="467"/>
      <c r="BH374" s="467"/>
      <c r="BI374" s="467"/>
      <c r="BJ374" s="467"/>
      <c r="BK374" s="467"/>
      <c r="BL374" s="467"/>
    </row>
    <row r="375" customFormat="false" ht="12.75" hidden="false" customHeight="false" outlineLevel="0" collapsed="false">
      <c r="A375" s="464"/>
      <c r="B375" s="467"/>
      <c r="C375" s="467"/>
      <c r="D375" s="467"/>
      <c r="E375" s="467"/>
      <c r="F375" s="467"/>
      <c r="G375" s="467"/>
      <c r="H375" s="467"/>
      <c r="I375" s="467"/>
      <c r="J375" s="467"/>
      <c r="K375" s="467"/>
      <c r="L375" s="467"/>
      <c r="M375" s="467"/>
      <c r="N375" s="467"/>
      <c r="O375" s="467"/>
      <c r="P375" s="467"/>
      <c r="Q375" s="467"/>
      <c r="R375" s="467"/>
      <c r="S375" s="467"/>
      <c r="T375" s="467"/>
      <c r="U375" s="467"/>
      <c r="V375" s="467"/>
      <c r="W375" s="467"/>
      <c r="X375" s="467"/>
      <c r="Y375" s="467"/>
      <c r="Z375" s="467"/>
      <c r="AA375" s="467"/>
      <c r="AB375" s="467"/>
      <c r="AC375" s="467"/>
      <c r="AD375" s="467"/>
      <c r="AE375" s="467"/>
      <c r="AF375" s="467"/>
      <c r="AG375" s="467"/>
      <c r="AH375" s="467"/>
      <c r="AI375" s="467"/>
      <c r="AJ375" s="467"/>
      <c r="AK375" s="467"/>
      <c r="AL375" s="467"/>
      <c r="AM375" s="467"/>
      <c r="AN375" s="467"/>
      <c r="AO375" s="467"/>
      <c r="AP375" s="467"/>
      <c r="AQ375" s="467"/>
      <c r="AR375" s="467"/>
      <c r="AS375" s="467"/>
      <c r="AT375" s="467"/>
      <c r="AU375" s="467"/>
      <c r="AV375" s="467"/>
      <c r="AW375" s="467"/>
      <c r="AX375" s="467"/>
      <c r="AY375" s="467"/>
      <c r="AZ375" s="467"/>
      <c r="BA375" s="467"/>
      <c r="BB375" s="467"/>
      <c r="BC375" s="467"/>
      <c r="BD375" s="467"/>
      <c r="BE375" s="467"/>
      <c r="BF375" s="467"/>
      <c r="BG375" s="467"/>
      <c r="BH375" s="467"/>
      <c r="BI375" s="467"/>
      <c r="BJ375" s="467"/>
      <c r="BK375" s="467"/>
      <c r="BL375" s="467"/>
    </row>
    <row r="376" customFormat="false" ht="12.75" hidden="false" customHeight="false" outlineLevel="0" collapsed="false">
      <c r="A376" s="464"/>
      <c r="B376" s="467"/>
      <c r="C376" s="467"/>
      <c r="D376" s="467"/>
      <c r="E376" s="467"/>
      <c r="F376" s="467"/>
      <c r="G376" s="467"/>
      <c r="H376" s="467"/>
      <c r="I376" s="467"/>
      <c r="J376" s="467"/>
      <c r="K376" s="467"/>
      <c r="L376" s="467"/>
      <c r="M376" s="467"/>
      <c r="N376" s="467"/>
      <c r="O376" s="467"/>
      <c r="P376" s="467"/>
      <c r="Q376" s="467"/>
      <c r="R376" s="467"/>
      <c r="S376" s="467"/>
      <c r="T376" s="467"/>
      <c r="U376" s="467"/>
      <c r="V376" s="467"/>
      <c r="W376" s="467"/>
      <c r="X376" s="467"/>
      <c r="Y376" s="467"/>
      <c r="Z376" s="467"/>
      <c r="AA376" s="467"/>
      <c r="AB376" s="467"/>
      <c r="AC376" s="467"/>
      <c r="AD376" s="467"/>
      <c r="AE376" s="467"/>
      <c r="AF376" s="467"/>
      <c r="AG376" s="467"/>
      <c r="AH376" s="467"/>
      <c r="AI376" s="467"/>
      <c r="AJ376" s="467"/>
      <c r="AK376" s="467"/>
      <c r="AL376" s="467"/>
      <c r="AM376" s="467"/>
      <c r="AN376" s="467"/>
      <c r="AO376" s="467"/>
      <c r="AP376" s="467"/>
      <c r="AQ376" s="467"/>
      <c r="AR376" s="467"/>
      <c r="AS376" s="467"/>
      <c r="AT376" s="467"/>
      <c r="AU376" s="467"/>
      <c r="AV376" s="467"/>
      <c r="AW376" s="467"/>
      <c r="AX376" s="467"/>
      <c r="AY376" s="467"/>
      <c r="AZ376" s="467"/>
      <c r="BA376" s="467"/>
      <c r="BB376" s="467"/>
      <c r="BC376" s="467"/>
      <c r="BD376" s="467"/>
      <c r="BE376" s="467"/>
      <c r="BF376" s="467"/>
      <c r="BG376" s="467"/>
      <c r="BH376" s="467"/>
      <c r="BI376" s="467"/>
      <c r="BJ376" s="467"/>
      <c r="BK376" s="467"/>
      <c r="BL376" s="467"/>
    </row>
    <row r="377" customFormat="false" ht="12.75" hidden="false" customHeight="false" outlineLevel="0" collapsed="false">
      <c r="A377" s="464"/>
      <c r="B377" s="467"/>
      <c r="C377" s="467"/>
      <c r="D377" s="467"/>
      <c r="E377" s="467"/>
      <c r="F377" s="467"/>
      <c r="G377" s="467"/>
      <c r="H377" s="467"/>
      <c r="I377" s="467"/>
      <c r="J377" s="467"/>
      <c r="K377" s="467"/>
      <c r="L377" s="467"/>
      <c r="M377" s="467"/>
      <c r="N377" s="467"/>
      <c r="O377" s="467"/>
      <c r="P377" s="467"/>
      <c r="Q377" s="467"/>
      <c r="R377" s="467"/>
      <c r="S377" s="467"/>
      <c r="T377" s="467"/>
      <c r="U377" s="467"/>
      <c r="V377" s="467"/>
      <c r="W377" s="467"/>
      <c r="X377" s="467"/>
      <c r="Y377" s="467"/>
      <c r="Z377" s="467"/>
      <c r="AA377" s="467"/>
      <c r="AB377" s="467"/>
      <c r="AC377" s="467"/>
      <c r="AD377" s="467"/>
      <c r="AE377" s="467"/>
      <c r="AF377" s="467"/>
      <c r="AG377" s="467"/>
      <c r="AH377" s="467"/>
      <c r="AI377" s="467"/>
      <c r="AJ377" s="467"/>
      <c r="AK377" s="467"/>
      <c r="AL377" s="467"/>
      <c r="AM377" s="467"/>
      <c r="AN377" s="467"/>
      <c r="AO377" s="467"/>
      <c r="AP377" s="467"/>
      <c r="AQ377" s="467"/>
      <c r="AR377" s="467"/>
      <c r="AS377" s="467"/>
      <c r="AT377" s="467"/>
      <c r="AU377" s="467"/>
      <c r="AV377" s="467"/>
      <c r="AW377" s="467"/>
      <c r="AX377" s="467"/>
      <c r="AY377" s="467"/>
      <c r="AZ377" s="467"/>
      <c r="BA377" s="467"/>
      <c r="BB377" s="467"/>
      <c r="BC377" s="467"/>
      <c r="BD377" s="467"/>
      <c r="BE377" s="467"/>
      <c r="BF377" s="467"/>
      <c r="BG377" s="467"/>
      <c r="BH377" s="467"/>
      <c r="BI377" s="467"/>
      <c r="BJ377" s="467"/>
      <c r="BK377" s="467"/>
      <c r="BL377" s="467"/>
    </row>
    <row r="378" customFormat="false" ht="12.75" hidden="false" customHeight="false" outlineLevel="0" collapsed="false">
      <c r="A378" s="464"/>
      <c r="B378" s="467"/>
      <c r="C378" s="467"/>
      <c r="D378" s="467"/>
      <c r="E378" s="467"/>
      <c r="F378" s="467"/>
      <c r="G378" s="467"/>
      <c r="H378" s="467"/>
      <c r="I378" s="467"/>
      <c r="J378" s="467"/>
      <c r="K378" s="467"/>
      <c r="L378" s="467"/>
      <c r="M378" s="467"/>
      <c r="N378" s="467"/>
      <c r="O378" s="467"/>
      <c r="P378" s="467"/>
      <c r="Q378" s="467"/>
      <c r="R378" s="467"/>
      <c r="S378" s="467"/>
      <c r="T378" s="467"/>
      <c r="U378" s="467"/>
      <c r="V378" s="467"/>
      <c r="W378" s="467"/>
      <c r="X378" s="467"/>
      <c r="Y378" s="467"/>
      <c r="Z378" s="467"/>
      <c r="AA378" s="467"/>
      <c r="AB378" s="467"/>
      <c r="AC378" s="467"/>
      <c r="AD378" s="467"/>
      <c r="AE378" s="467"/>
      <c r="AF378" s="467"/>
      <c r="AG378" s="467"/>
      <c r="AH378" s="467"/>
      <c r="AI378" s="467"/>
      <c r="AJ378" s="467"/>
      <c r="AK378" s="467"/>
      <c r="AL378" s="467"/>
      <c r="AM378" s="467"/>
      <c r="AN378" s="467"/>
      <c r="AO378" s="467"/>
      <c r="AP378" s="467"/>
      <c r="AQ378" s="467"/>
      <c r="AR378" s="467"/>
      <c r="AS378" s="467"/>
      <c r="AT378" s="467"/>
      <c r="AU378" s="467"/>
      <c r="AV378" s="467"/>
      <c r="AW378" s="467"/>
      <c r="AX378" s="467"/>
      <c r="AY378" s="467"/>
      <c r="AZ378" s="467"/>
      <c r="BA378" s="467"/>
      <c r="BB378" s="467"/>
      <c r="BC378" s="467"/>
      <c r="BD378" s="467"/>
      <c r="BE378" s="467"/>
      <c r="BF378" s="467"/>
      <c r="BG378" s="467"/>
      <c r="BH378" s="467"/>
      <c r="BI378" s="467"/>
      <c r="BJ378" s="467"/>
      <c r="BK378" s="467"/>
      <c r="BL378" s="467"/>
    </row>
    <row r="379" customFormat="false" ht="12.75" hidden="false" customHeight="false" outlineLevel="0" collapsed="false">
      <c r="A379" s="464"/>
      <c r="B379" s="467"/>
      <c r="C379" s="467"/>
      <c r="D379" s="467"/>
      <c r="E379" s="467"/>
      <c r="F379" s="467"/>
      <c r="G379" s="467"/>
      <c r="H379" s="467"/>
      <c r="I379" s="467"/>
      <c r="J379" s="467"/>
      <c r="K379" s="467"/>
      <c r="L379" s="467"/>
      <c r="M379" s="467"/>
      <c r="N379" s="467"/>
      <c r="O379" s="467"/>
      <c r="P379" s="467"/>
      <c r="Q379" s="467"/>
      <c r="R379" s="467"/>
      <c r="S379" s="467"/>
      <c r="T379" s="467"/>
      <c r="U379" s="467"/>
      <c r="V379" s="467"/>
      <c r="W379" s="467"/>
      <c r="X379" s="467"/>
      <c r="Y379" s="467"/>
      <c r="Z379" s="467"/>
      <c r="AA379" s="467"/>
      <c r="AB379" s="467"/>
      <c r="AC379" s="467"/>
      <c r="AD379" s="467"/>
      <c r="AE379" s="467"/>
      <c r="AF379" s="467"/>
      <c r="AG379" s="467"/>
      <c r="AH379" s="467"/>
      <c r="AI379" s="467"/>
      <c r="AJ379" s="467"/>
      <c r="AK379" s="467"/>
      <c r="AL379" s="467"/>
      <c r="AM379" s="467"/>
      <c r="AN379" s="467"/>
      <c r="AO379" s="467"/>
      <c r="AP379" s="467"/>
      <c r="AQ379" s="467"/>
      <c r="AR379" s="467"/>
      <c r="AS379" s="467"/>
      <c r="AT379" s="467"/>
      <c r="AU379" s="467"/>
      <c r="AV379" s="467"/>
      <c r="AW379" s="467"/>
      <c r="AX379" s="467"/>
      <c r="AY379" s="467"/>
      <c r="AZ379" s="467"/>
      <c r="BA379" s="467"/>
      <c r="BB379" s="467"/>
      <c r="BC379" s="467"/>
      <c r="BD379" s="467"/>
      <c r="BE379" s="467"/>
      <c r="BF379" s="467"/>
      <c r="BG379" s="467"/>
      <c r="BH379" s="467"/>
      <c r="BI379" s="467"/>
      <c r="BJ379" s="467"/>
      <c r="BK379" s="467"/>
      <c r="BL379" s="467"/>
    </row>
    <row r="380" customFormat="false" ht="12.75" hidden="false" customHeight="false" outlineLevel="0" collapsed="false">
      <c r="A380" s="464"/>
      <c r="B380" s="467"/>
      <c r="C380" s="467"/>
      <c r="D380" s="467"/>
      <c r="E380" s="467"/>
      <c r="F380" s="467"/>
      <c r="G380" s="467"/>
      <c r="H380" s="467"/>
      <c r="I380" s="467"/>
      <c r="J380" s="467"/>
      <c r="K380" s="467"/>
      <c r="L380" s="467"/>
      <c r="M380" s="467"/>
      <c r="N380" s="467"/>
      <c r="O380" s="467"/>
      <c r="P380" s="467"/>
      <c r="Q380" s="467"/>
      <c r="R380" s="467"/>
      <c r="S380" s="467"/>
      <c r="T380" s="467"/>
      <c r="U380" s="467"/>
      <c r="V380" s="467"/>
      <c r="W380" s="467"/>
      <c r="X380" s="467"/>
      <c r="Y380" s="467"/>
      <c r="Z380" s="467"/>
      <c r="AA380" s="467"/>
      <c r="AB380" s="467"/>
      <c r="AC380" s="467"/>
      <c r="AD380" s="467"/>
      <c r="AE380" s="467"/>
      <c r="AF380" s="467"/>
      <c r="AG380" s="467"/>
      <c r="AH380" s="467"/>
      <c r="AI380" s="467"/>
      <c r="AJ380" s="467"/>
      <c r="AK380" s="467"/>
      <c r="AL380" s="467"/>
      <c r="AM380" s="467"/>
      <c r="AN380" s="467"/>
      <c r="AO380" s="467"/>
      <c r="AP380" s="467"/>
      <c r="AQ380" s="467"/>
      <c r="AR380" s="467"/>
      <c r="AS380" s="467"/>
      <c r="AT380" s="467"/>
      <c r="AU380" s="467"/>
      <c r="AV380" s="467"/>
      <c r="AW380" s="467"/>
      <c r="AX380" s="467"/>
      <c r="AY380" s="467"/>
      <c r="AZ380" s="467"/>
      <c r="BA380" s="467"/>
      <c r="BB380" s="467"/>
      <c r="BC380" s="467"/>
      <c r="BD380" s="467"/>
      <c r="BE380" s="467"/>
      <c r="BF380" s="467"/>
      <c r="BG380" s="467"/>
      <c r="BH380" s="467"/>
      <c r="BI380" s="467"/>
      <c r="BJ380" s="467"/>
      <c r="BK380" s="467"/>
      <c r="BL380" s="467"/>
    </row>
    <row r="381" customFormat="false" ht="12.75" hidden="false" customHeight="false" outlineLevel="0" collapsed="false">
      <c r="A381" s="464"/>
      <c r="B381" s="467"/>
      <c r="C381" s="467"/>
      <c r="D381" s="467"/>
      <c r="E381" s="467"/>
      <c r="F381" s="467"/>
      <c r="G381" s="467"/>
      <c r="H381" s="467"/>
      <c r="I381" s="467"/>
      <c r="J381" s="467"/>
      <c r="K381" s="467"/>
      <c r="L381" s="467"/>
      <c r="M381" s="467"/>
      <c r="N381" s="467"/>
      <c r="O381" s="467"/>
      <c r="P381" s="467"/>
      <c r="Q381" s="467"/>
      <c r="R381" s="467"/>
      <c r="S381" s="467"/>
      <c r="T381" s="467"/>
      <c r="U381" s="467"/>
      <c r="V381" s="467"/>
      <c r="W381" s="467"/>
      <c r="X381" s="467"/>
      <c r="Y381" s="467"/>
      <c r="Z381" s="467"/>
      <c r="AA381" s="467"/>
      <c r="AB381" s="467"/>
      <c r="AC381" s="467"/>
      <c r="AD381" s="467"/>
      <c r="AE381" s="467"/>
      <c r="AF381" s="467"/>
      <c r="AG381" s="467"/>
      <c r="AH381" s="467"/>
      <c r="AI381" s="467"/>
      <c r="AJ381" s="467"/>
      <c r="AK381" s="467"/>
      <c r="AL381" s="467"/>
      <c r="AM381" s="467"/>
      <c r="AN381" s="467"/>
      <c r="AO381" s="467"/>
      <c r="AP381" s="467"/>
      <c r="AQ381" s="467"/>
      <c r="AR381" s="467"/>
      <c r="AS381" s="467"/>
      <c r="AT381" s="467"/>
      <c r="AU381" s="467"/>
      <c r="AV381" s="467"/>
      <c r="AW381" s="467"/>
      <c r="AX381" s="467"/>
      <c r="AY381" s="467"/>
      <c r="AZ381" s="467"/>
      <c r="BA381" s="467"/>
      <c r="BB381" s="467"/>
      <c r="BC381" s="467"/>
      <c r="BD381" s="467"/>
      <c r="BE381" s="467"/>
      <c r="BF381" s="467"/>
      <c r="BG381" s="467"/>
      <c r="BH381" s="467"/>
      <c r="BI381" s="467"/>
      <c r="BJ381" s="467"/>
      <c r="BK381" s="467"/>
      <c r="BL381" s="467"/>
    </row>
    <row r="382" customFormat="false" ht="12.75" hidden="false" customHeight="false" outlineLevel="0" collapsed="false">
      <c r="A382" s="464"/>
      <c r="B382" s="467"/>
      <c r="C382" s="467"/>
      <c r="D382" s="467"/>
      <c r="E382" s="467"/>
      <c r="F382" s="467"/>
      <c r="G382" s="467"/>
      <c r="H382" s="467"/>
      <c r="I382" s="467"/>
      <c r="J382" s="467"/>
      <c r="K382" s="467"/>
      <c r="L382" s="467"/>
      <c r="M382" s="467"/>
      <c r="N382" s="467"/>
      <c r="O382" s="467"/>
      <c r="P382" s="467"/>
      <c r="Q382" s="467"/>
      <c r="R382" s="467"/>
      <c r="S382" s="467"/>
      <c r="T382" s="467"/>
      <c r="U382" s="467"/>
      <c r="V382" s="467"/>
      <c r="W382" s="467"/>
      <c r="X382" s="467"/>
      <c r="Y382" s="467"/>
      <c r="Z382" s="467"/>
      <c r="AA382" s="467"/>
      <c r="AB382" s="467"/>
      <c r="AC382" s="467"/>
      <c r="AD382" s="467"/>
      <c r="AE382" s="467"/>
      <c r="AF382" s="467"/>
      <c r="AG382" s="467"/>
      <c r="AH382" s="467"/>
      <c r="AI382" s="467"/>
      <c r="AJ382" s="467"/>
      <c r="AK382" s="467"/>
      <c r="AL382" s="467"/>
      <c r="AM382" s="467"/>
      <c r="AN382" s="467"/>
      <c r="AO382" s="467"/>
      <c r="AP382" s="467"/>
      <c r="AQ382" s="467"/>
      <c r="AR382" s="467"/>
      <c r="AS382" s="467"/>
      <c r="AT382" s="467"/>
      <c r="AU382" s="467"/>
      <c r="AV382" s="467"/>
      <c r="AW382" s="467"/>
      <c r="AX382" s="467"/>
      <c r="AY382" s="467"/>
      <c r="AZ382" s="467"/>
      <c r="BA382" s="467"/>
      <c r="BB382" s="467"/>
      <c r="BC382" s="467"/>
      <c r="BD382" s="467"/>
      <c r="BE382" s="467"/>
      <c r="BF382" s="467"/>
      <c r="BG382" s="467"/>
      <c r="BH382" s="467"/>
      <c r="BI382" s="467"/>
      <c r="BJ382" s="467"/>
      <c r="BK382" s="467"/>
      <c r="BL382" s="467"/>
    </row>
    <row r="383" customFormat="false" ht="12.75" hidden="false" customHeight="false" outlineLevel="0" collapsed="false">
      <c r="A383" s="464"/>
      <c r="B383" s="467"/>
      <c r="C383" s="467"/>
      <c r="D383" s="467"/>
      <c r="E383" s="467"/>
      <c r="F383" s="467"/>
      <c r="G383" s="467"/>
      <c r="H383" s="467"/>
      <c r="I383" s="467"/>
      <c r="J383" s="467"/>
      <c r="K383" s="467"/>
      <c r="L383" s="467"/>
      <c r="M383" s="467"/>
      <c r="N383" s="467"/>
      <c r="O383" s="467"/>
      <c r="P383" s="467"/>
      <c r="Q383" s="467"/>
      <c r="R383" s="467"/>
      <c r="S383" s="467"/>
      <c r="T383" s="467"/>
      <c r="U383" s="467"/>
      <c r="V383" s="467"/>
      <c r="W383" s="467"/>
      <c r="X383" s="467"/>
      <c r="Y383" s="467"/>
      <c r="Z383" s="467"/>
      <c r="AA383" s="467"/>
      <c r="AB383" s="467"/>
      <c r="AC383" s="467"/>
      <c r="AD383" s="467"/>
      <c r="AE383" s="467"/>
      <c r="AF383" s="467"/>
      <c r="AG383" s="467"/>
      <c r="AH383" s="467"/>
      <c r="AI383" s="467"/>
      <c r="AJ383" s="467"/>
      <c r="AK383" s="467"/>
      <c r="AL383" s="467"/>
      <c r="AM383" s="467"/>
      <c r="AN383" s="467"/>
      <c r="AO383" s="467"/>
      <c r="AP383" s="467"/>
      <c r="AQ383" s="467"/>
      <c r="AR383" s="467"/>
      <c r="AS383" s="467"/>
      <c r="AT383" s="467"/>
      <c r="AU383" s="467"/>
      <c r="AV383" s="467"/>
      <c r="AW383" s="467"/>
      <c r="AX383" s="467"/>
      <c r="AY383" s="467"/>
      <c r="AZ383" s="467"/>
      <c r="BA383" s="467"/>
      <c r="BB383" s="467"/>
      <c r="BC383" s="467"/>
      <c r="BD383" s="467"/>
      <c r="BE383" s="467"/>
      <c r="BF383" s="467"/>
      <c r="BG383" s="467"/>
      <c r="BH383" s="467"/>
      <c r="BI383" s="467"/>
      <c r="BJ383" s="467"/>
      <c r="BK383" s="467"/>
      <c r="BL383" s="467"/>
    </row>
    <row r="384" customFormat="false" ht="12.75" hidden="false" customHeight="false" outlineLevel="0" collapsed="false">
      <c r="A384" s="464"/>
      <c r="B384" s="467"/>
      <c r="C384" s="467"/>
      <c r="D384" s="467"/>
      <c r="E384" s="467"/>
      <c r="F384" s="467"/>
      <c r="G384" s="467"/>
      <c r="H384" s="467"/>
      <c r="I384" s="467"/>
      <c r="J384" s="467"/>
      <c r="K384" s="467"/>
      <c r="L384" s="467"/>
      <c r="M384" s="467"/>
      <c r="N384" s="467"/>
      <c r="O384" s="467"/>
      <c r="P384" s="467"/>
      <c r="Q384" s="467"/>
      <c r="R384" s="467"/>
      <c r="S384" s="467"/>
      <c r="T384" s="467"/>
      <c r="U384" s="467"/>
      <c r="V384" s="467"/>
      <c r="W384" s="467"/>
      <c r="X384" s="467"/>
      <c r="Y384" s="467"/>
      <c r="Z384" s="467"/>
      <c r="AA384" s="467"/>
      <c r="AB384" s="467"/>
      <c r="AC384" s="467"/>
      <c r="AD384" s="467"/>
      <c r="AE384" s="467"/>
      <c r="AF384" s="467"/>
      <c r="AG384" s="467"/>
      <c r="AH384" s="467"/>
      <c r="AI384" s="467"/>
      <c r="AJ384" s="467"/>
      <c r="AK384" s="467"/>
      <c r="AL384" s="467"/>
      <c r="AM384" s="467"/>
      <c r="AN384" s="467"/>
      <c r="AO384" s="467"/>
      <c r="AP384" s="467"/>
      <c r="AQ384" s="467"/>
      <c r="AR384" s="467"/>
      <c r="AS384" s="467"/>
      <c r="AT384" s="467"/>
      <c r="AU384" s="467"/>
      <c r="AV384" s="467"/>
      <c r="AW384" s="467"/>
      <c r="AX384" s="467"/>
      <c r="AY384" s="467"/>
      <c r="AZ384" s="467"/>
      <c r="BA384" s="467"/>
      <c r="BB384" s="467"/>
      <c r="BC384" s="467"/>
      <c r="BD384" s="467"/>
      <c r="BE384" s="467"/>
      <c r="BF384" s="467"/>
      <c r="BG384" s="467"/>
      <c r="BH384" s="467"/>
      <c r="BI384" s="467"/>
      <c r="BJ384" s="467"/>
      <c r="BK384" s="467"/>
      <c r="BL384" s="467"/>
    </row>
    <row r="385" customFormat="false" ht="12.75" hidden="false" customHeight="false" outlineLevel="0" collapsed="false">
      <c r="A385" s="464"/>
      <c r="B385" s="467"/>
      <c r="C385" s="467"/>
      <c r="D385" s="467"/>
      <c r="E385" s="467"/>
      <c r="F385" s="467"/>
      <c r="G385" s="467"/>
      <c r="H385" s="467"/>
      <c r="I385" s="467"/>
      <c r="J385" s="467"/>
      <c r="K385" s="467"/>
      <c r="L385" s="467"/>
      <c r="M385" s="467"/>
      <c r="N385" s="467"/>
      <c r="O385" s="467"/>
      <c r="P385" s="467"/>
      <c r="Q385" s="467"/>
      <c r="R385" s="467"/>
      <c r="S385" s="467"/>
      <c r="T385" s="467"/>
      <c r="U385" s="467"/>
      <c r="V385" s="467"/>
      <c r="W385" s="467"/>
      <c r="X385" s="467"/>
      <c r="Y385" s="467"/>
      <c r="Z385" s="467"/>
      <c r="AA385" s="467"/>
      <c r="AB385" s="467"/>
      <c r="AC385" s="467"/>
      <c r="AD385" s="467"/>
      <c r="AE385" s="467"/>
      <c r="AF385" s="467"/>
      <c r="AG385" s="467"/>
      <c r="AH385" s="467"/>
      <c r="AI385" s="467"/>
      <c r="AJ385" s="467"/>
      <c r="AK385" s="467"/>
      <c r="AL385" s="467"/>
      <c r="AM385" s="467"/>
      <c r="AN385" s="467"/>
      <c r="AO385" s="467"/>
      <c r="AP385" s="467"/>
      <c r="AQ385" s="467"/>
      <c r="AR385" s="467"/>
      <c r="AS385" s="467"/>
      <c r="AT385" s="467"/>
      <c r="AU385" s="467"/>
      <c r="AV385" s="467"/>
      <c r="AW385" s="467"/>
      <c r="AX385" s="467"/>
      <c r="AY385" s="467"/>
      <c r="AZ385" s="467"/>
      <c r="BA385" s="467"/>
      <c r="BB385" s="467"/>
      <c r="BC385" s="467"/>
      <c r="BD385" s="467"/>
      <c r="BE385" s="467"/>
      <c r="BF385" s="467"/>
      <c r="BG385" s="467"/>
      <c r="BH385" s="467"/>
      <c r="BI385" s="467"/>
      <c r="BJ385" s="467"/>
      <c r="BK385" s="467"/>
      <c r="BL385" s="467"/>
    </row>
    <row r="386" customFormat="false" ht="12.75" hidden="false" customHeight="false" outlineLevel="0" collapsed="false">
      <c r="A386" s="464"/>
      <c r="B386" s="467"/>
      <c r="C386" s="467"/>
      <c r="D386" s="467"/>
      <c r="E386" s="467"/>
      <c r="F386" s="467"/>
      <c r="G386" s="467"/>
      <c r="H386" s="467"/>
      <c r="I386" s="467"/>
      <c r="J386" s="467"/>
      <c r="K386" s="467"/>
      <c r="L386" s="467"/>
      <c r="M386" s="467"/>
      <c r="N386" s="467"/>
      <c r="O386" s="467"/>
      <c r="P386" s="467"/>
      <c r="Q386" s="467"/>
      <c r="R386" s="467"/>
      <c r="S386" s="467"/>
      <c r="T386" s="467"/>
      <c r="U386" s="467"/>
      <c r="V386" s="467"/>
      <c r="W386" s="467"/>
      <c r="X386" s="467"/>
      <c r="Y386" s="467"/>
      <c r="Z386" s="467"/>
      <c r="AA386" s="467"/>
      <c r="AB386" s="467"/>
      <c r="AC386" s="467"/>
      <c r="AD386" s="467"/>
      <c r="AE386" s="467"/>
      <c r="AF386" s="467"/>
      <c r="AG386" s="467"/>
      <c r="AH386" s="467"/>
      <c r="AI386" s="467"/>
      <c r="AJ386" s="467"/>
      <c r="AK386" s="467"/>
      <c r="AL386" s="467"/>
      <c r="AM386" s="467"/>
      <c r="AN386" s="467"/>
      <c r="AO386" s="467"/>
      <c r="AP386" s="467"/>
      <c r="AQ386" s="467"/>
      <c r="AR386" s="467"/>
      <c r="AS386" s="467"/>
      <c r="AT386" s="467"/>
      <c r="AU386" s="467"/>
      <c r="AV386" s="467"/>
      <c r="AW386" s="467"/>
      <c r="AX386" s="467"/>
      <c r="AY386" s="467"/>
      <c r="AZ386" s="467"/>
      <c r="BA386" s="467"/>
      <c r="BB386" s="467"/>
      <c r="BC386" s="467"/>
      <c r="BD386" s="467"/>
      <c r="BE386" s="467"/>
      <c r="BF386" s="467"/>
      <c r="BG386" s="467"/>
      <c r="BH386" s="467"/>
      <c r="BI386" s="467"/>
      <c r="BJ386" s="467"/>
      <c r="BK386" s="467"/>
      <c r="BL386" s="467"/>
    </row>
    <row r="387" customFormat="false" ht="12.75" hidden="false" customHeight="false" outlineLevel="0" collapsed="false">
      <c r="A387" s="464"/>
      <c r="B387" s="467"/>
      <c r="C387" s="467"/>
      <c r="D387" s="467"/>
      <c r="E387" s="467"/>
      <c r="F387" s="467"/>
      <c r="G387" s="467"/>
      <c r="H387" s="467"/>
      <c r="I387" s="467"/>
      <c r="J387" s="467"/>
      <c r="K387" s="467"/>
      <c r="L387" s="467"/>
      <c r="M387" s="467"/>
      <c r="N387" s="467"/>
      <c r="O387" s="467"/>
      <c r="P387" s="467"/>
      <c r="Q387" s="467"/>
      <c r="R387" s="467"/>
      <c r="S387" s="467"/>
      <c r="T387" s="467"/>
      <c r="U387" s="467"/>
      <c r="V387" s="467"/>
      <c r="W387" s="467"/>
      <c r="X387" s="467"/>
      <c r="Y387" s="467"/>
      <c r="Z387" s="467"/>
      <c r="AA387" s="467"/>
      <c r="AB387" s="467"/>
      <c r="AC387" s="467"/>
      <c r="AD387" s="467"/>
      <c r="AE387" s="467"/>
      <c r="AF387" s="467"/>
      <c r="AG387" s="467"/>
      <c r="AH387" s="467"/>
      <c r="AI387" s="467"/>
      <c r="AJ387" s="467"/>
      <c r="AK387" s="467"/>
      <c r="AL387" s="467"/>
      <c r="AM387" s="467"/>
      <c r="AN387" s="467"/>
      <c r="AO387" s="467"/>
      <c r="AP387" s="467"/>
      <c r="AQ387" s="467"/>
      <c r="AR387" s="467"/>
      <c r="AS387" s="467"/>
      <c r="AT387" s="467"/>
      <c r="AU387" s="467"/>
      <c r="AV387" s="467"/>
      <c r="AW387" s="467"/>
      <c r="AX387" s="467"/>
      <c r="AY387" s="467"/>
      <c r="AZ387" s="467"/>
      <c r="BA387" s="467"/>
      <c r="BB387" s="467"/>
      <c r="BC387" s="467"/>
      <c r="BD387" s="467"/>
      <c r="BE387" s="467"/>
      <c r="BF387" s="467"/>
      <c r="BG387" s="467"/>
      <c r="BH387" s="467"/>
      <c r="BI387" s="467"/>
      <c r="BJ387" s="467"/>
      <c r="BK387" s="467"/>
      <c r="BL387" s="467"/>
    </row>
    <row r="388" customFormat="false" ht="12.75" hidden="false" customHeight="false" outlineLevel="0" collapsed="false">
      <c r="A388" s="464"/>
      <c r="B388" s="467"/>
      <c r="C388" s="467"/>
      <c r="D388" s="467"/>
      <c r="E388" s="467"/>
      <c r="F388" s="467"/>
      <c r="G388" s="467"/>
      <c r="H388" s="467"/>
      <c r="I388" s="467"/>
      <c r="J388" s="467"/>
      <c r="K388" s="467"/>
      <c r="L388" s="467"/>
      <c r="M388" s="467"/>
      <c r="N388" s="467"/>
      <c r="O388" s="467"/>
      <c r="P388" s="467"/>
      <c r="Q388" s="467"/>
      <c r="R388" s="467"/>
      <c r="S388" s="467"/>
      <c r="T388" s="467"/>
      <c r="U388" s="467"/>
      <c r="V388" s="467"/>
      <c r="W388" s="467"/>
      <c r="X388" s="467"/>
      <c r="Y388" s="467"/>
      <c r="Z388" s="467"/>
      <c r="AA388" s="467"/>
      <c r="AB388" s="467"/>
      <c r="AC388" s="467"/>
      <c r="AD388" s="467"/>
      <c r="AE388" s="467"/>
      <c r="AF388" s="467"/>
      <c r="AG388" s="467"/>
      <c r="AH388" s="467"/>
      <c r="AI388" s="467"/>
      <c r="AJ388" s="467"/>
      <c r="AK388" s="467"/>
      <c r="AL388" s="467"/>
      <c r="AM388" s="467"/>
      <c r="AN388" s="467"/>
      <c r="AO388" s="467"/>
      <c r="AP388" s="467"/>
      <c r="AQ388" s="467"/>
      <c r="AR388" s="467"/>
      <c r="AS388" s="467"/>
      <c r="AT388" s="467"/>
      <c r="AU388" s="467"/>
      <c r="AV388" s="467"/>
      <c r="AW388" s="467"/>
      <c r="AX388" s="467"/>
      <c r="AY388" s="467"/>
      <c r="AZ388" s="467"/>
      <c r="BA388" s="467"/>
      <c r="BB388" s="467"/>
      <c r="BC388" s="467"/>
      <c r="BD388" s="467"/>
      <c r="BE388" s="467"/>
      <c r="BF388" s="467"/>
      <c r="BG388" s="467"/>
      <c r="BH388" s="467"/>
      <c r="BI388" s="467"/>
      <c r="BJ388" s="467"/>
      <c r="BK388" s="467"/>
      <c r="BL388" s="467"/>
    </row>
    <row r="389" customFormat="false" ht="12.75" hidden="false" customHeight="false" outlineLevel="0" collapsed="false">
      <c r="A389" s="464"/>
      <c r="B389" s="467"/>
      <c r="C389" s="467"/>
      <c r="D389" s="467"/>
      <c r="E389" s="467"/>
      <c r="F389" s="467"/>
      <c r="G389" s="467"/>
      <c r="H389" s="467"/>
      <c r="I389" s="467"/>
      <c r="J389" s="467"/>
      <c r="K389" s="467"/>
      <c r="L389" s="467"/>
      <c r="M389" s="467"/>
      <c r="N389" s="467"/>
      <c r="O389" s="467"/>
      <c r="P389" s="467"/>
      <c r="Q389" s="467"/>
      <c r="R389" s="467"/>
      <c r="S389" s="467"/>
      <c r="T389" s="467"/>
      <c r="U389" s="467"/>
      <c r="V389" s="467"/>
      <c r="W389" s="467"/>
      <c r="X389" s="467"/>
      <c r="Y389" s="467"/>
      <c r="Z389" s="467"/>
      <c r="AA389" s="467"/>
      <c r="AB389" s="467"/>
      <c r="AC389" s="467"/>
      <c r="AD389" s="467"/>
      <c r="AE389" s="467"/>
      <c r="AF389" s="467"/>
      <c r="AG389" s="467"/>
      <c r="AH389" s="467"/>
      <c r="AI389" s="467"/>
      <c r="AJ389" s="467"/>
      <c r="AK389" s="467"/>
      <c r="AL389" s="467"/>
      <c r="AM389" s="467"/>
      <c r="AN389" s="467"/>
      <c r="AO389" s="467"/>
      <c r="AP389" s="467"/>
      <c r="AQ389" s="467"/>
      <c r="AR389" s="467"/>
      <c r="AS389" s="467"/>
      <c r="AT389" s="467"/>
      <c r="AU389" s="467"/>
      <c r="AV389" s="467"/>
      <c r="AW389" s="467"/>
      <c r="AX389" s="467"/>
      <c r="AY389" s="467"/>
      <c r="AZ389" s="467"/>
      <c r="BA389" s="467"/>
      <c r="BB389" s="467"/>
      <c r="BC389" s="467"/>
      <c r="BD389" s="467"/>
      <c r="BE389" s="467"/>
      <c r="BF389" s="467"/>
      <c r="BG389" s="467"/>
      <c r="BH389" s="467"/>
      <c r="BI389" s="467"/>
      <c r="BJ389" s="467"/>
      <c r="BK389" s="467"/>
      <c r="BL389" s="467"/>
    </row>
    <row r="390" customFormat="false" ht="12.75" hidden="false" customHeight="false" outlineLevel="0" collapsed="false">
      <c r="A390" s="464"/>
      <c r="B390" s="467"/>
      <c r="C390" s="467"/>
      <c r="D390" s="467"/>
      <c r="E390" s="467"/>
      <c r="F390" s="467"/>
      <c r="G390" s="467"/>
      <c r="H390" s="467"/>
      <c r="I390" s="467"/>
      <c r="J390" s="467"/>
      <c r="K390" s="467"/>
      <c r="L390" s="467"/>
      <c r="M390" s="467"/>
      <c r="N390" s="467"/>
      <c r="O390" s="467"/>
      <c r="P390" s="467"/>
      <c r="Q390" s="467"/>
      <c r="R390" s="467"/>
      <c r="S390" s="467"/>
      <c r="T390" s="467"/>
      <c r="U390" s="467"/>
      <c r="V390" s="467"/>
      <c r="W390" s="467"/>
      <c r="X390" s="467"/>
      <c r="Y390" s="467"/>
      <c r="Z390" s="467"/>
      <c r="AA390" s="467"/>
      <c r="AB390" s="467"/>
      <c r="AC390" s="467"/>
      <c r="AD390" s="467"/>
      <c r="AE390" s="467"/>
      <c r="AF390" s="467"/>
      <c r="AG390" s="467"/>
      <c r="AH390" s="467"/>
      <c r="AI390" s="467"/>
      <c r="AJ390" s="467"/>
      <c r="AK390" s="467"/>
      <c r="AL390" s="467"/>
      <c r="AM390" s="467"/>
      <c r="AN390" s="467"/>
      <c r="AO390" s="467"/>
      <c r="AP390" s="467"/>
      <c r="AQ390" s="467"/>
      <c r="AR390" s="467"/>
      <c r="AS390" s="467"/>
      <c r="AT390" s="467"/>
      <c r="AU390" s="467"/>
      <c r="AV390" s="467"/>
      <c r="AW390" s="467"/>
      <c r="AX390" s="467"/>
      <c r="AY390" s="467"/>
      <c r="AZ390" s="467"/>
      <c r="BA390" s="467"/>
      <c r="BB390" s="467"/>
      <c r="BC390" s="467"/>
      <c r="BD390" s="467"/>
      <c r="BE390" s="467"/>
      <c r="BF390" s="467"/>
      <c r="BG390" s="467"/>
      <c r="BH390" s="467"/>
      <c r="BI390" s="467"/>
      <c r="BJ390" s="467"/>
      <c r="BK390" s="467"/>
      <c r="BL390" s="467"/>
    </row>
    <row r="391" customFormat="false" ht="12.75" hidden="false" customHeight="false" outlineLevel="0" collapsed="false">
      <c r="A391" s="464"/>
      <c r="B391" s="467"/>
      <c r="C391" s="467"/>
      <c r="D391" s="467"/>
      <c r="E391" s="467"/>
      <c r="F391" s="467"/>
      <c r="G391" s="467"/>
      <c r="H391" s="467"/>
      <c r="I391" s="467"/>
      <c r="J391" s="467"/>
      <c r="K391" s="467"/>
      <c r="L391" s="467"/>
      <c r="M391" s="467"/>
      <c r="N391" s="467"/>
      <c r="O391" s="467"/>
      <c r="P391" s="467"/>
      <c r="Q391" s="467"/>
      <c r="R391" s="467"/>
      <c r="S391" s="467"/>
      <c r="T391" s="467"/>
      <c r="U391" s="467"/>
      <c r="V391" s="467"/>
      <c r="W391" s="467"/>
      <c r="X391" s="467"/>
      <c r="Y391" s="467"/>
      <c r="Z391" s="467"/>
      <c r="AA391" s="467"/>
      <c r="AB391" s="467"/>
      <c r="AC391" s="467"/>
      <c r="AD391" s="467"/>
      <c r="AE391" s="467"/>
      <c r="AF391" s="467"/>
      <c r="AG391" s="467"/>
      <c r="AH391" s="467"/>
      <c r="AI391" s="467"/>
      <c r="AJ391" s="467"/>
      <c r="AK391" s="467"/>
      <c r="AL391" s="467"/>
      <c r="AM391" s="467"/>
      <c r="AN391" s="467"/>
      <c r="AO391" s="467"/>
      <c r="AP391" s="467"/>
      <c r="AQ391" s="467"/>
      <c r="AR391" s="467"/>
      <c r="AS391" s="467"/>
      <c r="AT391" s="467"/>
      <c r="AU391" s="467"/>
      <c r="AV391" s="467"/>
      <c r="AW391" s="467"/>
      <c r="AX391" s="467"/>
      <c r="AY391" s="467"/>
      <c r="AZ391" s="467"/>
      <c r="BA391" s="467"/>
      <c r="BB391" s="467"/>
      <c r="BC391" s="467"/>
      <c r="BD391" s="467"/>
      <c r="BE391" s="467"/>
      <c r="BF391" s="467"/>
      <c r="BG391" s="467"/>
      <c r="BH391" s="467"/>
      <c r="BI391" s="467"/>
      <c r="BJ391" s="467"/>
      <c r="BK391" s="467"/>
      <c r="BL391" s="467"/>
    </row>
    <row r="392" customFormat="false" ht="12.75" hidden="false" customHeight="false" outlineLevel="0" collapsed="false">
      <c r="A392" s="464"/>
      <c r="B392" s="467"/>
      <c r="C392" s="467"/>
      <c r="D392" s="467"/>
      <c r="E392" s="467"/>
      <c r="F392" s="467"/>
      <c r="G392" s="467"/>
      <c r="H392" s="467"/>
      <c r="I392" s="467"/>
      <c r="J392" s="467"/>
      <c r="K392" s="467"/>
      <c r="L392" s="467"/>
      <c r="M392" s="467"/>
      <c r="N392" s="467"/>
      <c r="O392" s="467"/>
      <c r="P392" s="467"/>
      <c r="Q392" s="467"/>
      <c r="R392" s="467"/>
      <c r="S392" s="467"/>
      <c r="T392" s="467"/>
      <c r="U392" s="467"/>
      <c r="V392" s="467"/>
      <c r="W392" s="467"/>
      <c r="X392" s="467"/>
      <c r="Y392" s="467"/>
      <c r="Z392" s="467"/>
      <c r="AA392" s="467"/>
      <c r="AB392" s="467"/>
      <c r="AC392" s="467"/>
      <c r="AD392" s="467"/>
      <c r="AE392" s="467"/>
      <c r="AF392" s="467"/>
      <c r="AG392" s="467"/>
      <c r="AH392" s="467"/>
      <c r="AI392" s="467"/>
      <c r="AJ392" s="467"/>
      <c r="AK392" s="467"/>
      <c r="AL392" s="467"/>
      <c r="AM392" s="467"/>
      <c r="AN392" s="467"/>
      <c r="AO392" s="467"/>
      <c r="AP392" s="467"/>
      <c r="AQ392" s="467"/>
      <c r="AR392" s="467"/>
      <c r="AS392" s="467"/>
      <c r="AT392" s="467"/>
      <c r="AU392" s="467"/>
      <c r="AV392" s="467"/>
      <c r="AW392" s="467"/>
      <c r="AX392" s="467"/>
      <c r="AY392" s="467"/>
      <c r="AZ392" s="467"/>
      <c r="BA392" s="467"/>
      <c r="BB392" s="467"/>
      <c r="BC392" s="467"/>
      <c r="BD392" s="467"/>
      <c r="BE392" s="467"/>
      <c r="BF392" s="467"/>
      <c r="BG392" s="467"/>
      <c r="BH392" s="467"/>
      <c r="BI392" s="467"/>
      <c r="BJ392" s="467"/>
      <c r="BK392" s="467"/>
      <c r="BL392" s="467"/>
    </row>
    <row r="393" customFormat="false" ht="12.75" hidden="false" customHeight="false" outlineLevel="0" collapsed="false">
      <c r="A393" s="464"/>
      <c r="B393" s="467"/>
      <c r="C393" s="467"/>
      <c r="D393" s="467"/>
      <c r="E393" s="467"/>
      <c r="F393" s="467"/>
      <c r="G393" s="467"/>
      <c r="H393" s="467"/>
      <c r="I393" s="467"/>
      <c r="J393" s="467"/>
      <c r="K393" s="467"/>
      <c r="L393" s="467"/>
      <c r="M393" s="467"/>
      <c r="N393" s="467"/>
      <c r="O393" s="467"/>
      <c r="P393" s="467"/>
      <c r="Q393" s="467"/>
      <c r="R393" s="467"/>
      <c r="S393" s="467"/>
      <c r="T393" s="467"/>
      <c r="U393" s="467"/>
      <c r="V393" s="467"/>
      <c r="W393" s="467"/>
      <c r="X393" s="467"/>
      <c r="Y393" s="467"/>
      <c r="Z393" s="467"/>
      <c r="AA393" s="467"/>
      <c r="AB393" s="467"/>
      <c r="AC393" s="467"/>
      <c r="AD393" s="467"/>
      <c r="AE393" s="467"/>
      <c r="AF393" s="467"/>
      <c r="AG393" s="467"/>
      <c r="AH393" s="467"/>
      <c r="AI393" s="467"/>
      <c r="AJ393" s="467"/>
      <c r="AK393" s="467"/>
      <c r="AL393" s="467"/>
      <c r="AM393" s="467"/>
      <c r="AN393" s="467"/>
      <c r="AO393" s="467"/>
      <c r="AP393" s="467"/>
      <c r="AQ393" s="467"/>
      <c r="AR393" s="467"/>
      <c r="AS393" s="467"/>
      <c r="AT393" s="467"/>
      <c r="AU393" s="467"/>
      <c r="AV393" s="467"/>
      <c r="AW393" s="467"/>
      <c r="AX393" s="467"/>
      <c r="AY393" s="467"/>
      <c r="AZ393" s="467"/>
      <c r="BA393" s="467"/>
      <c r="BB393" s="467"/>
      <c r="BC393" s="467"/>
      <c r="BD393" s="467"/>
      <c r="BE393" s="467"/>
      <c r="BF393" s="467"/>
      <c r="BG393" s="467"/>
      <c r="BH393" s="467"/>
      <c r="BI393" s="467"/>
      <c r="BJ393" s="467"/>
      <c r="BK393" s="467"/>
      <c r="BL393" s="467"/>
    </row>
    <row r="394" customFormat="false" ht="12.75" hidden="false" customHeight="false" outlineLevel="0" collapsed="false">
      <c r="A394" s="464"/>
      <c r="B394" s="467"/>
      <c r="C394" s="467"/>
      <c r="D394" s="467"/>
      <c r="E394" s="467"/>
      <c r="F394" s="467"/>
      <c r="G394" s="467"/>
      <c r="H394" s="467"/>
      <c r="I394" s="467"/>
      <c r="J394" s="467"/>
      <c r="K394" s="467"/>
      <c r="L394" s="467"/>
      <c r="M394" s="467"/>
      <c r="N394" s="467"/>
      <c r="O394" s="467"/>
      <c r="P394" s="467"/>
      <c r="Q394" s="467"/>
      <c r="R394" s="467"/>
      <c r="S394" s="467"/>
      <c r="T394" s="467"/>
      <c r="U394" s="467"/>
      <c r="V394" s="467"/>
      <c r="W394" s="467"/>
      <c r="X394" s="467"/>
      <c r="Y394" s="467"/>
      <c r="Z394" s="467"/>
      <c r="AA394" s="467"/>
      <c r="AB394" s="467"/>
      <c r="AC394" s="467"/>
      <c r="AD394" s="467"/>
      <c r="AE394" s="467"/>
      <c r="AF394" s="467"/>
      <c r="AG394" s="467"/>
      <c r="AH394" s="467"/>
      <c r="AI394" s="467"/>
      <c r="AJ394" s="467"/>
      <c r="AK394" s="467"/>
      <c r="AL394" s="467"/>
      <c r="AM394" s="467"/>
      <c r="AN394" s="467"/>
      <c r="AO394" s="467"/>
      <c r="AP394" s="467"/>
      <c r="AQ394" s="467"/>
      <c r="AR394" s="467"/>
      <c r="AS394" s="467"/>
      <c r="AT394" s="467"/>
      <c r="AU394" s="467"/>
      <c r="AV394" s="467"/>
      <c r="AW394" s="467"/>
      <c r="AX394" s="467"/>
      <c r="AY394" s="467"/>
      <c r="AZ394" s="467"/>
      <c r="BA394" s="467"/>
      <c r="BB394" s="467"/>
      <c r="BC394" s="467"/>
      <c r="BD394" s="467"/>
      <c r="BE394" s="467"/>
      <c r="BF394" s="467"/>
      <c r="BG394" s="467"/>
      <c r="BH394" s="467"/>
      <c r="BI394" s="467"/>
      <c r="BJ394" s="467"/>
      <c r="BK394" s="467"/>
      <c r="BL394" s="467"/>
    </row>
    <row r="395" customFormat="false" ht="12.75" hidden="false" customHeight="false" outlineLevel="0" collapsed="false">
      <c r="A395" s="464"/>
      <c r="B395" s="467"/>
      <c r="C395" s="467"/>
      <c r="D395" s="467"/>
      <c r="E395" s="467"/>
      <c r="F395" s="467"/>
      <c r="G395" s="467"/>
      <c r="H395" s="467"/>
      <c r="I395" s="467"/>
      <c r="J395" s="467"/>
      <c r="K395" s="467"/>
      <c r="L395" s="467"/>
      <c r="M395" s="467"/>
      <c r="N395" s="467"/>
      <c r="O395" s="467"/>
      <c r="P395" s="467"/>
      <c r="Q395" s="467"/>
      <c r="R395" s="467"/>
      <c r="S395" s="467"/>
      <c r="T395" s="467"/>
      <c r="U395" s="467"/>
      <c r="V395" s="467"/>
      <c r="W395" s="467"/>
      <c r="X395" s="467"/>
      <c r="Y395" s="467"/>
      <c r="Z395" s="467"/>
      <c r="AA395" s="467"/>
      <c r="AB395" s="467"/>
      <c r="AC395" s="467"/>
      <c r="AD395" s="467"/>
      <c r="AE395" s="467"/>
      <c r="AF395" s="467"/>
      <c r="AG395" s="467"/>
      <c r="AH395" s="467"/>
      <c r="AI395" s="467"/>
      <c r="AJ395" s="467"/>
      <c r="AK395" s="467"/>
      <c r="AL395" s="467"/>
      <c r="AM395" s="467"/>
      <c r="AN395" s="467"/>
      <c r="AO395" s="467"/>
      <c r="AP395" s="467"/>
      <c r="AQ395" s="467"/>
      <c r="AR395" s="467"/>
      <c r="AS395" s="467"/>
      <c r="AT395" s="467"/>
      <c r="AU395" s="467"/>
      <c r="AV395" s="467"/>
      <c r="AW395" s="467"/>
      <c r="AX395" s="467"/>
      <c r="AY395" s="467"/>
      <c r="AZ395" s="467"/>
      <c r="BA395" s="467"/>
      <c r="BB395" s="467"/>
      <c r="BC395" s="467"/>
      <c r="BD395" s="467"/>
      <c r="BE395" s="467"/>
      <c r="BF395" s="467"/>
      <c r="BG395" s="467"/>
      <c r="BH395" s="467"/>
      <c r="BI395" s="467"/>
      <c r="BJ395" s="467"/>
      <c r="BK395" s="467"/>
      <c r="BL395" s="467"/>
    </row>
    <row r="396" customFormat="false" ht="12.75" hidden="false" customHeight="false" outlineLevel="0" collapsed="false">
      <c r="A396" s="464"/>
      <c r="B396" s="467"/>
      <c r="C396" s="467"/>
      <c r="D396" s="467"/>
      <c r="E396" s="467"/>
      <c r="F396" s="467"/>
      <c r="G396" s="467"/>
      <c r="H396" s="467"/>
      <c r="I396" s="467"/>
      <c r="J396" s="467"/>
      <c r="K396" s="467"/>
      <c r="L396" s="467"/>
      <c r="M396" s="467"/>
      <c r="N396" s="467"/>
      <c r="O396" s="467"/>
      <c r="P396" s="467"/>
      <c r="Q396" s="467"/>
      <c r="R396" s="467"/>
      <c r="S396" s="467"/>
      <c r="T396" s="467"/>
      <c r="U396" s="467"/>
      <c r="V396" s="467"/>
      <c r="W396" s="467"/>
      <c r="X396" s="467"/>
      <c r="Y396" s="467"/>
      <c r="Z396" s="467"/>
      <c r="AA396" s="467"/>
      <c r="AB396" s="467"/>
      <c r="AC396" s="467"/>
      <c r="AD396" s="467"/>
      <c r="AE396" s="467"/>
      <c r="AF396" s="467"/>
      <c r="AG396" s="467"/>
      <c r="AH396" s="467"/>
      <c r="AI396" s="467"/>
      <c r="AJ396" s="467"/>
      <c r="AK396" s="467"/>
      <c r="AL396" s="467"/>
      <c r="AM396" s="467"/>
      <c r="AN396" s="467"/>
      <c r="AO396" s="467"/>
      <c r="AP396" s="467"/>
      <c r="AQ396" s="467"/>
      <c r="AR396" s="467"/>
      <c r="AS396" s="467"/>
      <c r="AT396" s="467"/>
      <c r="AU396" s="467"/>
      <c r="AV396" s="467"/>
      <c r="AW396" s="467"/>
      <c r="AX396" s="467"/>
      <c r="AY396" s="467"/>
      <c r="AZ396" s="467"/>
      <c r="BA396" s="467"/>
      <c r="BB396" s="467"/>
      <c r="BC396" s="467"/>
      <c r="BD396" s="467"/>
      <c r="BE396" s="467"/>
      <c r="BF396" s="467"/>
      <c r="BG396" s="467"/>
      <c r="BH396" s="467"/>
      <c r="BI396" s="467"/>
      <c r="BJ396" s="467"/>
      <c r="BK396" s="467"/>
      <c r="BL396" s="467"/>
    </row>
    <row r="397" customFormat="false" ht="12.75" hidden="false" customHeight="false" outlineLevel="0" collapsed="false">
      <c r="A397" s="464"/>
      <c r="B397" s="467"/>
      <c r="C397" s="467"/>
      <c r="D397" s="467"/>
      <c r="E397" s="467"/>
      <c r="F397" s="467"/>
      <c r="G397" s="467"/>
      <c r="H397" s="467"/>
      <c r="I397" s="467"/>
      <c r="J397" s="467"/>
      <c r="K397" s="467"/>
      <c r="L397" s="467"/>
      <c r="M397" s="467"/>
      <c r="N397" s="467"/>
      <c r="O397" s="467"/>
      <c r="P397" s="467"/>
      <c r="Q397" s="467"/>
      <c r="R397" s="467"/>
      <c r="S397" s="467"/>
      <c r="T397" s="467"/>
      <c r="U397" s="467"/>
      <c r="V397" s="467"/>
      <c r="W397" s="467"/>
      <c r="X397" s="467"/>
      <c r="Y397" s="467"/>
      <c r="Z397" s="467"/>
      <c r="AA397" s="467"/>
      <c r="AB397" s="467"/>
      <c r="AC397" s="467"/>
      <c r="AD397" s="467"/>
      <c r="AE397" s="467"/>
      <c r="AF397" s="467"/>
      <c r="AG397" s="467"/>
      <c r="AH397" s="467"/>
      <c r="AI397" s="467"/>
      <c r="AJ397" s="467"/>
      <c r="AK397" s="467"/>
      <c r="AL397" s="467"/>
      <c r="AM397" s="467"/>
      <c r="AN397" s="467"/>
      <c r="AO397" s="467"/>
      <c r="AP397" s="467"/>
      <c r="AQ397" s="467"/>
      <c r="AR397" s="467"/>
      <c r="AS397" s="467"/>
      <c r="AT397" s="467"/>
      <c r="AU397" s="467"/>
      <c r="AV397" s="467"/>
      <c r="AW397" s="467"/>
      <c r="AX397" s="467"/>
      <c r="AY397" s="467"/>
      <c r="AZ397" s="467"/>
      <c r="BA397" s="467"/>
      <c r="BB397" s="467"/>
      <c r="BC397" s="467"/>
      <c r="BD397" s="467"/>
      <c r="BE397" s="467"/>
      <c r="BF397" s="467"/>
      <c r="BG397" s="467"/>
      <c r="BH397" s="467"/>
      <c r="BI397" s="467"/>
      <c r="BJ397" s="467"/>
      <c r="BK397" s="467"/>
      <c r="BL397" s="467"/>
    </row>
    <row r="398" customFormat="false" ht="12.75" hidden="false" customHeight="false" outlineLevel="0" collapsed="false">
      <c r="A398" s="464"/>
      <c r="B398" s="467"/>
      <c r="C398" s="467"/>
      <c r="D398" s="467"/>
      <c r="E398" s="467"/>
      <c r="F398" s="467"/>
      <c r="G398" s="467"/>
      <c r="H398" s="467"/>
      <c r="I398" s="467"/>
      <c r="J398" s="467"/>
      <c r="K398" s="467"/>
      <c r="L398" s="467"/>
      <c r="M398" s="467"/>
      <c r="N398" s="467"/>
      <c r="O398" s="467"/>
      <c r="P398" s="467"/>
      <c r="Q398" s="467"/>
      <c r="R398" s="467"/>
      <c r="S398" s="467"/>
      <c r="T398" s="467"/>
      <c r="U398" s="467"/>
      <c r="V398" s="467"/>
      <c r="W398" s="467"/>
      <c r="X398" s="467"/>
      <c r="Y398" s="467"/>
      <c r="Z398" s="467"/>
      <c r="AA398" s="467"/>
      <c r="AB398" s="467"/>
      <c r="AC398" s="467"/>
      <c r="AD398" s="467"/>
      <c r="AE398" s="467"/>
      <c r="AF398" s="467"/>
      <c r="AG398" s="467"/>
      <c r="AH398" s="467"/>
      <c r="AI398" s="467"/>
      <c r="AJ398" s="467"/>
      <c r="AK398" s="467"/>
      <c r="AL398" s="467"/>
      <c r="AM398" s="467"/>
      <c r="AN398" s="467"/>
      <c r="AO398" s="467"/>
      <c r="AP398" s="467"/>
      <c r="AQ398" s="467"/>
      <c r="AR398" s="467"/>
      <c r="AS398" s="467"/>
      <c r="AT398" s="467"/>
      <c r="AU398" s="467"/>
      <c r="AV398" s="467"/>
      <c r="AW398" s="467"/>
      <c r="AX398" s="467"/>
      <c r="AY398" s="467"/>
      <c r="AZ398" s="467"/>
      <c r="BA398" s="467"/>
      <c r="BB398" s="467"/>
      <c r="BC398" s="467"/>
      <c r="BD398" s="467"/>
      <c r="BE398" s="467"/>
      <c r="BF398" s="467"/>
      <c r="BG398" s="467"/>
      <c r="BH398" s="467"/>
      <c r="BI398" s="467"/>
      <c r="BJ398" s="467"/>
      <c r="BK398" s="467"/>
      <c r="BL398" s="467"/>
    </row>
    <row r="399" customFormat="false" ht="12.75" hidden="false" customHeight="false" outlineLevel="0" collapsed="false">
      <c r="A399" s="464"/>
      <c r="B399" s="467"/>
      <c r="C399" s="467"/>
      <c r="D399" s="467"/>
      <c r="E399" s="467"/>
      <c r="F399" s="467"/>
      <c r="G399" s="467"/>
      <c r="H399" s="467"/>
      <c r="I399" s="467"/>
      <c r="J399" s="467"/>
      <c r="K399" s="467"/>
      <c r="L399" s="467"/>
      <c r="M399" s="467"/>
      <c r="N399" s="467"/>
      <c r="O399" s="467"/>
      <c r="P399" s="467"/>
      <c r="Q399" s="467"/>
      <c r="R399" s="467"/>
      <c r="S399" s="467"/>
      <c r="T399" s="467"/>
      <c r="U399" s="467"/>
      <c r="V399" s="467"/>
      <c r="W399" s="467"/>
      <c r="X399" s="467"/>
      <c r="Y399" s="467"/>
      <c r="Z399" s="467"/>
      <c r="AA399" s="467"/>
      <c r="AB399" s="467"/>
      <c r="AC399" s="467"/>
      <c r="AD399" s="467"/>
      <c r="AE399" s="467"/>
      <c r="AF399" s="467"/>
      <c r="AG399" s="467"/>
      <c r="AH399" s="467"/>
      <c r="AI399" s="467"/>
      <c r="AJ399" s="467"/>
      <c r="AK399" s="467"/>
      <c r="AL399" s="467"/>
      <c r="AM399" s="467"/>
      <c r="AN399" s="467"/>
      <c r="AO399" s="467"/>
      <c r="AP399" s="467"/>
      <c r="AQ399" s="467"/>
      <c r="AR399" s="467"/>
      <c r="AS399" s="467"/>
      <c r="AT399" s="467"/>
      <c r="AU399" s="467"/>
      <c r="AV399" s="467"/>
      <c r="AW399" s="467"/>
      <c r="AX399" s="467"/>
      <c r="AY399" s="467"/>
      <c r="AZ399" s="467"/>
      <c r="BA399" s="467"/>
      <c r="BB399" s="467"/>
      <c r="BC399" s="467"/>
      <c r="BD399" s="467"/>
      <c r="BE399" s="467"/>
      <c r="BF399" s="467"/>
      <c r="BG399" s="467"/>
      <c r="BH399" s="467"/>
      <c r="BI399" s="467"/>
      <c r="BJ399" s="467"/>
      <c r="BK399" s="467"/>
      <c r="BL399" s="467"/>
    </row>
    <row r="400" customFormat="false" ht="12.75" hidden="false" customHeight="false" outlineLevel="0" collapsed="false">
      <c r="A400" s="464"/>
      <c r="B400" s="467"/>
      <c r="C400" s="467"/>
      <c r="D400" s="467"/>
      <c r="E400" s="467"/>
      <c r="F400" s="467"/>
      <c r="G400" s="467"/>
      <c r="H400" s="467"/>
      <c r="I400" s="467"/>
      <c r="J400" s="467"/>
      <c r="K400" s="467"/>
      <c r="L400" s="467"/>
      <c r="M400" s="467"/>
      <c r="N400" s="467"/>
      <c r="O400" s="467"/>
      <c r="P400" s="467"/>
      <c r="Q400" s="467"/>
      <c r="R400" s="467"/>
      <c r="S400" s="467"/>
      <c r="T400" s="467"/>
      <c r="U400" s="467"/>
      <c r="V400" s="467"/>
      <c r="W400" s="467"/>
      <c r="X400" s="467"/>
      <c r="Y400" s="467"/>
      <c r="Z400" s="467"/>
      <c r="AA400" s="467"/>
      <c r="AB400" s="467"/>
      <c r="AC400" s="467"/>
      <c r="AD400" s="467"/>
      <c r="AE400" s="467"/>
      <c r="AF400" s="467"/>
      <c r="AG400" s="467"/>
      <c r="AH400" s="467"/>
      <c r="AI400" s="467"/>
      <c r="AJ400" s="467"/>
      <c r="AK400" s="467"/>
      <c r="AL400" s="467"/>
      <c r="AM400" s="467"/>
      <c r="AN400" s="467"/>
      <c r="AO400" s="467"/>
      <c r="AP400" s="467"/>
      <c r="AQ400" s="467"/>
      <c r="AR400" s="467"/>
      <c r="AS400" s="467"/>
      <c r="AT400" s="467"/>
      <c r="AU400" s="467"/>
      <c r="AV400" s="467"/>
      <c r="AW400" s="467"/>
      <c r="AX400" s="467"/>
      <c r="AY400" s="467"/>
      <c r="AZ400" s="467"/>
      <c r="BA400" s="467"/>
      <c r="BB400" s="467"/>
      <c r="BC400" s="467"/>
      <c r="BD400" s="467"/>
      <c r="BE400" s="467"/>
      <c r="BF400" s="467"/>
      <c r="BG400" s="467"/>
      <c r="BH400" s="467"/>
      <c r="BI400" s="467"/>
      <c r="BJ400" s="467"/>
      <c r="BK400" s="467"/>
      <c r="BL400" s="467"/>
    </row>
    <row r="401" customFormat="false" ht="12.75" hidden="false" customHeight="false" outlineLevel="0" collapsed="false">
      <c r="A401" s="464"/>
      <c r="B401" s="467"/>
      <c r="C401" s="467"/>
      <c r="D401" s="467"/>
      <c r="E401" s="467"/>
      <c r="F401" s="467"/>
      <c r="G401" s="467"/>
      <c r="H401" s="467"/>
      <c r="I401" s="467"/>
      <c r="J401" s="467"/>
      <c r="K401" s="467"/>
      <c r="L401" s="467"/>
      <c r="M401" s="467"/>
      <c r="N401" s="467"/>
      <c r="O401" s="467"/>
      <c r="P401" s="467"/>
      <c r="Q401" s="467"/>
      <c r="R401" s="467"/>
      <c r="S401" s="467"/>
      <c r="T401" s="467"/>
      <c r="U401" s="467"/>
      <c r="V401" s="467"/>
      <c r="W401" s="467"/>
      <c r="X401" s="467"/>
      <c r="Y401" s="467"/>
      <c r="Z401" s="467"/>
      <c r="AA401" s="467"/>
      <c r="AB401" s="467"/>
      <c r="AC401" s="467"/>
      <c r="AD401" s="467"/>
      <c r="AE401" s="467"/>
      <c r="AF401" s="467"/>
      <c r="AG401" s="467"/>
      <c r="AH401" s="467"/>
      <c r="AI401" s="467"/>
      <c r="AJ401" s="467"/>
      <c r="AK401" s="467"/>
      <c r="AL401" s="467"/>
      <c r="AM401" s="467"/>
      <c r="AN401" s="467"/>
      <c r="AO401" s="467"/>
      <c r="AP401" s="467"/>
      <c r="AQ401" s="467"/>
      <c r="AR401" s="467"/>
      <c r="AS401" s="467"/>
      <c r="AT401" s="467"/>
      <c r="AU401" s="467"/>
      <c r="AV401" s="467"/>
      <c r="AW401" s="467"/>
      <c r="AX401" s="467"/>
      <c r="AY401" s="467"/>
      <c r="AZ401" s="467"/>
      <c r="BA401" s="467"/>
      <c r="BB401" s="467"/>
      <c r="BC401" s="467"/>
      <c r="BD401" s="467"/>
      <c r="BE401" s="467"/>
      <c r="BF401" s="467"/>
      <c r="BG401" s="467"/>
      <c r="BH401" s="467"/>
      <c r="BI401" s="467"/>
      <c r="BJ401" s="467"/>
      <c r="BK401" s="467"/>
      <c r="BL401" s="467"/>
    </row>
    <row r="402" customFormat="false" ht="12.75" hidden="false" customHeight="false" outlineLevel="0" collapsed="false">
      <c r="A402" s="464"/>
      <c r="B402" s="467"/>
      <c r="C402" s="467"/>
      <c r="D402" s="467"/>
      <c r="E402" s="467"/>
      <c r="F402" s="467"/>
      <c r="G402" s="467"/>
      <c r="H402" s="467"/>
      <c r="I402" s="467"/>
      <c r="J402" s="467"/>
      <c r="K402" s="467"/>
      <c r="L402" s="467"/>
      <c r="M402" s="467"/>
      <c r="N402" s="467"/>
      <c r="O402" s="467"/>
      <c r="P402" s="467"/>
      <c r="Q402" s="467"/>
      <c r="R402" s="467"/>
      <c r="S402" s="467"/>
      <c r="T402" s="467"/>
      <c r="U402" s="467"/>
      <c r="V402" s="467"/>
      <c r="W402" s="467"/>
      <c r="X402" s="467"/>
      <c r="Y402" s="467"/>
      <c r="Z402" s="467"/>
      <c r="AA402" s="467"/>
      <c r="AB402" s="467"/>
      <c r="AC402" s="467"/>
      <c r="AD402" s="467"/>
      <c r="AE402" s="467"/>
      <c r="AF402" s="467"/>
      <c r="AG402" s="467"/>
      <c r="AH402" s="467"/>
      <c r="AI402" s="467"/>
      <c r="AJ402" s="467"/>
      <c r="AK402" s="467"/>
      <c r="AL402" s="467"/>
      <c r="AM402" s="467"/>
      <c r="AN402" s="467"/>
      <c r="AO402" s="467"/>
      <c r="AP402" s="467"/>
      <c r="AQ402" s="467"/>
      <c r="AR402" s="467"/>
      <c r="AS402" s="467"/>
      <c r="AT402" s="467"/>
      <c r="AU402" s="467"/>
      <c r="AV402" s="467"/>
      <c r="AW402" s="467"/>
      <c r="AX402" s="467"/>
      <c r="AY402" s="467"/>
      <c r="AZ402" s="467"/>
      <c r="BA402" s="467"/>
      <c r="BB402" s="467"/>
      <c r="BC402" s="467"/>
      <c r="BD402" s="467"/>
      <c r="BE402" s="467"/>
      <c r="BF402" s="467"/>
      <c r="BG402" s="467"/>
      <c r="BH402" s="467"/>
      <c r="BI402" s="467"/>
      <c r="BJ402" s="467"/>
      <c r="BK402" s="467"/>
      <c r="BL402" s="467"/>
    </row>
    <row r="403" customFormat="false" ht="12.75" hidden="false" customHeight="false" outlineLevel="0" collapsed="false">
      <c r="A403" s="464"/>
      <c r="B403" s="467"/>
      <c r="C403" s="467"/>
      <c r="D403" s="467"/>
      <c r="E403" s="467"/>
      <c r="F403" s="467"/>
      <c r="G403" s="467"/>
      <c r="H403" s="467"/>
      <c r="I403" s="467"/>
      <c r="J403" s="467"/>
      <c r="K403" s="467"/>
      <c r="L403" s="467"/>
      <c r="M403" s="467"/>
      <c r="N403" s="467"/>
      <c r="O403" s="467"/>
      <c r="P403" s="467"/>
      <c r="Q403" s="467"/>
      <c r="R403" s="467"/>
      <c r="S403" s="467"/>
      <c r="T403" s="467"/>
      <c r="U403" s="467"/>
      <c r="V403" s="467"/>
      <c r="W403" s="467"/>
      <c r="X403" s="467"/>
      <c r="Y403" s="467"/>
      <c r="Z403" s="467"/>
      <c r="AA403" s="467"/>
      <c r="AB403" s="467"/>
      <c r="AC403" s="467"/>
      <c r="AD403" s="467"/>
      <c r="AE403" s="467"/>
      <c r="AF403" s="467"/>
      <c r="AG403" s="467"/>
      <c r="AH403" s="467"/>
      <c r="AI403" s="467"/>
      <c r="AJ403" s="467"/>
      <c r="AK403" s="467"/>
      <c r="AL403" s="467"/>
      <c r="AM403" s="467"/>
      <c r="AN403" s="467"/>
      <c r="AO403" s="467"/>
      <c r="AP403" s="467"/>
      <c r="AQ403" s="467"/>
      <c r="AR403" s="467"/>
      <c r="AS403" s="467"/>
      <c r="AT403" s="467"/>
      <c r="AU403" s="467"/>
      <c r="AV403" s="467"/>
      <c r="AW403" s="467"/>
      <c r="AX403" s="467"/>
      <c r="AY403" s="467"/>
      <c r="AZ403" s="467"/>
      <c r="BA403" s="467"/>
      <c r="BB403" s="467"/>
      <c r="BC403" s="467"/>
      <c r="BD403" s="467"/>
      <c r="BE403" s="467"/>
      <c r="BF403" s="467"/>
      <c r="BG403" s="467"/>
      <c r="BH403" s="467"/>
      <c r="BI403" s="467"/>
      <c r="BJ403" s="467"/>
      <c r="BK403" s="467"/>
      <c r="BL403" s="467"/>
    </row>
    <row r="404" customFormat="false" ht="12.75" hidden="false" customHeight="false" outlineLevel="0" collapsed="false">
      <c r="A404" s="464"/>
      <c r="B404" s="467"/>
      <c r="C404" s="467"/>
      <c r="D404" s="467"/>
      <c r="E404" s="467"/>
      <c r="F404" s="467"/>
      <c r="G404" s="467"/>
      <c r="H404" s="467"/>
      <c r="I404" s="467"/>
      <c r="J404" s="467"/>
      <c r="K404" s="467"/>
      <c r="L404" s="467"/>
      <c r="M404" s="467"/>
      <c r="N404" s="467"/>
      <c r="O404" s="467"/>
      <c r="P404" s="467"/>
      <c r="Q404" s="467"/>
      <c r="R404" s="467"/>
      <c r="S404" s="467"/>
      <c r="T404" s="467"/>
      <c r="U404" s="467"/>
      <c r="V404" s="467"/>
      <c r="W404" s="467"/>
      <c r="X404" s="467"/>
      <c r="Y404" s="467"/>
      <c r="Z404" s="467"/>
      <c r="AA404" s="467"/>
      <c r="AB404" s="467"/>
      <c r="AC404" s="467"/>
      <c r="AD404" s="467"/>
      <c r="AE404" s="467"/>
      <c r="AF404" s="467"/>
      <c r="AG404" s="467"/>
      <c r="AH404" s="467"/>
      <c r="AI404" s="467"/>
      <c r="AJ404" s="467"/>
      <c r="AK404" s="467"/>
      <c r="AL404" s="467"/>
      <c r="AM404" s="467"/>
      <c r="AN404" s="467"/>
      <c r="AO404" s="467"/>
      <c r="AP404" s="467"/>
      <c r="AQ404" s="467"/>
      <c r="AR404" s="467"/>
      <c r="AS404" s="467"/>
      <c r="AT404" s="467"/>
      <c r="AU404" s="467"/>
      <c r="AV404" s="467"/>
      <c r="AW404" s="467"/>
      <c r="AX404" s="467"/>
      <c r="AY404" s="467"/>
      <c r="AZ404" s="467"/>
      <c r="BA404" s="467"/>
      <c r="BB404" s="467"/>
      <c r="BC404" s="467"/>
      <c r="BD404" s="467"/>
      <c r="BE404" s="467"/>
      <c r="BF404" s="467"/>
      <c r="BG404" s="467"/>
      <c r="BH404" s="467"/>
      <c r="BI404" s="467"/>
      <c r="BJ404" s="467"/>
      <c r="BK404" s="467"/>
      <c r="BL404" s="467"/>
    </row>
    <row r="405" customFormat="false" ht="12.75" hidden="false" customHeight="false" outlineLevel="0" collapsed="false">
      <c r="A405" s="464"/>
      <c r="B405" s="467"/>
      <c r="C405" s="467"/>
      <c r="D405" s="467"/>
      <c r="E405" s="467"/>
      <c r="F405" s="467"/>
      <c r="G405" s="467"/>
      <c r="H405" s="467"/>
      <c r="I405" s="467"/>
      <c r="J405" s="467"/>
      <c r="K405" s="467"/>
      <c r="L405" s="467"/>
      <c r="M405" s="467"/>
      <c r="N405" s="467"/>
      <c r="O405" s="467"/>
      <c r="P405" s="467"/>
      <c r="Q405" s="467"/>
      <c r="R405" s="467"/>
      <c r="S405" s="467"/>
      <c r="T405" s="467"/>
      <c r="U405" s="467"/>
      <c r="V405" s="467"/>
      <c r="W405" s="467"/>
      <c r="X405" s="467"/>
      <c r="Y405" s="467"/>
      <c r="Z405" s="467"/>
      <c r="AA405" s="467"/>
      <c r="AB405" s="467"/>
      <c r="AC405" s="467"/>
      <c r="AD405" s="467"/>
      <c r="AE405" s="467"/>
      <c r="AF405" s="467"/>
      <c r="AG405" s="467"/>
      <c r="AH405" s="467"/>
      <c r="AI405" s="467"/>
      <c r="AJ405" s="467"/>
      <c r="AK405" s="467"/>
      <c r="AL405" s="467"/>
      <c r="AM405" s="467"/>
      <c r="AN405" s="467"/>
      <c r="AO405" s="467"/>
      <c r="AP405" s="467"/>
      <c r="AQ405" s="467"/>
      <c r="AR405" s="467"/>
      <c r="AS405" s="467"/>
      <c r="AT405" s="467"/>
      <c r="AU405" s="467"/>
      <c r="AV405" s="467"/>
      <c r="AW405" s="467"/>
      <c r="AX405" s="467"/>
      <c r="AY405" s="467"/>
      <c r="AZ405" s="467"/>
      <c r="BA405" s="467"/>
      <c r="BB405" s="467"/>
      <c r="BC405" s="467"/>
      <c r="BD405" s="467"/>
      <c r="BE405" s="467"/>
      <c r="BF405" s="467"/>
      <c r="BG405" s="467"/>
      <c r="BH405" s="467"/>
      <c r="BI405" s="467"/>
      <c r="BJ405" s="467"/>
      <c r="BK405" s="467"/>
      <c r="BL405" s="467"/>
    </row>
    <row r="406" customFormat="false" ht="12.75" hidden="false" customHeight="false" outlineLevel="0" collapsed="false">
      <c r="A406" s="464"/>
      <c r="B406" s="467"/>
      <c r="C406" s="467"/>
      <c r="D406" s="467"/>
      <c r="E406" s="467"/>
      <c r="F406" s="467"/>
      <c r="G406" s="467"/>
      <c r="H406" s="467"/>
      <c r="I406" s="467"/>
      <c r="J406" s="467"/>
      <c r="K406" s="467"/>
      <c r="L406" s="467"/>
      <c r="M406" s="467"/>
      <c r="N406" s="467"/>
      <c r="O406" s="467"/>
      <c r="P406" s="467"/>
      <c r="Q406" s="467"/>
      <c r="R406" s="467"/>
      <c r="S406" s="467"/>
      <c r="T406" s="467"/>
      <c r="U406" s="467"/>
      <c r="V406" s="467"/>
      <c r="W406" s="467"/>
      <c r="X406" s="467"/>
      <c r="Y406" s="467"/>
      <c r="Z406" s="467"/>
      <c r="AA406" s="467"/>
      <c r="AB406" s="467"/>
      <c r="AC406" s="467"/>
      <c r="AD406" s="467"/>
      <c r="AE406" s="467"/>
      <c r="AF406" s="467"/>
      <c r="AG406" s="467"/>
      <c r="AH406" s="467"/>
      <c r="AI406" s="467"/>
      <c r="AJ406" s="467"/>
      <c r="AK406" s="467"/>
      <c r="AL406" s="467"/>
      <c r="AM406" s="467"/>
      <c r="AN406" s="467"/>
      <c r="AO406" s="467"/>
      <c r="AP406" s="467"/>
      <c r="AQ406" s="467"/>
      <c r="AR406" s="467"/>
      <c r="AS406" s="467"/>
      <c r="AT406" s="467"/>
      <c r="AU406" s="467"/>
      <c r="AV406" s="467"/>
      <c r="AW406" s="467"/>
      <c r="AX406" s="467"/>
      <c r="AY406" s="467"/>
      <c r="AZ406" s="467"/>
      <c r="BA406" s="467"/>
      <c r="BB406" s="467"/>
      <c r="BC406" s="467"/>
      <c r="BD406" s="467"/>
      <c r="BE406" s="467"/>
      <c r="BF406" s="467"/>
      <c r="BG406" s="467"/>
      <c r="BH406" s="467"/>
      <c r="BI406" s="467"/>
      <c r="BJ406" s="467"/>
      <c r="BK406" s="467"/>
      <c r="BL406" s="467"/>
    </row>
    <row r="407" customFormat="false" ht="12.75" hidden="false" customHeight="false" outlineLevel="0" collapsed="false">
      <c r="A407" s="464"/>
      <c r="B407" s="467"/>
      <c r="C407" s="467"/>
      <c r="D407" s="467"/>
      <c r="E407" s="467"/>
      <c r="F407" s="467"/>
      <c r="G407" s="467"/>
      <c r="H407" s="467"/>
      <c r="I407" s="467"/>
      <c r="J407" s="467"/>
      <c r="K407" s="467"/>
      <c r="L407" s="467"/>
      <c r="M407" s="467"/>
      <c r="N407" s="467"/>
      <c r="O407" s="467"/>
      <c r="P407" s="467"/>
      <c r="Q407" s="467"/>
      <c r="R407" s="467"/>
      <c r="S407" s="467"/>
      <c r="T407" s="467"/>
      <c r="U407" s="467"/>
      <c r="V407" s="467"/>
      <c r="W407" s="467"/>
      <c r="X407" s="467"/>
      <c r="Y407" s="467"/>
      <c r="Z407" s="467"/>
      <c r="AA407" s="467"/>
      <c r="AB407" s="467"/>
      <c r="AC407" s="467"/>
      <c r="AD407" s="467"/>
      <c r="AE407" s="467"/>
      <c r="AF407" s="467"/>
      <c r="AG407" s="467"/>
      <c r="AH407" s="467"/>
      <c r="AI407" s="467"/>
      <c r="AJ407" s="467"/>
      <c r="AK407" s="467"/>
      <c r="AL407" s="467"/>
      <c r="AM407" s="467"/>
      <c r="AN407" s="467"/>
      <c r="AO407" s="467"/>
      <c r="AP407" s="467"/>
      <c r="AQ407" s="467"/>
      <c r="AR407" s="467"/>
      <c r="AS407" s="467"/>
      <c r="AT407" s="467"/>
      <c r="AU407" s="467"/>
      <c r="AV407" s="467"/>
      <c r="AW407" s="467"/>
      <c r="AX407" s="467"/>
      <c r="AY407" s="467"/>
      <c r="AZ407" s="467"/>
      <c r="BA407" s="467"/>
      <c r="BB407" s="467"/>
      <c r="BC407" s="467"/>
      <c r="BD407" s="467"/>
      <c r="BE407" s="467"/>
      <c r="BF407" s="467"/>
      <c r="BG407" s="467"/>
      <c r="BH407" s="467"/>
      <c r="BI407" s="467"/>
      <c r="BJ407" s="467"/>
      <c r="BK407" s="467"/>
      <c r="BL407" s="467"/>
    </row>
    <row r="408" customFormat="false" ht="12.75" hidden="false" customHeight="false" outlineLevel="0" collapsed="false">
      <c r="A408" s="464"/>
      <c r="B408" s="467"/>
      <c r="C408" s="467"/>
      <c r="D408" s="467"/>
      <c r="E408" s="467"/>
      <c r="F408" s="467"/>
      <c r="G408" s="467"/>
      <c r="H408" s="467"/>
      <c r="I408" s="467"/>
      <c r="J408" s="467"/>
      <c r="K408" s="467"/>
      <c r="L408" s="467"/>
      <c r="M408" s="467"/>
      <c r="N408" s="467"/>
      <c r="O408" s="467"/>
      <c r="P408" s="467"/>
      <c r="Q408" s="467"/>
      <c r="R408" s="467"/>
      <c r="S408" s="467"/>
      <c r="T408" s="467"/>
      <c r="U408" s="467"/>
      <c r="V408" s="467"/>
      <c r="W408" s="467"/>
      <c r="X408" s="467"/>
      <c r="Y408" s="467"/>
      <c r="Z408" s="467"/>
      <c r="AA408" s="467"/>
      <c r="AB408" s="467"/>
      <c r="AC408" s="467"/>
      <c r="AD408" s="467"/>
      <c r="AE408" s="467"/>
      <c r="AF408" s="467"/>
      <c r="AG408" s="467"/>
      <c r="AH408" s="467"/>
      <c r="AI408" s="467"/>
      <c r="AJ408" s="467"/>
      <c r="AK408" s="467"/>
      <c r="AL408" s="467"/>
      <c r="AM408" s="467"/>
      <c r="AN408" s="467"/>
      <c r="AO408" s="467"/>
      <c r="AP408" s="467"/>
      <c r="AQ408" s="467"/>
      <c r="AR408" s="467"/>
      <c r="AS408" s="467"/>
      <c r="AT408" s="467"/>
      <c r="AU408" s="467"/>
      <c r="AV408" s="467"/>
      <c r="AW408" s="467"/>
      <c r="AX408" s="467"/>
      <c r="AY408" s="467"/>
      <c r="AZ408" s="467"/>
      <c r="BA408" s="467"/>
      <c r="BB408" s="467"/>
      <c r="BC408" s="467"/>
      <c r="BD408" s="467"/>
      <c r="BE408" s="467"/>
      <c r="BF408" s="467"/>
      <c r="BG408" s="467"/>
      <c r="BH408" s="467"/>
      <c r="BI408" s="467"/>
      <c r="BJ408" s="467"/>
      <c r="BK408" s="467"/>
      <c r="BL408" s="467"/>
    </row>
    <row r="409" customFormat="false" ht="12.75" hidden="false" customHeight="false" outlineLevel="0" collapsed="false">
      <c r="A409" s="464"/>
      <c r="B409" s="467"/>
      <c r="C409" s="467"/>
      <c r="D409" s="467"/>
      <c r="E409" s="467"/>
      <c r="F409" s="467"/>
      <c r="G409" s="467"/>
      <c r="H409" s="467"/>
      <c r="I409" s="467"/>
      <c r="J409" s="467"/>
      <c r="K409" s="467"/>
      <c r="L409" s="467"/>
      <c r="M409" s="467"/>
      <c r="N409" s="467"/>
      <c r="O409" s="467"/>
      <c r="P409" s="467"/>
      <c r="Q409" s="467"/>
      <c r="R409" s="467"/>
      <c r="S409" s="467"/>
      <c r="T409" s="467"/>
      <c r="U409" s="467"/>
      <c r="V409" s="467"/>
      <c r="W409" s="467"/>
      <c r="X409" s="467"/>
      <c r="Y409" s="467"/>
      <c r="Z409" s="467"/>
      <c r="AA409" s="467"/>
      <c r="AB409" s="467"/>
      <c r="AC409" s="467"/>
      <c r="AD409" s="467"/>
      <c r="AE409" s="467"/>
      <c r="AF409" s="467"/>
      <c r="AG409" s="467"/>
      <c r="AH409" s="467"/>
      <c r="AI409" s="467"/>
      <c r="AJ409" s="467"/>
      <c r="AK409" s="467"/>
      <c r="AL409" s="467"/>
      <c r="AM409" s="467"/>
      <c r="AN409" s="467"/>
      <c r="AO409" s="467"/>
      <c r="AP409" s="467"/>
      <c r="AQ409" s="467"/>
      <c r="AR409" s="467"/>
      <c r="AS409" s="467"/>
      <c r="AT409" s="467"/>
      <c r="AU409" s="467"/>
      <c r="AV409" s="467"/>
      <c r="AW409" s="467"/>
      <c r="AX409" s="467"/>
      <c r="AY409" s="467"/>
      <c r="AZ409" s="467"/>
      <c r="BA409" s="467"/>
      <c r="BB409" s="467"/>
      <c r="BC409" s="467"/>
      <c r="BD409" s="467"/>
      <c r="BE409" s="467"/>
      <c r="BF409" s="467"/>
      <c r="BG409" s="467"/>
      <c r="BH409" s="467"/>
      <c r="BI409" s="467"/>
      <c r="BJ409" s="467"/>
      <c r="BK409" s="467"/>
      <c r="BL409" s="467"/>
    </row>
    <row r="410" customFormat="false" ht="12.75" hidden="false" customHeight="false" outlineLevel="0" collapsed="false">
      <c r="A410" s="464"/>
      <c r="B410" s="467"/>
      <c r="C410" s="467"/>
      <c r="D410" s="467"/>
      <c r="E410" s="467"/>
      <c r="F410" s="467"/>
      <c r="G410" s="467"/>
      <c r="H410" s="467"/>
      <c r="I410" s="467"/>
      <c r="J410" s="467"/>
      <c r="K410" s="467"/>
      <c r="L410" s="467"/>
      <c r="M410" s="467"/>
      <c r="N410" s="467"/>
      <c r="O410" s="467"/>
      <c r="P410" s="467"/>
      <c r="Q410" s="467"/>
      <c r="R410" s="467"/>
      <c r="S410" s="467"/>
      <c r="T410" s="467"/>
      <c r="U410" s="467"/>
      <c r="V410" s="467"/>
      <c r="W410" s="467"/>
      <c r="X410" s="467"/>
      <c r="Y410" s="467"/>
      <c r="Z410" s="467"/>
      <c r="AA410" s="467"/>
      <c r="AB410" s="467"/>
      <c r="AC410" s="467"/>
      <c r="AD410" s="467"/>
      <c r="AE410" s="467"/>
      <c r="AF410" s="467"/>
      <c r="AG410" s="467"/>
      <c r="AH410" s="467"/>
      <c r="AI410" s="467"/>
      <c r="AJ410" s="467"/>
      <c r="AK410" s="467"/>
      <c r="AL410" s="467"/>
      <c r="AM410" s="467"/>
      <c r="AN410" s="467"/>
      <c r="AO410" s="467"/>
      <c r="AP410" s="467"/>
      <c r="AQ410" s="467"/>
      <c r="AR410" s="467"/>
      <c r="AS410" s="467"/>
      <c r="AT410" s="467"/>
      <c r="AU410" s="467"/>
      <c r="AV410" s="467"/>
      <c r="AW410" s="467"/>
      <c r="AX410" s="467"/>
      <c r="AY410" s="467"/>
      <c r="AZ410" s="467"/>
      <c r="BA410" s="467"/>
      <c r="BB410" s="467"/>
      <c r="BC410" s="467"/>
      <c r="BD410" s="467"/>
      <c r="BE410" s="467"/>
      <c r="BF410" s="467"/>
      <c r="BG410" s="467"/>
      <c r="BH410" s="467"/>
      <c r="BI410" s="467"/>
      <c r="BJ410" s="467"/>
      <c r="BK410" s="467"/>
      <c r="BL410" s="467"/>
    </row>
    <row r="411" customFormat="false" ht="12.75" hidden="false" customHeight="false" outlineLevel="0" collapsed="false">
      <c r="A411" s="464"/>
      <c r="B411" s="467"/>
      <c r="C411" s="467"/>
      <c r="D411" s="467"/>
      <c r="E411" s="467"/>
      <c r="F411" s="467"/>
      <c r="G411" s="467"/>
      <c r="H411" s="467"/>
      <c r="I411" s="467"/>
      <c r="J411" s="467"/>
      <c r="K411" s="467"/>
      <c r="L411" s="467"/>
      <c r="M411" s="467"/>
      <c r="N411" s="467"/>
      <c r="O411" s="467"/>
      <c r="P411" s="467"/>
      <c r="Q411" s="467"/>
      <c r="R411" s="467"/>
      <c r="S411" s="467"/>
      <c r="T411" s="467"/>
      <c r="U411" s="467"/>
      <c r="V411" s="467"/>
      <c r="W411" s="467"/>
      <c r="X411" s="467"/>
      <c r="Y411" s="467"/>
      <c r="Z411" s="467"/>
      <c r="AA411" s="467"/>
      <c r="AB411" s="467"/>
      <c r="AC411" s="467"/>
      <c r="AD411" s="467"/>
      <c r="AE411" s="467"/>
      <c r="AF411" s="467"/>
      <c r="AG411" s="467"/>
      <c r="AH411" s="467"/>
      <c r="AI411" s="467"/>
      <c r="AJ411" s="467"/>
      <c r="AK411" s="467"/>
      <c r="AL411" s="467"/>
      <c r="AM411" s="467"/>
      <c r="AN411" s="467"/>
      <c r="AO411" s="467"/>
      <c r="AP411" s="467"/>
      <c r="AQ411" s="467"/>
      <c r="AR411" s="467"/>
      <c r="AS411" s="467"/>
      <c r="AT411" s="467"/>
      <c r="AU411" s="467"/>
      <c r="AV411" s="467"/>
      <c r="AW411" s="467"/>
      <c r="AX411" s="467"/>
      <c r="AY411" s="467"/>
      <c r="AZ411" s="467"/>
      <c r="BA411" s="467"/>
      <c r="BB411" s="467"/>
      <c r="BC411" s="467"/>
      <c r="BD411" s="467"/>
      <c r="BE411" s="467"/>
      <c r="BF411" s="467"/>
      <c r="BG411" s="467"/>
      <c r="BH411" s="467"/>
      <c r="BI411" s="467"/>
      <c r="BJ411" s="467"/>
      <c r="BK411" s="467"/>
      <c r="BL411" s="467"/>
    </row>
    <row r="412" customFormat="false" ht="12.75" hidden="false" customHeight="false" outlineLevel="0" collapsed="false">
      <c r="A412" s="464"/>
      <c r="B412" s="467"/>
      <c r="C412" s="467"/>
      <c r="D412" s="467"/>
      <c r="E412" s="467"/>
      <c r="F412" s="467"/>
      <c r="G412" s="467"/>
      <c r="H412" s="467"/>
      <c r="I412" s="467"/>
      <c r="J412" s="467"/>
      <c r="K412" s="467"/>
      <c r="L412" s="467"/>
      <c r="M412" s="467"/>
      <c r="N412" s="467"/>
      <c r="O412" s="467"/>
      <c r="P412" s="467"/>
      <c r="Q412" s="467"/>
      <c r="R412" s="467"/>
      <c r="S412" s="467"/>
      <c r="T412" s="467"/>
      <c r="U412" s="467"/>
      <c r="V412" s="467"/>
      <c r="W412" s="467"/>
      <c r="X412" s="467"/>
      <c r="Y412" s="467"/>
      <c r="Z412" s="467"/>
      <c r="AA412" s="467"/>
      <c r="AB412" s="467"/>
      <c r="AC412" s="467"/>
      <c r="AD412" s="467"/>
      <c r="AE412" s="467"/>
      <c r="AF412" s="467"/>
      <c r="AG412" s="467"/>
      <c r="AH412" s="467"/>
      <c r="AI412" s="467"/>
      <c r="AJ412" s="467"/>
      <c r="AK412" s="467"/>
      <c r="AL412" s="467"/>
      <c r="AM412" s="467"/>
      <c r="AN412" s="467"/>
      <c r="AO412" s="467"/>
      <c r="AP412" s="467"/>
      <c r="AQ412" s="467"/>
      <c r="AR412" s="467"/>
      <c r="AS412" s="467"/>
      <c r="AT412" s="467"/>
      <c r="AU412" s="467"/>
      <c r="AV412" s="467"/>
      <c r="AW412" s="467"/>
      <c r="AX412" s="467"/>
      <c r="AY412" s="467"/>
      <c r="AZ412" s="467"/>
      <c r="BA412" s="467"/>
      <c r="BB412" s="467"/>
      <c r="BC412" s="467"/>
      <c r="BD412" s="467"/>
      <c r="BE412" s="467"/>
      <c r="BF412" s="467"/>
      <c r="BG412" s="467"/>
      <c r="BH412" s="467"/>
      <c r="BI412" s="467"/>
      <c r="BJ412" s="467"/>
      <c r="BK412" s="467"/>
      <c r="BL412" s="467"/>
    </row>
    <row r="413" customFormat="false" ht="12.75" hidden="false" customHeight="false" outlineLevel="0" collapsed="false">
      <c r="A413" s="464"/>
      <c r="B413" s="467"/>
      <c r="C413" s="467"/>
      <c r="D413" s="467"/>
      <c r="E413" s="467"/>
      <c r="F413" s="467"/>
      <c r="G413" s="467"/>
      <c r="H413" s="467"/>
      <c r="I413" s="467"/>
      <c r="J413" s="467"/>
      <c r="K413" s="467"/>
      <c r="L413" s="467"/>
      <c r="M413" s="467"/>
      <c r="N413" s="467"/>
      <c r="O413" s="467"/>
      <c r="P413" s="467"/>
      <c r="Q413" s="467"/>
      <c r="R413" s="467"/>
      <c r="S413" s="467"/>
      <c r="T413" s="467"/>
      <c r="U413" s="467"/>
      <c r="V413" s="467"/>
      <c r="W413" s="467"/>
      <c r="X413" s="467"/>
      <c r="Y413" s="467"/>
      <c r="Z413" s="467"/>
      <c r="AA413" s="467"/>
      <c r="AB413" s="467"/>
      <c r="AC413" s="467"/>
      <c r="AD413" s="467"/>
      <c r="AE413" s="467"/>
      <c r="AF413" s="467"/>
      <c r="AG413" s="467"/>
      <c r="AH413" s="467"/>
      <c r="AI413" s="467"/>
      <c r="AJ413" s="467"/>
      <c r="AK413" s="467"/>
      <c r="AL413" s="467"/>
      <c r="AM413" s="467"/>
      <c r="AN413" s="467"/>
      <c r="AO413" s="467"/>
      <c r="AP413" s="467"/>
      <c r="AQ413" s="467"/>
      <c r="AR413" s="467"/>
      <c r="AS413" s="467"/>
      <c r="AT413" s="467"/>
      <c r="AU413" s="467"/>
      <c r="AV413" s="467"/>
      <c r="AW413" s="467"/>
      <c r="AX413" s="467"/>
      <c r="AY413" s="467"/>
      <c r="AZ413" s="467"/>
      <c r="BA413" s="467"/>
      <c r="BB413" s="467"/>
      <c r="BC413" s="467"/>
      <c r="BD413" s="467"/>
      <c r="BE413" s="467"/>
      <c r="BF413" s="467"/>
      <c r="BG413" s="467"/>
      <c r="BH413" s="467"/>
      <c r="BI413" s="467"/>
      <c r="BJ413" s="467"/>
      <c r="BK413" s="467"/>
      <c r="BL413" s="467"/>
    </row>
    <row r="414" customFormat="false" ht="12.75" hidden="false" customHeight="false" outlineLevel="0" collapsed="false">
      <c r="A414" s="464"/>
      <c r="B414" s="467"/>
      <c r="C414" s="467"/>
      <c r="D414" s="467"/>
      <c r="E414" s="467"/>
      <c r="F414" s="467"/>
      <c r="G414" s="467"/>
      <c r="H414" s="467"/>
      <c r="I414" s="467"/>
      <c r="J414" s="467"/>
      <c r="K414" s="467"/>
      <c r="L414" s="467"/>
      <c r="M414" s="467"/>
      <c r="N414" s="467"/>
      <c r="O414" s="467"/>
      <c r="P414" s="467"/>
      <c r="Q414" s="467"/>
      <c r="R414" s="467"/>
      <c r="S414" s="467"/>
      <c r="T414" s="467"/>
      <c r="U414" s="467"/>
      <c r="V414" s="467"/>
      <c r="W414" s="467"/>
      <c r="X414" s="467"/>
      <c r="Y414" s="467"/>
      <c r="Z414" s="467"/>
      <c r="AA414" s="467"/>
      <c r="AB414" s="467"/>
      <c r="AC414" s="467"/>
      <c r="AD414" s="467"/>
      <c r="AE414" s="467"/>
      <c r="AF414" s="467"/>
      <c r="AG414" s="467"/>
      <c r="AH414" s="467"/>
      <c r="AI414" s="467"/>
      <c r="AJ414" s="467"/>
      <c r="AK414" s="467"/>
      <c r="AL414" s="467"/>
      <c r="AM414" s="467"/>
      <c r="AN414" s="467"/>
      <c r="AO414" s="467"/>
      <c r="AP414" s="467"/>
      <c r="AQ414" s="467"/>
      <c r="AR414" s="467"/>
      <c r="AS414" s="467"/>
      <c r="AT414" s="467"/>
      <c r="AU414" s="467"/>
      <c r="AV414" s="467"/>
      <c r="AW414" s="467"/>
      <c r="AX414" s="467"/>
      <c r="AY414" s="467"/>
      <c r="AZ414" s="467"/>
      <c r="BA414" s="467"/>
      <c r="BB414" s="467"/>
      <c r="BC414" s="467"/>
      <c r="BD414" s="467"/>
      <c r="BE414" s="467"/>
      <c r="BF414" s="467"/>
      <c r="BG414" s="467"/>
      <c r="BH414" s="467"/>
      <c r="BI414" s="467"/>
      <c r="BJ414" s="467"/>
      <c r="BK414" s="467"/>
      <c r="BL414" s="467"/>
    </row>
    <row r="415" customFormat="false" ht="12.75" hidden="false" customHeight="false" outlineLevel="0" collapsed="false">
      <c r="A415" s="464"/>
      <c r="B415" s="467"/>
      <c r="C415" s="467"/>
      <c r="D415" s="467"/>
      <c r="E415" s="467"/>
      <c r="F415" s="467"/>
      <c r="G415" s="467"/>
      <c r="H415" s="467"/>
      <c r="I415" s="467"/>
      <c r="J415" s="467"/>
      <c r="K415" s="467"/>
      <c r="L415" s="467"/>
      <c r="M415" s="467"/>
      <c r="N415" s="467"/>
      <c r="O415" s="467"/>
      <c r="P415" s="467"/>
      <c r="Q415" s="467"/>
      <c r="R415" s="467"/>
      <c r="S415" s="467"/>
      <c r="T415" s="467"/>
      <c r="U415" s="467"/>
      <c r="V415" s="467"/>
      <c r="W415" s="467"/>
      <c r="X415" s="467"/>
      <c r="Y415" s="467"/>
      <c r="Z415" s="467"/>
      <c r="AA415" s="467"/>
      <c r="AB415" s="467"/>
      <c r="AC415" s="467"/>
      <c r="AD415" s="467"/>
      <c r="AE415" s="467"/>
      <c r="AF415" s="467"/>
      <c r="AG415" s="467"/>
      <c r="AH415" s="467"/>
      <c r="AI415" s="467"/>
      <c r="AJ415" s="467"/>
      <c r="AK415" s="467"/>
      <c r="AL415" s="467"/>
      <c r="AM415" s="467"/>
      <c r="AN415" s="467"/>
      <c r="AO415" s="467"/>
      <c r="AP415" s="467"/>
      <c r="AQ415" s="467"/>
      <c r="AR415" s="467"/>
      <c r="AS415" s="467"/>
      <c r="AT415" s="467"/>
      <c r="AU415" s="467"/>
      <c r="AV415" s="467"/>
      <c r="AW415" s="467"/>
      <c r="AX415" s="467"/>
      <c r="AY415" s="467"/>
      <c r="AZ415" s="467"/>
      <c r="BA415" s="467"/>
      <c r="BB415" s="467"/>
      <c r="BC415" s="467"/>
      <c r="BD415" s="467"/>
      <c r="BE415" s="467"/>
      <c r="BF415" s="467"/>
      <c r="BG415" s="467"/>
      <c r="BH415" s="467"/>
      <c r="BI415" s="467"/>
      <c r="BJ415" s="467"/>
      <c r="BK415" s="467"/>
      <c r="BL415" s="467"/>
    </row>
    <row r="416" customFormat="false" ht="12.75" hidden="false" customHeight="false" outlineLevel="0" collapsed="false">
      <c r="A416" s="464"/>
      <c r="B416" s="467"/>
      <c r="C416" s="467"/>
      <c r="D416" s="467"/>
      <c r="E416" s="467"/>
      <c r="F416" s="467"/>
      <c r="G416" s="467"/>
      <c r="H416" s="467"/>
      <c r="I416" s="467"/>
      <c r="J416" s="467"/>
      <c r="K416" s="467"/>
      <c r="L416" s="467"/>
      <c r="M416" s="467"/>
      <c r="N416" s="467"/>
      <c r="O416" s="467"/>
      <c r="P416" s="467"/>
      <c r="Q416" s="467"/>
      <c r="R416" s="467"/>
      <c r="S416" s="467"/>
      <c r="T416" s="467"/>
      <c r="U416" s="467"/>
      <c r="V416" s="467"/>
      <c r="W416" s="467"/>
      <c r="X416" s="467"/>
      <c r="Y416" s="467"/>
      <c r="Z416" s="467"/>
      <c r="AA416" s="467"/>
      <c r="AB416" s="467"/>
      <c r="AC416" s="467"/>
      <c r="AD416" s="467"/>
      <c r="AE416" s="467"/>
      <c r="AF416" s="467"/>
      <c r="AG416" s="467"/>
      <c r="AH416" s="467"/>
      <c r="AI416" s="467"/>
      <c r="AJ416" s="467"/>
      <c r="AK416" s="467"/>
      <c r="AL416" s="467"/>
      <c r="AM416" s="467"/>
      <c r="AN416" s="467"/>
      <c r="AO416" s="467"/>
      <c r="AP416" s="467"/>
      <c r="AQ416" s="467"/>
      <c r="AR416" s="467"/>
      <c r="AS416" s="467"/>
      <c r="AT416" s="467"/>
      <c r="AU416" s="467"/>
      <c r="AV416" s="467"/>
      <c r="AW416" s="467"/>
      <c r="AX416" s="467"/>
      <c r="AY416" s="467"/>
      <c r="AZ416" s="467"/>
      <c r="BA416" s="467"/>
      <c r="BB416" s="467"/>
      <c r="BC416" s="467"/>
      <c r="BD416" s="467"/>
      <c r="BE416" s="467"/>
      <c r="BF416" s="467"/>
      <c r="BG416" s="467"/>
      <c r="BH416" s="467"/>
      <c r="BI416" s="467"/>
      <c r="BJ416" s="467"/>
      <c r="BK416" s="467"/>
      <c r="BL416" s="467"/>
    </row>
    <row r="417" customFormat="false" ht="12.75" hidden="false" customHeight="false" outlineLevel="0" collapsed="false">
      <c r="A417" s="464"/>
      <c r="B417" s="467"/>
      <c r="C417" s="467"/>
      <c r="D417" s="467"/>
      <c r="E417" s="467"/>
      <c r="F417" s="467"/>
      <c r="G417" s="467"/>
      <c r="H417" s="467"/>
      <c r="I417" s="467"/>
      <c r="J417" s="467"/>
      <c r="K417" s="467"/>
      <c r="L417" s="467"/>
      <c r="M417" s="467"/>
      <c r="N417" s="467"/>
      <c r="O417" s="467"/>
      <c r="P417" s="467"/>
      <c r="Q417" s="467"/>
      <c r="R417" s="467"/>
      <c r="S417" s="467"/>
      <c r="T417" s="467"/>
      <c r="U417" s="467"/>
      <c r="V417" s="467"/>
      <c r="W417" s="467"/>
      <c r="X417" s="467"/>
      <c r="Y417" s="467"/>
      <c r="Z417" s="467"/>
      <c r="AA417" s="467"/>
      <c r="AB417" s="467"/>
      <c r="AC417" s="467"/>
      <c r="AD417" s="467"/>
      <c r="AE417" s="467"/>
      <c r="AF417" s="467"/>
      <c r="AG417" s="467"/>
      <c r="AH417" s="467"/>
      <c r="AI417" s="467"/>
      <c r="AJ417" s="467"/>
      <c r="AK417" s="467"/>
      <c r="AL417" s="467"/>
      <c r="AM417" s="467"/>
      <c r="AN417" s="467"/>
      <c r="AO417" s="467"/>
      <c r="AP417" s="467"/>
      <c r="AQ417" s="467"/>
      <c r="AR417" s="467"/>
      <c r="AS417" s="467"/>
      <c r="AT417" s="467"/>
      <c r="AU417" s="467"/>
      <c r="AV417" s="467"/>
      <c r="AW417" s="467"/>
      <c r="AX417" s="467"/>
      <c r="AY417" s="467"/>
      <c r="AZ417" s="467"/>
      <c r="BA417" s="467"/>
      <c r="BB417" s="467"/>
      <c r="BC417" s="467"/>
      <c r="BD417" s="467"/>
      <c r="BE417" s="467"/>
      <c r="BF417" s="467"/>
      <c r="BG417" s="467"/>
      <c r="BH417" s="467"/>
      <c r="BI417" s="467"/>
      <c r="BJ417" s="467"/>
      <c r="BK417" s="467"/>
      <c r="BL417" s="467"/>
    </row>
    <row r="418" customFormat="false" ht="12.75" hidden="false" customHeight="false" outlineLevel="0" collapsed="false">
      <c r="A418" s="464"/>
      <c r="B418" s="467"/>
      <c r="C418" s="467"/>
      <c r="D418" s="467"/>
      <c r="E418" s="467"/>
      <c r="F418" s="467"/>
      <c r="G418" s="467"/>
      <c r="H418" s="467"/>
      <c r="I418" s="467"/>
      <c r="J418" s="467"/>
      <c r="K418" s="467"/>
      <c r="L418" s="467"/>
      <c r="M418" s="467"/>
      <c r="N418" s="467"/>
      <c r="O418" s="467"/>
      <c r="P418" s="467"/>
      <c r="Q418" s="467"/>
      <c r="R418" s="467"/>
      <c r="S418" s="467"/>
      <c r="T418" s="467"/>
      <c r="U418" s="467"/>
      <c r="V418" s="467"/>
      <c r="W418" s="467"/>
      <c r="X418" s="467"/>
      <c r="Y418" s="467"/>
      <c r="Z418" s="467"/>
      <c r="AA418" s="467"/>
      <c r="AB418" s="467"/>
      <c r="AC418" s="467"/>
      <c r="AD418" s="467"/>
      <c r="AE418" s="467"/>
      <c r="AF418" s="467"/>
      <c r="AG418" s="467"/>
      <c r="AH418" s="467"/>
      <c r="AI418" s="467"/>
      <c r="AJ418" s="467"/>
      <c r="AK418" s="467"/>
      <c r="AL418" s="467"/>
      <c r="AM418" s="467"/>
      <c r="AN418" s="467"/>
      <c r="AO418" s="467"/>
      <c r="AP418" s="467"/>
      <c r="AQ418" s="467"/>
      <c r="AR418" s="467"/>
      <c r="AS418" s="467"/>
      <c r="AT418" s="467"/>
      <c r="AU418" s="467"/>
      <c r="AV418" s="467"/>
      <c r="AW418" s="467"/>
      <c r="AX418" s="467"/>
      <c r="AY418" s="467"/>
      <c r="AZ418" s="467"/>
      <c r="BA418" s="467"/>
      <c r="BB418" s="467"/>
      <c r="BC418" s="467"/>
      <c r="BD418" s="467"/>
      <c r="BE418" s="467"/>
      <c r="BF418" s="467"/>
      <c r="BG418" s="467"/>
      <c r="BH418" s="467"/>
      <c r="BI418" s="467"/>
      <c r="BJ418" s="467"/>
      <c r="BK418" s="467"/>
      <c r="BL418" s="467"/>
    </row>
    <row r="419" customFormat="false" ht="12.75" hidden="false" customHeight="false" outlineLevel="0" collapsed="false">
      <c r="A419" s="464"/>
      <c r="B419" s="467"/>
      <c r="C419" s="467"/>
      <c r="D419" s="467"/>
      <c r="E419" s="467"/>
      <c r="F419" s="467"/>
      <c r="G419" s="467"/>
      <c r="H419" s="467"/>
      <c r="I419" s="467"/>
      <c r="J419" s="467"/>
      <c r="K419" s="467"/>
      <c r="L419" s="467"/>
      <c r="M419" s="467"/>
      <c r="N419" s="467"/>
      <c r="O419" s="467"/>
      <c r="P419" s="467"/>
      <c r="Q419" s="467"/>
      <c r="R419" s="467"/>
      <c r="S419" s="467"/>
      <c r="T419" s="467"/>
      <c r="U419" s="467"/>
      <c r="V419" s="467"/>
      <c r="W419" s="467"/>
      <c r="X419" s="467"/>
      <c r="Y419" s="467"/>
      <c r="Z419" s="467"/>
      <c r="AA419" s="467"/>
      <c r="AB419" s="467"/>
      <c r="AC419" s="467"/>
      <c r="AD419" s="467"/>
      <c r="AE419" s="467"/>
      <c r="AF419" s="467"/>
      <c r="AG419" s="467"/>
      <c r="AH419" s="467"/>
      <c r="AI419" s="467"/>
      <c r="AJ419" s="467"/>
      <c r="AK419" s="467"/>
      <c r="AL419" s="467"/>
      <c r="AM419" s="467"/>
      <c r="AN419" s="467"/>
      <c r="AO419" s="467"/>
      <c r="AP419" s="467"/>
      <c r="AQ419" s="467"/>
      <c r="AR419" s="467"/>
      <c r="AS419" s="467"/>
      <c r="AT419" s="467"/>
      <c r="AU419" s="467"/>
      <c r="AV419" s="467"/>
      <c r="AW419" s="467"/>
      <c r="AX419" s="467"/>
      <c r="AY419" s="467"/>
      <c r="AZ419" s="467"/>
      <c r="BA419" s="467"/>
      <c r="BB419" s="467"/>
      <c r="BC419" s="467"/>
      <c r="BD419" s="467"/>
      <c r="BE419" s="467"/>
      <c r="BF419" s="467"/>
      <c r="BG419" s="467"/>
      <c r="BH419" s="467"/>
      <c r="BI419" s="467"/>
      <c r="BJ419" s="467"/>
      <c r="BK419" s="467"/>
      <c r="BL419" s="467"/>
    </row>
    <row r="420" customFormat="false" ht="12.75" hidden="false" customHeight="false" outlineLevel="0" collapsed="false">
      <c r="A420" s="464"/>
      <c r="B420" s="467"/>
      <c r="C420" s="467"/>
      <c r="D420" s="467"/>
      <c r="E420" s="467"/>
      <c r="F420" s="467"/>
      <c r="G420" s="467"/>
      <c r="H420" s="467"/>
      <c r="I420" s="467"/>
      <c r="J420" s="467"/>
      <c r="K420" s="467"/>
      <c r="L420" s="467"/>
      <c r="M420" s="467"/>
      <c r="N420" s="467"/>
      <c r="O420" s="467"/>
      <c r="P420" s="467"/>
      <c r="Q420" s="467"/>
      <c r="R420" s="467"/>
      <c r="S420" s="467"/>
      <c r="T420" s="467"/>
      <c r="U420" s="467"/>
      <c r="V420" s="467"/>
      <c r="W420" s="467"/>
      <c r="X420" s="467"/>
      <c r="Y420" s="467"/>
      <c r="Z420" s="467"/>
      <c r="AA420" s="467"/>
      <c r="AB420" s="467"/>
      <c r="AC420" s="467"/>
      <c r="AD420" s="467"/>
      <c r="AE420" s="467"/>
      <c r="AF420" s="467"/>
      <c r="AG420" s="467"/>
      <c r="AH420" s="467"/>
      <c r="AI420" s="467"/>
      <c r="AJ420" s="467"/>
      <c r="AK420" s="467"/>
      <c r="AL420" s="467"/>
      <c r="AM420" s="467"/>
      <c r="AN420" s="467"/>
      <c r="AO420" s="467"/>
      <c r="AP420" s="467"/>
      <c r="AQ420" s="467"/>
      <c r="AR420" s="467"/>
      <c r="AS420" s="467"/>
      <c r="AT420" s="467"/>
      <c r="AU420" s="467"/>
      <c r="AV420" s="467"/>
      <c r="AW420" s="467"/>
      <c r="AX420" s="467"/>
      <c r="AY420" s="467"/>
      <c r="AZ420" s="467"/>
      <c r="BA420" s="467"/>
      <c r="BB420" s="467"/>
      <c r="BC420" s="467"/>
      <c r="BD420" s="467"/>
      <c r="BE420" s="467"/>
      <c r="BF420" s="467"/>
      <c r="BG420" s="467"/>
      <c r="BH420" s="467"/>
      <c r="BI420" s="467"/>
      <c r="BJ420" s="467"/>
      <c r="BK420" s="467"/>
      <c r="BL420" s="467"/>
    </row>
    <row r="421" customFormat="false" ht="12.75" hidden="false" customHeight="false" outlineLevel="0" collapsed="false">
      <c r="A421" s="464"/>
      <c r="B421" s="467"/>
      <c r="C421" s="467"/>
      <c r="D421" s="467"/>
      <c r="E421" s="467"/>
      <c r="F421" s="467"/>
      <c r="G421" s="467"/>
      <c r="H421" s="467"/>
      <c r="I421" s="467"/>
      <c r="J421" s="467"/>
      <c r="K421" s="467"/>
      <c r="L421" s="467"/>
      <c r="M421" s="467"/>
      <c r="N421" s="467"/>
      <c r="O421" s="467"/>
      <c r="P421" s="467"/>
      <c r="Q421" s="467"/>
      <c r="R421" s="467"/>
      <c r="S421" s="467"/>
      <c r="T421" s="467"/>
      <c r="U421" s="467"/>
      <c r="V421" s="467"/>
      <c r="W421" s="467"/>
      <c r="X421" s="467"/>
      <c r="Y421" s="467"/>
      <c r="Z421" s="467"/>
      <c r="AA421" s="467"/>
      <c r="AB421" s="467"/>
      <c r="AC421" s="467"/>
      <c r="AD421" s="467"/>
      <c r="AE421" s="467"/>
      <c r="AF421" s="467"/>
      <c r="AG421" s="467"/>
      <c r="AH421" s="467"/>
      <c r="AI421" s="467"/>
      <c r="AJ421" s="467"/>
      <c r="AK421" s="467"/>
      <c r="AL421" s="467"/>
      <c r="AM421" s="467"/>
      <c r="AN421" s="467"/>
      <c r="AO421" s="467"/>
      <c r="AP421" s="467"/>
      <c r="AQ421" s="467"/>
      <c r="AR421" s="467"/>
      <c r="AS421" s="467"/>
      <c r="AT421" s="467"/>
      <c r="AU421" s="467"/>
      <c r="AV421" s="467"/>
      <c r="AW421" s="467"/>
      <c r="AX421" s="467"/>
      <c r="AY421" s="467"/>
      <c r="AZ421" s="467"/>
      <c r="BA421" s="467"/>
      <c r="BB421" s="467"/>
      <c r="BC421" s="467"/>
      <c r="BD421" s="467"/>
      <c r="BE421" s="467"/>
      <c r="BF421" s="467"/>
      <c r="BG421" s="467"/>
      <c r="BH421" s="467"/>
      <c r="BI421" s="467"/>
      <c r="BJ421" s="467"/>
      <c r="BK421" s="467"/>
      <c r="BL421" s="467"/>
    </row>
    <row r="422" customFormat="false" ht="12.75" hidden="false" customHeight="false" outlineLevel="0" collapsed="false">
      <c r="A422" s="464"/>
      <c r="B422" s="467"/>
      <c r="C422" s="467"/>
      <c r="D422" s="467"/>
      <c r="E422" s="467"/>
      <c r="F422" s="467"/>
      <c r="G422" s="467"/>
      <c r="H422" s="467"/>
      <c r="I422" s="467"/>
      <c r="J422" s="467"/>
      <c r="K422" s="467"/>
      <c r="L422" s="467"/>
      <c r="M422" s="467"/>
      <c r="N422" s="467"/>
      <c r="O422" s="467"/>
      <c r="P422" s="467"/>
      <c r="Q422" s="467"/>
      <c r="R422" s="467"/>
      <c r="S422" s="467"/>
      <c r="T422" s="467"/>
      <c r="U422" s="467"/>
      <c r="V422" s="467"/>
      <c r="W422" s="467"/>
      <c r="X422" s="467"/>
      <c r="Y422" s="467"/>
      <c r="Z422" s="467"/>
      <c r="AA422" s="467"/>
      <c r="AB422" s="467"/>
      <c r="AC422" s="467"/>
      <c r="AD422" s="467"/>
      <c r="AE422" s="467"/>
      <c r="AF422" s="467"/>
      <c r="AG422" s="467"/>
      <c r="AH422" s="467"/>
      <c r="AI422" s="467"/>
      <c r="AJ422" s="467"/>
      <c r="AK422" s="467"/>
      <c r="AL422" s="467"/>
      <c r="AM422" s="467"/>
      <c r="AN422" s="467"/>
      <c r="AO422" s="467"/>
      <c r="AP422" s="467"/>
      <c r="AQ422" s="467"/>
      <c r="AR422" s="467"/>
      <c r="AS422" s="467"/>
      <c r="AT422" s="467"/>
      <c r="AU422" s="467"/>
      <c r="AV422" s="467"/>
      <c r="AW422" s="467"/>
      <c r="AX422" s="467"/>
      <c r="AY422" s="467"/>
      <c r="AZ422" s="467"/>
      <c r="BA422" s="467"/>
      <c r="BB422" s="467"/>
      <c r="BC422" s="467"/>
      <c r="BD422" s="467"/>
      <c r="BE422" s="467"/>
      <c r="BF422" s="467"/>
      <c r="BG422" s="467"/>
      <c r="BH422" s="467"/>
      <c r="BI422" s="467"/>
      <c r="BJ422" s="467"/>
      <c r="BK422" s="467"/>
      <c r="BL422" s="467"/>
    </row>
    <row r="423" customFormat="false" ht="12.75" hidden="false" customHeight="false" outlineLevel="0" collapsed="false">
      <c r="A423" s="464"/>
      <c r="B423" s="467"/>
      <c r="C423" s="467"/>
      <c r="D423" s="467"/>
      <c r="E423" s="467"/>
      <c r="F423" s="467"/>
      <c r="G423" s="467"/>
      <c r="H423" s="467"/>
      <c r="I423" s="467"/>
      <c r="J423" s="467"/>
      <c r="K423" s="467"/>
      <c r="L423" s="467"/>
      <c r="M423" s="467"/>
      <c r="N423" s="467"/>
      <c r="O423" s="467"/>
      <c r="P423" s="467"/>
      <c r="Q423" s="467"/>
      <c r="R423" s="467"/>
      <c r="S423" s="467"/>
      <c r="T423" s="467"/>
      <c r="U423" s="467"/>
      <c r="V423" s="467"/>
      <c r="W423" s="467"/>
      <c r="X423" s="467"/>
      <c r="Y423" s="467"/>
      <c r="Z423" s="467"/>
      <c r="AA423" s="467"/>
      <c r="AB423" s="467"/>
      <c r="AC423" s="467"/>
      <c r="AD423" s="467"/>
      <c r="AE423" s="467"/>
      <c r="AF423" s="467"/>
      <c r="AG423" s="467"/>
      <c r="AH423" s="467"/>
      <c r="AI423" s="467"/>
      <c r="AJ423" s="467"/>
      <c r="AK423" s="467"/>
      <c r="AL423" s="467"/>
      <c r="AM423" s="467"/>
      <c r="AN423" s="467"/>
      <c r="AO423" s="467"/>
      <c r="AP423" s="467"/>
      <c r="AQ423" s="467"/>
      <c r="AR423" s="467"/>
      <c r="AS423" s="467"/>
      <c r="AT423" s="467"/>
      <c r="AU423" s="467"/>
      <c r="AV423" s="467"/>
      <c r="AW423" s="467"/>
      <c r="AX423" s="467"/>
      <c r="AY423" s="467"/>
      <c r="AZ423" s="467"/>
      <c r="BA423" s="467"/>
      <c r="BB423" s="467"/>
      <c r="BC423" s="467"/>
      <c r="BD423" s="467"/>
      <c r="BE423" s="467"/>
      <c r="BF423" s="467"/>
      <c r="BG423" s="467"/>
      <c r="BH423" s="467"/>
      <c r="BI423" s="467"/>
      <c r="BJ423" s="467"/>
      <c r="BK423" s="467"/>
      <c r="BL423" s="467"/>
    </row>
    <row r="424" customFormat="false" ht="12.75" hidden="false" customHeight="false" outlineLevel="0" collapsed="false">
      <c r="A424" s="464"/>
      <c r="B424" s="467"/>
      <c r="C424" s="467"/>
      <c r="D424" s="467"/>
      <c r="E424" s="467"/>
      <c r="F424" s="467"/>
      <c r="G424" s="467"/>
      <c r="H424" s="467"/>
      <c r="I424" s="467"/>
      <c r="J424" s="467"/>
      <c r="K424" s="467"/>
      <c r="L424" s="467"/>
      <c r="M424" s="467"/>
      <c r="N424" s="467"/>
      <c r="O424" s="467"/>
      <c r="P424" s="467"/>
      <c r="Q424" s="467"/>
      <c r="R424" s="467"/>
      <c r="S424" s="467"/>
      <c r="T424" s="467"/>
      <c r="U424" s="467"/>
      <c r="V424" s="467"/>
      <c r="W424" s="467"/>
      <c r="X424" s="467"/>
      <c r="Y424" s="467"/>
      <c r="Z424" s="467"/>
      <c r="AA424" s="467"/>
      <c r="AB424" s="467"/>
      <c r="AC424" s="467"/>
      <c r="AD424" s="467"/>
      <c r="AE424" s="467"/>
      <c r="AF424" s="467"/>
      <c r="AG424" s="467"/>
      <c r="AH424" s="467"/>
      <c r="AI424" s="467"/>
      <c r="AJ424" s="467"/>
      <c r="AK424" s="467"/>
      <c r="AL424" s="467"/>
      <c r="AM424" s="467"/>
      <c r="AN424" s="467"/>
      <c r="AO424" s="467"/>
      <c r="AP424" s="467"/>
      <c r="AQ424" s="467"/>
      <c r="AR424" s="467"/>
      <c r="AS424" s="467"/>
      <c r="AT424" s="467"/>
      <c r="AU424" s="467"/>
      <c r="AV424" s="467"/>
      <c r="AW424" s="467"/>
      <c r="AX424" s="467"/>
      <c r="AY424" s="467"/>
      <c r="AZ424" s="467"/>
      <c r="BA424" s="467"/>
      <c r="BB424" s="467"/>
      <c r="BC424" s="467"/>
      <c r="BD424" s="467"/>
      <c r="BE424" s="467"/>
      <c r="BF424" s="467"/>
      <c r="BG424" s="467"/>
      <c r="BH424" s="467"/>
      <c r="BI424" s="467"/>
      <c r="BJ424" s="467"/>
      <c r="BK424" s="467"/>
      <c r="BL424" s="467"/>
    </row>
    <row r="425" customFormat="false" ht="12.75" hidden="false" customHeight="false" outlineLevel="0" collapsed="false">
      <c r="A425" s="464"/>
      <c r="B425" s="467"/>
      <c r="C425" s="467"/>
      <c r="D425" s="467"/>
      <c r="E425" s="467"/>
      <c r="F425" s="467"/>
      <c r="G425" s="467"/>
      <c r="H425" s="467"/>
      <c r="I425" s="467"/>
      <c r="J425" s="467"/>
      <c r="K425" s="467"/>
      <c r="L425" s="467"/>
      <c r="M425" s="467"/>
      <c r="N425" s="467"/>
      <c r="O425" s="467"/>
      <c r="P425" s="467"/>
      <c r="Q425" s="467"/>
      <c r="R425" s="467"/>
      <c r="S425" s="467"/>
      <c r="T425" s="467"/>
      <c r="U425" s="467"/>
      <c r="V425" s="467"/>
      <c r="W425" s="467"/>
      <c r="X425" s="467"/>
      <c r="Y425" s="467"/>
      <c r="Z425" s="467"/>
      <c r="AA425" s="467"/>
      <c r="AB425" s="467"/>
      <c r="AC425" s="467"/>
      <c r="AD425" s="467"/>
      <c r="AE425" s="467"/>
      <c r="AF425" s="467"/>
      <c r="AG425" s="467"/>
      <c r="AH425" s="467"/>
      <c r="AI425" s="467"/>
      <c r="AJ425" s="467"/>
      <c r="AK425" s="467"/>
      <c r="AL425" s="467"/>
      <c r="AM425" s="467"/>
      <c r="AN425" s="467"/>
      <c r="AO425" s="467"/>
      <c r="AP425" s="467"/>
      <c r="AQ425" s="467"/>
      <c r="AR425" s="467"/>
      <c r="AS425" s="467"/>
      <c r="AT425" s="467"/>
      <c r="AU425" s="467"/>
      <c r="AV425" s="467"/>
      <c r="AW425" s="467"/>
      <c r="AX425" s="467"/>
      <c r="AY425" s="467"/>
      <c r="AZ425" s="467"/>
      <c r="BA425" s="467"/>
      <c r="BB425" s="467"/>
      <c r="BC425" s="467"/>
      <c r="BD425" s="467"/>
      <c r="BE425" s="467"/>
      <c r="BF425" s="467"/>
      <c r="BG425" s="467"/>
      <c r="BH425" s="467"/>
      <c r="BI425" s="467"/>
      <c r="BJ425" s="467"/>
      <c r="BK425" s="467"/>
      <c r="BL425" s="467"/>
    </row>
    <row r="426" customFormat="false" ht="12.75" hidden="false" customHeight="false" outlineLevel="0" collapsed="false">
      <c r="A426" s="464"/>
      <c r="B426" s="467"/>
      <c r="C426" s="467"/>
      <c r="D426" s="467"/>
      <c r="E426" s="467"/>
      <c r="F426" s="467"/>
      <c r="G426" s="467"/>
      <c r="H426" s="467"/>
      <c r="I426" s="467"/>
      <c r="J426" s="467"/>
      <c r="K426" s="467"/>
      <c r="L426" s="467"/>
      <c r="M426" s="467"/>
      <c r="N426" s="467"/>
      <c r="O426" s="467"/>
      <c r="P426" s="467"/>
      <c r="Q426" s="467"/>
      <c r="R426" s="467"/>
      <c r="S426" s="467"/>
      <c r="T426" s="467"/>
      <c r="U426" s="467"/>
      <c r="V426" s="467"/>
      <c r="W426" s="467"/>
      <c r="X426" s="467"/>
      <c r="Y426" s="467"/>
      <c r="Z426" s="467"/>
      <c r="AA426" s="467"/>
      <c r="AB426" s="467"/>
      <c r="AC426" s="467"/>
      <c r="AD426" s="467"/>
      <c r="AE426" s="467"/>
      <c r="AF426" s="467"/>
      <c r="AG426" s="467"/>
      <c r="AH426" s="467"/>
      <c r="AI426" s="467"/>
      <c r="AJ426" s="467"/>
      <c r="AK426" s="467"/>
      <c r="AL426" s="467"/>
      <c r="AM426" s="467"/>
      <c r="AN426" s="467"/>
      <c r="AO426" s="467"/>
      <c r="AP426" s="467"/>
      <c r="AQ426" s="467"/>
      <c r="AR426" s="467"/>
      <c r="AS426" s="467"/>
      <c r="AT426" s="467"/>
      <c r="AU426" s="467"/>
      <c r="AV426" s="467"/>
      <c r="AW426" s="467"/>
      <c r="AX426" s="467"/>
      <c r="AY426" s="467"/>
      <c r="AZ426" s="467"/>
      <c r="BA426" s="467"/>
      <c r="BB426" s="467"/>
      <c r="BC426" s="467"/>
      <c r="BD426" s="467"/>
      <c r="BE426" s="467"/>
      <c r="BF426" s="467"/>
      <c r="BG426" s="467"/>
      <c r="BH426" s="467"/>
      <c r="BI426" s="467"/>
      <c r="BJ426" s="467"/>
      <c r="BK426" s="467"/>
      <c r="BL426" s="467"/>
    </row>
    <row r="427" customFormat="false" ht="12.75" hidden="false" customHeight="false" outlineLevel="0" collapsed="false">
      <c r="A427" s="464"/>
      <c r="B427" s="467"/>
      <c r="C427" s="467"/>
      <c r="D427" s="467"/>
      <c r="E427" s="467"/>
      <c r="F427" s="467"/>
      <c r="G427" s="467"/>
      <c r="H427" s="467"/>
      <c r="I427" s="467"/>
      <c r="J427" s="467"/>
      <c r="K427" s="467"/>
      <c r="L427" s="467"/>
      <c r="M427" s="467"/>
      <c r="N427" s="467"/>
      <c r="O427" s="467"/>
      <c r="P427" s="467"/>
      <c r="Q427" s="467"/>
      <c r="R427" s="467"/>
      <c r="S427" s="467"/>
      <c r="T427" s="467"/>
      <c r="U427" s="467"/>
      <c r="V427" s="467"/>
      <c r="W427" s="467"/>
      <c r="X427" s="467"/>
      <c r="Y427" s="467"/>
      <c r="Z427" s="467"/>
      <c r="AA427" s="467"/>
      <c r="AB427" s="467"/>
      <c r="AC427" s="467"/>
      <c r="AD427" s="467"/>
      <c r="AE427" s="467"/>
      <c r="AF427" s="467"/>
      <c r="AG427" s="467"/>
      <c r="AH427" s="467"/>
      <c r="AI427" s="467"/>
      <c r="AJ427" s="467"/>
      <c r="AK427" s="467"/>
      <c r="AL427" s="467"/>
      <c r="AM427" s="467"/>
      <c r="AN427" s="467"/>
      <c r="AO427" s="467"/>
      <c r="AP427" s="467"/>
      <c r="AQ427" s="467"/>
      <c r="AR427" s="467"/>
      <c r="AS427" s="467"/>
      <c r="AT427" s="467"/>
      <c r="AU427" s="467"/>
      <c r="AV427" s="467"/>
      <c r="AW427" s="467"/>
      <c r="AX427" s="467"/>
      <c r="AY427" s="467"/>
      <c r="AZ427" s="467"/>
      <c r="BA427" s="467"/>
      <c r="BB427" s="467"/>
      <c r="BC427" s="467"/>
      <c r="BD427" s="467"/>
      <c r="BE427" s="467"/>
      <c r="BF427" s="467"/>
      <c r="BG427" s="467"/>
      <c r="BH427" s="467"/>
      <c r="BI427" s="467"/>
      <c r="BJ427" s="467"/>
      <c r="BK427" s="467"/>
      <c r="BL427" s="467"/>
    </row>
    <row r="428" customFormat="false" ht="12.75" hidden="false" customHeight="false" outlineLevel="0" collapsed="false">
      <c r="A428" s="464"/>
      <c r="B428" s="467"/>
      <c r="C428" s="467"/>
      <c r="D428" s="467"/>
      <c r="E428" s="467"/>
      <c r="F428" s="467"/>
      <c r="G428" s="467"/>
      <c r="H428" s="467"/>
      <c r="I428" s="467"/>
      <c r="J428" s="467"/>
      <c r="K428" s="467"/>
      <c r="L428" s="467"/>
      <c r="M428" s="467"/>
      <c r="N428" s="467"/>
      <c r="O428" s="467"/>
      <c r="P428" s="467"/>
      <c r="Q428" s="467"/>
      <c r="R428" s="467"/>
      <c r="S428" s="467"/>
      <c r="T428" s="467"/>
      <c r="U428" s="467"/>
      <c r="V428" s="467"/>
      <c r="W428" s="467"/>
      <c r="X428" s="467"/>
      <c r="Y428" s="467"/>
      <c r="Z428" s="467"/>
      <c r="AA428" s="467"/>
      <c r="AB428" s="467"/>
      <c r="AC428" s="467"/>
      <c r="AD428" s="467"/>
      <c r="AE428" s="467"/>
      <c r="AF428" s="467"/>
      <c r="AG428" s="467"/>
      <c r="AH428" s="467"/>
      <c r="AI428" s="467"/>
      <c r="AJ428" s="467"/>
      <c r="AK428" s="467"/>
      <c r="AL428" s="467"/>
      <c r="AM428" s="467"/>
      <c r="AN428" s="467"/>
      <c r="AO428" s="467"/>
      <c r="AP428" s="467"/>
      <c r="AQ428" s="467"/>
      <c r="AR428" s="467"/>
      <c r="AS428" s="467"/>
      <c r="AT428" s="467"/>
      <c r="AU428" s="467"/>
      <c r="AV428" s="467"/>
      <c r="AW428" s="467"/>
      <c r="AX428" s="467"/>
      <c r="AY428" s="467"/>
      <c r="AZ428" s="467"/>
      <c r="BA428" s="467"/>
      <c r="BB428" s="467"/>
      <c r="BC428" s="467"/>
      <c r="BD428" s="467"/>
      <c r="BE428" s="467"/>
      <c r="BF428" s="467"/>
      <c r="BG428" s="467"/>
      <c r="BH428" s="467"/>
      <c r="BI428" s="467"/>
      <c r="BJ428" s="467"/>
      <c r="BK428" s="467"/>
      <c r="BL428" s="467"/>
    </row>
    <row r="429" customFormat="false" ht="12.75" hidden="false" customHeight="false" outlineLevel="0" collapsed="false">
      <c r="A429" s="464"/>
      <c r="B429" s="467"/>
      <c r="C429" s="467"/>
      <c r="D429" s="467"/>
      <c r="E429" s="467"/>
      <c r="F429" s="467"/>
      <c r="G429" s="467"/>
      <c r="H429" s="467"/>
      <c r="I429" s="467"/>
      <c r="J429" s="467"/>
      <c r="K429" s="467"/>
      <c r="L429" s="467"/>
      <c r="M429" s="467"/>
      <c r="N429" s="467"/>
      <c r="O429" s="467"/>
      <c r="P429" s="467"/>
      <c r="Q429" s="467"/>
      <c r="R429" s="467"/>
      <c r="S429" s="467"/>
      <c r="T429" s="467"/>
      <c r="U429" s="467"/>
      <c r="V429" s="467"/>
      <c r="W429" s="467"/>
      <c r="X429" s="467"/>
      <c r="Y429" s="467"/>
      <c r="Z429" s="467"/>
      <c r="AA429" s="467"/>
      <c r="AB429" s="467"/>
      <c r="AC429" s="467"/>
      <c r="AD429" s="467"/>
      <c r="AE429" s="467"/>
      <c r="AF429" s="467"/>
      <c r="AG429" s="467"/>
      <c r="AH429" s="467"/>
      <c r="AI429" s="467"/>
      <c r="AJ429" s="467"/>
      <c r="AK429" s="467"/>
      <c r="AL429" s="467"/>
      <c r="AM429" s="467"/>
      <c r="AN429" s="467"/>
      <c r="AO429" s="467"/>
      <c r="AP429" s="467"/>
      <c r="AQ429" s="467"/>
      <c r="AR429" s="467"/>
      <c r="AS429" s="467"/>
      <c r="AT429" s="467"/>
      <c r="AU429" s="467"/>
      <c r="AV429" s="467"/>
      <c r="AW429" s="467"/>
      <c r="AX429" s="467"/>
      <c r="AY429" s="467"/>
      <c r="AZ429" s="467"/>
      <c r="BA429" s="467"/>
      <c r="BB429" s="467"/>
      <c r="BC429" s="467"/>
      <c r="BD429" s="467"/>
      <c r="BE429" s="467"/>
      <c r="BF429" s="467"/>
      <c r="BG429" s="467"/>
      <c r="BH429" s="467"/>
      <c r="BI429" s="467"/>
      <c r="BJ429" s="467"/>
      <c r="BK429" s="467"/>
      <c r="BL429" s="467"/>
    </row>
    <row r="430" customFormat="false" ht="12.75" hidden="false" customHeight="false" outlineLevel="0" collapsed="false">
      <c r="A430" s="464"/>
      <c r="B430" s="467"/>
      <c r="C430" s="467"/>
      <c r="D430" s="467"/>
      <c r="E430" s="467"/>
      <c r="F430" s="467"/>
      <c r="G430" s="467"/>
      <c r="H430" s="467"/>
      <c r="I430" s="467"/>
      <c r="J430" s="467"/>
      <c r="K430" s="467"/>
      <c r="L430" s="467"/>
      <c r="M430" s="467"/>
      <c r="N430" s="467"/>
      <c r="O430" s="467"/>
      <c r="P430" s="467"/>
      <c r="Q430" s="467"/>
      <c r="R430" s="467"/>
      <c r="S430" s="467"/>
      <c r="T430" s="467"/>
      <c r="U430" s="467"/>
      <c r="V430" s="467"/>
      <c r="W430" s="467"/>
      <c r="X430" s="467"/>
      <c r="Y430" s="467"/>
      <c r="Z430" s="467"/>
      <c r="AA430" s="467"/>
      <c r="AB430" s="467"/>
      <c r="AC430" s="467"/>
      <c r="AD430" s="467"/>
      <c r="AE430" s="467"/>
      <c r="AF430" s="467"/>
      <c r="AG430" s="467"/>
      <c r="AH430" s="467"/>
      <c r="AI430" s="467"/>
      <c r="AJ430" s="467"/>
      <c r="AK430" s="467"/>
      <c r="AL430" s="467"/>
      <c r="AM430" s="467"/>
      <c r="AN430" s="467"/>
      <c r="AO430" s="467"/>
      <c r="AP430" s="467"/>
      <c r="AQ430" s="467"/>
      <c r="AR430" s="467"/>
      <c r="AS430" s="467"/>
      <c r="AT430" s="467"/>
      <c r="AU430" s="467"/>
      <c r="AV430" s="467"/>
      <c r="AW430" s="467"/>
      <c r="AX430" s="467"/>
      <c r="AY430" s="467"/>
      <c r="AZ430" s="467"/>
      <c r="BA430" s="467"/>
      <c r="BB430" s="467"/>
      <c r="BC430" s="467"/>
      <c r="BD430" s="467"/>
      <c r="BE430" s="467"/>
      <c r="BF430" s="467"/>
      <c r="BG430" s="467"/>
      <c r="BH430" s="467"/>
      <c r="BI430" s="467"/>
      <c r="BJ430" s="467"/>
      <c r="BK430" s="467"/>
      <c r="BL430" s="467"/>
    </row>
    <row r="431" customFormat="false" ht="12.75" hidden="false" customHeight="false" outlineLevel="0" collapsed="false">
      <c r="A431" s="464"/>
      <c r="B431" s="467"/>
      <c r="C431" s="467"/>
      <c r="D431" s="467"/>
      <c r="E431" s="467"/>
      <c r="F431" s="467"/>
      <c r="G431" s="467"/>
      <c r="H431" s="467"/>
      <c r="I431" s="467"/>
      <c r="J431" s="467"/>
      <c r="K431" s="467"/>
      <c r="L431" s="467"/>
      <c r="M431" s="467"/>
      <c r="N431" s="467"/>
      <c r="O431" s="467"/>
      <c r="P431" s="467"/>
      <c r="Q431" s="467"/>
      <c r="R431" s="467"/>
      <c r="S431" s="467"/>
      <c r="T431" s="467"/>
      <c r="U431" s="467"/>
      <c r="V431" s="467"/>
      <c r="W431" s="467"/>
      <c r="X431" s="467"/>
      <c r="Y431" s="467"/>
      <c r="Z431" s="467"/>
      <c r="AA431" s="467"/>
      <c r="AB431" s="467"/>
      <c r="AC431" s="467"/>
      <c r="AD431" s="467"/>
      <c r="AE431" s="467"/>
      <c r="AF431" s="467"/>
      <c r="AG431" s="467"/>
      <c r="AH431" s="467"/>
      <c r="AI431" s="467"/>
      <c r="AJ431" s="467"/>
      <c r="AK431" s="467"/>
      <c r="AL431" s="467"/>
      <c r="AM431" s="467"/>
      <c r="AN431" s="467"/>
      <c r="AO431" s="467"/>
      <c r="AP431" s="467"/>
      <c r="AQ431" s="467"/>
      <c r="AR431" s="467"/>
      <c r="AS431" s="467"/>
      <c r="AT431" s="467"/>
      <c r="AU431" s="467"/>
      <c r="AV431" s="467"/>
      <c r="AW431" s="467"/>
      <c r="AX431" s="467"/>
      <c r="AY431" s="467"/>
      <c r="AZ431" s="467"/>
      <c r="BA431" s="467"/>
      <c r="BB431" s="467"/>
      <c r="BC431" s="467"/>
      <c r="BD431" s="467"/>
      <c r="BE431" s="467"/>
      <c r="BF431" s="467"/>
      <c r="BG431" s="467"/>
      <c r="BH431" s="467"/>
      <c r="BI431" s="467"/>
      <c r="BJ431" s="467"/>
      <c r="BK431" s="467"/>
      <c r="BL431" s="467"/>
    </row>
    <row r="432" customFormat="false" ht="12.75" hidden="false" customHeight="false" outlineLevel="0" collapsed="false">
      <c r="A432" s="464"/>
      <c r="B432" s="467"/>
      <c r="C432" s="467"/>
      <c r="D432" s="467"/>
      <c r="E432" s="467"/>
      <c r="F432" s="467"/>
      <c r="G432" s="467"/>
      <c r="H432" s="467"/>
      <c r="I432" s="467"/>
      <c r="J432" s="467"/>
      <c r="K432" s="467"/>
      <c r="L432" s="467"/>
      <c r="M432" s="467"/>
      <c r="N432" s="467"/>
      <c r="O432" s="467"/>
      <c r="P432" s="467"/>
      <c r="Q432" s="467"/>
      <c r="R432" s="467"/>
      <c r="S432" s="467"/>
      <c r="T432" s="467"/>
      <c r="U432" s="467"/>
      <c r="V432" s="467"/>
      <c r="W432" s="467"/>
      <c r="X432" s="467"/>
      <c r="Y432" s="467"/>
      <c r="Z432" s="467"/>
      <c r="AA432" s="467"/>
      <c r="AB432" s="467"/>
      <c r="AC432" s="467"/>
      <c r="AD432" s="467"/>
      <c r="AE432" s="467"/>
      <c r="AF432" s="467"/>
      <c r="AG432" s="467"/>
      <c r="AH432" s="467"/>
      <c r="AI432" s="467"/>
      <c r="AJ432" s="467"/>
      <c r="AK432" s="467"/>
      <c r="AL432" s="467"/>
      <c r="AM432" s="467"/>
      <c r="AN432" s="467"/>
      <c r="AO432" s="467"/>
      <c r="AP432" s="467"/>
      <c r="AQ432" s="467"/>
      <c r="AR432" s="467"/>
      <c r="AS432" s="467"/>
      <c r="AT432" s="467"/>
      <c r="AU432" s="467"/>
      <c r="AV432" s="467"/>
      <c r="AW432" s="467"/>
      <c r="AX432" s="467"/>
      <c r="AY432" s="467"/>
      <c r="AZ432" s="467"/>
      <c r="BA432" s="467"/>
      <c r="BB432" s="467"/>
      <c r="BC432" s="467"/>
      <c r="BD432" s="467"/>
      <c r="BE432" s="467"/>
      <c r="BF432" s="467"/>
      <c r="BG432" s="467"/>
      <c r="BH432" s="467"/>
      <c r="BI432" s="467"/>
      <c r="BJ432" s="467"/>
      <c r="BK432" s="467"/>
      <c r="BL432" s="467"/>
    </row>
    <row r="433" customFormat="false" ht="12.75" hidden="false" customHeight="false" outlineLevel="0" collapsed="false">
      <c r="A433" s="464"/>
      <c r="B433" s="467"/>
      <c r="C433" s="467"/>
      <c r="D433" s="467"/>
      <c r="E433" s="467"/>
      <c r="F433" s="467"/>
      <c r="G433" s="467"/>
      <c r="H433" s="467"/>
      <c r="I433" s="467"/>
      <c r="J433" s="467"/>
      <c r="K433" s="467"/>
      <c r="L433" s="467"/>
      <c r="M433" s="467"/>
      <c r="N433" s="467"/>
      <c r="O433" s="467"/>
      <c r="P433" s="467"/>
      <c r="Q433" s="467"/>
      <c r="R433" s="467"/>
      <c r="S433" s="467"/>
      <c r="T433" s="467"/>
      <c r="U433" s="467"/>
      <c r="V433" s="467"/>
      <c r="W433" s="467"/>
      <c r="X433" s="467"/>
      <c r="Y433" s="467"/>
      <c r="Z433" s="467"/>
      <c r="AA433" s="467"/>
      <c r="AB433" s="467"/>
      <c r="AC433" s="467"/>
      <c r="AD433" s="467"/>
      <c r="AE433" s="467"/>
      <c r="AF433" s="467"/>
      <c r="AG433" s="467"/>
      <c r="AH433" s="467"/>
      <c r="AI433" s="467"/>
      <c r="AJ433" s="467"/>
      <c r="AK433" s="467"/>
      <c r="AL433" s="467"/>
      <c r="AM433" s="467"/>
      <c r="AN433" s="467"/>
      <c r="AO433" s="467"/>
      <c r="AP433" s="467"/>
      <c r="AQ433" s="467"/>
      <c r="AR433" s="467"/>
      <c r="AS433" s="467"/>
      <c r="AT433" s="467"/>
      <c r="AU433" s="467"/>
      <c r="AV433" s="467"/>
      <c r="AW433" s="467"/>
      <c r="AX433" s="467"/>
      <c r="AY433" s="467"/>
      <c r="AZ433" s="467"/>
      <c r="BA433" s="467"/>
      <c r="BB433" s="467"/>
      <c r="BC433" s="467"/>
      <c r="BD433" s="467"/>
      <c r="BE433" s="467"/>
      <c r="BF433" s="467"/>
      <c r="BG433" s="467"/>
      <c r="BH433" s="467"/>
      <c r="BI433" s="467"/>
      <c r="BJ433" s="467"/>
      <c r="BK433" s="467"/>
      <c r="BL433" s="467"/>
    </row>
    <row r="434" customFormat="false" ht="12.75" hidden="false" customHeight="false" outlineLevel="0" collapsed="false">
      <c r="A434" s="464"/>
      <c r="B434" s="467"/>
      <c r="C434" s="467"/>
      <c r="D434" s="467"/>
      <c r="E434" s="467"/>
      <c r="F434" s="467"/>
      <c r="G434" s="467"/>
      <c r="H434" s="467"/>
      <c r="I434" s="467"/>
      <c r="J434" s="467"/>
      <c r="K434" s="467"/>
      <c r="L434" s="467"/>
      <c r="M434" s="467"/>
      <c r="N434" s="467"/>
      <c r="O434" s="467"/>
      <c r="P434" s="467"/>
      <c r="Q434" s="467"/>
      <c r="R434" s="467"/>
      <c r="S434" s="467"/>
      <c r="T434" s="467"/>
      <c r="U434" s="467"/>
      <c r="V434" s="467"/>
      <c r="W434" s="467"/>
      <c r="X434" s="467"/>
      <c r="Y434" s="467"/>
      <c r="Z434" s="467"/>
      <c r="AA434" s="467"/>
      <c r="AB434" s="467"/>
      <c r="AC434" s="467"/>
      <c r="AD434" s="467"/>
      <c r="AE434" s="467"/>
      <c r="AF434" s="467"/>
      <c r="AG434" s="467"/>
      <c r="AH434" s="467"/>
      <c r="AI434" s="467"/>
      <c r="AJ434" s="467"/>
      <c r="AK434" s="467"/>
      <c r="AL434" s="467"/>
      <c r="AM434" s="467"/>
      <c r="AN434" s="467"/>
      <c r="AO434" s="467"/>
      <c r="AP434" s="467"/>
      <c r="AQ434" s="467"/>
      <c r="AR434" s="467"/>
      <c r="AS434" s="467"/>
      <c r="AT434" s="467"/>
      <c r="AU434" s="467"/>
      <c r="AV434" s="467"/>
      <c r="AW434" s="467"/>
      <c r="AX434" s="467"/>
      <c r="AY434" s="467"/>
      <c r="AZ434" s="467"/>
      <c r="BA434" s="467"/>
      <c r="BB434" s="467"/>
      <c r="BC434" s="467"/>
      <c r="BD434" s="467"/>
      <c r="BE434" s="467"/>
      <c r="BF434" s="467"/>
      <c r="BG434" s="467"/>
      <c r="BH434" s="467"/>
      <c r="BI434" s="467"/>
      <c r="BJ434" s="467"/>
      <c r="BK434" s="467"/>
      <c r="BL434" s="467"/>
    </row>
    <row r="435" customFormat="false" ht="12.75" hidden="false" customHeight="false" outlineLevel="0" collapsed="false">
      <c r="A435" s="464"/>
      <c r="B435" s="467"/>
      <c r="C435" s="467"/>
      <c r="D435" s="467"/>
      <c r="E435" s="467"/>
      <c r="F435" s="467"/>
      <c r="G435" s="467"/>
      <c r="H435" s="467"/>
      <c r="I435" s="467"/>
      <c r="J435" s="467"/>
      <c r="K435" s="467"/>
      <c r="L435" s="467"/>
      <c r="M435" s="467"/>
      <c r="N435" s="467"/>
      <c r="O435" s="467"/>
      <c r="P435" s="467"/>
      <c r="Q435" s="467"/>
      <c r="R435" s="467"/>
      <c r="S435" s="467"/>
      <c r="T435" s="467"/>
      <c r="U435" s="467"/>
      <c r="V435" s="467"/>
      <c r="W435" s="467"/>
      <c r="X435" s="467"/>
      <c r="Y435" s="467"/>
      <c r="Z435" s="467"/>
      <c r="AA435" s="467"/>
      <c r="AB435" s="467"/>
      <c r="AC435" s="467"/>
      <c r="AD435" s="467"/>
      <c r="AE435" s="467"/>
      <c r="AF435" s="467"/>
      <c r="AG435" s="467"/>
      <c r="AH435" s="467"/>
      <c r="AI435" s="467"/>
      <c r="AJ435" s="467"/>
      <c r="AK435" s="467"/>
      <c r="AL435" s="467"/>
      <c r="AM435" s="467"/>
      <c r="AN435" s="467"/>
      <c r="AO435" s="467"/>
      <c r="AP435" s="467"/>
      <c r="AQ435" s="467"/>
      <c r="AR435" s="467"/>
      <c r="AS435" s="467"/>
      <c r="AT435" s="467"/>
      <c r="AU435" s="467"/>
      <c r="AV435" s="467"/>
      <c r="AW435" s="467"/>
      <c r="AX435" s="467"/>
      <c r="AY435" s="467"/>
      <c r="AZ435" s="467"/>
      <c r="BA435" s="467"/>
      <c r="BB435" s="467"/>
      <c r="BC435" s="467"/>
      <c r="BD435" s="467"/>
      <c r="BE435" s="467"/>
      <c r="BF435" s="467"/>
      <c r="BG435" s="467"/>
      <c r="BH435" s="467"/>
      <c r="BI435" s="467"/>
      <c r="BJ435" s="467"/>
      <c r="BK435" s="467"/>
      <c r="BL435" s="467"/>
    </row>
    <row r="436" customFormat="false" ht="12.75" hidden="false" customHeight="false" outlineLevel="0" collapsed="false">
      <c r="A436" s="464"/>
      <c r="B436" s="467"/>
      <c r="C436" s="467"/>
      <c r="D436" s="467"/>
      <c r="E436" s="467"/>
      <c r="F436" s="467"/>
      <c r="G436" s="467"/>
      <c r="H436" s="467"/>
      <c r="I436" s="467"/>
      <c r="J436" s="467"/>
      <c r="K436" s="467"/>
      <c r="L436" s="467"/>
      <c r="M436" s="467"/>
      <c r="N436" s="467"/>
      <c r="O436" s="467"/>
      <c r="P436" s="467"/>
      <c r="Q436" s="467"/>
      <c r="R436" s="467"/>
      <c r="S436" s="467"/>
      <c r="T436" s="467"/>
      <c r="U436" s="467"/>
      <c r="V436" s="467"/>
      <c r="W436" s="467"/>
      <c r="X436" s="467"/>
      <c r="Y436" s="467"/>
      <c r="Z436" s="467"/>
      <c r="AA436" s="467"/>
      <c r="AB436" s="467"/>
      <c r="AC436" s="467"/>
      <c r="AD436" s="467"/>
      <c r="AE436" s="467"/>
      <c r="AF436" s="467"/>
      <c r="AG436" s="467"/>
      <c r="AH436" s="467"/>
      <c r="AI436" s="467"/>
      <c r="AJ436" s="467"/>
      <c r="AK436" s="467"/>
      <c r="AL436" s="467"/>
      <c r="AM436" s="467"/>
      <c r="AN436" s="467"/>
      <c r="AO436" s="467"/>
      <c r="AP436" s="467"/>
      <c r="AQ436" s="467"/>
      <c r="AR436" s="467"/>
      <c r="AS436" s="467"/>
      <c r="AT436" s="467"/>
      <c r="AU436" s="467"/>
      <c r="AV436" s="467"/>
      <c r="AW436" s="467"/>
      <c r="AX436" s="467"/>
      <c r="AY436" s="467"/>
      <c r="AZ436" s="467"/>
      <c r="BA436" s="467"/>
      <c r="BB436" s="467"/>
      <c r="BC436" s="467"/>
      <c r="BD436" s="467"/>
      <c r="BE436" s="467"/>
      <c r="BF436" s="467"/>
      <c r="BG436" s="467"/>
      <c r="BH436" s="467"/>
      <c r="BI436" s="467"/>
      <c r="BJ436" s="467"/>
      <c r="BK436" s="467"/>
      <c r="BL436" s="467"/>
    </row>
    <row r="437" customFormat="false" ht="12.75" hidden="false" customHeight="false" outlineLevel="0" collapsed="false">
      <c r="A437" s="464"/>
      <c r="B437" s="467"/>
      <c r="C437" s="467"/>
      <c r="D437" s="467"/>
      <c r="E437" s="467"/>
      <c r="F437" s="467"/>
      <c r="G437" s="467"/>
      <c r="H437" s="467"/>
      <c r="I437" s="467"/>
      <c r="J437" s="467"/>
      <c r="K437" s="467"/>
      <c r="L437" s="467"/>
      <c r="M437" s="467"/>
      <c r="N437" s="467"/>
      <c r="O437" s="467"/>
      <c r="P437" s="467"/>
      <c r="Q437" s="467"/>
      <c r="R437" s="467"/>
      <c r="S437" s="467"/>
      <c r="T437" s="467"/>
      <c r="U437" s="467"/>
      <c r="V437" s="467"/>
      <c r="W437" s="467"/>
      <c r="X437" s="467"/>
      <c r="Y437" s="467"/>
      <c r="Z437" s="467"/>
      <c r="AA437" s="467"/>
      <c r="AB437" s="467"/>
      <c r="AC437" s="467"/>
      <c r="AD437" s="467"/>
      <c r="AE437" s="467"/>
      <c r="AF437" s="467"/>
      <c r="AG437" s="467"/>
      <c r="AH437" s="467"/>
      <c r="AI437" s="467"/>
      <c r="AJ437" s="467"/>
      <c r="AK437" s="467"/>
      <c r="AL437" s="467"/>
      <c r="AM437" s="467"/>
      <c r="AN437" s="467"/>
      <c r="AO437" s="467"/>
      <c r="AP437" s="467"/>
      <c r="AQ437" s="467"/>
      <c r="AR437" s="467"/>
      <c r="AS437" s="467"/>
      <c r="AT437" s="467"/>
      <c r="AU437" s="467"/>
      <c r="AV437" s="467"/>
      <c r="AW437" s="467"/>
      <c r="AX437" s="467"/>
      <c r="AY437" s="467"/>
      <c r="AZ437" s="467"/>
      <c r="BA437" s="467"/>
      <c r="BB437" s="467"/>
      <c r="BC437" s="467"/>
      <c r="BD437" s="467"/>
      <c r="BE437" s="467"/>
      <c r="BF437" s="467"/>
      <c r="BG437" s="467"/>
      <c r="BH437" s="467"/>
      <c r="BI437" s="467"/>
      <c r="BJ437" s="467"/>
      <c r="BK437" s="467"/>
      <c r="BL437" s="467"/>
    </row>
    <row r="438" customFormat="false" ht="12.75" hidden="false" customHeight="false" outlineLevel="0" collapsed="false">
      <c r="A438" s="464"/>
      <c r="B438" s="467"/>
      <c r="C438" s="467"/>
      <c r="D438" s="467"/>
      <c r="E438" s="467"/>
      <c r="F438" s="467"/>
      <c r="G438" s="467"/>
      <c r="H438" s="467"/>
      <c r="I438" s="467"/>
      <c r="J438" s="467"/>
      <c r="K438" s="467"/>
      <c r="L438" s="467"/>
      <c r="M438" s="467"/>
      <c r="N438" s="467"/>
      <c r="O438" s="467"/>
      <c r="P438" s="467"/>
      <c r="Q438" s="467"/>
      <c r="R438" s="467"/>
      <c r="S438" s="467"/>
      <c r="T438" s="467"/>
      <c r="U438" s="467"/>
      <c r="V438" s="467"/>
      <c r="W438" s="467"/>
      <c r="X438" s="467"/>
      <c r="Y438" s="467"/>
      <c r="Z438" s="467"/>
      <c r="AA438" s="467"/>
      <c r="AB438" s="467"/>
      <c r="AC438" s="467"/>
      <c r="AD438" s="467"/>
      <c r="AE438" s="467"/>
      <c r="AF438" s="467"/>
      <c r="AG438" s="467"/>
      <c r="AH438" s="467"/>
      <c r="AI438" s="467"/>
      <c r="AJ438" s="467"/>
      <c r="AK438" s="467"/>
      <c r="AL438" s="467"/>
      <c r="AM438" s="467"/>
      <c r="AN438" s="467"/>
      <c r="AO438" s="467"/>
      <c r="AP438" s="467"/>
      <c r="AQ438" s="467"/>
      <c r="AR438" s="467"/>
      <c r="AS438" s="467"/>
      <c r="AT438" s="467"/>
      <c r="AU438" s="467"/>
      <c r="AV438" s="467"/>
      <c r="AW438" s="467"/>
      <c r="AX438" s="467"/>
      <c r="AY438" s="467"/>
      <c r="AZ438" s="467"/>
      <c r="BA438" s="467"/>
      <c r="BB438" s="467"/>
      <c r="BC438" s="467"/>
      <c r="BD438" s="467"/>
      <c r="BE438" s="467"/>
      <c r="BF438" s="467"/>
      <c r="BG438" s="467"/>
      <c r="BH438" s="467"/>
      <c r="BI438" s="467"/>
      <c r="BJ438" s="467"/>
      <c r="BK438" s="467"/>
      <c r="BL438" s="467"/>
    </row>
    <row r="439" customFormat="false" ht="12.75" hidden="false" customHeight="false" outlineLevel="0" collapsed="false">
      <c r="A439" s="464"/>
      <c r="B439" s="467"/>
      <c r="C439" s="467"/>
      <c r="D439" s="467"/>
      <c r="E439" s="467"/>
      <c r="F439" s="467"/>
      <c r="G439" s="467"/>
      <c r="H439" s="467"/>
      <c r="I439" s="467"/>
      <c r="J439" s="467"/>
      <c r="K439" s="467"/>
      <c r="L439" s="467"/>
      <c r="M439" s="467"/>
      <c r="N439" s="467"/>
      <c r="O439" s="467"/>
      <c r="P439" s="467"/>
      <c r="Q439" s="467"/>
      <c r="R439" s="467"/>
      <c r="S439" s="467"/>
      <c r="T439" s="467"/>
      <c r="U439" s="467"/>
      <c r="V439" s="467"/>
      <c r="W439" s="467"/>
      <c r="X439" s="467"/>
      <c r="Y439" s="467"/>
      <c r="Z439" s="467"/>
      <c r="AA439" s="467"/>
      <c r="AB439" s="467"/>
      <c r="AC439" s="467"/>
      <c r="AD439" s="467"/>
      <c r="AE439" s="467"/>
      <c r="AF439" s="467"/>
      <c r="AG439" s="467"/>
      <c r="AH439" s="467"/>
      <c r="AI439" s="467"/>
      <c r="AJ439" s="467"/>
      <c r="AK439" s="467"/>
      <c r="AL439" s="467"/>
      <c r="AM439" s="467"/>
      <c r="AN439" s="467"/>
      <c r="AO439" s="467"/>
      <c r="AP439" s="467"/>
      <c r="AQ439" s="467"/>
      <c r="AR439" s="467"/>
      <c r="AS439" s="467"/>
      <c r="AT439" s="467"/>
      <c r="AU439" s="467"/>
      <c r="AV439" s="467"/>
      <c r="AW439" s="467"/>
      <c r="AX439" s="467"/>
      <c r="AY439" s="467"/>
      <c r="AZ439" s="467"/>
      <c r="BA439" s="467"/>
      <c r="BB439" s="467"/>
      <c r="BC439" s="467"/>
      <c r="BD439" s="467"/>
      <c r="BE439" s="467"/>
      <c r="BF439" s="467"/>
      <c r="BG439" s="467"/>
      <c r="BH439" s="467"/>
      <c r="BI439" s="467"/>
      <c r="BJ439" s="467"/>
      <c r="BK439" s="467"/>
      <c r="BL439" s="467"/>
    </row>
    <row r="440" customFormat="false" ht="12.75" hidden="false" customHeight="false" outlineLevel="0" collapsed="false">
      <c r="A440" s="464"/>
      <c r="B440" s="467"/>
      <c r="C440" s="467"/>
      <c r="D440" s="467"/>
      <c r="E440" s="467"/>
      <c r="F440" s="467"/>
      <c r="G440" s="467"/>
      <c r="H440" s="467"/>
      <c r="I440" s="467"/>
      <c r="J440" s="467"/>
      <c r="K440" s="467"/>
      <c r="L440" s="467"/>
      <c r="M440" s="467"/>
      <c r="N440" s="467"/>
      <c r="O440" s="467"/>
      <c r="P440" s="467"/>
      <c r="Q440" s="467"/>
      <c r="R440" s="467"/>
      <c r="S440" s="467"/>
      <c r="T440" s="467"/>
      <c r="U440" s="467"/>
      <c r="V440" s="467"/>
      <c r="W440" s="467"/>
      <c r="X440" s="467"/>
      <c r="Y440" s="467"/>
      <c r="Z440" s="467"/>
      <c r="AA440" s="467"/>
      <c r="AB440" s="467"/>
      <c r="AC440" s="467"/>
      <c r="AD440" s="467"/>
      <c r="AE440" s="467"/>
      <c r="AF440" s="467"/>
      <c r="AG440" s="467"/>
      <c r="AH440" s="467"/>
      <c r="AI440" s="467"/>
      <c r="AJ440" s="467"/>
      <c r="AK440" s="467"/>
      <c r="AL440" s="467"/>
      <c r="AM440" s="467"/>
      <c r="AN440" s="467"/>
      <c r="AO440" s="467"/>
      <c r="AP440" s="467"/>
      <c r="AQ440" s="467"/>
      <c r="AR440" s="467"/>
      <c r="AS440" s="467"/>
      <c r="AT440" s="467"/>
      <c r="AU440" s="467"/>
      <c r="AV440" s="467"/>
      <c r="AW440" s="467"/>
      <c r="AX440" s="467"/>
      <c r="AY440" s="467"/>
      <c r="AZ440" s="467"/>
      <c r="BA440" s="467"/>
      <c r="BB440" s="467"/>
      <c r="BC440" s="467"/>
      <c r="BD440" s="467"/>
      <c r="BE440" s="467"/>
      <c r="BF440" s="467"/>
      <c r="BG440" s="467"/>
      <c r="BH440" s="467"/>
      <c r="BI440" s="467"/>
      <c r="BJ440" s="467"/>
      <c r="BK440" s="467"/>
      <c r="BL440" s="467"/>
    </row>
    <row r="441" customFormat="false" ht="12.75" hidden="false" customHeight="false" outlineLevel="0" collapsed="false">
      <c r="A441" s="464"/>
      <c r="B441" s="467"/>
      <c r="C441" s="467"/>
      <c r="D441" s="467"/>
      <c r="E441" s="467"/>
      <c r="F441" s="467"/>
      <c r="G441" s="467"/>
      <c r="H441" s="467"/>
      <c r="I441" s="467"/>
      <c r="J441" s="467"/>
      <c r="K441" s="467"/>
      <c r="L441" s="467"/>
      <c r="M441" s="467"/>
      <c r="N441" s="467"/>
      <c r="O441" s="467"/>
      <c r="P441" s="467"/>
      <c r="Q441" s="467"/>
      <c r="R441" s="467"/>
      <c r="S441" s="467"/>
      <c r="T441" s="467"/>
      <c r="U441" s="467"/>
      <c r="V441" s="467"/>
      <c r="W441" s="467"/>
      <c r="X441" s="467"/>
      <c r="Y441" s="467"/>
      <c r="Z441" s="467"/>
      <c r="AA441" s="467"/>
      <c r="AB441" s="467"/>
      <c r="AC441" s="467"/>
      <c r="AD441" s="467"/>
      <c r="AE441" s="467"/>
      <c r="AF441" s="467"/>
      <c r="AG441" s="467"/>
      <c r="AH441" s="467"/>
      <c r="AI441" s="467"/>
      <c r="AJ441" s="467"/>
      <c r="AK441" s="467"/>
      <c r="AL441" s="467"/>
      <c r="AM441" s="467"/>
      <c r="AN441" s="467"/>
      <c r="AO441" s="467"/>
      <c r="AP441" s="467"/>
      <c r="AQ441" s="467"/>
      <c r="AR441" s="467"/>
      <c r="AS441" s="467"/>
      <c r="AT441" s="467"/>
      <c r="AU441" s="467"/>
      <c r="AV441" s="467"/>
      <c r="AW441" s="467"/>
      <c r="AX441" s="467"/>
      <c r="AY441" s="467"/>
      <c r="AZ441" s="467"/>
      <c r="BA441" s="467"/>
      <c r="BB441" s="467"/>
      <c r="BC441" s="467"/>
      <c r="BD441" s="467"/>
      <c r="BE441" s="467"/>
      <c r="BF441" s="467"/>
      <c r="BG441" s="467"/>
      <c r="BH441" s="467"/>
      <c r="BI441" s="467"/>
      <c r="BJ441" s="467"/>
      <c r="BK441" s="467"/>
      <c r="BL441" s="467"/>
    </row>
    <row r="442" customFormat="false" ht="12.75" hidden="false" customHeight="false" outlineLevel="0" collapsed="false">
      <c r="A442" s="464"/>
      <c r="B442" s="467"/>
      <c r="C442" s="467"/>
      <c r="D442" s="467"/>
      <c r="E442" s="467"/>
      <c r="F442" s="467"/>
      <c r="G442" s="467"/>
      <c r="H442" s="467"/>
      <c r="I442" s="467"/>
      <c r="J442" s="467"/>
      <c r="K442" s="467"/>
      <c r="L442" s="467"/>
      <c r="M442" s="467"/>
      <c r="N442" s="467"/>
      <c r="O442" s="467"/>
      <c r="P442" s="467"/>
      <c r="Q442" s="467"/>
      <c r="R442" s="467"/>
      <c r="S442" s="467"/>
      <c r="T442" s="467"/>
      <c r="U442" s="467"/>
      <c r="V442" s="467"/>
      <c r="W442" s="467"/>
      <c r="X442" s="467"/>
      <c r="Y442" s="467"/>
      <c r="Z442" s="467"/>
      <c r="AA442" s="467"/>
      <c r="AB442" s="467"/>
      <c r="AC442" s="467"/>
      <c r="AD442" s="467"/>
      <c r="AE442" s="467"/>
      <c r="AF442" s="467"/>
      <c r="AG442" s="467"/>
      <c r="AH442" s="467"/>
      <c r="AI442" s="467"/>
      <c r="AJ442" s="467"/>
      <c r="AK442" s="467"/>
      <c r="AL442" s="467"/>
      <c r="AM442" s="467"/>
      <c r="AN442" s="467"/>
      <c r="AO442" s="467"/>
      <c r="AP442" s="467"/>
      <c r="AQ442" s="467"/>
      <c r="AR442" s="467"/>
      <c r="AS442" s="467"/>
      <c r="AT442" s="467"/>
      <c r="AU442" s="467"/>
      <c r="AV442" s="467"/>
      <c r="AW442" s="467"/>
      <c r="AX442" s="467"/>
      <c r="AY442" s="467"/>
      <c r="AZ442" s="467"/>
      <c r="BA442" s="467"/>
      <c r="BB442" s="467"/>
      <c r="BC442" s="467"/>
      <c r="BD442" s="467"/>
      <c r="BE442" s="467"/>
      <c r="BF442" s="467"/>
      <c r="BG442" s="467"/>
      <c r="BH442" s="467"/>
      <c r="BI442" s="467"/>
      <c r="BJ442" s="467"/>
      <c r="BK442" s="467"/>
      <c r="BL442" s="467"/>
    </row>
    <row r="443" customFormat="false" ht="12.75" hidden="false" customHeight="false" outlineLevel="0" collapsed="false">
      <c r="A443" s="464"/>
      <c r="B443" s="467"/>
      <c r="C443" s="467"/>
      <c r="D443" s="467"/>
      <c r="E443" s="467"/>
      <c r="F443" s="467"/>
      <c r="G443" s="467"/>
      <c r="H443" s="467"/>
      <c r="I443" s="467"/>
      <c r="J443" s="467"/>
      <c r="K443" s="467"/>
      <c r="L443" s="467"/>
      <c r="M443" s="467"/>
      <c r="N443" s="467"/>
      <c r="O443" s="467"/>
      <c r="P443" s="467"/>
      <c r="Q443" s="467"/>
      <c r="R443" s="467"/>
      <c r="S443" s="467"/>
      <c r="T443" s="467"/>
      <c r="U443" s="467"/>
      <c r="V443" s="467"/>
      <c r="W443" s="467"/>
      <c r="X443" s="467"/>
      <c r="Y443" s="467"/>
      <c r="Z443" s="467"/>
      <c r="AA443" s="467"/>
      <c r="AB443" s="467"/>
      <c r="AC443" s="467"/>
      <c r="AD443" s="467"/>
      <c r="AE443" s="467"/>
      <c r="AF443" s="467"/>
      <c r="AG443" s="467"/>
      <c r="AH443" s="467"/>
      <c r="AI443" s="467"/>
      <c r="AJ443" s="467"/>
      <c r="AK443" s="467"/>
      <c r="AL443" s="467"/>
      <c r="AM443" s="467"/>
      <c r="AN443" s="467"/>
      <c r="AO443" s="467"/>
      <c r="AP443" s="467"/>
      <c r="AQ443" s="467"/>
      <c r="AR443" s="467"/>
      <c r="AS443" s="467"/>
      <c r="AT443" s="467"/>
      <c r="AU443" s="467"/>
      <c r="AV443" s="467"/>
      <c r="AW443" s="467"/>
      <c r="AX443" s="467"/>
      <c r="AY443" s="467"/>
      <c r="AZ443" s="467"/>
      <c r="BA443" s="467"/>
      <c r="BB443" s="467"/>
      <c r="BC443" s="467"/>
      <c r="BD443" s="467"/>
      <c r="BE443" s="467"/>
      <c r="BF443" s="467"/>
      <c r="BG443" s="467"/>
      <c r="BH443" s="467"/>
      <c r="BI443" s="467"/>
      <c r="BJ443" s="467"/>
      <c r="BK443" s="467"/>
      <c r="BL443" s="467"/>
    </row>
    <row r="444" customFormat="false" ht="12.75" hidden="false" customHeight="false" outlineLevel="0" collapsed="false">
      <c r="A444" s="464"/>
      <c r="B444" s="467"/>
      <c r="C444" s="467"/>
      <c r="D444" s="467"/>
      <c r="E444" s="467"/>
      <c r="F444" s="467"/>
      <c r="G444" s="467"/>
      <c r="H444" s="467"/>
      <c r="I444" s="467"/>
      <c r="J444" s="467"/>
      <c r="K444" s="467"/>
      <c r="L444" s="467"/>
      <c r="M444" s="467"/>
      <c r="N444" s="467"/>
      <c r="O444" s="467"/>
      <c r="P444" s="467"/>
      <c r="Q444" s="467"/>
      <c r="R444" s="467"/>
      <c r="S444" s="467"/>
      <c r="T444" s="467"/>
      <c r="U444" s="467"/>
      <c r="V444" s="467"/>
      <c r="W444" s="467"/>
      <c r="X444" s="467"/>
      <c r="Y444" s="467"/>
      <c r="Z444" s="467"/>
      <c r="AA444" s="467"/>
      <c r="AB444" s="467"/>
      <c r="AC444" s="467"/>
      <c r="AD444" s="467"/>
      <c r="AE444" s="467"/>
      <c r="AF444" s="467"/>
      <c r="AG444" s="467"/>
      <c r="AH444" s="467"/>
      <c r="AI444" s="467"/>
      <c r="AJ444" s="467"/>
      <c r="AK444" s="467"/>
      <c r="AL444" s="467"/>
      <c r="AM444" s="467"/>
      <c r="AN444" s="467"/>
      <c r="AO444" s="467"/>
      <c r="AP444" s="467"/>
      <c r="AQ444" s="467"/>
      <c r="AR444" s="467"/>
      <c r="AS444" s="467"/>
      <c r="AT444" s="467"/>
      <c r="AU444" s="467"/>
      <c r="AV444" s="467"/>
      <c r="AW444" s="467"/>
      <c r="AX444" s="467"/>
      <c r="AY444" s="467"/>
      <c r="AZ444" s="467"/>
      <c r="BA444" s="467"/>
      <c r="BB444" s="467"/>
      <c r="BC444" s="467"/>
      <c r="BD444" s="467"/>
      <c r="BE444" s="467"/>
      <c r="BF444" s="467"/>
      <c r="BG444" s="467"/>
      <c r="BH444" s="467"/>
      <c r="BI444" s="467"/>
      <c r="BJ444" s="467"/>
      <c r="BK444" s="467"/>
      <c r="BL444" s="467"/>
    </row>
    <row r="445" customFormat="false" ht="12.75" hidden="false" customHeight="false" outlineLevel="0" collapsed="false">
      <c r="A445" s="464"/>
      <c r="B445" s="467"/>
      <c r="C445" s="467"/>
      <c r="D445" s="467"/>
      <c r="E445" s="467"/>
      <c r="F445" s="467"/>
      <c r="G445" s="467"/>
      <c r="H445" s="467"/>
      <c r="I445" s="467"/>
      <c r="J445" s="467"/>
      <c r="K445" s="467"/>
      <c r="L445" s="467"/>
      <c r="M445" s="467"/>
      <c r="N445" s="467"/>
      <c r="O445" s="467"/>
      <c r="P445" s="467"/>
      <c r="Q445" s="467"/>
      <c r="R445" s="467"/>
      <c r="S445" s="467"/>
      <c r="T445" s="467"/>
      <c r="U445" s="467"/>
      <c r="V445" s="467"/>
      <c r="W445" s="467"/>
      <c r="X445" s="467"/>
      <c r="Y445" s="467"/>
      <c r="Z445" s="467"/>
      <c r="AA445" s="467"/>
      <c r="AB445" s="467"/>
      <c r="AC445" s="467"/>
      <c r="AD445" s="467"/>
      <c r="AE445" s="467"/>
      <c r="AF445" s="467"/>
      <c r="AG445" s="467"/>
      <c r="AH445" s="467"/>
      <c r="AI445" s="467"/>
      <c r="AJ445" s="467"/>
      <c r="AK445" s="467"/>
      <c r="AL445" s="467"/>
      <c r="AM445" s="467"/>
      <c r="AN445" s="467"/>
      <c r="AO445" s="467"/>
      <c r="AP445" s="467"/>
      <c r="AQ445" s="467"/>
      <c r="AR445" s="467"/>
      <c r="AS445" s="467"/>
      <c r="AT445" s="467"/>
      <c r="AU445" s="467"/>
      <c r="AV445" s="467"/>
      <c r="AW445" s="467"/>
      <c r="AX445" s="467"/>
      <c r="AY445" s="467"/>
      <c r="AZ445" s="467"/>
      <c r="BA445" s="467"/>
      <c r="BB445" s="467"/>
      <c r="BC445" s="467"/>
      <c r="BD445" s="467"/>
      <c r="BE445" s="467"/>
      <c r="BF445" s="467"/>
      <c r="BG445" s="467"/>
      <c r="BH445" s="467"/>
      <c r="BI445" s="467"/>
      <c r="BJ445" s="467"/>
      <c r="BK445" s="467"/>
      <c r="BL445" s="467"/>
    </row>
    <row r="446" customFormat="false" ht="12.75" hidden="false" customHeight="false" outlineLevel="0" collapsed="false">
      <c r="A446" s="464"/>
      <c r="B446" s="467"/>
      <c r="C446" s="467"/>
      <c r="D446" s="467"/>
      <c r="E446" s="467"/>
      <c r="F446" s="467"/>
      <c r="G446" s="467"/>
      <c r="H446" s="467"/>
      <c r="I446" s="467"/>
      <c r="J446" s="467"/>
      <c r="K446" s="467"/>
      <c r="L446" s="467"/>
      <c r="M446" s="467"/>
      <c r="N446" s="467"/>
      <c r="O446" s="467"/>
      <c r="P446" s="467"/>
      <c r="Q446" s="467"/>
      <c r="R446" s="467"/>
      <c r="S446" s="467"/>
      <c r="T446" s="467"/>
      <c r="U446" s="467"/>
      <c r="V446" s="467"/>
      <c r="W446" s="467"/>
      <c r="X446" s="467"/>
      <c r="Y446" s="467"/>
      <c r="Z446" s="467"/>
      <c r="AA446" s="467"/>
      <c r="AB446" s="467"/>
      <c r="AC446" s="467"/>
      <c r="AD446" s="467"/>
      <c r="AE446" s="467"/>
      <c r="AF446" s="467"/>
      <c r="AG446" s="467"/>
      <c r="AH446" s="467"/>
      <c r="AI446" s="467"/>
      <c r="AJ446" s="467"/>
      <c r="AK446" s="467"/>
      <c r="AL446" s="467"/>
      <c r="AM446" s="467"/>
      <c r="AN446" s="467"/>
      <c r="AO446" s="467"/>
      <c r="AP446" s="467"/>
      <c r="AQ446" s="467"/>
      <c r="AR446" s="467"/>
      <c r="AS446" s="467"/>
      <c r="AT446" s="467"/>
      <c r="AU446" s="467"/>
      <c r="AV446" s="467"/>
      <c r="AW446" s="467"/>
      <c r="AX446" s="467"/>
      <c r="AY446" s="467"/>
      <c r="AZ446" s="467"/>
      <c r="BA446" s="467"/>
      <c r="BB446" s="467"/>
      <c r="BC446" s="467"/>
      <c r="BD446" s="467"/>
      <c r="BE446" s="467"/>
      <c r="BF446" s="467"/>
      <c r="BG446" s="467"/>
      <c r="BH446" s="467"/>
      <c r="BI446" s="467"/>
      <c r="BJ446" s="467"/>
      <c r="BK446" s="467"/>
      <c r="BL446" s="467"/>
    </row>
    <row r="447" customFormat="false" ht="12.75" hidden="false" customHeight="false" outlineLevel="0" collapsed="false">
      <c r="A447" s="464"/>
      <c r="B447" s="467"/>
      <c r="C447" s="467"/>
      <c r="D447" s="467"/>
      <c r="E447" s="467"/>
      <c r="F447" s="467"/>
      <c r="G447" s="467"/>
      <c r="H447" s="467"/>
      <c r="I447" s="467"/>
      <c r="J447" s="467"/>
      <c r="K447" s="467"/>
      <c r="L447" s="467"/>
      <c r="M447" s="467"/>
      <c r="N447" s="467"/>
      <c r="O447" s="467"/>
      <c r="P447" s="467"/>
      <c r="Q447" s="467"/>
      <c r="R447" s="467"/>
      <c r="S447" s="467"/>
      <c r="T447" s="467"/>
      <c r="U447" s="467"/>
      <c r="V447" s="467"/>
      <c r="W447" s="467"/>
      <c r="X447" s="467"/>
      <c r="Y447" s="467"/>
      <c r="Z447" s="467"/>
      <c r="AA447" s="467"/>
      <c r="AB447" s="467"/>
      <c r="AC447" s="467"/>
      <c r="AD447" s="467"/>
      <c r="AE447" s="467"/>
      <c r="AF447" s="467"/>
      <c r="AG447" s="467"/>
      <c r="AH447" s="467"/>
      <c r="AI447" s="467"/>
      <c r="AJ447" s="467"/>
      <c r="AK447" s="467"/>
      <c r="AL447" s="467"/>
      <c r="AM447" s="467"/>
      <c r="AN447" s="467"/>
      <c r="AO447" s="467"/>
      <c r="AP447" s="467"/>
      <c r="AQ447" s="467"/>
      <c r="AR447" s="467"/>
      <c r="AS447" s="467"/>
      <c r="AT447" s="467"/>
      <c r="AU447" s="467"/>
      <c r="AV447" s="467"/>
      <c r="AW447" s="467"/>
      <c r="AX447" s="467"/>
      <c r="AY447" s="467"/>
      <c r="AZ447" s="467"/>
      <c r="BA447" s="467"/>
      <c r="BB447" s="467"/>
      <c r="BC447" s="467"/>
      <c r="BD447" s="467"/>
      <c r="BE447" s="467"/>
      <c r="BF447" s="467"/>
      <c r="BG447" s="467"/>
      <c r="BH447" s="467"/>
      <c r="BI447" s="467"/>
      <c r="BJ447" s="467"/>
      <c r="BK447" s="467"/>
      <c r="BL447" s="467"/>
    </row>
    <row r="448" customFormat="false" ht="12.75" hidden="false" customHeight="false" outlineLevel="0" collapsed="false">
      <c r="A448" s="464"/>
      <c r="B448" s="467"/>
      <c r="C448" s="467"/>
      <c r="D448" s="467"/>
      <c r="E448" s="467"/>
      <c r="F448" s="467"/>
      <c r="G448" s="467"/>
      <c r="H448" s="467"/>
      <c r="I448" s="467"/>
      <c r="J448" s="467"/>
      <c r="K448" s="467"/>
      <c r="L448" s="467"/>
      <c r="M448" s="467"/>
      <c r="N448" s="467"/>
      <c r="O448" s="467"/>
      <c r="P448" s="467"/>
      <c r="Q448" s="467"/>
      <c r="R448" s="467"/>
      <c r="S448" s="467"/>
      <c r="T448" s="467"/>
      <c r="U448" s="467"/>
      <c r="V448" s="467"/>
      <c r="W448" s="467"/>
      <c r="X448" s="467"/>
      <c r="Y448" s="467"/>
      <c r="Z448" s="467"/>
      <c r="AA448" s="467"/>
      <c r="AB448" s="467"/>
      <c r="AC448" s="467"/>
      <c r="AD448" s="467"/>
      <c r="AE448" s="467"/>
      <c r="AF448" s="467"/>
      <c r="AG448" s="467"/>
      <c r="AH448" s="467"/>
      <c r="AI448" s="467"/>
      <c r="AJ448" s="467"/>
      <c r="AK448" s="467"/>
      <c r="AL448" s="467"/>
      <c r="AM448" s="467"/>
      <c r="AN448" s="467"/>
      <c r="AO448" s="467"/>
      <c r="AP448" s="467"/>
      <c r="AQ448" s="467"/>
      <c r="AR448" s="467"/>
      <c r="AS448" s="467"/>
      <c r="AT448" s="467"/>
      <c r="AU448" s="467"/>
      <c r="AV448" s="467"/>
      <c r="AW448" s="467"/>
      <c r="AX448" s="467"/>
      <c r="AY448" s="467"/>
      <c r="AZ448" s="467"/>
      <c r="BA448" s="467"/>
      <c r="BB448" s="467"/>
      <c r="BC448" s="467"/>
      <c r="BD448" s="467"/>
      <c r="BE448" s="467"/>
      <c r="BF448" s="467"/>
      <c r="BG448" s="467"/>
      <c r="BH448" s="467"/>
      <c r="BI448" s="467"/>
      <c r="BJ448" s="467"/>
      <c r="BK448" s="467"/>
      <c r="BL448" s="467"/>
    </row>
    <row r="449" customFormat="false" ht="12.75" hidden="false" customHeight="false" outlineLevel="0" collapsed="false">
      <c r="A449" s="464"/>
      <c r="B449" s="467"/>
      <c r="C449" s="467"/>
      <c r="D449" s="467"/>
      <c r="E449" s="467"/>
      <c r="F449" s="467"/>
      <c r="G449" s="467"/>
      <c r="H449" s="467"/>
      <c r="I449" s="467"/>
      <c r="J449" s="467"/>
      <c r="K449" s="467"/>
      <c r="L449" s="467"/>
      <c r="M449" s="467"/>
      <c r="N449" s="467"/>
      <c r="O449" s="467"/>
      <c r="P449" s="467"/>
      <c r="Q449" s="467"/>
      <c r="R449" s="467"/>
      <c r="S449" s="467"/>
      <c r="T449" s="467"/>
      <c r="U449" s="467"/>
      <c r="V449" s="467"/>
      <c r="W449" s="467"/>
      <c r="X449" s="467"/>
      <c r="Y449" s="467"/>
      <c r="Z449" s="467"/>
      <c r="AA449" s="467"/>
      <c r="AB449" s="467"/>
      <c r="AC449" s="467"/>
      <c r="AD449" s="467"/>
      <c r="AE449" s="467"/>
      <c r="AF449" s="467"/>
      <c r="AG449" s="467"/>
      <c r="AH449" s="467"/>
      <c r="AI449" s="467"/>
      <c r="AJ449" s="467"/>
      <c r="AK449" s="467"/>
      <c r="AL449" s="467"/>
      <c r="AM449" s="467"/>
      <c r="AN449" s="467"/>
      <c r="AO449" s="467"/>
      <c r="AP449" s="467"/>
      <c r="AQ449" s="467"/>
      <c r="AR449" s="467"/>
      <c r="AS449" s="467"/>
      <c r="AT449" s="467"/>
      <c r="AU449" s="467"/>
      <c r="AV449" s="467"/>
      <c r="AW449" s="467"/>
      <c r="AX449" s="467"/>
      <c r="AY449" s="467"/>
      <c r="AZ449" s="467"/>
      <c r="BA449" s="467"/>
      <c r="BB449" s="467"/>
      <c r="BC449" s="467"/>
      <c r="BD449" s="467"/>
      <c r="BE449" s="467"/>
      <c r="BF449" s="467"/>
      <c r="BG449" s="467"/>
      <c r="BH449" s="467"/>
      <c r="BI449" s="467"/>
      <c r="BJ449" s="467"/>
      <c r="BK449" s="467"/>
      <c r="BL449" s="467"/>
    </row>
    <row r="450" customFormat="false" ht="12.75" hidden="false" customHeight="false" outlineLevel="0" collapsed="false">
      <c r="A450" s="464"/>
      <c r="B450" s="467"/>
      <c r="C450" s="467"/>
      <c r="D450" s="467"/>
      <c r="E450" s="467"/>
      <c r="F450" s="467"/>
      <c r="G450" s="467"/>
      <c r="H450" s="467"/>
      <c r="I450" s="467"/>
      <c r="J450" s="467"/>
      <c r="K450" s="467"/>
      <c r="L450" s="467"/>
      <c r="M450" s="467"/>
      <c r="N450" s="467"/>
      <c r="O450" s="467"/>
      <c r="P450" s="467"/>
      <c r="Q450" s="467"/>
      <c r="R450" s="467"/>
      <c r="S450" s="467"/>
      <c r="T450" s="467"/>
      <c r="U450" s="467"/>
      <c r="V450" s="467"/>
      <c r="W450" s="467"/>
      <c r="X450" s="467"/>
      <c r="Y450" s="467"/>
      <c r="Z450" s="467"/>
      <c r="AA450" s="467"/>
      <c r="AB450" s="467"/>
      <c r="AC450" s="467"/>
      <c r="AD450" s="467"/>
      <c r="AE450" s="467"/>
      <c r="AF450" s="467"/>
      <c r="AG450" s="467"/>
      <c r="AH450" s="467"/>
      <c r="AI450" s="467"/>
      <c r="AJ450" s="467"/>
      <c r="AK450" s="467"/>
      <c r="AL450" s="467"/>
      <c r="AM450" s="467"/>
      <c r="AN450" s="467"/>
      <c r="AO450" s="467"/>
      <c r="AP450" s="467"/>
      <c r="AQ450" s="467"/>
      <c r="AR450" s="467"/>
      <c r="AS450" s="467"/>
      <c r="AT450" s="467"/>
      <c r="AU450" s="467"/>
      <c r="AV450" s="467"/>
      <c r="AW450" s="467"/>
      <c r="AX450" s="467"/>
      <c r="AY450" s="467"/>
      <c r="AZ450" s="467"/>
      <c r="BA450" s="467"/>
      <c r="BB450" s="467"/>
      <c r="BC450" s="467"/>
      <c r="BD450" s="467"/>
      <c r="BE450" s="467"/>
      <c r="BF450" s="467"/>
      <c r="BG450" s="467"/>
      <c r="BH450" s="467"/>
      <c r="BI450" s="467"/>
      <c r="BJ450" s="467"/>
      <c r="BK450" s="467"/>
      <c r="BL450" s="467"/>
    </row>
    <row r="451" customFormat="false" ht="12.75" hidden="false" customHeight="false" outlineLevel="0" collapsed="false">
      <c r="A451" s="464"/>
      <c r="B451" s="467"/>
      <c r="C451" s="467"/>
      <c r="D451" s="467"/>
      <c r="E451" s="467"/>
      <c r="F451" s="467"/>
      <c r="G451" s="467"/>
      <c r="H451" s="467"/>
      <c r="I451" s="467"/>
      <c r="J451" s="467"/>
      <c r="K451" s="467"/>
      <c r="L451" s="467"/>
      <c r="M451" s="467"/>
      <c r="N451" s="467"/>
      <c r="O451" s="467"/>
      <c r="P451" s="467"/>
      <c r="Q451" s="467"/>
      <c r="R451" s="467"/>
      <c r="S451" s="467"/>
      <c r="T451" s="467"/>
      <c r="U451" s="467"/>
      <c r="V451" s="467"/>
      <c r="W451" s="467"/>
      <c r="X451" s="467"/>
      <c r="Y451" s="467"/>
      <c r="Z451" s="467"/>
      <c r="AA451" s="467"/>
      <c r="AB451" s="467"/>
      <c r="AC451" s="467"/>
      <c r="AD451" s="467"/>
      <c r="AE451" s="467"/>
      <c r="AF451" s="467"/>
      <c r="AG451" s="467"/>
      <c r="AH451" s="467"/>
      <c r="AI451" s="467"/>
      <c r="AJ451" s="467"/>
      <c r="AK451" s="467"/>
      <c r="AL451" s="467"/>
      <c r="AM451" s="467"/>
      <c r="AN451" s="467"/>
      <c r="AO451" s="467"/>
      <c r="AP451" s="467"/>
      <c r="AQ451" s="467"/>
      <c r="AR451" s="467"/>
      <c r="AS451" s="467"/>
      <c r="AT451" s="467"/>
      <c r="AU451" s="467"/>
      <c r="AV451" s="467"/>
      <c r="AW451" s="467"/>
      <c r="AX451" s="467"/>
      <c r="AY451" s="467"/>
      <c r="AZ451" s="467"/>
      <c r="BA451" s="467"/>
      <c r="BB451" s="467"/>
      <c r="BC451" s="467"/>
      <c r="BD451" s="467"/>
      <c r="BE451" s="467"/>
      <c r="BF451" s="467"/>
      <c r="BG451" s="467"/>
      <c r="BH451" s="467"/>
      <c r="BI451" s="467"/>
      <c r="BJ451" s="467"/>
      <c r="BK451" s="467"/>
      <c r="BL451" s="467"/>
    </row>
    <row r="452" customFormat="false" ht="12.75" hidden="false" customHeight="false" outlineLevel="0" collapsed="false">
      <c r="A452" s="464"/>
      <c r="B452" s="467"/>
      <c r="C452" s="467"/>
      <c r="D452" s="467"/>
      <c r="E452" s="467"/>
      <c r="F452" s="467"/>
      <c r="G452" s="467"/>
      <c r="H452" s="467"/>
      <c r="I452" s="467"/>
      <c r="J452" s="467"/>
      <c r="K452" s="467"/>
      <c r="L452" s="467"/>
      <c r="M452" s="467"/>
      <c r="N452" s="467"/>
      <c r="O452" s="467"/>
      <c r="P452" s="467"/>
      <c r="Q452" s="467"/>
      <c r="R452" s="467"/>
      <c r="S452" s="467"/>
      <c r="T452" s="467"/>
      <c r="U452" s="467"/>
      <c r="V452" s="467"/>
      <c r="W452" s="467"/>
      <c r="X452" s="467"/>
      <c r="Y452" s="467"/>
      <c r="Z452" s="467"/>
      <c r="AA452" s="467"/>
      <c r="AB452" s="467"/>
      <c r="AC452" s="467"/>
      <c r="AD452" s="467"/>
      <c r="AE452" s="467"/>
      <c r="AF452" s="467"/>
      <c r="AG452" s="467"/>
      <c r="AH452" s="467"/>
      <c r="AI452" s="467"/>
      <c r="AJ452" s="467"/>
      <c r="AK452" s="467"/>
      <c r="AL452" s="467"/>
      <c r="AM452" s="467"/>
      <c r="AN452" s="467"/>
      <c r="AO452" s="467"/>
      <c r="AP452" s="467"/>
      <c r="AQ452" s="467"/>
      <c r="AR452" s="467"/>
      <c r="AS452" s="467"/>
      <c r="AT452" s="467"/>
      <c r="AU452" s="467"/>
      <c r="AV452" s="467"/>
      <c r="AW452" s="467"/>
      <c r="AX452" s="467"/>
      <c r="AY452" s="467"/>
      <c r="AZ452" s="467"/>
      <c r="BA452" s="467"/>
      <c r="BB452" s="467"/>
      <c r="BC452" s="467"/>
      <c r="BD452" s="467"/>
      <c r="BE452" s="467"/>
      <c r="BF452" s="467"/>
      <c r="BG452" s="467"/>
      <c r="BH452" s="467"/>
      <c r="BI452" s="467"/>
      <c r="BJ452" s="467"/>
      <c r="BK452" s="467"/>
      <c r="BL452" s="467"/>
    </row>
    <row r="453" customFormat="false" ht="12.75" hidden="false" customHeight="false" outlineLevel="0" collapsed="false">
      <c r="A453" s="464"/>
      <c r="B453" s="467"/>
      <c r="C453" s="467"/>
      <c r="D453" s="467"/>
      <c r="E453" s="467"/>
      <c r="F453" s="467"/>
      <c r="G453" s="467"/>
      <c r="H453" s="467"/>
      <c r="I453" s="467"/>
      <c r="J453" s="467"/>
      <c r="K453" s="467"/>
      <c r="L453" s="467"/>
      <c r="M453" s="467"/>
      <c r="N453" s="467"/>
      <c r="O453" s="467"/>
      <c r="P453" s="467"/>
      <c r="Q453" s="467"/>
      <c r="R453" s="467"/>
      <c r="S453" s="467"/>
      <c r="T453" s="467"/>
      <c r="U453" s="467"/>
      <c r="V453" s="467"/>
      <c r="W453" s="467"/>
      <c r="X453" s="467"/>
      <c r="Y453" s="467"/>
      <c r="Z453" s="467"/>
      <c r="AA453" s="467"/>
      <c r="AB453" s="467"/>
      <c r="AC453" s="467"/>
      <c r="AD453" s="467"/>
      <c r="AE453" s="467"/>
      <c r="AF453" s="467"/>
      <c r="AG453" s="467"/>
      <c r="AH453" s="467"/>
      <c r="AI453" s="467"/>
      <c r="AJ453" s="467"/>
      <c r="AK453" s="467"/>
      <c r="AL453" s="467"/>
      <c r="AM453" s="467"/>
      <c r="AN453" s="467"/>
      <c r="AO453" s="467"/>
      <c r="AP453" s="467"/>
      <c r="AQ453" s="467"/>
      <c r="AR453" s="467"/>
      <c r="AS453" s="467"/>
      <c r="AT453" s="467"/>
      <c r="AU453" s="467"/>
      <c r="AV453" s="467"/>
      <c r="AW453" s="467"/>
      <c r="AX453" s="467"/>
      <c r="AY453" s="467"/>
      <c r="AZ453" s="467"/>
      <c r="BA453" s="467"/>
      <c r="BB453" s="467"/>
      <c r="BC453" s="467"/>
      <c r="BD453" s="467"/>
      <c r="BE453" s="467"/>
      <c r="BF453" s="467"/>
      <c r="BG453" s="467"/>
      <c r="BH453" s="467"/>
      <c r="BI453" s="467"/>
      <c r="BJ453" s="467"/>
      <c r="BK453" s="467"/>
      <c r="BL453" s="467"/>
    </row>
    <row r="454" customFormat="false" ht="12.75" hidden="false" customHeight="false" outlineLevel="0" collapsed="false">
      <c r="A454" s="464"/>
      <c r="B454" s="467"/>
      <c r="C454" s="467"/>
      <c r="D454" s="467"/>
      <c r="E454" s="467"/>
      <c r="F454" s="467"/>
      <c r="G454" s="467"/>
      <c r="H454" s="467"/>
      <c r="I454" s="467"/>
      <c r="J454" s="467"/>
      <c r="K454" s="467"/>
      <c r="L454" s="467"/>
      <c r="M454" s="467"/>
      <c r="N454" s="467"/>
      <c r="O454" s="467"/>
      <c r="P454" s="467"/>
      <c r="Q454" s="467"/>
      <c r="R454" s="467"/>
      <c r="S454" s="467"/>
      <c r="T454" s="467"/>
      <c r="U454" s="467"/>
      <c r="V454" s="467"/>
      <c r="W454" s="467"/>
      <c r="X454" s="467"/>
      <c r="Y454" s="467"/>
      <c r="Z454" s="467"/>
      <c r="AA454" s="467"/>
      <c r="AB454" s="467"/>
      <c r="AC454" s="467"/>
      <c r="AD454" s="467"/>
      <c r="AE454" s="467"/>
      <c r="AF454" s="467"/>
      <c r="AG454" s="467"/>
      <c r="AH454" s="467"/>
      <c r="AI454" s="467"/>
      <c r="AJ454" s="467"/>
      <c r="AK454" s="467"/>
      <c r="AL454" s="467"/>
      <c r="AM454" s="467"/>
      <c r="AN454" s="467"/>
      <c r="AO454" s="467"/>
      <c r="AP454" s="467"/>
      <c r="AQ454" s="467"/>
      <c r="AR454" s="467"/>
      <c r="AS454" s="467"/>
      <c r="AT454" s="467"/>
      <c r="AU454" s="467"/>
      <c r="AV454" s="467"/>
      <c r="AW454" s="467"/>
      <c r="AX454" s="467"/>
      <c r="AY454" s="467"/>
      <c r="AZ454" s="467"/>
      <c r="BA454" s="467"/>
      <c r="BB454" s="467"/>
      <c r="BC454" s="467"/>
      <c r="BD454" s="467"/>
      <c r="BE454" s="467"/>
      <c r="BF454" s="467"/>
      <c r="BG454" s="467"/>
      <c r="BH454" s="467"/>
      <c r="BI454" s="467"/>
      <c r="BJ454" s="467"/>
      <c r="BK454" s="467"/>
      <c r="BL454" s="467"/>
    </row>
    <row r="455" customFormat="false" ht="12.75" hidden="false" customHeight="false" outlineLevel="0" collapsed="false">
      <c r="A455" s="464"/>
      <c r="B455" s="467"/>
      <c r="C455" s="467"/>
      <c r="D455" s="467"/>
      <c r="E455" s="467"/>
      <c r="F455" s="467"/>
      <c r="G455" s="467"/>
      <c r="H455" s="467"/>
      <c r="I455" s="467"/>
      <c r="J455" s="467"/>
      <c r="K455" s="467"/>
      <c r="L455" s="467"/>
      <c r="M455" s="467"/>
      <c r="N455" s="467"/>
      <c r="O455" s="467"/>
      <c r="P455" s="467"/>
      <c r="Q455" s="467"/>
      <c r="R455" s="467"/>
      <c r="S455" s="467"/>
      <c r="T455" s="467"/>
      <c r="U455" s="467"/>
      <c r="V455" s="467"/>
      <c r="W455" s="467"/>
      <c r="X455" s="467"/>
      <c r="Y455" s="467"/>
      <c r="Z455" s="467"/>
      <c r="AA455" s="467"/>
      <c r="AB455" s="467"/>
      <c r="AC455" s="467"/>
      <c r="AD455" s="467"/>
      <c r="AE455" s="467"/>
      <c r="AF455" s="467"/>
      <c r="AG455" s="467"/>
      <c r="AH455" s="467"/>
      <c r="AI455" s="467"/>
      <c r="AJ455" s="467"/>
      <c r="AK455" s="467"/>
      <c r="AL455" s="467"/>
      <c r="AM455" s="467"/>
      <c r="AN455" s="467"/>
      <c r="AO455" s="467"/>
      <c r="AP455" s="467"/>
      <c r="AQ455" s="467"/>
      <c r="AR455" s="467"/>
      <c r="AS455" s="467"/>
      <c r="AT455" s="467"/>
      <c r="AU455" s="467"/>
      <c r="AV455" s="467"/>
      <c r="AW455" s="467"/>
      <c r="AX455" s="467"/>
      <c r="AY455" s="467"/>
      <c r="AZ455" s="467"/>
      <c r="BA455" s="467"/>
      <c r="BB455" s="467"/>
      <c r="BC455" s="467"/>
      <c r="BD455" s="467"/>
      <c r="BE455" s="467"/>
      <c r="BF455" s="467"/>
      <c r="BG455" s="467"/>
      <c r="BH455" s="467"/>
      <c r="BI455" s="467"/>
      <c r="BJ455" s="467"/>
      <c r="BK455" s="467"/>
      <c r="BL455" s="467"/>
    </row>
    <row r="456" customFormat="false" ht="12.75" hidden="false" customHeight="false" outlineLevel="0" collapsed="false">
      <c r="A456" s="464"/>
      <c r="B456" s="467"/>
      <c r="C456" s="467"/>
      <c r="D456" s="467"/>
      <c r="E456" s="467"/>
      <c r="F456" s="467"/>
      <c r="G456" s="467"/>
      <c r="H456" s="467"/>
      <c r="I456" s="467"/>
      <c r="J456" s="467"/>
      <c r="K456" s="467"/>
      <c r="L456" s="467"/>
      <c r="M456" s="467"/>
      <c r="N456" s="467"/>
      <c r="O456" s="467"/>
      <c r="P456" s="467"/>
      <c r="Q456" s="467"/>
      <c r="R456" s="467"/>
      <c r="S456" s="467"/>
      <c r="T456" s="467"/>
      <c r="U456" s="467"/>
      <c r="V456" s="467"/>
      <c r="W456" s="467"/>
      <c r="X456" s="467"/>
      <c r="Y456" s="467"/>
      <c r="Z456" s="467"/>
      <c r="AA456" s="467"/>
      <c r="AB456" s="467"/>
      <c r="AC456" s="467"/>
      <c r="AD456" s="467"/>
      <c r="AE456" s="467"/>
      <c r="AF456" s="467"/>
      <c r="AG456" s="467"/>
      <c r="AH456" s="467"/>
      <c r="AI456" s="467"/>
      <c r="AJ456" s="467"/>
      <c r="AK456" s="467"/>
      <c r="AL456" s="467"/>
      <c r="AM456" s="467"/>
      <c r="AN456" s="467"/>
      <c r="AO456" s="467"/>
      <c r="AP456" s="467"/>
      <c r="AQ456" s="467"/>
      <c r="AR456" s="467"/>
      <c r="AS456" s="467"/>
      <c r="AT456" s="467"/>
      <c r="AU456" s="467"/>
      <c r="AV456" s="467"/>
      <c r="AW456" s="467"/>
      <c r="AX456" s="467"/>
      <c r="AY456" s="467"/>
      <c r="AZ456" s="467"/>
      <c r="BA456" s="467"/>
      <c r="BB456" s="467"/>
      <c r="BC456" s="467"/>
      <c r="BD456" s="467"/>
      <c r="BE456" s="467"/>
      <c r="BF456" s="467"/>
      <c r="BG456" s="467"/>
      <c r="BH456" s="467"/>
      <c r="BI456" s="467"/>
      <c r="BJ456" s="467"/>
      <c r="BK456" s="467"/>
      <c r="BL456" s="467"/>
    </row>
    <row r="457" customFormat="false" ht="12.75" hidden="false" customHeight="false" outlineLevel="0" collapsed="false">
      <c r="A457" s="464"/>
      <c r="B457" s="467"/>
      <c r="C457" s="467"/>
      <c r="D457" s="467"/>
      <c r="E457" s="467"/>
      <c r="F457" s="467"/>
      <c r="G457" s="467"/>
      <c r="H457" s="467"/>
      <c r="I457" s="467"/>
      <c r="J457" s="467"/>
      <c r="K457" s="467"/>
      <c r="L457" s="467"/>
      <c r="M457" s="467"/>
      <c r="N457" s="467"/>
      <c r="O457" s="467"/>
      <c r="P457" s="467"/>
      <c r="Q457" s="467"/>
      <c r="R457" s="467"/>
      <c r="S457" s="467"/>
      <c r="T457" s="467"/>
      <c r="U457" s="467"/>
      <c r="V457" s="467"/>
      <c r="W457" s="467"/>
      <c r="X457" s="467"/>
      <c r="Y457" s="467"/>
      <c r="Z457" s="467"/>
      <c r="AA457" s="467"/>
      <c r="AB457" s="467"/>
      <c r="AC457" s="467"/>
      <c r="AD457" s="467"/>
      <c r="AE457" s="467"/>
      <c r="AF457" s="467"/>
      <c r="AG457" s="467"/>
      <c r="AH457" s="467"/>
      <c r="AI457" s="467"/>
      <c r="AJ457" s="467"/>
      <c r="AK457" s="467"/>
      <c r="AL457" s="467"/>
      <c r="AM457" s="467"/>
      <c r="AN457" s="467"/>
      <c r="AO457" s="467"/>
      <c r="AP457" s="467"/>
      <c r="AQ457" s="467"/>
      <c r="AR457" s="467"/>
      <c r="AS457" s="467"/>
      <c r="AT457" s="467"/>
      <c r="AU457" s="467"/>
      <c r="AV457" s="467"/>
      <c r="AW457" s="467"/>
      <c r="AX457" s="467"/>
      <c r="AY457" s="467"/>
      <c r="AZ457" s="467"/>
      <c r="BA457" s="467"/>
      <c r="BB457" s="467"/>
      <c r="BC457" s="467"/>
      <c r="BD457" s="467"/>
      <c r="BE457" s="467"/>
      <c r="BF457" s="467"/>
      <c r="BG457" s="467"/>
      <c r="BH457" s="467"/>
      <c r="BI457" s="467"/>
      <c r="BJ457" s="467"/>
      <c r="BK457" s="467"/>
      <c r="BL457" s="467"/>
    </row>
    <row r="458" customFormat="false" ht="12.75" hidden="false" customHeight="false" outlineLevel="0" collapsed="false">
      <c r="A458" s="464"/>
      <c r="B458" s="467"/>
      <c r="C458" s="467"/>
      <c r="D458" s="467"/>
      <c r="E458" s="467"/>
      <c r="F458" s="467"/>
      <c r="G458" s="467"/>
      <c r="H458" s="467"/>
      <c r="I458" s="467"/>
      <c r="J458" s="467"/>
      <c r="K458" s="467"/>
      <c r="L458" s="467"/>
      <c r="M458" s="467"/>
      <c r="N458" s="467"/>
      <c r="O458" s="467"/>
      <c r="P458" s="467"/>
      <c r="Q458" s="467"/>
      <c r="R458" s="467"/>
      <c r="S458" s="467"/>
      <c r="T458" s="467"/>
      <c r="U458" s="467"/>
      <c r="V458" s="467"/>
      <c r="W458" s="467"/>
      <c r="X458" s="467"/>
      <c r="Y458" s="467"/>
      <c r="Z458" s="467"/>
      <c r="AA458" s="467"/>
      <c r="AB458" s="467"/>
      <c r="AC458" s="467"/>
      <c r="AD458" s="467"/>
      <c r="AE458" s="467"/>
      <c r="AF458" s="467"/>
      <c r="AG458" s="467"/>
      <c r="AH458" s="467"/>
      <c r="AI458" s="467"/>
      <c r="AJ458" s="467"/>
      <c r="AK458" s="467"/>
      <c r="AL458" s="467"/>
      <c r="AM458" s="467"/>
      <c r="AN458" s="467"/>
      <c r="AO458" s="467"/>
      <c r="AP458" s="467"/>
      <c r="AQ458" s="467"/>
      <c r="AR458" s="467"/>
      <c r="AS458" s="467"/>
      <c r="AT458" s="467"/>
      <c r="AU458" s="467"/>
      <c r="AV458" s="467"/>
      <c r="AW458" s="467"/>
      <c r="AX458" s="467"/>
      <c r="AY458" s="467"/>
      <c r="AZ458" s="467"/>
      <c r="BA458" s="467"/>
      <c r="BB458" s="467"/>
      <c r="BC458" s="467"/>
      <c r="BD458" s="467"/>
      <c r="BE458" s="467"/>
      <c r="BF458" s="467"/>
      <c r="BG458" s="467"/>
      <c r="BH458" s="467"/>
      <c r="BI458" s="467"/>
      <c r="BJ458" s="467"/>
      <c r="BK458" s="467"/>
      <c r="BL458" s="467"/>
    </row>
    <row r="459" customFormat="false" ht="12.75" hidden="false" customHeight="false" outlineLevel="0" collapsed="false">
      <c r="A459" s="464"/>
      <c r="B459" s="467"/>
      <c r="C459" s="467"/>
      <c r="D459" s="467"/>
      <c r="E459" s="467"/>
      <c r="F459" s="467"/>
      <c r="G459" s="467"/>
      <c r="H459" s="467"/>
      <c r="I459" s="467"/>
      <c r="J459" s="467"/>
      <c r="K459" s="467"/>
      <c r="L459" s="467"/>
      <c r="M459" s="467"/>
      <c r="N459" s="467"/>
      <c r="O459" s="467"/>
      <c r="P459" s="467"/>
      <c r="Q459" s="467"/>
      <c r="R459" s="467"/>
      <c r="S459" s="467"/>
      <c r="T459" s="467"/>
      <c r="U459" s="467"/>
      <c r="V459" s="467"/>
      <c r="W459" s="467"/>
      <c r="X459" s="467"/>
      <c r="Y459" s="467"/>
      <c r="Z459" s="467"/>
      <c r="AA459" s="467"/>
      <c r="AB459" s="467"/>
      <c r="AC459" s="467"/>
      <c r="AD459" s="467"/>
      <c r="AE459" s="467"/>
      <c r="AF459" s="467"/>
      <c r="AG459" s="467"/>
      <c r="AH459" s="467"/>
      <c r="AI459" s="467"/>
      <c r="AJ459" s="467"/>
      <c r="AK459" s="467"/>
      <c r="AL459" s="467"/>
      <c r="AM459" s="467"/>
      <c r="AN459" s="467"/>
      <c r="AO459" s="467"/>
      <c r="AP459" s="467"/>
      <c r="AQ459" s="467"/>
      <c r="AR459" s="467"/>
      <c r="AS459" s="467"/>
      <c r="AT459" s="467"/>
      <c r="AU459" s="467"/>
      <c r="AV459" s="467"/>
      <c r="AW459" s="467"/>
      <c r="AX459" s="467"/>
      <c r="AY459" s="467"/>
      <c r="AZ459" s="467"/>
      <c r="BA459" s="467"/>
      <c r="BB459" s="467"/>
      <c r="BC459" s="467"/>
      <c r="BD459" s="467"/>
      <c r="BE459" s="467"/>
      <c r="BF459" s="467"/>
      <c r="BG459" s="467"/>
      <c r="BH459" s="467"/>
      <c r="BI459" s="467"/>
      <c r="BJ459" s="467"/>
      <c r="BK459" s="467"/>
      <c r="BL459" s="467"/>
    </row>
    <row r="460" customFormat="false" ht="12.75" hidden="false" customHeight="false" outlineLevel="0" collapsed="false">
      <c r="A460" s="464"/>
      <c r="B460" s="467"/>
      <c r="C460" s="467"/>
      <c r="D460" s="467"/>
      <c r="E460" s="467"/>
      <c r="F460" s="467"/>
      <c r="G460" s="467"/>
      <c r="H460" s="467"/>
      <c r="I460" s="467"/>
      <c r="J460" s="467"/>
      <c r="K460" s="467"/>
      <c r="L460" s="467"/>
      <c r="M460" s="467"/>
      <c r="N460" s="467"/>
      <c r="O460" s="467"/>
      <c r="P460" s="467"/>
      <c r="Q460" s="467"/>
      <c r="R460" s="467"/>
      <c r="S460" s="467"/>
      <c r="T460" s="467"/>
      <c r="U460" s="467"/>
      <c r="V460" s="467"/>
      <c r="W460" s="467"/>
      <c r="X460" s="467"/>
      <c r="Y460" s="467"/>
      <c r="Z460" s="467"/>
      <c r="AA460" s="467"/>
      <c r="AB460" s="467"/>
      <c r="AC460" s="467"/>
      <c r="AD460" s="467"/>
      <c r="AE460" s="467"/>
      <c r="AF460" s="467"/>
      <c r="AG460" s="467"/>
      <c r="AH460" s="467"/>
      <c r="AI460" s="467"/>
      <c r="AJ460" s="467"/>
      <c r="AK460" s="467"/>
      <c r="AL460" s="467"/>
      <c r="AM460" s="467"/>
      <c r="AN460" s="467"/>
      <c r="AO460" s="467"/>
      <c r="AP460" s="467"/>
      <c r="AQ460" s="467"/>
      <c r="AR460" s="467"/>
      <c r="AS460" s="467"/>
      <c r="AT460" s="467"/>
      <c r="AU460" s="467"/>
      <c r="AV460" s="467"/>
      <c r="AW460" s="467"/>
      <c r="AX460" s="467"/>
      <c r="AY460" s="467"/>
      <c r="AZ460" s="467"/>
      <c r="BA460" s="467"/>
      <c r="BB460" s="467"/>
      <c r="BC460" s="467"/>
      <c r="BD460" s="467"/>
      <c r="BE460" s="467"/>
      <c r="BF460" s="467"/>
      <c r="BG460" s="467"/>
      <c r="BH460" s="467"/>
      <c r="BI460" s="467"/>
      <c r="BJ460" s="467"/>
      <c r="BK460" s="467"/>
      <c r="BL460" s="467"/>
    </row>
    <row r="461" customFormat="false" ht="12.75" hidden="false" customHeight="false" outlineLevel="0" collapsed="false">
      <c r="A461" s="464"/>
      <c r="B461" s="467"/>
      <c r="C461" s="467"/>
      <c r="D461" s="467"/>
      <c r="E461" s="467"/>
      <c r="F461" s="467"/>
      <c r="G461" s="467"/>
      <c r="H461" s="467"/>
      <c r="I461" s="467"/>
      <c r="J461" s="467"/>
      <c r="K461" s="467"/>
      <c r="L461" s="467"/>
      <c r="M461" s="467"/>
      <c r="N461" s="467"/>
      <c r="O461" s="467"/>
      <c r="P461" s="467"/>
      <c r="Q461" s="467"/>
      <c r="R461" s="467"/>
      <c r="S461" s="467"/>
      <c r="T461" s="467"/>
      <c r="U461" s="467"/>
      <c r="V461" s="467"/>
      <c r="W461" s="467"/>
      <c r="X461" s="467"/>
      <c r="Y461" s="467"/>
      <c r="Z461" s="467"/>
      <c r="AA461" s="467"/>
      <c r="AB461" s="467"/>
      <c r="AC461" s="467"/>
      <c r="AD461" s="467"/>
      <c r="AE461" s="467"/>
      <c r="AF461" s="467"/>
      <c r="AG461" s="467"/>
      <c r="AH461" s="467"/>
      <c r="AI461" s="467"/>
      <c r="AJ461" s="467"/>
      <c r="AK461" s="467"/>
      <c r="AL461" s="467"/>
      <c r="AM461" s="467"/>
      <c r="AN461" s="467"/>
      <c r="AO461" s="467"/>
      <c r="AP461" s="467"/>
      <c r="AQ461" s="467"/>
      <c r="AR461" s="467"/>
      <c r="AS461" s="467"/>
      <c r="AT461" s="467"/>
      <c r="AU461" s="467"/>
      <c r="AV461" s="467"/>
      <c r="AW461" s="467"/>
      <c r="AX461" s="467"/>
      <c r="AY461" s="467"/>
      <c r="AZ461" s="467"/>
      <c r="BA461" s="467"/>
      <c r="BB461" s="467"/>
      <c r="BC461" s="467"/>
      <c r="BD461" s="467"/>
      <c r="BE461" s="467"/>
      <c r="BF461" s="467"/>
      <c r="BG461" s="467"/>
      <c r="BH461" s="467"/>
      <c r="BI461" s="467"/>
      <c r="BJ461" s="467"/>
      <c r="BK461" s="467"/>
      <c r="BL461" s="467"/>
    </row>
    <row r="462" customFormat="false" ht="12.75" hidden="false" customHeight="false" outlineLevel="0" collapsed="false">
      <c r="A462" s="464"/>
      <c r="B462" s="467"/>
      <c r="C462" s="467"/>
      <c r="D462" s="467"/>
      <c r="E462" s="467"/>
      <c r="F462" s="467"/>
      <c r="G462" s="467"/>
      <c r="H462" s="467"/>
      <c r="I462" s="467"/>
      <c r="J462" s="467"/>
      <c r="K462" s="467"/>
      <c r="L462" s="467"/>
      <c r="M462" s="467"/>
      <c r="N462" s="467"/>
      <c r="O462" s="467"/>
      <c r="P462" s="467"/>
      <c r="Q462" s="467"/>
      <c r="R462" s="467"/>
      <c r="S462" s="467"/>
      <c r="T462" s="467"/>
      <c r="U462" s="467"/>
      <c r="V462" s="467"/>
      <c r="W462" s="467"/>
      <c r="X462" s="467"/>
      <c r="Y462" s="467"/>
      <c r="Z462" s="467"/>
      <c r="AA462" s="467"/>
      <c r="AB462" s="467"/>
      <c r="AC462" s="467"/>
      <c r="AD462" s="467"/>
      <c r="AE462" s="467"/>
      <c r="AF462" s="467"/>
      <c r="AG462" s="467"/>
      <c r="AH462" s="467"/>
      <c r="AI462" s="467"/>
      <c r="AJ462" s="467"/>
      <c r="AK462" s="467"/>
      <c r="AL462" s="467"/>
      <c r="AM462" s="467"/>
      <c r="AN462" s="467"/>
      <c r="AO462" s="467"/>
      <c r="AP462" s="467"/>
      <c r="AQ462" s="467"/>
      <c r="AR462" s="467"/>
      <c r="AS462" s="467"/>
      <c r="AT462" s="467"/>
      <c r="AU462" s="467"/>
      <c r="AV462" s="467"/>
      <c r="AW462" s="467"/>
      <c r="AX462" s="467"/>
      <c r="AY462" s="467"/>
      <c r="AZ462" s="467"/>
      <c r="BA462" s="467"/>
      <c r="BB462" s="467"/>
      <c r="BC462" s="467"/>
      <c r="BD462" s="467"/>
      <c r="BE462" s="467"/>
      <c r="BF462" s="467"/>
      <c r="BG462" s="467"/>
      <c r="BH462" s="467"/>
      <c r="BI462" s="467"/>
      <c r="BJ462" s="467"/>
      <c r="BK462" s="467"/>
      <c r="BL462" s="467"/>
    </row>
    <row r="463" customFormat="false" ht="12.75" hidden="false" customHeight="false" outlineLevel="0" collapsed="false">
      <c r="A463" s="464"/>
      <c r="B463" s="467"/>
      <c r="C463" s="467"/>
      <c r="D463" s="467"/>
      <c r="E463" s="467"/>
      <c r="F463" s="467"/>
      <c r="G463" s="467"/>
      <c r="H463" s="467"/>
      <c r="I463" s="467"/>
      <c r="J463" s="467"/>
      <c r="K463" s="467"/>
      <c r="L463" s="467"/>
      <c r="M463" s="467"/>
      <c r="N463" s="467"/>
      <c r="O463" s="467"/>
      <c r="P463" s="467"/>
      <c r="Q463" s="467"/>
      <c r="R463" s="467"/>
      <c r="S463" s="467"/>
      <c r="T463" s="467"/>
      <c r="U463" s="467"/>
      <c r="V463" s="467"/>
      <c r="W463" s="467"/>
      <c r="X463" s="467"/>
      <c r="Y463" s="467"/>
      <c r="Z463" s="467"/>
      <c r="AA463" s="467"/>
      <c r="AB463" s="467"/>
      <c r="AC463" s="467"/>
      <c r="AD463" s="467"/>
      <c r="AE463" s="467"/>
      <c r="AF463" s="467"/>
      <c r="AG463" s="467"/>
      <c r="AH463" s="467"/>
      <c r="AI463" s="467"/>
      <c r="AJ463" s="467"/>
      <c r="AK463" s="467"/>
      <c r="AL463" s="467"/>
      <c r="AM463" s="467"/>
      <c r="AN463" s="467"/>
      <c r="AO463" s="467"/>
      <c r="AP463" s="467"/>
      <c r="AQ463" s="467"/>
      <c r="AR463" s="467"/>
      <c r="AS463" s="467"/>
      <c r="AT463" s="467"/>
      <c r="AU463" s="467"/>
      <c r="AV463" s="467"/>
      <c r="AW463" s="467"/>
      <c r="AX463" s="467"/>
      <c r="AY463" s="467"/>
      <c r="AZ463" s="467"/>
      <c r="BA463" s="467"/>
      <c r="BB463" s="467"/>
      <c r="BC463" s="467"/>
      <c r="BD463" s="467"/>
      <c r="BE463" s="467"/>
      <c r="BF463" s="467"/>
      <c r="BG463" s="467"/>
      <c r="BH463" s="467"/>
      <c r="BI463" s="467"/>
      <c r="BJ463" s="467"/>
      <c r="BK463" s="467"/>
      <c r="BL463" s="467"/>
    </row>
    <row r="464" customFormat="false" ht="12.75" hidden="false" customHeight="false" outlineLevel="0" collapsed="false">
      <c r="A464" s="464"/>
      <c r="B464" s="467"/>
      <c r="C464" s="467"/>
      <c r="D464" s="467"/>
      <c r="E464" s="467"/>
      <c r="F464" s="467"/>
      <c r="G464" s="467"/>
      <c r="H464" s="467"/>
      <c r="I464" s="467"/>
      <c r="J464" s="467"/>
      <c r="K464" s="467"/>
      <c r="L464" s="467"/>
      <c r="M464" s="467"/>
      <c r="N464" s="467"/>
      <c r="O464" s="467"/>
      <c r="P464" s="467"/>
      <c r="Q464" s="467"/>
      <c r="R464" s="467"/>
      <c r="S464" s="467"/>
      <c r="T464" s="467"/>
      <c r="U464" s="467"/>
      <c r="V464" s="467"/>
      <c r="W464" s="467"/>
      <c r="X464" s="467"/>
      <c r="Y464" s="467"/>
      <c r="Z464" s="467"/>
      <c r="AA464" s="467"/>
      <c r="AB464" s="467"/>
      <c r="AC464" s="467"/>
      <c r="AD464" s="467"/>
      <c r="AE464" s="467"/>
      <c r="AF464" s="467"/>
      <c r="AG464" s="467"/>
      <c r="AH464" s="467"/>
      <c r="AI464" s="467"/>
      <c r="AJ464" s="467"/>
      <c r="AK464" s="467"/>
      <c r="AL464" s="467"/>
      <c r="AM464" s="467"/>
      <c r="AN464" s="467"/>
      <c r="AO464" s="467"/>
      <c r="AP464" s="467"/>
      <c r="AQ464" s="467"/>
      <c r="AR464" s="467"/>
      <c r="AS464" s="467"/>
      <c r="AT464" s="467"/>
      <c r="AU464" s="467"/>
      <c r="AV464" s="467"/>
      <c r="AW464" s="467"/>
      <c r="AX464" s="467"/>
      <c r="AY464" s="467"/>
      <c r="AZ464" s="467"/>
      <c r="BA464" s="467"/>
      <c r="BB464" s="467"/>
      <c r="BC464" s="467"/>
      <c r="BD464" s="467"/>
      <c r="BE464" s="467"/>
      <c r="BF464" s="467"/>
      <c r="BG464" s="467"/>
      <c r="BH464" s="467"/>
      <c r="BI464" s="467"/>
      <c r="BJ464" s="467"/>
      <c r="BK464" s="467"/>
      <c r="BL464" s="467"/>
    </row>
    <row r="465" customFormat="false" ht="12.75" hidden="false" customHeight="false" outlineLevel="0" collapsed="false">
      <c r="A465" s="464"/>
      <c r="B465" s="467"/>
      <c r="C465" s="467"/>
      <c r="D465" s="467"/>
      <c r="E465" s="467"/>
      <c r="F465" s="467"/>
      <c r="G465" s="467"/>
      <c r="H465" s="467"/>
      <c r="I465" s="467"/>
      <c r="J465" s="467"/>
      <c r="K465" s="467"/>
      <c r="L465" s="467"/>
      <c r="M465" s="467"/>
      <c r="N465" s="467"/>
      <c r="O465" s="467"/>
      <c r="P465" s="467"/>
      <c r="Q465" s="467"/>
      <c r="R465" s="467"/>
      <c r="S465" s="467"/>
      <c r="T465" s="467"/>
      <c r="U465" s="467"/>
      <c r="V465" s="467"/>
      <c r="W465" s="467"/>
      <c r="X465" s="467"/>
      <c r="Y465" s="467"/>
      <c r="Z465" s="467"/>
      <c r="AA465" s="467"/>
      <c r="AB465" s="467"/>
      <c r="AC465" s="467"/>
      <c r="AD465" s="467"/>
      <c r="AE465" s="467"/>
      <c r="AF465" s="467"/>
      <c r="AG465" s="467"/>
      <c r="AH465" s="467"/>
      <c r="AI465" s="467"/>
      <c r="AJ465" s="467"/>
      <c r="AK465" s="467"/>
      <c r="AL465" s="467"/>
      <c r="AM465" s="467"/>
      <c r="AN465" s="467"/>
      <c r="AO465" s="467"/>
      <c r="AP465" s="467"/>
      <c r="AQ465" s="467"/>
      <c r="AR465" s="467"/>
      <c r="AS465" s="467"/>
      <c r="AT465" s="467"/>
      <c r="AU465" s="467"/>
      <c r="AV465" s="467"/>
      <c r="AW465" s="467"/>
      <c r="AX465" s="467"/>
      <c r="AY465" s="467"/>
      <c r="AZ465" s="467"/>
      <c r="BA465" s="467"/>
      <c r="BB465" s="467"/>
      <c r="BC465" s="467"/>
      <c r="BD465" s="467"/>
      <c r="BE465" s="467"/>
      <c r="BF465" s="467"/>
      <c r="BG465" s="467"/>
      <c r="BH465" s="467"/>
      <c r="BI465" s="467"/>
      <c r="BJ465" s="467"/>
      <c r="BK465" s="467"/>
      <c r="BL465" s="467"/>
    </row>
    <row r="466" customFormat="false" ht="12.75" hidden="false" customHeight="false" outlineLevel="0" collapsed="false">
      <c r="A466" s="464"/>
      <c r="B466" s="467"/>
      <c r="C466" s="467"/>
      <c r="D466" s="467"/>
      <c r="E466" s="467"/>
      <c r="F466" s="467"/>
      <c r="G466" s="467"/>
      <c r="H466" s="467"/>
      <c r="I466" s="467"/>
      <c r="J466" s="467"/>
      <c r="K466" s="467"/>
      <c r="L466" s="467"/>
      <c r="M466" s="467"/>
      <c r="N466" s="467"/>
      <c r="O466" s="467"/>
      <c r="P466" s="467"/>
      <c r="Q466" s="467"/>
      <c r="R466" s="467"/>
      <c r="S466" s="467"/>
      <c r="T466" s="467"/>
      <c r="U466" s="467"/>
      <c r="V466" s="467"/>
      <c r="W466" s="467"/>
      <c r="X466" s="467"/>
      <c r="Y466" s="467"/>
      <c r="Z466" s="467"/>
      <c r="AA466" s="467"/>
      <c r="AB466" s="467"/>
      <c r="AC466" s="467"/>
      <c r="AD466" s="467"/>
      <c r="AE466" s="467"/>
      <c r="AF466" s="467"/>
      <c r="AG466" s="467"/>
      <c r="AH466" s="467"/>
      <c r="AI466" s="467"/>
      <c r="AJ466" s="467"/>
      <c r="AK466" s="467"/>
      <c r="AL466" s="467"/>
      <c r="AM466" s="467"/>
      <c r="AN466" s="467"/>
      <c r="AO466" s="467"/>
      <c r="AP466" s="467"/>
      <c r="AQ466" s="467"/>
      <c r="AR466" s="467"/>
      <c r="AS466" s="467"/>
      <c r="AT466" s="467"/>
      <c r="AU466" s="467"/>
      <c r="AV466" s="467"/>
      <c r="AW466" s="467"/>
      <c r="AX466" s="467"/>
      <c r="AY466" s="467"/>
      <c r="AZ466" s="467"/>
      <c r="BA466" s="467"/>
      <c r="BB466" s="467"/>
      <c r="BC466" s="467"/>
      <c r="BD466" s="467"/>
      <c r="BE466" s="467"/>
      <c r="BF466" s="467"/>
      <c r="BG466" s="467"/>
      <c r="BH466" s="467"/>
      <c r="BI466" s="467"/>
      <c r="BJ466" s="467"/>
      <c r="BK466" s="467"/>
      <c r="BL466" s="467"/>
    </row>
    <row r="467" customFormat="false" ht="12.75" hidden="false" customHeight="false" outlineLevel="0" collapsed="false">
      <c r="A467" s="464"/>
      <c r="B467" s="467"/>
      <c r="C467" s="467"/>
      <c r="D467" s="467"/>
      <c r="E467" s="467"/>
      <c r="F467" s="467"/>
      <c r="G467" s="467"/>
      <c r="H467" s="467"/>
      <c r="I467" s="467"/>
      <c r="J467" s="467"/>
      <c r="K467" s="467"/>
      <c r="L467" s="467"/>
      <c r="M467" s="467"/>
      <c r="N467" s="467"/>
      <c r="O467" s="467"/>
      <c r="P467" s="467"/>
      <c r="Q467" s="467"/>
      <c r="R467" s="467"/>
      <c r="S467" s="467"/>
      <c r="T467" s="467"/>
      <c r="U467" s="467"/>
      <c r="V467" s="467"/>
      <c r="W467" s="467"/>
      <c r="X467" s="467"/>
      <c r="Y467" s="467"/>
      <c r="Z467" s="467"/>
      <c r="AA467" s="467"/>
      <c r="AB467" s="467"/>
      <c r="AC467" s="467"/>
      <c r="AD467" s="467"/>
      <c r="AE467" s="467"/>
      <c r="AF467" s="467"/>
      <c r="AG467" s="467"/>
      <c r="AH467" s="467"/>
      <c r="AI467" s="467"/>
      <c r="AJ467" s="467"/>
      <c r="AK467" s="467"/>
      <c r="AL467" s="467"/>
      <c r="AM467" s="467"/>
      <c r="AN467" s="467"/>
      <c r="AO467" s="467"/>
      <c r="AP467" s="467"/>
      <c r="AQ467" s="467"/>
      <c r="AR467" s="467"/>
      <c r="AS467" s="467"/>
      <c r="AT467" s="467"/>
      <c r="AU467" s="467"/>
      <c r="AV467" s="467"/>
      <c r="AW467" s="467"/>
      <c r="AX467" s="467"/>
      <c r="AY467" s="467"/>
      <c r="AZ467" s="467"/>
      <c r="BA467" s="467"/>
      <c r="BB467" s="467"/>
      <c r="BC467" s="467"/>
      <c r="BD467" s="467"/>
      <c r="BE467" s="467"/>
      <c r="BF467" s="467"/>
      <c r="BG467" s="467"/>
      <c r="BH467" s="467"/>
      <c r="BI467" s="467"/>
      <c r="BJ467" s="467"/>
      <c r="BK467" s="467"/>
      <c r="BL467" s="467"/>
    </row>
    <row r="468" customFormat="false" ht="12.75" hidden="false" customHeight="false" outlineLevel="0" collapsed="false">
      <c r="A468" s="464"/>
      <c r="B468" s="467"/>
      <c r="C468" s="467"/>
      <c r="D468" s="467"/>
      <c r="E468" s="467"/>
      <c r="F468" s="467"/>
      <c r="G468" s="467"/>
      <c r="H468" s="467"/>
      <c r="I468" s="467"/>
      <c r="J468" s="467"/>
      <c r="K468" s="467"/>
      <c r="L468" s="467"/>
      <c r="M468" s="467"/>
      <c r="N468" s="467"/>
      <c r="O468" s="467"/>
      <c r="P468" s="467"/>
      <c r="Q468" s="467"/>
      <c r="R468" s="467"/>
      <c r="S468" s="467"/>
      <c r="T468" s="467"/>
      <c r="U468" s="467"/>
      <c r="V468" s="467"/>
      <c r="W468" s="467"/>
      <c r="X468" s="467"/>
      <c r="Y468" s="467"/>
      <c r="Z468" s="467"/>
      <c r="AA468" s="467"/>
      <c r="AB468" s="467"/>
      <c r="AC468" s="467"/>
      <c r="AD468" s="467"/>
      <c r="AE468" s="467"/>
      <c r="AF468" s="467"/>
      <c r="AG468" s="467"/>
      <c r="AH468" s="467"/>
      <c r="AI468" s="467"/>
      <c r="AJ468" s="467"/>
      <c r="AK468" s="467"/>
      <c r="AL468" s="467"/>
      <c r="AM468" s="467"/>
      <c r="AN468" s="467"/>
      <c r="AO468" s="467"/>
      <c r="AP468" s="467"/>
      <c r="AQ468" s="467"/>
      <c r="AR468" s="467"/>
      <c r="AS468" s="467"/>
      <c r="AT468" s="467"/>
      <c r="AU468" s="467"/>
      <c r="AV468" s="467"/>
      <c r="AW468" s="467"/>
      <c r="AX468" s="467"/>
      <c r="AY468" s="467"/>
      <c r="AZ468" s="467"/>
      <c r="BA468" s="467"/>
      <c r="BB468" s="467"/>
      <c r="BC468" s="467"/>
      <c r="BD468" s="467"/>
      <c r="BE468" s="467"/>
      <c r="BF468" s="467"/>
      <c r="BG468" s="467"/>
      <c r="BH468" s="467"/>
      <c r="BI468" s="467"/>
      <c r="BJ468" s="467"/>
      <c r="BK468" s="467"/>
      <c r="BL468" s="467"/>
    </row>
    <row r="469" customFormat="false" ht="12.75" hidden="false" customHeight="false" outlineLevel="0" collapsed="false">
      <c r="A469" s="464"/>
      <c r="B469" s="467"/>
      <c r="C469" s="467"/>
      <c r="D469" s="467"/>
      <c r="E469" s="467"/>
      <c r="F469" s="467"/>
      <c r="G469" s="467"/>
      <c r="H469" s="467"/>
      <c r="I469" s="467"/>
      <c r="J469" s="467"/>
      <c r="K469" s="467"/>
      <c r="L469" s="467"/>
      <c r="M469" s="467"/>
      <c r="N469" s="467"/>
      <c r="O469" s="467"/>
      <c r="P469" s="467"/>
      <c r="Q469" s="467"/>
      <c r="R469" s="467"/>
      <c r="S469" s="467"/>
      <c r="T469" s="467"/>
      <c r="U469" s="467"/>
      <c r="V469" s="467"/>
      <c r="W469" s="467"/>
      <c r="X469" s="467"/>
      <c r="Y469" s="467"/>
      <c r="Z469" s="467"/>
      <c r="AA469" s="467"/>
      <c r="AB469" s="467"/>
      <c r="AC469" s="467"/>
      <c r="AD469" s="467"/>
      <c r="AE469" s="467"/>
      <c r="AF469" s="467"/>
      <c r="AG469" s="467"/>
      <c r="AH469" s="467"/>
      <c r="AI469" s="467"/>
      <c r="AJ469" s="467"/>
      <c r="AK469" s="467"/>
      <c r="AL469" s="467"/>
      <c r="AM469" s="467"/>
      <c r="AN469" s="467"/>
      <c r="AO469" s="467"/>
      <c r="AP469" s="467"/>
      <c r="AQ469" s="467"/>
      <c r="AR469" s="467"/>
      <c r="AS469" s="467"/>
      <c r="AT469" s="467"/>
      <c r="AU469" s="467"/>
      <c r="AV469" s="467"/>
      <c r="AW469" s="467"/>
      <c r="AX469" s="467"/>
      <c r="AY469" s="467"/>
      <c r="AZ469" s="467"/>
      <c r="BA469" s="467"/>
      <c r="BB469" s="467"/>
      <c r="BC469" s="467"/>
      <c r="BD469" s="467"/>
      <c r="BE469" s="467"/>
      <c r="BF469" s="467"/>
      <c r="BG469" s="467"/>
      <c r="BH469" s="467"/>
      <c r="BI469" s="467"/>
      <c r="BJ469" s="467"/>
      <c r="BK469" s="467"/>
      <c r="BL469" s="467"/>
    </row>
    <row r="470" customFormat="false" ht="12.75" hidden="false" customHeight="false" outlineLevel="0" collapsed="false">
      <c r="A470" s="464"/>
      <c r="B470" s="467"/>
      <c r="C470" s="467"/>
      <c r="D470" s="467"/>
      <c r="E470" s="467"/>
      <c r="F470" s="467"/>
      <c r="G470" s="467"/>
      <c r="H470" s="467"/>
      <c r="I470" s="467"/>
      <c r="J470" s="467"/>
      <c r="K470" s="467"/>
      <c r="L470" s="467"/>
      <c r="M470" s="467"/>
      <c r="N470" s="467"/>
      <c r="O470" s="467"/>
      <c r="P470" s="467"/>
      <c r="Q470" s="467"/>
      <c r="R470" s="467"/>
      <c r="S470" s="467"/>
      <c r="T470" s="467"/>
      <c r="U470" s="467"/>
      <c r="V470" s="467"/>
      <c r="W470" s="467"/>
      <c r="X470" s="467"/>
      <c r="Y470" s="467"/>
      <c r="Z470" s="467"/>
      <c r="AA470" s="467"/>
      <c r="AB470" s="467"/>
      <c r="AC470" s="467"/>
      <c r="AD470" s="467"/>
      <c r="AE470" s="467"/>
      <c r="AF470" s="467"/>
      <c r="AG470" s="467"/>
      <c r="AH470" s="467"/>
      <c r="AI470" s="467"/>
      <c r="AJ470" s="467"/>
      <c r="AK470" s="467"/>
      <c r="AL470" s="467"/>
      <c r="AM470" s="467"/>
      <c r="AN470" s="467"/>
      <c r="AO470" s="467"/>
      <c r="AP470" s="467"/>
      <c r="AQ470" s="467"/>
      <c r="AR470" s="467"/>
      <c r="AS470" s="467"/>
      <c r="AT470" s="467"/>
      <c r="AU470" s="467"/>
      <c r="AV470" s="467"/>
      <c r="AW470" s="467"/>
      <c r="AX470" s="467"/>
      <c r="AY470" s="467"/>
      <c r="AZ470" s="467"/>
      <c r="BA470" s="467"/>
      <c r="BB470" s="467"/>
      <c r="BC470" s="467"/>
      <c r="BD470" s="467"/>
      <c r="BE470" s="467"/>
      <c r="BF470" s="467"/>
      <c r="BG470" s="467"/>
      <c r="BH470" s="467"/>
      <c r="BI470" s="467"/>
      <c r="BJ470" s="467"/>
      <c r="BK470" s="467"/>
      <c r="BL470" s="467"/>
    </row>
    <row r="471" customFormat="false" ht="12.75" hidden="false" customHeight="false" outlineLevel="0" collapsed="false">
      <c r="A471" s="464"/>
      <c r="B471" s="467"/>
      <c r="C471" s="467"/>
      <c r="D471" s="467"/>
      <c r="E471" s="467"/>
      <c r="F471" s="467"/>
      <c r="G471" s="467"/>
      <c r="H471" s="467"/>
      <c r="I471" s="467"/>
      <c r="J471" s="467"/>
      <c r="K471" s="467"/>
      <c r="L471" s="467"/>
      <c r="M471" s="467"/>
      <c r="N471" s="467"/>
      <c r="O471" s="467"/>
      <c r="P471" s="467"/>
      <c r="Q471" s="467"/>
      <c r="R471" s="467"/>
      <c r="S471" s="467"/>
      <c r="T471" s="467"/>
      <c r="U471" s="467"/>
      <c r="V471" s="467"/>
      <c r="W471" s="467"/>
      <c r="X471" s="467"/>
      <c r="Y471" s="467"/>
      <c r="Z471" s="467"/>
      <c r="AA471" s="467"/>
      <c r="AB471" s="467"/>
      <c r="AC471" s="467"/>
      <c r="AD471" s="467"/>
      <c r="AE471" s="467"/>
      <c r="AF471" s="467"/>
      <c r="AG471" s="467"/>
      <c r="AH471" s="467"/>
      <c r="AI471" s="467"/>
      <c r="AJ471" s="467"/>
      <c r="AK471" s="467"/>
      <c r="AL471" s="467"/>
      <c r="AM471" s="467"/>
      <c r="AN471" s="467"/>
      <c r="AO471" s="467"/>
      <c r="AP471" s="467"/>
      <c r="AQ471" s="467"/>
      <c r="AR471" s="467"/>
      <c r="AS471" s="467"/>
      <c r="AT471" s="467"/>
      <c r="AU471" s="467"/>
      <c r="AV471" s="467"/>
      <c r="AW471" s="467"/>
      <c r="AX471" s="467"/>
      <c r="AY471" s="467"/>
      <c r="AZ471" s="467"/>
      <c r="BA471" s="467"/>
      <c r="BB471" s="467"/>
      <c r="BC471" s="467"/>
      <c r="BD471" s="467"/>
      <c r="BE471" s="467"/>
      <c r="BF471" s="467"/>
      <c r="BG471" s="467"/>
      <c r="BH471" s="467"/>
      <c r="BI471" s="467"/>
      <c r="BJ471" s="467"/>
      <c r="BK471" s="467"/>
      <c r="BL471" s="467"/>
    </row>
    <row r="472" customFormat="false" ht="12.75" hidden="false" customHeight="false" outlineLevel="0" collapsed="false">
      <c r="A472" s="464"/>
      <c r="B472" s="467"/>
      <c r="C472" s="467"/>
      <c r="D472" s="467"/>
      <c r="E472" s="467"/>
      <c r="F472" s="467"/>
      <c r="G472" s="467"/>
      <c r="H472" s="467"/>
      <c r="I472" s="467"/>
      <c r="J472" s="467"/>
      <c r="K472" s="467"/>
      <c r="L472" s="467"/>
      <c r="M472" s="467"/>
      <c r="N472" s="467"/>
      <c r="O472" s="467"/>
      <c r="P472" s="467"/>
      <c r="Q472" s="467"/>
      <c r="R472" s="467"/>
      <c r="S472" s="467"/>
      <c r="T472" s="467"/>
      <c r="U472" s="467"/>
      <c r="V472" s="467"/>
      <c r="W472" s="467"/>
      <c r="X472" s="467"/>
      <c r="Y472" s="467"/>
      <c r="Z472" s="467"/>
      <c r="AA472" s="467"/>
      <c r="AB472" s="467"/>
      <c r="AC472" s="467"/>
      <c r="AD472" s="467"/>
      <c r="AE472" s="467"/>
      <c r="AF472" s="467"/>
      <c r="AG472" s="467"/>
      <c r="AH472" s="467"/>
      <c r="AI472" s="467"/>
      <c r="AJ472" s="467"/>
      <c r="AK472" s="467"/>
      <c r="AL472" s="467"/>
      <c r="AM472" s="467"/>
      <c r="AN472" s="467"/>
      <c r="AO472" s="467"/>
      <c r="AP472" s="467"/>
      <c r="AQ472" s="467"/>
      <c r="AR472" s="467"/>
      <c r="AS472" s="467"/>
      <c r="AT472" s="467"/>
      <c r="AU472" s="467"/>
      <c r="AV472" s="467"/>
      <c r="AW472" s="467"/>
      <c r="AX472" s="467"/>
      <c r="AY472" s="467"/>
      <c r="AZ472" s="467"/>
      <c r="BA472" s="467"/>
      <c r="BB472" s="467"/>
      <c r="BC472" s="467"/>
      <c r="BD472" s="467"/>
      <c r="BE472" s="467"/>
      <c r="BF472" s="467"/>
      <c r="BG472" s="467"/>
      <c r="BH472" s="467"/>
      <c r="BI472" s="467"/>
      <c r="BJ472" s="467"/>
      <c r="BK472" s="467"/>
      <c r="BL472" s="467"/>
    </row>
    <row r="473" customFormat="false" ht="12.75" hidden="false" customHeight="false" outlineLevel="0" collapsed="false">
      <c r="A473" s="464"/>
      <c r="B473" s="467"/>
      <c r="C473" s="467"/>
      <c r="D473" s="467"/>
      <c r="E473" s="467"/>
      <c r="F473" s="467"/>
      <c r="G473" s="467"/>
      <c r="H473" s="467"/>
      <c r="I473" s="467"/>
      <c r="J473" s="467"/>
      <c r="K473" s="467"/>
      <c r="L473" s="467"/>
      <c r="M473" s="467"/>
      <c r="N473" s="467"/>
      <c r="O473" s="467"/>
      <c r="P473" s="467"/>
      <c r="Q473" s="467"/>
      <c r="R473" s="467"/>
      <c r="S473" s="467"/>
      <c r="T473" s="467"/>
      <c r="U473" s="467"/>
      <c r="V473" s="467"/>
      <c r="W473" s="467"/>
      <c r="X473" s="467"/>
      <c r="Y473" s="467"/>
      <c r="Z473" s="467"/>
      <c r="AA473" s="467"/>
      <c r="AB473" s="467"/>
      <c r="AC473" s="467"/>
      <c r="AD473" s="467"/>
      <c r="AE473" s="467"/>
      <c r="AF473" s="467"/>
      <c r="AG473" s="467"/>
      <c r="AH473" s="467"/>
      <c r="AI473" s="467"/>
      <c r="AJ473" s="467"/>
      <c r="AK473" s="467"/>
      <c r="AL473" s="467"/>
      <c r="AM473" s="467"/>
      <c r="AN473" s="467"/>
      <c r="AO473" s="467"/>
      <c r="AP473" s="467"/>
      <c r="AQ473" s="467"/>
      <c r="AR473" s="467"/>
      <c r="AS473" s="467"/>
      <c r="AT473" s="467"/>
      <c r="AU473" s="467"/>
      <c r="AV473" s="467"/>
      <c r="AW473" s="467"/>
      <c r="AX473" s="467"/>
      <c r="AY473" s="467"/>
      <c r="AZ473" s="467"/>
      <c r="BA473" s="467"/>
      <c r="BB473" s="467"/>
      <c r="BC473" s="467"/>
      <c r="BD473" s="467"/>
      <c r="BE473" s="467"/>
      <c r="BF473" s="467"/>
      <c r="BG473" s="467"/>
      <c r="BH473" s="467"/>
      <c r="BI473" s="467"/>
      <c r="BJ473" s="467"/>
      <c r="BK473" s="467"/>
      <c r="BL473" s="467"/>
    </row>
    <row r="474" customFormat="false" ht="12.75" hidden="false" customHeight="false" outlineLevel="0" collapsed="false">
      <c r="A474" s="464"/>
      <c r="B474" s="467"/>
      <c r="C474" s="467"/>
      <c r="D474" s="467"/>
      <c r="E474" s="467"/>
      <c r="F474" s="467"/>
      <c r="G474" s="467"/>
      <c r="H474" s="467"/>
      <c r="I474" s="467"/>
      <c r="J474" s="467"/>
      <c r="K474" s="467"/>
      <c r="L474" s="467"/>
      <c r="M474" s="467"/>
      <c r="N474" s="467"/>
      <c r="O474" s="467"/>
      <c r="P474" s="467"/>
      <c r="Q474" s="467"/>
      <c r="R474" s="467"/>
      <c r="S474" s="467"/>
      <c r="T474" s="467"/>
      <c r="U474" s="467"/>
      <c r="V474" s="467"/>
      <c r="W474" s="467"/>
      <c r="X474" s="467"/>
      <c r="Y474" s="467"/>
      <c r="Z474" s="467"/>
      <c r="AA474" s="467"/>
      <c r="AB474" s="467"/>
      <c r="AC474" s="467"/>
      <c r="AD474" s="467"/>
      <c r="AE474" s="467"/>
      <c r="AF474" s="467"/>
      <c r="AG474" s="467"/>
      <c r="AH474" s="467"/>
      <c r="AI474" s="467"/>
      <c r="AJ474" s="467"/>
      <c r="AK474" s="467"/>
      <c r="AL474" s="467"/>
      <c r="AM474" s="467"/>
      <c r="AN474" s="467"/>
      <c r="AO474" s="467"/>
      <c r="AP474" s="467"/>
      <c r="AQ474" s="467"/>
      <c r="AR474" s="467"/>
      <c r="AS474" s="467"/>
      <c r="AT474" s="467"/>
      <c r="AU474" s="467"/>
      <c r="AV474" s="467"/>
      <c r="AW474" s="467"/>
      <c r="AX474" s="467"/>
      <c r="AY474" s="467"/>
      <c r="AZ474" s="467"/>
      <c r="BA474" s="467"/>
      <c r="BB474" s="467"/>
      <c r="BC474" s="467"/>
      <c r="BD474" s="467"/>
      <c r="BE474" s="467"/>
      <c r="BF474" s="467"/>
      <c r="BG474" s="467"/>
      <c r="BH474" s="467"/>
      <c r="BI474" s="467"/>
      <c r="BJ474" s="467"/>
      <c r="BK474" s="467"/>
      <c r="BL474" s="467"/>
    </row>
    <row r="475" customFormat="false" ht="12.75" hidden="false" customHeight="false" outlineLevel="0" collapsed="false">
      <c r="A475" s="464"/>
      <c r="B475" s="467"/>
      <c r="C475" s="467"/>
      <c r="D475" s="467"/>
      <c r="E475" s="467"/>
      <c r="F475" s="467"/>
      <c r="G475" s="467"/>
      <c r="H475" s="467"/>
      <c r="I475" s="467"/>
      <c r="J475" s="467"/>
      <c r="K475" s="467"/>
      <c r="L475" s="467"/>
      <c r="M475" s="467"/>
      <c r="N475" s="467"/>
      <c r="O475" s="467"/>
      <c r="P475" s="467"/>
      <c r="Q475" s="467"/>
      <c r="R475" s="467"/>
      <c r="S475" s="467"/>
      <c r="T475" s="467"/>
      <c r="U475" s="467"/>
      <c r="V475" s="467"/>
      <c r="W475" s="467"/>
      <c r="X475" s="467"/>
      <c r="Y475" s="467"/>
      <c r="Z475" s="467"/>
      <c r="AA475" s="467"/>
      <c r="AB475" s="467"/>
      <c r="AC475" s="467"/>
      <c r="AD475" s="467"/>
      <c r="AE475" s="467"/>
      <c r="AF475" s="467"/>
      <c r="AG475" s="467"/>
      <c r="AH475" s="467"/>
      <c r="AI475" s="467"/>
      <c r="AJ475" s="467"/>
      <c r="AK475" s="467"/>
      <c r="AL475" s="467"/>
      <c r="AM475" s="467"/>
      <c r="AN475" s="467"/>
      <c r="AO475" s="467"/>
      <c r="AP475" s="467"/>
      <c r="AQ475" s="467"/>
      <c r="AR475" s="467"/>
      <c r="AS475" s="467"/>
      <c r="AT475" s="467"/>
      <c r="AU475" s="467"/>
      <c r="AV475" s="467"/>
      <c r="AW475" s="467"/>
      <c r="AX475" s="467"/>
      <c r="AY475" s="467"/>
      <c r="AZ475" s="467"/>
      <c r="BA475" s="467"/>
      <c r="BB475" s="467"/>
      <c r="BC475" s="467"/>
      <c r="BD475" s="467"/>
      <c r="BE475" s="467"/>
      <c r="BF475" s="467"/>
      <c r="BG475" s="467"/>
      <c r="BH475" s="467"/>
      <c r="BI475" s="467"/>
      <c r="BJ475" s="467"/>
      <c r="BK475" s="467"/>
      <c r="BL475" s="467"/>
    </row>
    <row r="476" customFormat="false" ht="12.75" hidden="false" customHeight="false" outlineLevel="0" collapsed="false">
      <c r="A476" s="464"/>
      <c r="B476" s="467"/>
      <c r="C476" s="467"/>
      <c r="D476" s="467"/>
      <c r="E476" s="467"/>
      <c r="F476" s="467"/>
      <c r="G476" s="467"/>
      <c r="H476" s="467"/>
      <c r="I476" s="467"/>
      <c r="J476" s="467"/>
      <c r="K476" s="467"/>
      <c r="L476" s="467"/>
      <c r="M476" s="467"/>
      <c r="N476" s="467"/>
      <c r="O476" s="467"/>
      <c r="P476" s="467"/>
      <c r="Q476" s="467"/>
      <c r="R476" s="467"/>
      <c r="S476" s="467"/>
      <c r="T476" s="467"/>
      <c r="U476" s="467"/>
      <c r="V476" s="467"/>
      <c r="W476" s="467"/>
      <c r="X476" s="467"/>
      <c r="Y476" s="467"/>
      <c r="Z476" s="467"/>
      <c r="AA476" s="467"/>
      <c r="AB476" s="467"/>
      <c r="AC476" s="467"/>
      <c r="AD476" s="467"/>
      <c r="AE476" s="467"/>
      <c r="AF476" s="467"/>
      <c r="AG476" s="467"/>
      <c r="AH476" s="467"/>
      <c r="AI476" s="467"/>
      <c r="AJ476" s="467"/>
      <c r="AK476" s="467"/>
      <c r="AL476" s="467"/>
      <c r="AM476" s="467"/>
      <c r="AN476" s="467"/>
      <c r="AO476" s="467"/>
      <c r="AP476" s="467"/>
      <c r="AQ476" s="467"/>
      <c r="AR476" s="467"/>
      <c r="AS476" s="467"/>
      <c r="AT476" s="467"/>
      <c r="AU476" s="467"/>
      <c r="AV476" s="467"/>
      <c r="AW476" s="467"/>
      <c r="AX476" s="467"/>
      <c r="AY476" s="467"/>
      <c r="AZ476" s="467"/>
      <c r="BA476" s="467"/>
      <c r="BB476" s="467"/>
      <c r="BC476" s="467"/>
      <c r="BD476" s="467"/>
      <c r="BE476" s="467"/>
      <c r="BF476" s="467"/>
      <c r="BG476" s="467"/>
      <c r="BH476" s="467"/>
      <c r="BI476" s="467"/>
      <c r="BJ476" s="467"/>
      <c r="BK476" s="467"/>
      <c r="BL476" s="467"/>
    </row>
    <row r="477" customFormat="false" ht="12.75" hidden="false" customHeight="false" outlineLevel="0" collapsed="false">
      <c r="A477" s="464"/>
      <c r="B477" s="467"/>
      <c r="C477" s="467"/>
      <c r="D477" s="467"/>
      <c r="E477" s="467"/>
      <c r="F477" s="467"/>
      <c r="G477" s="467"/>
      <c r="H477" s="467"/>
      <c r="I477" s="467"/>
      <c r="J477" s="467"/>
      <c r="K477" s="467"/>
      <c r="L477" s="467"/>
      <c r="M477" s="467"/>
      <c r="N477" s="467"/>
      <c r="O477" s="467"/>
      <c r="P477" s="467"/>
      <c r="Q477" s="467"/>
      <c r="R477" s="467"/>
      <c r="S477" s="467"/>
      <c r="T477" s="467"/>
      <c r="U477" s="467"/>
      <c r="V477" s="467"/>
      <c r="W477" s="467"/>
      <c r="X477" s="467"/>
      <c r="Y477" s="467"/>
      <c r="Z477" s="467"/>
      <c r="AA477" s="467"/>
      <c r="AB477" s="467"/>
      <c r="AC477" s="467"/>
      <c r="AD477" s="467"/>
      <c r="AE477" s="467"/>
      <c r="AF477" s="467"/>
      <c r="AG477" s="467"/>
      <c r="AH477" s="467"/>
      <c r="AI477" s="467"/>
      <c r="AJ477" s="467"/>
      <c r="AK477" s="467"/>
      <c r="AL477" s="467"/>
      <c r="AM477" s="467"/>
      <c r="AN477" s="467"/>
      <c r="AO477" s="467"/>
      <c r="AP477" s="467"/>
      <c r="AQ477" s="467"/>
      <c r="AR477" s="467"/>
      <c r="AS477" s="467"/>
      <c r="AT477" s="467"/>
      <c r="AU477" s="467"/>
      <c r="AV477" s="467"/>
      <c r="AW477" s="467"/>
      <c r="AX477" s="467"/>
      <c r="AY477" s="467"/>
      <c r="AZ477" s="467"/>
      <c r="BA477" s="467"/>
      <c r="BB477" s="467"/>
      <c r="BC477" s="467"/>
      <c r="BD477" s="467"/>
      <c r="BE477" s="467"/>
      <c r="BF477" s="467"/>
      <c r="BG477" s="467"/>
      <c r="BH477" s="467"/>
      <c r="BI477" s="467"/>
      <c r="BJ477" s="467"/>
      <c r="BK477" s="467"/>
      <c r="BL477" s="467"/>
    </row>
    <row r="478" customFormat="false" ht="12.75" hidden="false" customHeight="false" outlineLevel="0" collapsed="false">
      <c r="A478" s="464"/>
      <c r="B478" s="467"/>
      <c r="C478" s="467"/>
      <c r="D478" s="467"/>
      <c r="E478" s="467"/>
      <c r="F478" s="467"/>
      <c r="G478" s="467"/>
      <c r="H478" s="467"/>
      <c r="I478" s="467"/>
      <c r="J478" s="467"/>
      <c r="K478" s="467"/>
      <c r="L478" s="467"/>
      <c r="M478" s="467"/>
      <c r="N478" s="467"/>
      <c r="O478" s="467"/>
      <c r="P478" s="467"/>
      <c r="Q478" s="467"/>
      <c r="R478" s="467"/>
      <c r="S478" s="467"/>
      <c r="T478" s="467"/>
      <c r="U478" s="467"/>
      <c r="V478" s="467"/>
      <c r="W478" s="467"/>
      <c r="X478" s="467"/>
      <c r="Y478" s="467"/>
      <c r="Z478" s="467"/>
      <c r="AA478" s="467"/>
      <c r="AB478" s="467"/>
      <c r="AC478" s="467"/>
      <c r="AD478" s="467"/>
      <c r="AE478" s="467"/>
      <c r="AF478" s="467"/>
      <c r="AG478" s="467"/>
      <c r="AH478" s="467"/>
      <c r="AI478" s="467"/>
      <c r="AJ478" s="467"/>
      <c r="AK478" s="467"/>
      <c r="AL478" s="467"/>
      <c r="AM478" s="467"/>
      <c r="AN478" s="467"/>
      <c r="AO478" s="467"/>
      <c r="AP478" s="467"/>
      <c r="AQ478" s="467"/>
      <c r="AR478" s="467"/>
      <c r="AS478" s="467"/>
      <c r="AT478" s="467"/>
      <c r="AU478" s="467"/>
      <c r="AV478" s="467"/>
      <c r="AW478" s="467"/>
      <c r="AX478" s="467"/>
      <c r="AY478" s="467"/>
      <c r="AZ478" s="467"/>
      <c r="BA478" s="467"/>
      <c r="BB478" s="467"/>
      <c r="BC478" s="467"/>
      <c r="BD478" s="467"/>
      <c r="BE478" s="467"/>
      <c r="BF478" s="467"/>
      <c r="BG478" s="467"/>
      <c r="BH478" s="467"/>
      <c r="BI478" s="467"/>
      <c r="BJ478" s="467"/>
      <c r="BK478" s="467"/>
      <c r="BL478" s="467"/>
    </row>
    <row r="479" customFormat="false" ht="12.75" hidden="false" customHeight="false" outlineLevel="0" collapsed="false">
      <c r="A479" s="464"/>
      <c r="B479" s="467"/>
      <c r="C479" s="467"/>
      <c r="D479" s="467"/>
      <c r="E479" s="467"/>
      <c r="F479" s="467"/>
      <c r="G479" s="467"/>
      <c r="H479" s="467"/>
      <c r="I479" s="467"/>
      <c r="J479" s="467"/>
      <c r="K479" s="467"/>
      <c r="L479" s="467"/>
      <c r="M479" s="467"/>
      <c r="N479" s="467"/>
      <c r="O479" s="467"/>
      <c r="P479" s="467"/>
      <c r="Q479" s="467"/>
      <c r="R479" s="467"/>
      <c r="S479" s="467"/>
      <c r="T479" s="467"/>
      <c r="U479" s="467"/>
      <c r="V479" s="467"/>
      <c r="W479" s="467"/>
      <c r="X479" s="467"/>
      <c r="Y479" s="467"/>
      <c r="Z479" s="467"/>
      <c r="AA479" s="467"/>
      <c r="AB479" s="467"/>
      <c r="AC479" s="467"/>
      <c r="AD479" s="467"/>
      <c r="AE479" s="467"/>
      <c r="AF479" s="467"/>
      <c r="AG479" s="467"/>
      <c r="AH479" s="467"/>
      <c r="AI479" s="467"/>
      <c r="AJ479" s="467"/>
      <c r="AK479" s="467"/>
      <c r="AL479" s="467"/>
      <c r="AM479" s="467"/>
      <c r="AN479" s="467"/>
      <c r="AO479" s="467"/>
      <c r="AP479" s="467"/>
      <c r="AQ479" s="467"/>
      <c r="AR479" s="467"/>
      <c r="AS479" s="467"/>
      <c r="AT479" s="467"/>
      <c r="AU479" s="467"/>
      <c r="AV479" s="467"/>
      <c r="AW479" s="467"/>
      <c r="AX479" s="467"/>
      <c r="AY479" s="467"/>
      <c r="AZ479" s="467"/>
      <c r="BA479" s="467"/>
      <c r="BB479" s="467"/>
      <c r="BC479" s="467"/>
      <c r="BD479" s="467"/>
      <c r="BE479" s="467"/>
      <c r="BF479" s="467"/>
      <c r="BG479" s="467"/>
      <c r="BH479" s="467"/>
      <c r="BI479" s="467"/>
      <c r="BJ479" s="467"/>
      <c r="BK479" s="467"/>
      <c r="BL479" s="467"/>
    </row>
    <row r="480" customFormat="false" ht="12.75" hidden="false" customHeight="false" outlineLevel="0" collapsed="false">
      <c r="A480" s="464"/>
      <c r="B480" s="467"/>
      <c r="C480" s="467"/>
      <c r="D480" s="467"/>
      <c r="E480" s="467"/>
      <c r="F480" s="467"/>
      <c r="G480" s="467"/>
      <c r="H480" s="467"/>
      <c r="I480" s="467"/>
      <c r="J480" s="467"/>
      <c r="K480" s="467"/>
      <c r="L480" s="467"/>
      <c r="M480" s="467"/>
      <c r="N480" s="467"/>
      <c r="O480" s="467"/>
      <c r="P480" s="467"/>
      <c r="Q480" s="467"/>
      <c r="R480" s="467"/>
      <c r="S480" s="467"/>
      <c r="T480" s="467"/>
      <c r="U480" s="467"/>
      <c r="V480" s="467"/>
      <c r="W480" s="467"/>
      <c r="X480" s="467"/>
      <c r="Y480" s="467"/>
      <c r="Z480" s="467"/>
      <c r="AA480" s="467"/>
      <c r="AB480" s="467"/>
      <c r="AC480" s="467"/>
      <c r="AD480" s="467"/>
      <c r="AE480" s="467"/>
      <c r="AF480" s="467"/>
      <c r="AG480" s="467"/>
      <c r="AH480" s="467"/>
      <c r="AI480" s="467"/>
      <c r="AJ480" s="467"/>
      <c r="AK480" s="467"/>
      <c r="AL480" s="467"/>
      <c r="AM480" s="467"/>
      <c r="AN480" s="467"/>
      <c r="AO480" s="467"/>
      <c r="AP480" s="467"/>
      <c r="AQ480" s="467"/>
      <c r="AR480" s="467"/>
      <c r="AS480" s="467"/>
      <c r="AT480" s="467"/>
      <c r="AU480" s="467"/>
      <c r="AV480" s="467"/>
      <c r="AW480" s="467"/>
      <c r="AX480" s="467"/>
      <c r="AY480" s="467"/>
      <c r="AZ480" s="467"/>
      <c r="BA480" s="467"/>
      <c r="BB480" s="467"/>
      <c r="BC480" s="467"/>
      <c r="BD480" s="467"/>
      <c r="BE480" s="467"/>
      <c r="BF480" s="467"/>
      <c r="BG480" s="467"/>
      <c r="BH480" s="467"/>
      <c r="BI480" s="467"/>
      <c r="BJ480" s="467"/>
      <c r="BK480" s="467"/>
      <c r="BL480" s="467"/>
    </row>
    <row r="481" customFormat="false" ht="12.75" hidden="false" customHeight="false" outlineLevel="0" collapsed="false">
      <c r="A481" s="464"/>
      <c r="B481" s="467"/>
      <c r="C481" s="467"/>
      <c r="D481" s="467"/>
      <c r="E481" s="467"/>
      <c r="F481" s="467"/>
      <c r="G481" s="467"/>
      <c r="H481" s="467"/>
      <c r="I481" s="467"/>
      <c r="J481" s="467"/>
      <c r="K481" s="467"/>
      <c r="L481" s="467"/>
      <c r="M481" s="467"/>
      <c r="N481" s="467"/>
      <c r="O481" s="467"/>
      <c r="P481" s="467"/>
      <c r="Q481" s="467"/>
      <c r="R481" s="467"/>
      <c r="S481" s="467"/>
      <c r="T481" s="467"/>
      <c r="U481" s="467"/>
      <c r="V481" s="467"/>
      <c r="W481" s="467"/>
      <c r="X481" s="467"/>
      <c r="Y481" s="467"/>
      <c r="Z481" s="467"/>
      <c r="AA481" s="467"/>
      <c r="AB481" s="467"/>
      <c r="AC481" s="467"/>
      <c r="AD481" s="467"/>
      <c r="AE481" s="467"/>
      <c r="AF481" s="467"/>
      <c r="AG481" s="467"/>
      <c r="AH481" s="467"/>
      <c r="AI481" s="467"/>
      <c r="AJ481" s="467"/>
      <c r="AK481" s="467"/>
      <c r="AL481" s="467"/>
      <c r="AM481" s="467"/>
      <c r="AN481" s="467"/>
      <c r="AO481" s="467"/>
      <c r="AP481" s="467"/>
      <c r="AQ481" s="467"/>
      <c r="AR481" s="467"/>
      <c r="AS481" s="467"/>
      <c r="AT481" s="467"/>
      <c r="AU481" s="467"/>
      <c r="AV481" s="467"/>
      <c r="AW481" s="467"/>
      <c r="AX481" s="467"/>
      <c r="AY481" s="467"/>
      <c r="AZ481" s="467"/>
      <c r="BA481" s="467"/>
      <c r="BB481" s="467"/>
      <c r="BC481" s="467"/>
      <c r="BD481" s="467"/>
      <c r="BE481" s="467"/>
      <c r="BF481" s="467"/>
      <c r="BG481" s="467"/>
      <c r="BH481" s="467"/>
      <c r="BI481" s="467"/>
      <c r="BJ481" s="467"/>
      <c r="BK481" s="467"/>
      <c r="BL481" s="467"/>
    </row>
    <row r="482" customFormat="false" ht="12.75" hidden="false" customHeight="false" outlineLevel="0" collapsed="false">
      <c r="A482" s="464"/>
      <c r="B482" s="467"/>
      <c r="C482" s="467"/>
      <c r="D482" s="467"/>
      <c r="E482" s="467"/>
      <c r="F482" s="467"/>
      <c r="G482" s="467"/>
      <c r="H482" s="467"/>
      <c r="I482" s="467"/>
      <c r="J482" s="467"/>
      <c r="K482" s="467"/>
      <c r="L482" s="467"/>
      <c r="M482" s="467"/>
      <c r="N482" s="467"/>
      <c r="O482" s="467"/>
      <c r="P482" s="467"/>
      <c r="Q482" s="467"/>
      <c r="R482" s="467"/>
      <c r="S482" s="467"/>
      <c r="T482" s="467"/>
      <c r="U482" s="467"/>
      <c r="V482" s="467"/>
      <c r="W482" s="467"/>
      <c r="X482" s="467"/>
      <c r="Y482" s="467"/>
      <c r="Z482" s="467"/>
      <c r="AA482" s="467"/>
      <c r="AB482" s="467"/>
      <c r="AC482" s="467"/>
      <c r="AD482" s="467"/>
      <c r="AE482" s="467"/>
      <c r="AF482" s="467"/>
      <c r="AG482" s="467"/>
      <c r="AH482" s="467"/>
      <c r="AI482" s="467"/>
      <c r="AJ482" s="467"/>
      <c r="AK482" s="467"/>
      <c r="AL482" s="467"/>
      <c r="AM482" s="467"/>
      <c r="AN482" s="467"/>
      <c r="AO482" s="467"/>
      <c r="AP482" s="467"/>
      <c r="AQ482" s="467"/>
      <c r="AR482" s="467"/>
      <c r="AS482" s="467"/>
      <c r="AT482" s="467"/>
      <c r="AU482" s="467"/>
      <c r="AV482" s="467"/>
      <c r="AW482" s="467"/>
      <c r="AX482" s="467"/>
      <c r="AY482" s="467"/>
      <c r="AZ482" s="467"/>
      <c r="BA482" s="467"/>
      <c r="BB482" s="467"/>
      <c r="BC482" s="467"/>
      <c r="BD482" s="467"/>
      <c r="BE482" s="467"/>
      <c r="BF482" s="467"/>
      <c r="BG482" s="467"/>
      <c r="BH482" s="467"/>
      <c r="BI482" s="467"/>
      <c r="BJ482" s="467"/>
      <c r="BK482" s="467"/>
      <c r="BL482" s="467"/>
    </row>
    <row r="483" customFormat="false" ht="12.75" hidden="false" customHeight="false" outlineLevel="0" collapsed="false">
      <c r="A483" s="464"/>
      <c r="B483" s="467"/>
      <c r="C483" s="467"/>
      <c r="D483" s="467"/>
      <c r="E483" s="467"/>
      <c r="F483" s="467"/>
      <c r="G483" s="467"/>
      <c r="H483" s="467"/>
      <c r="I483" s="467"/>
      <c r="J483" s="467"/>
      <c r="K483" s="467"/>
      <c r="L483" s="467"/>
      <c r="M483" s="467"/>
      <c r="N483" s="467"/>
      <c r="O483" s="467"/>
      <c r="P483" s="467"/>
      <c r="Q483" s="467"/>
      <c r="R483" s="467"/>
      <c r="S483" s="467"/>
      <c r="T483" s="467"/>
      <c r="U483" s="467"/>
      <c r="V483" s="467"/>
      <c r="W483" s="467"/>
      <c r="X483" s="467"/>
      <c r="Y483" s="467"/>
      <c r="Z483" s="467"/>
      <c r="AA483" s="467"/>
      <c r="AB483" s="467"/>
      <c r="AC483" s="467"/>
      <c r="AD483" s="467"/>
      <c r="AE483" s="467"/>
      <c r="AF483" s="467"/>
      <c r="AG483" s="467"/>
      <c r="AH483" s="467"/>
      <c r="AI483" s="467"/>
      <c r="AJ483" s="467"/>
      <c r="AK483" s="467"/>
      <c r="AL483" s="467"/>
      <c r="AM483" s="467"/>
      <c r="AN483" s="467"/>
      <c r="AO483" s="467"/>
      <c r="AP483" s="467"/>
      <c r="AQ483" s="467"/>
      <c r="AR483" s="467"/>
      <c r="AS483" s="467"/>
      <c r="AT483" s="467"/>
      <c r="AU483" s="467"/>
      <c r="AV483" s="467"/>
      <c r="AW483" s="467"/>
      <c r="AX483" s="467"/>
      <c r="AY483" s="467"/>
      <c r="AZ483" s="467"/>
      <c r="BA483" s="467"/>
      <c r="BB483" s="467"/>
      <c r="BC483" s="467"/>
      <c r="BD483" s="467"/>
      <c r="BE483" s="467"/>
      <c r="BF483" s="467"/>
      <c r="BG483" s="467"/>
      <c r="BH483" s="467"/>
      <c r="BI483" s="467"/>
      <c r="BJ483" s="467"/>
      <c r="BK483" s="467"/>
      <c r="BL483" s="467"/>
    </row>
    <row r="484" customFormat="false" ht="12.75" hidden="false" customHeight="false" outlineLevel="0" collapsed="false">
      <c r="A484" s="464"/>
      <c r="B484" s="467"/>
      <c r="C484" s="467"/>
      <c r="D484" s="467"/>
      <c r="E484" s="467"/>
      <c r="F484" s="467"/>
      <c r="G484" s="467"/>
      <c r="H484" s="467"/>
      <c r="I484" s="467"/>
      <c r="J484" s="467"/>
      <c r="K484" s="467"/>
      <c r="L484" s="467"/>
      <c r="M484" s="467"/>
      <c r="N484" s="467"/>
      <c r="O484" s="467"/>
      <c r="P484" s="467"/>
      <c r="Q484" s="467"/>
      <c r="R484" s="467"/>
      <c r="S484" s="467"/>
      <c r="T484" s="467"/>
      <c r="U484" s="467"/>
      <c r="V484" s="467"/>
      <c r="W484" s="467"/>
      <c r="X484" s="467"/>
      <c r="Y484" s="467"/>
      <c r="Z484" s="467"/>
      <c r="AA484" s="467"/>
      <c r="AB484" s="467"/>
      <c r="AC484" s="467"/>
      <c r="AD484" s="467"/>
      <c r="AE484" s="467"/>
      <c r="AF484" s="467"/>
      <c r="AG484" s="467"/>
      <c r="AH484" s="467"/>
      <c r="AI484" s="467"/>
      <c r="AJ484" s="467"/>
      <c r="AK484" s="467"/>
      <c r="AL484" s="467"/>
      <c r="AM484" s="467"/>
      <c r="AN484" s="467"/>
      <c r="AO484" s="467"/>
      <c r="AP484" s="467"/>
      <c r="AQ484" s="467"/>
      <c r="AR484" s="467"/>
      <c r="AS484" s="467"/>
      <c r="AT484" s="467"/>
      <c r="AU484" s="467"/>
      <c r="AV484" s="467"/>
      <c r="AW484" s="467"/>
      <c r="AX484" s="467"/>
      <c r="AY484" s="467"/>
      <c r="AZ484" s="467"/>
      <c r="BA484" s="467"/>
      <c r="BB484" s="467"/>
      <c r="BC484" s="467"/>
      <c r="BD484" s="467"/>
      <c r="BE484" s="467"/>
      <c r="BF484" s="467"/>
      <c r="BG484" s="467"/>
      <c r="BH484" s="467"/>
      <c r="BI484" s="467"/>
      <c r="BJ484" s="467"/>
      <c r="BK484" s="467"/>
      <c r="BL484" s="467"/>
    </row>
    <row r="485" customFormat="false" ht="12.75" hidden="false" customHeight="false" outlineLevel="0" collapsed="false">
      <c r="A485" s="464"/>
      <c r="B485" s="467"/>
      <c r="C485" s="467"/>
      <c r="D485" s="467"/>
      <c r="E485" s="467"/>
      <c r="F485" s="467"/>
      <c r="G485" s="467"/>
      <c r="H485" s="467"/>
      <c r="I485" s="467"/>
      <c r="J485" s="467"/>
      <c r="K485" s="467"/>
      <c r="L485" s="467"/>
      <c r="M485" s="467"/>
      <c r="N485" s="467"/>
      <c r="O485" s="467"/>
      <c r="P485" s="467"/>
      <c r="Q485" s="467"/>
      <c r="R485" s="467"/>
      <c r="S485" s="467"/>
      <c r="T485" s="467"/>
      <c r="U485" s="467"/>
      <c r="V485" s="467"/>
      <c r="W485" s="467"/>
      <c r="X485" s="467"/>
      <c r="Y485" s="467"/>
      <c r="Z485" s="467"/>
      <c r="AA485" s="467"/>
      <c r="AB485" s="467"/>
      <c r="AC485" s="467"/>
      <c r="AD485" s="467"/>
      <c r="AE485" s="467"/>
      <c r="AF485" s="467"/>
      <c r="AG485" s="467"/>
      <c r="AH485" s="467"/>
      <c r="AI485" s="467"/>
      <c r="AJ485" s="467"/>
      <c r="AK485" s="467"/>
      <c r="AL485" s="467"/>
      <c r="AM485" s="467"/>
      <c r="AN485" s="467"/>
      <c r="AO485" s="467"/>
      <c r="AP485" s="467"/>
      <c r="AQ485" s="467"/>
      <c r="AR485" s="467"/>
      <c r="AS485" s="467"/>
      <c r="AT485" s="467"/>
      <c r="AU485" s="467"/>
      <c r="AV485" s="467"/>
      <c r="AW485" s="467"/>
      <c r="AX485" s="467"/>
      <c r="AY485" s="467"/>
      <c r="AZ485" s="467"/>
      <c r="BA485" s="467"/>
      <c r="BB485" s="467"/>
      <c r="BC485" s="467"/>
      <c r="BD485" s="467"/>
      <c r="BE485" s="467"/>
      <c r="BF485" s="467"/>
      <c r="BG485" s="467"/>
      <c r="BH485" s="467"/>
      <c r="BI485" s="467"/>
      <c r="BJ485" s="467"/>
      <c r="BK485" s="467"/>
      <c r="BL485" s="467"/>
    </row>
    <row r="486" customFormat="false" ht="12.75" hidden="false" customHeight="false" outlineLevel="0" collapsed="false">
      <c r="A486" s="464"/>
      <c r="B486" s="467"/>
      <c r="C486" s="467"/>
      <c r="D486" s="467"/>
      <c r="E486" s="467"/>
      <c r="F486" s="467"/>
      <c r="G486" s="467"/>
      <c r="H486" s="467"/>
      <c r="I486" s="467"/>
      <c r="J486" s="467"/>
      <c r="K486" s="467"/>
      <c r="L486" s="467"/>
      <c r="M486" s="467"/>
      <c r="N486" s="467"/>
      <c r="O486" s="467"/>
      <c r="P486" s="467"/>
      <c r="Q486" s="467"/>
      <c r="R486" s="467"/>
      <c r="S486" s="467"/>
      <c r="T486" s="467"/>
      <c r="U486" s="467"/>
      <c r="V486" s="467"/>
      <c r="W486" s="467"/>
      <c r="X486" s="467"/>
      <c r="Y486" s="467"/>
      <c r="Z486" s="467"/>
      <c r="AA486" s="467"/>
      <c r="AB486" s="467"/>
      <c r="AC486" s="467"/>
      <c r="AD486" s="467"/>
      <c r="AE486" s="467"/>
      <c r="AF486" s="467"/>
      <c r="AG486" s="467"/>
      <c r="AH486" s="467"/>
      <c r="AI486" s="467"/>
      <c r="AJ486" s="467"/>
      <c r="AK486" s="467"/>
      <c r="AL486" s="467"/>
      <c r="AM486" s="467"/>
      <c r="AN486" s="467"/>
      <c r="AO486" s="467"/>
      <c r="AP486" s="467"/>
      <c r="AQ486" s="467"/>
      <c r="AR486" s="467"/>
      <c r="AS486" s="467"/>
      <c r="AT486" s="467"/>
      <c r="AU486" s="467"/>
      <c r="AV486" s="467"/>
      <c r="AW486" s="467"/>
      <c r="AX486" s="467"/>
      <c r="AY486" s="467"/>
      <c r="AZ486" s="467"/>
      <c r="BA486" s="467"/>
      <c r="BB486" s="467"/>
      <c r="BC486" s="467"/>
      <c r="BD486" s="467"/>
      <c r="BE486" s="467"/>
      <c r="BF486" s="467"/>
      <c r="BG486" s="467"/>
      <c r="BH486" s="467"/>
      <c r="BI486" s="467"/>
      <c r="BJ486" s="467"/>
      <c r="BK486" s="467"/>
      <c r="BL486" s="467"/>
    </row>
    <row r="487" customFormat="false" ht="12.75" hidden="false" customHeight="false" outlineLevel="0" collapsed="false">
      <c r="A487" s="464"/>
      <c r="B487" s="467"/>
      <c r="C487" s="467"/>
      <c r="D487" s="467"/>
      <c r="E487" s="467"/>
      <c r="F487" s="467"/>
      <c r="G487" s="467"/>
      <c r="H487" s="467"/>
      <c r="I487" s="467"/>
      <c r="J487" s="467"/>
      <c r="K487" s="467"/>
      <c r="L487" s="467"/>
      <c r="M487" s="467"/>
      <c r="N487" s="467"/>
      <c r="O487" s="467"/>
      <c r="P487" s="467"/>
      <c r="Q487" s="467"/>
      <c r="R487" s="467"/>
      <c r="S487" s="467"/>
      <c r="T487" s="467"/>
      <c r="U487" s="467"/>
      <c r="V487" s="467"/>
      <c r="W487" s="467"/>
      <c r="X487" s="467"/>
      <c r="Y487" s="467"/>
      <c r="Z487" s="467"/>
      <c r="AA487" s="467"/>
      <c r="AB487" s="467"/>
      <c r="AC487" s="467"/>
      <c r="AD487" s="467"/>
      <c r="AE487" s="467"/>
      <c r="AF487" s="467"/>
      <c r="AG487" s="467"/>
      <c r="AH487" s="467"/>
      <c r="AI487" s="467"/>
      <c r="AJ487" s="467"/>
      <c r="AK487" s="467"/>
      <c r="AL487" s="467"/>
      <c r="AM487" s="467"/>
      <c r="AN487" s="467"/>
      <c r="AO487" s="467"/>
      <c r="AP487" s="467"/>
      <c r="AQ487" s="467"/>
      <c r="AR487" s="467"/>
      <c r="AS487" s="467"/>
      <c r="AT487" s="467"/>
      <c r="AU487" s="467"/>
      <c r="AV487" s="467"/>
      <c r="AW487" s="467"/>
      <c r="AX487" s="467"/>
      <c r="AY487" s="467"/>
      <c r="AZ487" s="467"/>
      <c r="BA487" s="467"/>
      <c r="BB487" s="467"/>
      <c r="BC487" s="467"/>
      <c r="BD487" s="467"/>
      <c r="BE487" s="467"/>
      <c r="BF487" s="467"/>
      <c r="BG487" s="467"/>
      <c r="BH487" s="467"/>
      <c r="BI487" s="467"/>
      <c r="BJ487" s="467"/>
      <c r="BK487" s="467"/>
      <c r="BL487" s="467"/>
    </row>
    <row r="488" customFormat="false" ht="12.75" hidden="false" customHeight="false" outlineLevel="0" collapsed="false">
      <c r="A488" s="464"/>
      <c r="B488" s="467"/>
      <c r="C488" s="467"/>
      <c r="D488" s="467"/>
      <c r="E488" s="467"/>
      <c r="F488" s="467"/>
      <c r="G488" s="467"/>
      <c r="H488" s="467"/>
      <c r="I488" s="467"/>
      <c r="J488" s="467"/>
      <c r="K488" s="467"/>
      <c r="L488" s="467"/>
      <c r="M488" s="467"/>
      <c r="N488" s="467"/>
      <c r="O488" s="467"/>
      <c r="P488" s="467"/>
      <c r="Q488" s="467"/>
      <c r="R488" s="467"/>
      <c r="S488" s="467"/>
      <c r="T488" s="467"/>
      <c r="U488" s="467"/>
      <c r="V488" s="467"/>
      <c r="W488" s="467"/>
      <c r="X488" s="467"/>
      <c r="Y488" s="467"/>
      <c r="Z488" s="467"/>
      <c r="AA488" s="467"/>
      <c r="AB488" s="467"/>
      <c r="AC488" s="467"/>
      <c r="AD488" s="467"/>
      <c r="AE488" s="467"/>
      <c r="AF488" s="467"/>
      <c r="AG488" s="467"/>
      <c r="AH488" s="467"/>
      <c r="AI488" s="467"/>
      <c r="AJ488" s="467"/>
      <c r="AK488" s="467"/>
      <c r="AL488" s="467"/>
      <c r="AM488" s="467"/>
      <c r="AN488" s="467"/>
      <c r="AO488" s="467"/>
      <c r="AP488" s="467"/>
      <c r="AQ488" s="467"/>
      <c r="AR488" s="467"/>
      <c r="AS488" s="467"/>
      <c r="AT488" s="467"/>
      <c r="AU488" s="467"/>
      <c r="AV488" s="467"/>
      <c r="AW488" s="467"/>
      <c r="AX488" s="467"/>
      <c r="AY488" s="467"/>
      <c r="AZ488" s="467"/>
      <c r="BA488" s="467"/>
      <c r="BB488" s="467"/>
      <c r="BC488" s="467"/>
      <c r="BD488" s="467"/>
      <c r="BE488" s="467"/>
      <c r="BF488" s="467"/>
      <c r="BG488" s="467"/>
      <c r="BH488" s="467"/>
      <c r="BI488" s="467"/>
      <c r="BJ488" s="467"/>
      <c r="BK488" s="467"/>
      <c r="BL488" s="467"/>
    </row>
    <row r="489" customFormat="false" ht="12.75" hidden="false" customHeight="false" outlineLevel="0" collapsed="false">
      <c r="A489" s="464"/>
      <c r="B489" s="467"/>
      <c r="C489" s="467"/>
      <c r="D489" s="467"/>
      <c r="E489" s="467"/>
      <c r="F489" s="467"/>
      <c r="G489" s="467"/>
      <c r="H489" s="467"/>
      <c r="I489" s="467"/>
      <c r="J489" s="467"/>
      <c r="K489" s="467"/>
      <c r="L489" s="467"/>
      <c r="M489" s="467"/>
      <c r="N489" s="467"/>
      <c r="O489" s="467"/>
      <c r="P489" s="467"/>
      <c r="Q489" s="467"/>
      <c r="R489" s="467"/>
      <c r="S489" s="467"/>
      <c r="T489" s="467"/>
      <c r="U489" s="467"/>
      <c r="V489" s="467"/>
      <c r="W489" s="467"/>
      <c r="X489" s="467"/>
      <c r="Y489" s="467"/>
      <c r="Z489" s="467"/>
      <c r="AA489" s="467"/>
      <c r="AB489" s="467"/>
      <c r="AC489" s="467"/>
      <c r="AD489" s="467"/>
      <c r="AE489" s="467"/>
      <c r="AF489" s="467"/>
      <c r="AG489" s="467"/>
      <c r="AH489" s="467"/>
      <c r="AI489" s="467"/>
      <c r="AJ489" s="467"/>
      <c r="AK489" s="467"/>
      <c r="AL489" s="467"/>
      <c r="AM489" s="467"/>
      <c r="AN489" s="467"/>
      <c r="AO489" s="467"/>
      <c r="AP489" s="467"/>
      <c r="AQ489" s="467"/>
      <c r="AR489" s="467"/>
      <c r="AS489" s="467"/>
      <c r="AT489" s="467"/>
      <c r="AU489" s="467"/>
      <c r="AV489" s="467"/>
      <c r="AW489" s="467"/>
      <c r="AX489" s="467"/>
      <c r="AY489" s="467"/>
      <c r="AZ489" s="467"/>
      <c r="BA489" s="467"/>
      <c r="BB489" s="467"/>
      <c r="BC489" s="467"/>
      <c r="BD489" s="467"/>
      <c r="BE489" s="467"/>
      <c r="BF489" s="467"/>
      <c r="BG489" s="467"/>
      <c r="BH489" s="467"/>
      <c r="BI489" s="467"/>
      <c r="BJ489" s="467"/>
      <c r="BK489" s="467"/>
      <c r="BL489" s="467"/>
    </row>
    <row r="490" customFormat="false" ht="12.75" hidden="false" customHeight="false" outlineLevel="0" collapsed="false">
      <c r="A490" s="464"/>
      <c r="B490" s="467"/>
      <c r="C490" s="467"/>
      <c r="D490" s="467"/>
      <c r="E490" s="467"/>
      <c r="F490" s="467"/>
      <c r="G490" s="467"/>
      <c r="H490" s="467"/>
      <c r="I490" s="467"/>
      <c r="J490" s="467"/>
      <c r="K490" s="467"/>
      <c r="L490" s="467"/>
      <c r="M490" s="467"/>
      <c r="N490" s="467"/>
      <c r="O490" s="467"/>
      <c r="P490" s="467"/>
      <c r="Q490" s="467"/>
      <c r="R490" s="467"/>
      <c r="S490" s="467"/>
      <c r="T490" s="467"/>
      <c r="U490" s="467"/>
      <c r="V490" s="467"/>
      <c r="W490" s="467"/>
      <c r="X490" s="467"/>
      <c r="Y490" s="467"/>
      <c r="Z490" s="467"/>
      <c r="AA490" s="467"/>
      <c r="AB490" s="467"/>
      <c r="AC490" s="467"/>
      <c r="AD490" s="467"/>
      <c r="AE490" s="467"/>
      <c r="AF490" s="467"/>
      <c r="AG490" s="467"/>
      <c r="AH490" s="467"/>
      <c r="AI490" s="467"/>
      <c r="AJ490" s="467"/>
      <c r="AK490" s="467"/>
      <c r="AL490" s="467"/>
      <c r="AM490" s="467"/>
      <c r="AN490" s="467"/>
      <c r="AO490" s="467"/>
      <c r="AP490" s="467"/>
      <c r="AQ490" s="467"/>
      <c r="AR490" s="467"/>
      <c r="AS490" s="467"/>
      <c r="AT490" s="467"/>
      <c r="AU490" s="467"/>
      <c r="AV490" s="467"/>
      <c r="AW490" s="467"/>
      <c r="AX490" s="467"/>
      <c r="AY490" s="467"/>
      <c r="AZ490" s="467"/>
      <c r="BA490" s="467"/>
      <c r="BB490" s="467"/>
      <c r="BC490" s="467"/>
      <c r="BD490" s="467"/>
      <c r="BE490" s="467"/>
      <c r="BF490" s="467"/>
      <c r="BG490" s="467"/>
      <c r="BH490" s="467"/>
      <c r="BI490" s="467"/>
      <c r="BJ490" s="467"/>
      <c r="BK490" s="467"/>
      <c r="BL490" s="467"/>
    </row>
    <row r="491" customFormat="false" ht="12.75" hidden="false" customHeight="false" outlineLevel="0" collapsed="false">
      <c r="A491" s="464"/>
      <c r="B491" s="467"/>
      <c r="C491" s="467"/>
      <c r="D491" s="467"/>
      <c r="E491" s="467"/>
      <c r="F491" s="467"/>
      <c r="G491" s="467"/>
      <c r="H491" s="467"/>
      <c r="I491" s="467"/>
      <c r="J491" s="467"/>
      <c r="K491" s="467"/>
      <c r="L491" s="467"/>
      <c r="M491" s="467"/>
      <c r="N491" s="467"/>
      <c r="O491" s="467"/>
      <c r="P491" s="467"/>
      <c r="Q491" s="467"/>
      <c r="R491" s="467"/>
      <c r="S491" s="467"/>
      <c r="T491" s="467"/>
      <c r="U491" s="467"/>
      <c r="V491" s="467"/>
      <c r="W491" s="467"/>
      <c r="X491" s="467"/>
      <c r="Y491" s="467"/>
      <c r="Z491" s="467"/>
      <c r="AA491" s="467"/>
      <c r="AB491" s="467"/>
      <c r="AC491" s="467"/>
      <c r="AD491" s="467"/>
      <c r="AE491" s="467"/>
      <c r="AF491" s="467"/>
      <c r="AG491" s="467"/>
      <c r="AH491" s="467"/>
      <c r="AI491" s="467"/>
      <c r="AJ491" s="467"/>
      <c r="AK491" s="467"/>
      <c r="AL491" s="467"/>
      <c r="AM491" s="467"/>
      <c r="AN491" s="467"/>
      <c r="AO491" s="467"/>
      <c r="AP491" s="467"/>
      <c r="AQ491" s="467"/>
      <c r="AR491" s="467"/>
      <c r="AS491" s="467"/>
      <c r="AT491" s="467"/>
      <c r="AU491" s="467"/>
      <c r="AV491" s="467"/>
      <c r="AW491" s="467"/>
      <c r="AX491" s="467"/>
      <c r="AY491" s="467"/>
      <c r="AZ491" s="467"/>
      <c r="BA491" s="467"/>
      <c r="BB491" s="467"/>
      <c r="BC491" s="467"/>
      <c r="BD491" s="467"/>
      <c r="BE491" s="467"/>
      <c r="BF491" s="467"/>
      <c r="BG491" s="467"/>
      <c r="BH491" s="467"/>
      <c r="BI491" s="467"/>
      <c r="BJ491" s="467"/>
      <c r="BK491" s="467"/>
      <c r="BL491" s="467"/>
    </row>
    <row r="492" customFormat="false" ht="12.75" hidden="false" customHeight="false" outlineLevel="0" collapsed="false">
      <c r="A492" s="464"/>
      <c r="B492" s="467"/>
      <c r="C492" s="467"/>
      <c r="D492" s="467"/>
      <c r="E492" s="467"/>
      <c r="F492" s="467"/>
      <c r="G492" s="467"/>
      <c r="H492" s="467"/>
      <c r="I492" s="467"/>
      <c r="J492" s="467"/>
      <c r="K492" s="467"/>
      <c r="L492" s="467"/>
      <c r="M492" s="467"/>
      <c r="N492" s="467"/>
      <c r="O492" s="467"/>
      <c r="P492" s="467"/>
      <c r="Q492" s="467"/>
      <c r="R492" s="467"/>
      <c r="S492" s="467"/>
      <c r="T492" s="467"/>
      <c r="U492" s="467"/>
      <c r="V492" s="467"/>
      <c r="W492" s="467"/>
      <c r="X492" s="467"/>
      <c r="Y492" s="467"/>
      <c r="Z492" s="467"/>
      <c r="AA492" s="467"/>
      <c r="AB492" s="467"/>
      <c r="AC492" s="467"/>
      <c r="AD492" s="467"/>
      <c r="AE492" s="467"/>
      <c r="AF492" s="467"/>
      <c r="AG492" s="467"/>
      <c r="AH492" s="467"/>
      <c r="AI492" s="467"/>
      <c r="AJ492" s="467"/>
      <c r="AK492" s="467"/>
      <c r="AL492" s="467"/>
      <c r="AM492" s="467"/>
      <c r="AN492" s="467"/>
      <c r="AO492" s="467"/>
      <c r="AP492" s="467"/>
      <c r="AQ492" s="467"/>
      <c r="AR492" s="467"/>
      <c r="AS492" s="467"/>
      <c r="AT492" s="467"/>
      <c r="AU492" s="467"/>
      <c r="AV492" s="467"/>
      <c r="AW492" s="467"/>
      <c r="AX492" s="467"/>
      <c r="AY492" s="467"/>
      <c r="AZ492" s="467"/>
      <c r="BA492" s="467"/>
      <c r="BB492" s="467"/>
      <c r="BC492" s="467"/>
      <c r="BD492" s="467"/>
      <c r="BE492" s="467"/>
      <c r="BF492" s="467"/>
      <c r="BG492" s="467"/>
      <c r="BH492" s="467"/>
      <c r="BI492" s="467"/>
      <c r="BJ492" s="467"/>
      <c r="BK492" s="467"/>
      <c r="BL492" s="467"/>
    </row>
    <row r="493" customFormat="false" ht="12.75" hidden="false" customHeight="false" outlineLevel="0" collapsed="false">
      <c r="A493" s="464"/>
      <c r="B493" s="467"/>
      <c r="C493" s="467"/>
      <c r="D493" s="467"/>
      <c r="E493" s="467"/>
      <c r="F493" s="467"/>
      <c r="G493" s="467"/>
      <c r="H493" s="467"/>
      <c r="I493" s="467"/>
      <c r="J493" s="467"/>
      <c r="K493" s="467"/>
      <c r="L493" s="467"/>
      <c r="M493" s="467"/>
      <c r="N493" s="467"/>
      <c r="O493" s="467"/>
      <c r="P493" s="467"/>
      <c r="Q493" s="467"/>
      <c r="R493" s="467"/>
      <c r="S493" s="467"/>
      <c r="T493" s="467"/>
      <c r="U493" s="467"/>
      <c r="V493" s="467"/>
      <c r="W493" s="467"/>
      <c r="X493" s="467"/>
      <c r="Y493" s="467"/>
      <c r="Z493" s="467"/>
      <c r="AA493" s="467"/>
      <c r="AB493" s="467"/>
      <c r="AC493" s="467"/>
      <c r="AD493" s="467"/>
      <c r="AE493" s="467"/>
      <c r="AF493" s="467"/>
      <c r="AG493" s="467"/>
      <c r="AH493" s="467"/>
      <c r="AI493" s="467"/>
      <c r="AJ493" s="467"/>
      <c r="AK493" s="467"/>
      <c r="AL493" s="467"/>
      <c r="AM493" s="467"/>
      <c r="AN493" s="467"/>
      <c r="AO493" s="467"/>
      <c r="AP493" s="467"/>
      <c r="AQ493" s="467"/>
      <c r="AR493" s="467"/>
      <c r="AS493" s="467"/>
      <c r="AT493" s="467"/>
      <c r="AU493" s="467"/>
      <c r="AV493" s="467"/>
      <c r="AW493" s="467"/>
      <c r="AX493" s="467"/>
      <c r="AY493" s="467"/>
      <c r="AZ493" s="467"/>
      <c r="BA493" s="467"/>
      <c r="BB493" s="467"/>
      <c r="BC493" s="467"/>
      <c r="BD493" s="467"/>
      <c r="BE493" s="467"/>
      <c r="BF493" s="467"/>
      <c r="BG493" s="467"/>
      <c r="BH493" s="467"/>
      <c r="BI493" s="467"/>
      <c r="BJ493" s="467"/>
      <c r="BK493" s="467"/>
      <c r="BL493" s="467"/>
    </row>
    <row r="494" customFormat="false" ht="12.75" hidden="false" customHeight="false" outlineLevel="0" collapsed="false">
      <c r="A494" s="464"/>
      <c r="B494" s="467"/>
      <c r="C494" s="467"/>
      <c r="D494" s="467"/>
      <c r="E494" s="467"/>
      <c r="F494" s="467"/>
      <c r="G494" s="467"/>
      <c r="H494" s="467"/>
      <c r="I494" s="467"/>
      <c r="J494" s="467"/>
      <c r="K494" s="467"/>
      <c r="L494" s="467"/>
      <c r="M494" s="467"/>
      <c r="N494" s="467"/>
      <c r="O494" s="467"/>
      <c r="P494" s="467"/>
      <c r="Q494" s="467"/>
      <c r="R494" s="467"/>
      <c r="S494" s="467"/>
      <c r="T494" s="467"/>
      <c r="U494" s="467"/>
      <c r="V494" s="467"/>
      <c r="W494" s="467"/>
      <c r="X494" s="467"/>
      <c r="Y494" s="467"/>
      <c r="Z494" s="467"/>
      <c r="AA494" s="467"/>
      <c r="AB494" s="467"/>
      <c r="AC494" s="467"/>
      <c r="AD494" s="467"/>
      <c r="AE494" s="467"/>
      <c r="AF494" s="467"/>
      <c r="AG494" s="467"/>
      <c r="AH494" s="467"/>
      <c r="AI494" s="467"/>
      <c r="AJ494" s="467"/>
      <c r="AK494" s="467"/>
      <c r="AL494" s="467"/>
      <c r="AM494" s="467"/>
      <c r="AN494" s="467"/>
      <c r="AO494" s="467"/>
      <c r="AP494" s="467"/>
      <c r="AQ494" s="467"/>
      <c r="AR494" s="467"/>
      <c r="AS494" s="467"/>
      <c r="AT494" s="467"/>
      <c r="AU494" s="467"/>
      <c r="AV494" s="467"/>
      <c r="AW494" s="467"/>
      <c r="AX494" s="467"/>
      <c r="AY494" s="467"/>
      <c r="AZ494" s="467"/>
      <c r="BA494" s="467"/>
      <c r="BB494" s="467"/>
      <c r="BC494" s="467"/>
      <c r="BD494" s="467"/>
      <c r="BE494" s="467"/>
      <c r="BF494" s="467"/>
      <c r="BG494" s="467"/>
      <c r="BH494" s="467"/>
      <c r="BI494" s="467"/>
      <c r="BJ494" s="467"/>
      <c r="BK494" s="467"/>
      <c r="BL494" s="467"/>
    </row>
    <row r="495" customFormat="false" ht="12.75" hidden="false" customHeight="false" outlineLevel="0" collapsed="false">
      <c r="A495" s="464"/>
      <c r="B495" s="467"/>
      <c r="C495" s="467"/>
      <c r="D495" s="467"/>
      <c r="E495" s="467"/>
      <c r="F495" s="467"/>
      <c r="G495" s="467"/>
      <c r="H495" s="467"/>
      <c r="I495" s="467"/>
      <c r="J495" s="467"/>
      <c r="K495" s="467"/>
      <c r="L495" s="467"/>
      <c r="M495" s="467"/>
      <c r="N495" s="467"/>
      <c r="O495" s="467"/>
      <c r="P495" s="467"/>
      <c r="Q495" s="467"/>
      <c r="R495" s="467"/>
      <c r="S495" s="467"/>
      <c r="T495" s="467"/>
      <c r="U495" s="467"/>
      <c r="V495" s="467"/>
      <c r="W495" s="467"/>
      <c r="X495" s="467"/>
      <c r="Y495" s="467"/>
      <c r="Z495" s="467"/>
      <c r="AA495" s="467"/>
      <c r="AB495" s="467"/>
      <c r="AC495" s="467"/>
      <c r="AD495" s="467"/>
      <c r="AE495" s="467"/>
      <c r="AF495" s="467"/>
      <c r="AG495" s="467"/>
      <c r="AH495" s="467"/>
      <c r="AI495" s="467"/>
      <c r="AJ495" s="467"/>
      <c r="AK495" s="467"/>
      <c r="AL495" s="467"/>
      <c r="AM495" s="467"/>
      <c r="AN495" s="467"/>
      <c r="AO495" s="467"/>
      <c r="AP495" s="467"/>
      <c r="AQ495" s="467"/>
      <c r="AR495" s="467"/>
      <c r="AS495" s="467"/>
      <c r="AT495" s="467"/>
      <c r="AU495" s="467"/>
      <c r="AV495" s="467"/>
      <c r="AW495" s="467"/>
      <c r="AX495" s="467"/>
      <c r="AY495" s="467"/>
      <c r="AZ495" s="467"/>
      <c r="BA495" s="467"/>
      <c r="BB495" s="467"/>
      <c r="BC495" s="467"/>
      <c r="BD495" s="467"/>
      <c r="BE495" s="467"/>
      <c r="BF495" s="467"/>
      <c r="BG495" s="467"/>
      <c r="BH495" s="467"/>
      <c r="BI495" s="467"/>
      <c r="BJ495" s="467"/>
      <c r="BK495" s="467"/>
      <c r="BL495" s="467"/>
    </row>
    <row r="496" customFormat="false" ht="12.75" hidden="false" customHeight="false" outlineLevel="0" collapsed="false">
      <c r="A496" s="464"/>
      <c r="B496" s="467"/>
      <c r="C496" s="467"/>
      <c r="D496" s="467"/>
      <c r="E496" s="467"/>
      <c r="F496" s="467"/>
      <c r="G496" s="467"/>
      <c r="H496" s="467"/>
      <c r="I496" s="467"/>
      <c r="J496" s="467"/>
      <c r="K496" s="467"/>
      <c r="L496" s="467"/>
      <c r="M496" s="467"/>
      <c r="N496" s="467"/>
      <c r="O496" s="467"/>
      <c r="P496" s="467"/>
      <c r="Q496" s="467"/>
      <c r="R496" s="467"/>
      <c r="S496" s="467"/>
      <c r="T496" s="467"/>
      <c r="U496" s="467"/>
      <c r="V496" s="467"/>
      <c r="W496" s="467"/>
      <c r="X496" s="467"/>
      <c r="Y496" s="467"/>
      <c r="Z496" s="467"/>
      <c r="AA496" s="467"/>
      <c r="AB496" s="467"/>
      <c r="AC496" s="467"/>
      <c r="AD496" s="467"/>
      <c r="AE496" s="467"/>
      <c r="AF496" s="467"/>
      <c r="AG496" s="467"/>
      <c r="AH496" s="467"/>
      <c r="AI496" s="467"/>
      <c r="AJ496" s="467"/>
      <c r="AK496" s="467"/>
      <c r="AL496" s="467"/>
      <c r="AM496" s="467"/>
      <c r="AN496" s="467"/>
      <c r="AO496" s="467"/>
      <c r="AP496" s="467"/>
      <c r="AQ496" s="467"/>
      <c r="AR496" s="467"/>
      <c r="AS496" s="467"/>
      <c r="AT496" s="467"/>
      <c r="AU496" s="467"/>
      <c r="AV496" s="467"/>
      <c r="AW496" s="467"/>
      <c r="AX496" s="467"/>
      <c r="AY496" s="467"/>
      <c r="AZ496" s="467"/>
      <c r="BA496" s="467"/>
      <c r="BB496" s="467"/>
      <c r="BC496" s="467"/>
      <c r="BD496" s="467"/>
      <c r="BE496" s="467"/>
      <c r="BF496" s="467"/>
      <c r="BG496" s="467"/>
      <c r="BH496" s="467"/>
      <c r="BI496" s="467"/>
      <c r="BJ496" s="467"/>
      <c r="BK496" s="467"/>
      <c r="BL496" s="467"/>
    </row>
    <row r="497" customFormat="false" ht="12.75" hidden="false" customHeight="false" outlineLevel="0" collapsed="false">
      <c r="A497" s="464"/>
      <c r="B497" s="467"/>
      <c r="C497" s="467"/>
      <c r="D497" s="467"/>
      <c r="E497" s="467"/>
      <c r="F497" s="467"/>
      <c r="G497" s="467"/>
      <c r="H497" s="467"/>
      <c r="I497" s="467"/>
      <c r="J497" s="467"/>
      <c r="K497" s="467"/>
      <c r="L497" s="467"/>
      <c r="M497" s="467"/>
      <c r="N497" s="467"/>
      <c r="O497" s="467"/>
      <c r="P497" s="467"/>
      <c r="Q497" s="467"/>
      <c r="R497" s="467"/>
      <c r="S497" s="467"/>
      <c r="T497" s="467"/>
      <c r="U497" s="467"/>
      <c r="V497" s="467"/>
      <c r="W497" s="467"/>
      <c r="X497" s="467"/>
      <c r="Y497" s="467"/>
      <c r="Z497" s="467"/>
      <c r="AA497" s="467"/>
      <c r="AB497" s="467"/>
      <c r="AC497" s="467"/>
      <c r="AD497" s="467"/>
      <c r="AE497" s="467"/>
      <c r="AF497" s="467"/>
      <c r="AG497" s="467"/>
      <c r="AH497" s="467"/>
      <c r="AI497" s="467"/>
      <c r="AJ497" s="467"/>
      <c r="AK497" s="467"/>
      <c r="AL497" s="467"/>
      <c r="AM497" s="467"/>
      <c r="AN497" s="467"/>
      <c r="AO497" s="467"/>
      <c r="AP497" s="467"/>
      <c r="AQ497" s="467"/>
      <c r="AR497" s="467"/>
      <c r="AS497" s="467"/>
      <c r="AT497" s="467"/>
      <c r="AU497" s="467"/>
      <c r="AV497" s="467"/>
      <c r="AW497" s="467"/>
      <c r="AX497" s="467"/>
      <c r="AY497" s="467"/>
      <c r="AZ497" s="467"/>
      <c r="BA497" s="467"/>
      <c r="BB497" s="467"/>
      <c r="BC497" s="467"/>
      <c r="BD497" s="467"/>
      <c r="BE497" s="467"/>
      <c r="BF497" s="467"/>
      <c r="BG497" s="467"/>
      <c r="BH497" s="467"/>
      <c r="BI497" s="467"/>
      <c r="BJ497" s="467"/>
      <c r="BK497" s="467"/>
      <c r="BL497" s="467"/>
    </row>
    <row r="498" customFormat="false" ht="12.75" hidden="false" customHeight="false" outlineLevel="0" collapsed="false">
      <c r="A498" s="464"/>
      <c r="B498" s="467"/>
      <c r="C498" s="467"/>
      <c r="D498" s="467"/>
      <c r="E498" s="467"/>
      <c r="F498" s="467"/>
      <c r="G498" s="467"/>
      <c r="H498" s="467"/>
      <c r="I498" s="467"/>
      <c r="J498" s="467"/>
      <c r="K498" s="467"/>
      <c r="L498" s="467"/>
      <c r="M498" s="467"/>
      <c r="N498" s="467"/>
      <c r="O498" s="467"/>
      <c r="P498" s="467"/>
      <c r="Q498" s="467"/>
      <c r="R498" s="467"/>
      <c r="S498" s="467"/>
      <c r="T498" s="467"/>
      <c r="U498" s="467"/>
      <c r="V498" s="467"/>
      <c r="W498" s="467"/>
      <c r="X498" s="467"/>
      <c r="Y498" s="467"/>
      <c r="Z498" s="467"/>
      <c r="AA498" s="467"/>
      <c r="AB498" s="467"/>
      <c r="AC498" s="467"/>
      <c r="AD498" s="467"/>
      <c r="AE498" s="467"/>
      <c r="AF498" s="467"/>
      <c r="AG498" s="467"/>
      <c r="AH498" s="467"/>
      <c r="AI498" s="467"/>
      <c r="AJ498" s="467"/>
      <c r="AK498" s="467"/>
      <c r="AL498" s="467"/>
      <c r="AM498" s="467"/>
      <c r="AN498" s="467"/>
      <c r="AO498" s="467"/>
      <c r="AP498" s="467"/>
      <c r="AQ498" s="467"/>
      <c r="AR498" s="467"/>
      <c r="AS498" s="467"/>
      <c r="AT498" s="467"/>
      <c r="AU498" s="467"/>
      <c r="AV498" s="467"/>
      <c r="AW498" s="467"/>
      <c r="AX498" s="467"/>
      <c r="AY498" s="467"/>
      <c r="AZ498" s="467"/>
      <c r="BA498" s="467"/>
      <c r="BB498" s="467"/>
      <c r="BC498" s="467"/>
      <c r="BD498" s="467"/>
      <c r="BE498" s="467"/>
      <c r="BF498" s="467"/>
      <c r="BG498" s="467"/>
      <c r="BH498" s="467"/>
      <c r="BI498" s="467"/>
      <c r="BJ498" s="467"/>
      <c r="BK498" s="467"/>
      <c r="BL498" s="467"/>
    </row>
    <row r="499" customFormat="false" ht="12.75" hidden="false" customHeight="false" outlineLevel="0" collapsed="false">
      <c r="A499" s="464"/>
      <c r="B499" s="467"/>
      <c r="C499" s="467"/>
      <c r="D499" s="467"/>
      <c r="E499" s="467"/>
      <c r="F499" s="467"/>
      <c r="G499" s="467"/>
      <c r="H499" s="467"/>
      <c r="I499" s="467"/>
      <c r="J499" s="467"/>
      <c r="K499" s="467"/>
      <c r="L499" s="467"/>
      <c r="M499" s="467"/>
      <c r="N499" s="467"/>
      <c r="O499" s="467"/>
      <c r="P499" s="467"/>
      <c r="Q499" s="467"/>
      <c r="R499" s="467"/>
      <c r="S499" s="467"/>
      <c r="T499" s="467"/>
      <c r="U499" s="467"/>
      <c r="V499" s="467"/>
      <c r="W499" s="467"/>
      <c r="X499" s="467"/>
      <c r="Y499" s="467"/>
      <c r="Z499" s="467"/>
      <c r="AA499" s="467"/>
      <c r="AB499" s="467"/>
      <c r="AC499" s="467"/>
      <c r="AD499" s="467"/>
      <c r="AE499" s="467"/>
      <c r="AF499" s="467"/>
      <c r="AG499" s="467"/>
      <c r="AH499" s="467"/>
      <c r="AI499" s="467"/>
      <c r="AJ499" s="467"/>
      <c r="AK499" s="467"/>
      <c r="AL499" s="467"/>
      <c r="AM499" s="467"/>
      <c r="AN499" s="467"/>
      <c r="AO499" s="467"/>
      <c r="AP499" s="467"/>
      <c r="AQ499" s="467"/>
      <c r="AR499" s="467"/>
      <c r="AS499" s="467"/>
      <c r="AT499" s="467"/>
      <c r="AU499" s="467"/>
      <c r="AV499" s="467"/>
      <c r="AW499" s="467"/>
      <c r="AX499" s="467"/>
      <c r="AY499" s="467"/>
      <c r="AZ499" s="467"/>
      <c r="BA499" s="467"/>
      <c r="BB499" s="467"/>
      <c r="BC499" s="467"/>
      <c r="BD499" s="467"/>
      <c r="BE499" s="467"/>
      <c r="BF499" s="467"/>
      <c r="BG499" s="467"/>
      <c r="BH499" s="467"/>
      <c r="BI499" s="467"/>
      <c r="BJ499" s="467"/>
      <c r="BK499" s="467"/>
      <c r="BL499" s="467"/>
    </row>
    <row r="500" customFormat="false" ht="12.75" hidden="false" customHeight="false" outlineLevel="0" collapsed="false">
      <c r="A500" s="464"/>
      <c r="B500" s="467"/>
      <c r="C500" s="467"/>
      <c r="D500" s="467"/>
      <c r="E500" s="467"/>
      <c r="F500" s="467"/>
      <c r="G500" s="467"/>
      <c r="H500" s="467"/>
      <c r="I500" s="467"/>
      <c r="J500" s="467"/>
      <c r="K500" s="467"/>
      <c r="L500" s="467"/>
      <c r="M500" s="467"/>
      <c r="N500" s="467"/>
      <c r="O500" s="467"/>
      <c r="P500" s="467"/>
      <c r="Q500" s="467"/>
      <c r="R500" s="467"/>
      <c r="S500" s="467"/>
      <c r="T500" s="467"/>
      <c r="U500" s="467"/>
      <c r="V500" s="467"/>
      <c r="W500" s="467"/>
      <c r="X500" s="467"/>
      <c r="Y500" s="467"/>
      <c r="Z500" s="467"/>
      <c r="AA500" s="467"/>
      <c r="AB500" s="467"/>
      <c r="AC500" s="467"/>
      <c r="AD500" s="467"/>
      <c r="AE500" s="467"/>
      <c r="AF500" s="467"/>
      <c r="AG500" s="467"/>
      <c r="AH500" s="467"/>
      <c r="AI500" s="467"/>
      <c r="AJ500" s="467"/>
      <c r="AK500" s="467"/>
      <c r="AL500" s="467"/>
      <c r="AM500" s="467"/>
      <c r="AN500" s="467"/>
      <c r="AO500" s="467"/>
      <c r="AP500" s="467"/>
      <c r="AQ500" s="467"/>
      <c r="AR500" s="467"/>
      <c r="AS500" s="467"/>
      <c r="AT500" s="467"/>
      <c r="AU500" s="467"/>
      <c r="AV500" s="467"/>
      <c r="AW500" s="467"/>
      <c r="AX500" s="467"/>
      <c r="AY500" s="467"/>
      <c r="AZ500" s="467"/>
      <c r="BA500" s="467"/>
      <c r="BB500" s="467"/>
      <c r="BC500" s="467"/>
      <c r="BD500" s="467"/>
      <c r="BE500" s="467"/>
      <c r="BF500" s="467"/>
      <c r="BG500" s="467"/>
      <c r="BH500" s="467"/>
      <c r="BI500" s="467"/>
      <c r="BJ500" s="467"/>
      <c r="BK500" s="467"/>
      <c r="BL500" s="467"/>
    </row>
    <row r="501" customFormat="false" ht="12.75" hidden="false" customHeight="false" outlineLevel="0" collapsed="false">
      <c r="A501" s="464"/>
      <c r="B501" s="467"/>
      <c r="C501" s="467"/>
      <c r="D501" s="467"/>
      <c r="E501" s="467"/>
      <c r="F501" s="467"/>
      <c r="G501" s="467"/>
      <c r="H501" s="467"/>
      <c r="I501" s="467"/>
      <c r="J501" s="467"/>
      <c r="K501" s="467"/>
      <c r="L501" s="467"/>
      <c r="M501" s="467"/>
      <c r="N501" s="467"/>
      <c r="O501" s="467"/>
      <c r="P501" s="467"/>
      <c r="Q501" s="467"/>
      <c r="R501" s="467"/>
      <c r="S501" s="467"/>
      <c r="T501" s="467"/>
      <c r="U501" s="467"/>
      <c r="V501" s="467"/>
      <c r="W501" s="467"/>
      <c r="X501" s="467"/>
      <c r="Y501" s="467"/>
      <c r="Z501" s="467"/>
      <c r="AA501" s="467"/>
      <c r="AB501" s="467"/>
      <c r="AC501" s="467"/>
      <c r="AD501" s="467"/>
      <c r="AE501" s="467"/>
      <c r="AF501" s="467"/>
      <c r="AG501" s="467"/>
      <c r="AH501" s="467"/>
      <c r="AI501" s="467"/>
      <c r="AJ501" s="467"/>
      <c r="AK501" s="467"/>
      <c r="AL501" s="467"/>
      <c r="AM501" s="467"/>
      <c r="AN501" s="467"/>
      <c r="AO501" s="467"/>
      <c r="AP501" s="467"/>
      <c r="AQ501" s="467"/>
      <c r="AR501" s="467"/>
      <c r="AS501" s="467"/>
      <c r="AT501" s="467"/>
      <c r="AU501" s="467"/>
      <c r="AV501" s="467"/>
      <c r="AW501" s="467"/>
      <c r="AX501" s="467"/>
      <c r="AY501" s="467"/>
      <c r="AZ501" s="467"/>
      <c r="BA501" s="467"/>
      <c r="BB501" s="467"/>
      <c r="BC501" s="467"/>
      <c r="BD501" s="467"/>
      <c r="BE501" s="467"/>
      <c r="BF501" s="467"/>
      <c r="BG501" s="467"/>
      <c r="BH501" s="467"/>
      <c r="BI501" s="467"/>
      <c r="BJ501" s="467"/>
      <c r="BK501" s="467"/>
      <c r="BL501" s="467"/>
    </row>
    <row r="502" customFormat="false" ht="12.75" hidden="false" customHeight="false" outlineLevel="0" collapsed="false">
      <c r="A502" s="464"/>
      <c r="B502" s="467"/>
      <c r="C502" s="467"/>
      <c r="D502" s="467"/>
      <c r="E502" s="467"/>
      <c r="F502" s="467"/>
      <c r="G502" s="467"/>
      <c r="H502" s="467"/>
      <c r="I502" s="467"/>
      <c r="J502" s="467"/>
      <c r="K502" s="467"/>
      <c r="L502" s="467"/>
      <c r="M502" s="467"/>
      <c r="N502" s="467"/>
      <c r="O502" s="467"/>
      <c r="P502" s="467"/>
      <c r="Q502" s="467"/>
      <c r="R502" s="467"/>
      <c r="S502" s="467"/>
      <c r="T502" s="467"/>
      <c r="U502" s="467"/>
      <c r="V502" s="467"/>
      <c r="W502" s="467"/>
      <c r="X502" s="467"/>
      <c r="Y502" s="467"/>
      <c r="Z502" s="467"/>
      <c r="AA502" s="467"/>
      <c r="AB502" s="467"/>
      <c r="AC502" s="467"/>
      <c r="AD502" s="467"/>
      <c r="AE502" s="467"/>
      <c r="AF502" s="467"/>
      <c r="AG502" s="467"/>
      <c r="AH502" s="467"/>
      <c r="AI502" s="467"/>
      <c r="AJ502" s="467"/>
      <c r="AK502" s="467"/>
      <c r="AL502" s="467"/>
      <c r="AM502" s="467"/>
      <c r="AN502" s="467"/>
      <c r="AO502" s="467"/>
      <c r="AP502" s="467"/>
      <c r="AQ502" s="467"/>
      <c r="AR502" s="467"/>
      <c r="AS502" s="467"/>
      <c r="AT502" s="467"/>
      <c r="AU502" s="467"/>
      <c r="AV502" s="467"/>
      <c r="AW502" s="467"/>
      <c r="AX502" s="467"/>
      <c r="AY502" s="467"/>
      <c r="AZ502" s="467"/>
      <c r="BA502" s="467"/>
      <c r="BB502" s="467"/>
      <c r="BC502" s="467"/>
      <c r="BD502" s="467"/>
      <c r="BE502" s="467"/>
      <c r="BF502" s="467"/>
      <c r="BG502" s="467"/>
      <c r="BH502" s="467"/>
      <c r="BI502" s="467"/>
      <c r="BJ502" s="467"/>
      <c r="BK502" s="467"/>
      <c r="BL502" s="467"/>
    </row>
    <row r="503" customFormat="false" ht="12.75" hidden="false" customHeight="false" outlineLevel="0" collapsed="false">
      <c r="A503" s="464"/>
      <c r="B503" s="467"/>
      <c r="C503" s="467"/>
      <c r="D503" s="467"/>
      <c r="E503" s="467"/>
      <c r="F503" s="467"/>
      <c r="G503" s="467"/>
      <c r="H503" s="467"/>
      <c r="I503" s="467"/>
      <c r="J503" s="467"/>
      <c r="K503" s="467"/>
      <c r="L503" s="467"/>
      <c r="M503" s="467"/>
      <c r="N503" s="467"/>
      <c r="O503" s="467"/>
      <c r="P503" s="467"/>
      <c r="Q503" s="467"/>
      <c r="R503" s="467"/>
      <c r="S503" s="467"/>
      <c r="T503" s="467"/>
      <c r="U503" s="467"/>
      <c r="V503" s="467"/>
      <c r="W503" s="467"/>
      <c r="X503" s="467"/>
      <c r="Y503" s="467"/>
      <c r="Z503" s="467"/>
      <c r="AA503" s="467"/>
      <c r="AB503" s="467"/>
      <c r="AC503" s="467"/>
      <c r="AD503" s="467"/>
      <c r="AE503" s="467"/>
      <c r="AF503" s="467"/>
      <c r="AG503" s="467"/>
      <c r="AH503" s="467"/>
      <c r="AI503" s="467"/>
      <c r="AJ503" s="467"/>
      <c r="AK503" s="467"/>
      <c r="AL503" s="467"/>
      <c r="AM503" s="467"/>
      <c r="AN503" s="467"/>
      <c r="AO503" s="467"/>
      <c r="AP503" s="467"/>
      <c r="AQ503" s="467"/>
      <c r="AR503" s="467"/>
      <c r="AS503" s="467"/>
      <c r="AT503" s="467"/>
      <c r="AU503" s="467"/>
      <c r="AV503" s="467"/>
      <c r="AW503" s="467"/>
      <c r="AX503" s="467"/>
      <c r="AY503" s="467"/>
      <c r="AZ503" s="467"/>
      <c r="BA503" s="467"/>
      <c r="BB503" s="467"/>
      <c r="BC503" s="467"/>
      <c r="BD503" s="467"/>
      <c r="BE503" s="467"/>
      <c r="BF503" s="467"/>
      <c r="BG503" s="467"/>
      <c r="BH503" s="467"/>
      <c r="BI503" s="467"/>
      <c r="BJ503" s="467"/>
      <c r="BK503" s="467"/>
      <c r="BL503" s="467"/>
    </row>
    <row r="504" customFormat="false" ht="12.75" hidden="false" customHeight="false" outlineLevel="0" collapsed="false">
      <c r="A504" s="464"/>
      <c r="B504" s="467"/>
      <c r="C504" s="467"/>
      <c r="D504" s="467"/>
      <c r="E504" s="467"/>
      <c r="F504" s="467"/>
      <c r="G504" s="467"/>
      <c r="H504" s="467"/>
      <c r="I504" s="467"/>
      <c r="J504" s="467"/>
      <c r="K504" s="467"/>
      <c r="L504" s="467"/>
      <c r="M504" s="467"/>
      <c r="N504" s="467"/>
      <c r="O504" s="467"/>
      <c r="P504" s="467"/>
      <c r="Q504" s="467"/>
      <c r="R504" s="467"/>
      <c r="S504" s="467"/>
      <c r="T504" s="467"/>
      <c r="U504" s="467"/>
      <c r="V504" s="467"/>
      <c r="W504" s="467"/>
      <c r="X504" s="467"/>
      <c r="Y504" s="467"/>
      <c r="Z504" s="467"/>
      <c r="AA504" s="467"/>
      <c r="AB504" s="467"/>
      <c r="AC504" s="467"/>
      <c r="AD504" s="467"/>
      <c r="AE504" s="467"/>
      <c r="AF504" s="467"/>
      <c r="AG504" s="467"/>
      <c r="AH504" s="467"/>
      <c r="AI504" s="467"/>
      <c r="AJ504" s="467"/>
      <c r="AK504" s="467"/>
      <c r="AL504" s="467"/>
      <c r="AM504" s="467"/>
      <c r="AN504" s="467"/>
      <c r="AO504" s="467"/>
      <c r="AP504" s="467"/>
      <c r="AQ504" s="467"/>
      <c r="AR504" s="467"/>
      <c r="AS504" s="467"/>
      <c r="AT504" s="467"/>
      <c r="AU504" s="467"/>
      <c r="AV504" s="467"/>
      <c r="AW504" s="467"/>
      <c r="AX504" s="467"/>
      <c r="AY504" s="467"/>
      <c r="AZ504" s="467"/>
      <c r="BA504" s="467"/>
      <c r="BB504" s="467"/>
      <c r="BC504" s="467"/>
      <c r="BD504" s="467"/>
      <c r="BE504" s="467"/>
      <c r="BF504" s="467"/>
      <c r="BG504" s="467"/>
      <c r="BH504" s="467"/>
      <c r="BI504" s="467"/>
      <c r="BJ504" s="467"/>
      <c r="BK504" s="467"/>
      <c r="BL504" s="467"/>
    </row>
    <row r="505" customFormat="false" ht="12.75" hidden="false" customHeight="false" outlineLevel="0" collapsed="false">
      <c r="A505" s="464"/>
      <c r="B505" s="467"/>
      <c r="C505" s="467"/>
      <c r="D505" s="467"/>
      <c r="E505" s="467"/>
      <c r="F505" s="467"/>
      <c r="G505" s="467"/>
      <c r="H505" s="467"/>
      <c r="I505" s="467"/>
      <c r="J505" s="467"/>
      <c r="K505" s="467"/>
      <c r="L505" s="467"/>
      <c r="M505" s="467"/>
      <c r="N505" s="467"/>
      <c r="O505" s="467"/>
      <c r="P505" s="467"/>
      <c r="Q505" s="467"/>
      <c r="R505" s="467"/>
      <c r="S505" s="467"/>
      <c r="T505" s="467"/>
      <c r="U505" s="467"/>
      <c r="V505" s="467"/>
      <c r="W505" s="467"/>
      <c r="X505" s="467"/>
      <c r="Y505" s="467"/>
      <c r="Z505" s="467"/>
      <c r="AA505" s="467"/>
      <c r="AB505" s="467"/>
      <c r="AC505" s="467"/>
      <c r="AD505" s="467"/>
      <c r="AE505" s="467"/>
      <c r="AF505" s="467"/>
      <c r="AG505" s="467"/>
      <c r="AH505" s="467"/>
      <c r="AI505" s="467"/>
      <c r="AJ505" s="467"/>
      <c r="AK505" s="467"/>
      <c r="AL505" s="467"/>
      <c r="AM505" s="467"/>
      <c r="AN505" s="467"/>
      <c r="AO505" s="467"/>
      <c r="AP505" s="467"/>
      <c r="AQ505" s="467"/>
      <c r="AR505" s="467"/>
      <c r="AS505" s="467"/>
      <c r="AT505" s="467"/>
      <c r="AU505" s="467"/>
      <c r="AV505" s="467"/>
      <c r="AW505" s="467"/>
      <c r="AX505" s="467"/>
      <c r="AY505" s="467"/>
      <c r="AZ505" s="467"/>
      <c r="BA505" s="467"/>
      <c r="BB505" s="467"/>
      <c r="BC505" s="467"/>
      <c r="BD505" s="467"/>
      <c r="BE505" s="467"/>
      <c r="BF505" s="467"/>
      <c r="BG505" s="467"/>
      <c r="BH505" s="467"/>
      <c r="BI505" s="467"/>
      <c r="BJ505" s="467"/>
      <c r="BK505" s="467"/>
      <c r="BL505" s="467"/>
    </row>
    <row r="506" customFormat="false" ht="12.75" hidden="false" customHeight="false" outlineLevel="0" collapsed="false">
      <c r="A506" s="464"/>
      <c r="B506" s="467"/>
      <c r="C506" s="467"/>
      <c r="D506" s="467"/>
      <c r="E506" s="467"/>
      <c r="F506" s="467"/>
      <c r="G506" s="467"/>
      <c r="H506" s="467"/>
      <c r="I506" s="467"/>
      <c r="J506" s="467"/>
      <c r="K506" s="467"/>
      <c r="L506" s="467"/>
      <c r="M506" s="467"/>
      <c r="N506" s="467"/>
      <c r="O506" s="467"/>
      <c r="P506" s="467"/>
      <c r="Q506" s="467"/>
      <c r="R506" s="467"/>
      <c r="S506" s="467"/>
      <c r="T506" s="467"/>
      <c r="U506" s="467"/>
      <c r="V506" s="467"/>
      <c r="W506" s="467"/>
      <c r="X506" s="467"/>
      <c r="Y506" s="467"/>
      <c r="Z506" s="467"/>
      <c r="AA506" s="467"/>
      <c r="AB506" s="467"/>
      <c r="AC506" s="467"/>
      <c r="AD506" s="467"/>
      <c r="AE506" s="467"/>
      <c r="AF506" s="467"/>
      <c r="AG506" s="467"/>
      <c r="AH506" s="467"/>
      <c r="AI506" s="467"/>
      <c r="AJ506" s="467"/>
      <c r="AK506" s="467"/>
      <c r="AL506" s="467"/>
      <c r="AM506" s="467"/>
      <c r="AN506" s="467"/>
      <c r="AO506" s="467"/>
      <c r="AP506" s="467"/>
      <c r="AQ506" s="467"/>
      <c r="AR506" s="467"/>
      <c r="AS506" s="467"/>
      <c r="AT506" s="467"/>
      <c r="AU506" s="467"/>
      <c r="AV506" s="467"/>
      <c r="AW506" s="467"/>
      <c r="AX506" s="467"/>
      <c r="AY506" s="467"/>
      <c r="AZ506" s="467"/>
      <c r="BA506" s="467"/>
      <c r="BB506" s="467"/>
      <c r="BC506" s="467"/>
      <c r="BD506" s="467"/>
      <c r="BE506" s="467"/>
      <c r="BF506" s="467"/>
      <c r="BG506" s="467"/>
      <c r="BH506" s="467"/>
      <c r="BI506" s="467"/>
      <c r="BJ506" s="467"/>
      <c r="BK506" s="467"/>
      <c r="BL506" s="467"/>
    </row>
    <row r="507" customFormat="false" ht="12.75" hidden="false" customHeight="false" outlineLevel="0" collapsed="false">
      <c r="A507" s="464"/>
      <c r="B507" s="467"/>
      <c r="C507" s="467"/>
      <c r="D507" s="467"/>
      <c r="E507" s="467"/>
      <c r="F507" s="467"/>
      <c r="G507" s="467"/>
      <c r="H507" s="467"/>
      <c r="I507" s="467"/>
      <c r="J507" s="467"/>
      <c r="K507" s="467"/>
      <c r="L507" s="467"/>
      <c r="M507" s="467"/>
      <c r="N507" s="467"/>
      <c r="O507" s="467"/>
      <c r="P507" s="467"/>
      <c r="Q507" s="467"/>
      <c r="R507" s="467"/>
      <c r="S507" s="467"/>
      <c r="T507" s="467"/>
      <c r="U507" s="467"/>
      <c r="V507" s="467"/>
      <c r="W507" s="467"/>
      <c r="X507" s="467"/>
      <c r="Y507" s="467"/>
      <c r="Z507" s="467"/>
      <c r="AA507" s="467"/>
      <c r="AB507" s="467"/>
      <c r="AC507" s="467"/>
      <c r="AD507" s="467"/>
      <c r="AE507" s="467"/>
      <c r="AF507" s="467"/>
      <c r="AG507" s="467"/>
      <c r="AH507" s="467"/>
      <c r="AI507" s="467"/>
      <c r="AJ507" s="467"/>
      <c r="AK507" s="467"/>
      <c r="AL507" s="467"/>
      <c r="AM507" s="467"/>
      <c r="AN507" s="467"/>
      <c r="AO507" s="467"/>
      <c r="AP507" s="467"/>
      <c r="AQ507" s="467"/>
      <c r="AR507" s="467"/>
      <c r="AS507" s="467"/>
      <c r="AT507" s="467"/>
      <c r="AU507" s="467"/>
      <c r="AV507" s="467"/>
      <c r="AW507" s="467"/>
      <c r="AX507" s="467"/>
      <c r="AY507" s="467"/>
      <c r="AZ507" s="467"/>
      <c r="BA507" s="467"/>
      <c r="BB507" s="467"/>
      <c r="BC507" s="467"/>
      <c r="BD507" s="467"/>
      <c r="BE507" s="467"/>
      <c r="BF507" s="467"/>
      <c r="BG507" s="467"/>
      <c r="BH507" s="467"/>
      <c r="BI507" s="467"/>
      <c r="BJ507" s="467"/>
      <c r="BK507" s="467"/>
      <c r="BL507" s="467"/>
    </row>
    <row r="508" customFormat="false" ht="12.75" hidden="false" customHeight="false" outlineLevel="0" collapsed="false">
      <c r="A508" s="464"/>
      <c r="B508" s="467"/>
      <c r="C508" s="467"/>
      <c r="D508" s="467"/>
      <c r="E508" s="467"/>
      <c r="F508" s="467"/>
      <c r="G508" s="467"/>
      <c r="H508" s="467"/>
      <c r="I508" s="467"/>
      <c r="J508" s="467"/>
      <c r="K508" s="467"/>
      <c r="L508" s="467"/>
      <c r="M508" s="467"/>
      <c r="N508" s="467"/>
      <c r="O508" s="467"/>
      <c r="P508" s="467"/>
      <c r="Q508" s="467"/>
      <c r="R508" s="467"/>
      <c r="S508" s="467"/>
      <c r="T508" s="467"/>
      <c r="U508" s="467"/>
      <c r="V508" s="467"/>
      <c r="W508" s="467"/>
      <c r="X508" s="467"/>
      <c r="Y508" s="467"/>
      <c r="Z508" s="467"/>
      <c r="AA508" s="467"/>
      <c r="AB508" s="467"/>
      <c r="AC508" s="467"/>
      <c r="AD508" s="467"/>
      <c r="AE508" s="467"/>
      <c r="AF508" s="467"/>
      <c r="AG508" s="467"/>
      <c r="AH508" s="467"/>
      <c r="AI508" s="467"/>
      <c r="AJ508" s="467"/>
      <c r="AK508" s="467"/>
      <c r="AL508" s="467"/>
      <c r="AM508" s="467"/>
      <c r="AN508" s="467"/>
      <c r="AO508" s="467"/>
      <c r="AP508" s="467"/>
      <c r="AQ508" s="467"/>
      <c r="AR508" s="467"/>
      <c r="AS508" s="467"/>
      <c r="AT508" s="467"/>
      <c r="AU508" s="467"/>
      <c r="AV508" s="467"/>
      <c r="AW508" s="467"/>
      <c r="AX508" s="467"/>
      <c r="AY508" s="467"/>
      <c r="AZ508" s="467"/>
      <c r="BA508" s="467"/>
      <c r="BB508" s="467"/>
      <c r="BC508" s="467"/>
      <c r="BD508" s="467"/>
      <c r="BE508" s="467"/>
      <c r="BF508" s="467"/>
      <c r="BG508" s="467"/>
      <c r="BH508" s="467"/>
      <c r="BI508" s="467"/>
      <c r="BJ508" s="467"/>
      <c r="BK508" s="467"/>
      <c r="BL508" s="467"/>
    </row>
    <row r="509" customFormat="false" ht="12.75" hidden="false" customHeight="false" outlineLevel="0" collapsed="false">
      <c r="A509" s="464"/>
      <c r="B509" s="467"/>
      <c r="C509" s="467"/>
      <c r="D509" s="467"/>
      <c r="E509" s="467"/>
      <c r="F509" s="467"/>
      <c r="G509" s="467"/>
      <c r="H509" s="467"/>
      <c r="I509" s="467"/>
      <c r="J509" s="467"/>
      <c r="K509" s="467"/>
      <c r="L509" s="467"/>
      <c r="M509" s="467"/>
      <c r="N509" s="467"/>
      <c r="O509" s="467"/>
      <c r="P509" s="467"/>
      <c r="Q509" s="467"/>
      <c r="R509" s="467"/>
      <c r="S509" s="467"/>
      <c r="T509" s="467"/>
      <c r="U509" s="467"/>
      <c r="V509" s="467"/>
      <c r="W509" s="467"/>
      <c r="X509" s="467"/>
      <c r="Y509" s="467"/>
      <c r="Z509" s="467"/>
      <c r="AA509" s="467"/>
      <c r="AB509" s="467"/>
      <c r="AC509" s="467"/>
      <c r="AD509" s="467"/>
      <c r="AE509" s="467"/>
      <c r="AF509" s="467"/>
      <c r="AG509" s="467"/>
      <c r="AH509" s="467"/>
      <c r="AI509" s="467"/>
      <c r="AJ509" s="467"/>
      <c r="AK509" s="467"/>
      <c r="AL509" s="467"/>
      <c r="AM509" s="467"/>
      <c r="AN509" s="467"/>
      <c r="AO509" s="467"/>
      <c r="AP509" s="467"/>
      <c r="AQ509" s="467"/>
      <c r="AR509" s="467"/>
      <c r="AS509" s="467"/>
      <c r="AT509" s="467"/>
      <c r="AU509" s="467"/>
      <c r="AV509" s="467"/>
      <c r="AW509" s="467"/>
      <c r="AX509" s="467"/>
      <c r="AY509" s="467"/>
      <c r="AZ509" s="467"/>
      <c r="BA509" s="467"/>
      <c r="BB509" s="467"/>
      <c r="BC509" s="467"/>
      <c r="BD509" s="467"/>
      <c r="BE509" s="467"/>
      <c r="BF509" s="467"/>
      <c r="BG509" s="467"/>
      <c r="BH509" s="467"/>
      <c r="BI509" s="467"/>
      <c r="BJ509" s="467"/>
      <c r="BK509" s="467"/>
      <c r="BL509" s="467"/>
    </row>
    <row r="510" customFormat="false" ht="12.75" hidden="false" customHeight="false" outlineLevel="0" collapsed="false">
      <c r="A510" s="464"/>
      <c r="B510" s="467"/>
      <c r="C510" s="467"/>
      <c r="D510" s="467"/>
      <c r="E510" s="467"/>
      <c r="F510" s="467"/>
      <c r="G510" s="467"/>
      <c r="H510" s="467"/>
      <c r="I510" s="467"/>
      <c r="J510" s="467"/>
      <c r="K510" s="467"/>
      <c r="L510" s="467"/>
      <c r="M510" s="467"/>
      <c r="N510" s="467"/>
      <c r="O510" s="467"/>
      <c r="P510" s="467"/>
      <c r="Q510" s="467"/>
      <c r="R510" s="467"/>
      <c r="S510" s="467"/>
      <c r="T510" s="467"/>
      <c r="U510" s="467"/>
      <c r="V510" s="467"/>
      <c r="W510" s="467"/>
      <c r="X510" s="467"/>
      <c r="Y510" s="467"/>
      <c r="Z510" s="467"/>
      <c r="AA510" s="467"/>
      <c r="AB510" s="467"/>
      <c r="AC510" s="467"/>
      <c r="AD510" s="467"/>
      <c r="AE510" s="467"/>
      <c r="AF510" s="467"/>
      <c r="AG510" s="467"/>
      <c r="AH510" s="467"/>
      <c r="AI510" s="467"/>
      <c r="AJ510" s="467"/>
      <c r="AK510" s="467"/>
      <c r="AL510" s="467"/>
      <c r="AM510" s="467"/>
      <c r="AN510" s="467"/>
      <c r="AO510" s="467"/>
      <c r="AP510" s="467"/>
      <c r="AQ510" s="467"/>
      <c r="AR510" s="467"/>
      <c r="AS510" s="467"/>
      <c r="AT510" s="467"/>
      <c r="AU510" s="467"/>
      <c r="AV510" s="467"/>
      <c r="AW510" s="467"/>
      <c r="AX510" s="467"/>
      <c r="AY510" s="467"/>
      <c r="AZ510" s="467"/>
      <c r="BA510" s="467"/>
      <c r="BB510" s="467"/>
      <c r="BC510" s="467"/>
      <c r="BD510" s="467"/>
      <c r="BE510" s="467"/>
      <c r="BF510" s="467"/>
      <c r="BG510" s="467"/>
      <c r="BH510" s="467"/>
      <c r="BI510" s="467"/>
      <c r="BJ510" s="467"/>
      <c r="BK510" s="467"/>
      <c r="BL510" s="467"/>
    </row>
    <row r="511" customFormat="false" ht="12.75" hidden="false" customHeight="false" outlineLevel="0" collapsed="false">
      <c r="A511" s="464"/>
    </row>
    <row r="512" customFormat="false" ht="12.75" hidden="false" customHeight="false" outlineLevel="0" collapsed="false">
      <c r="A512" s="464"/>
    </row>
    <row r="513" customFormat="false" ht="12.75" hidden="false" customHeight="false" outlineLevel="0" collapsed="false">
      <c r="A513" s="464"/>
    </row>
    <row r="514" customFormat="false" ht="12.75" hidden="false" customHeight="false" outlineLevel="0" collapsed="false">
      <c r="A514" s="464"/>
    </row>
    <row r="515" customFormat="false" ht="12.75" hidden="false" customHeight="false" outlineLevel="0" collapsed="false">
      <c r="A515" s="464"/>
    </row>
    <row r="516" customFormat="false" ht="12.75" hidden="false" customHeight="false" outlineLevel="0" collapsed="false">
      <c r="A516" s="464"/>
    </row>
    <row r="517" customFormat="false" ht="12.75" hidden="false" customHeight="false" outlineLevel="0" collapsed="false">
      <c r="A517" s="464"/>
    </row>
    <row r="518" customFormat="false" ht="12.75" hidden="false" customHeight="false" outlineLevel="0" collapsed="false">
      <c r="A518" s="464"/>
    </row>
    <row r="519" customFormat="false" ht="12.75" hidden="false" customHeight="false" outlineLevel="0" collapsed="false">
      <c r="A519" s="464"/>
    </row>
    <row r="520" customFormat="false" ht="12.75" hidden="false" customHeight="false" outlineLevel="0" collapsed="false">
      <c r="A520" s="464"/>
    </row>
    <row r="521" customFormat="false" ht="12.75" hidden="false" customHeight="false" outlineLevel="0" collapsed="false">
      <c r="A521" s="464"/>
    </row>
    <row r="522" customFormat="false" ht="12.75" hidden="false" customHeight="false" outlineLevel="0" collapsed="false">
      <c r="A522" s="464"/>
    </row>
    <row r="523" customFormat="false" ht="12.75" hidden="false" customHeight="false" outlineLevel="0" collapsed="false">
      <c r="A523" s="464"/>
    </row>
    <row r="524" customFormat="false" ht="12.75" hidden="false" customHeight="false" outlineLevel="0" collapsed="false">
      <c r="A524" s="464"/>
    </row>
    <row r="525" customFormat="false" ht="12.75" hidden="false" customHeight="false" outlineLevel="0" collapsed="false">
      <c r="A525" s="464"/>
    </row>
    <row r="526" customFormat="false" ht="12.75" hidden="false" customHeight="false" outlineLevel="0" collapsed="false">
      <c r="A526" s="464"/>
    </row>
    <row r="527" customFormat="false" ht="12.75" hidden="false" customHeight="false" outlineLevel="0" collapsed="false">
      <c r="A527" s="464"/>
    </row>
    <row r="528" customFormat="false" ht="12.75" hidden="false" customHeight="false" outlineLevel="0" collapsed="false">
      <c r="A528" s="464"/>
    </row>
    <row r="529" customFormat="false" ht="12.75" hidden="false" customHeight="false" outlineLevel="0" collapsed="false">
      <c r="A529" s="464"/>
    </row>
    <row r="530" customFormat="false" ht="12.75" hidden="false" customHeight="false" outlineLevel="0" collapsed="false">
      <c r="A530" s="464"/>
    </row>
    <row r="531" customFormat="false" ht="12.75" hidden="false" customHeight="false" outlineLevel="0" collapsed="false">
      <c r="A531" s="464"/>
    </row>
    <row r="532" customFormat="false" ht="12.75" hidden="false" customHeight="false" outlineLevel="0" collapsed="false">
      <c r="A532" s="464"/>
    </row>
    <row r="533" customFormat="false" ht="12.75" hidden="false" customHeight="false" outlineLevel="0" collapsed="false">
      <c r="A533" s="464"/>
    </row>
    <row r="534" customFormat="false" ht="12.75" hidden="false" customHeight="false" outlineLevel="0" collapsed="false">
      <c r="A534" s="464"/>
    </row>
    <row r="535" customFormat="false" ht="12.75" hidden="false" customHeight="false" outlineLevel="0" collapsed="false">
      <c r="A535" s="464"/>
    </row>
    <row r="536" customFormat="false" ht="12.75" hidden="false" customHeight="false" outlineLevel="0" collapsed="false">
      <c r="A536" s="464"/>
    </row>
    <row r="537" customFormat="false" ht="12.75" hidden="false" customHeight="false" outlineLevel="0" collapsed="false">
      <c r="A537" s="464"/>
    </row>
    <row r="538" customFormat="false" ht="12.75" hidden="false" customHeight="false" outlineLevel="0" collapsed="false">
      <c r="A538" s="464"/>
    </row>
    <row r="539" customFormat="false" ht="12.75" hidden="false" customHeight="false" outlineLevel="0" collapsed="false">
      <c r="A539" s="464"/>
    </row>
    <row r="540" customFormat="false" ht="12.75" hidden="false" customHeight="false" outlineLevel="0" collapsed="false">
      <c r="A540" s="464"/>
    </row>
    <row r="541" customFormat="false" ht="12.75" hidden="false" customHeight="false" outlineLevel="0" collapsed="false">
      <c r="A541" s="464"/>
    </row>
    <row r="542" customFormat="false" ht="12.75" hidden="false" customHeight="false" outlineLevel="0" collapsed="false">
      <c r="A542" s="464"/>
    </row>
    <row r="543" customFormat="false" ht="12.75" hidden="false" customHeight="false" outlineLevel="0" collapsed="false">
      <c r="A543" s="464"/>
    </row>
    <row r="544" customFormat="false" ht="12.75" hidden="false" customHeight="false" outlineLevel="0" collapsed="false">
      <c r="A544" s="464"/>
    </row>
    <row r="545" customFormat="false" ht="12.75" hidden="false" customHeight="false" outlineLevel="0" collapsed="false">
      <c r="A545" s="464"/>
    </row>
    <row r="546" customFormat="false" ht="12.75" hidden="false" customHeight="false" outlineLevel="0" collapsed="false">
      <c r="A546" s="464"/>
    </row>
    <row r="547" customFormat="false" ht="12.75" hidden="false" customHeight="false" outlineLevel="0" collapsed="false">
      <c r="A547" s="464"/>
    </row>
    <row r="548" customFormat="false" ht="12.75" hidden="false" customHeight="false" outlineLevel="0" collapsed="false">
      <c r="A548" s="464"/>
    </row>
    <row r="549" customFormat="false" ht="12.75" hidden="false" customHeight="false" outlineLevel="0" collapsed="false">
      <c r="A549" s="464"/>
    </row>
    <row r="550" customFormat="false" ht="12.75" hidden="false" customHeight="false" outlineLevel="0" collapsed="false">
      <c r="A550" s="464"/>
    </row>
    <row r="551" customFormat="false" ht="12.75" hidden="false" customHeight="false" outlineLevel="0" collapsed="false">
      <c r="A551" s="464"/>
    </row>
    <row r="552" customFormat="false" ht="12.75" hidden="false" customHeight="false" outlineLevel="0" collapsed="false">
      <c r="A552" s="464"/>
    </row>
    <row r="553" customFormat="false" ht="12.75" hidden="false" customHeight="false" outlineLevel="0" collapsed="false">
      <c r="A553" s="464"/>
    </row>
    <row r="554" customFormat="false" ht="12.75" hidden="false" customHeight="false" outlineLevel="0" collapsed="false">
      <c r="A554" s="464"/>
    </row>
    <row r="555" customFormat="false" ht="12.75" hidden="false" customHeight="false" outlineLevel="0" collapsed="false">
      <c r="A555" s="464"/>
    </row>
    <row r="556" customFormat="false" ht="12.75" hidden="false" customHeight="false" outlineLevel="0" collapsed="false">
      <c r="A556" s="464"/>
    </row>
    <row r="557" customFormat="false" ht="12.75" hidden="false" customHeight="false" outlineLevel="0" collapsed="false">
      <c r="A557" s="464"/>
    </row>
    <row r="558" customFormat="false" ht="12.75" hidden="false" customHeight="false" outlineLevel="0" collapsed="false">
      <c r="A558" s="464"/>
    </row>
    <row r="559" customFormat="false" ht="12.75" hidden="false" customHeight="false" outlineLevel="0" collapsed="false">
      <c r="A559" s="464"/>
    </row>
    <row r="560" customFormat="false" ht="12.75" hidden="false" customHeight="false" outlineLevel="0" collapsed="false">
      <c r="A560" s="464"/>
    </row>
    <row r="561" customFormat="false" ht="12.75" hidden="false" customHeight="false" outlineLevel="0" collapsed="false">
      <c r="A561" s="464"/>
    </row>
    <row r="562" customFormat="false" ht="12.75" hidden="false" customHeight="false" outlineLevel="0" collapsed="false">
      <c r="A562" s="464"/>
    </row>
    <row r="563" customFormat="false" ht="12.75" hidden="false" customHeight="false" outlineLevel="0" collapsed="false">
      <c r="A563" s="464"/>
    </row>
    <row r="564" customFormat="false" ht="12.75" hidden="false" customHeight="false" outlineLevel="0" collapsed="false">
      <c r="A564" s="464"/>
    </row>
    <row r="565" customFormat="false" ht="12.75" hidden="false" customHeight="false" outlineLevel="0" collapsed="false">
      <c r="A565" s="464"/>
    </row>
    <row r="566" customFormat="false" ht="12.75" hidden="false" customHeight="false" outlineLevel="0" collapsed="false">
      <c r="A566" s="464"/>
    </row>
    <row r="567" customFormat="false" ht="12.75" hidden="false" customHeight="false" outlineLevel="0" collapsed="false">
      <c r="A567" s="464"/>
    </row>
    <row r="568" customFormat="false" ht="12.75" hidden="false" customHeight="false" outlineLevel="0" collapsed="false">
      <c r="A568" s="464"/>
    </row>
    <row r="569" customFormat="false" ht="12.75" hidden="false" customHeight="false" outlineLevel="0" collapsed="false">
      <c r="A569" s="464"/>
    </row>
    <row r="570" customFormat="false" ht="12.75" hidden="false" customHeight="false" outlineLevel="0" collapsed="false">
      <c r="A570" s="464"/>
    </row>
    <row r="571" customFormat="false" ht="12.75" hidden="false" customHeight="false" outlineLevel="0" collapsed="false">
      <c r="A571" s="464"/>
    </row>
    <row r="572" customFormat="false" ht="12.75" hidden="false" customHeight="false" outlineLevel="0" collapsed="false">
      <c r="A572" s="464"/>
    </row>
    <row r="573" customFormat="false" ht="12.75" hidden="false" customHeight="false" outlineLevel="0" collapsed="false">
      <c r="A573" s="464"/>
    </row>
    <row r="574" customFormat="false" ht="12.75" hidden="false" customHeight="false" outlineLevel="0" collapsed="false">
      <c r="A574" s="464"/>
    </row>
    <row r="575" customFormat="false" ht="12.75" hidden="false" customHeight="false" outlineLevel="0" collapsed="false">
      <c r="A575" s="464"/>
    </row>
    <row r="576" customFormat="false" ht="12.75" hidden="false" customHeight="false" outlineLevel="0" collapsed="false">
      <c r="A576" s="464"/>
    </row>
    <row r="577" customFormat="false" ht="12.75" hidden="false" customHeight="false" outlineLevel="0" collapsed="false">
      <c r="A577" s="464"/>
    </row>
    <row r="578" customFormat="false" ht="12.75" hidden="false" customHeight="false" outlineLevel="0" collapsed="false">
      <c r="A578" s="464"/>
    </row>
    <row r="579" customFormat="false" ht="12.75" hidden="false" customHeight="false" outlineLevel="0" collapsed="false">
      <c r="A579" s="464"/>
    </row>
    <row r="580" customFormat="false" ht="12.75" hidden="false" customHeight="false" outlineLevel="0" collapsed="false">
      <c r="A580" s="464"/>
    </row>
    <row r="581" customFormat="false" ht="12.75" hidden="false" customHeight="false" outlineLevel="0" collapsed="false">
      <c r="A581" s="464"/>
    </row>
    <row r="582" customFormat="false" ht="12.75" hidden="false" customHeight="false" outlineLevel="0" collapsed="false">
      <c r="A582" s="464"/>
    </row>
    <row r="583" customFormat="false" ht="12.75" hidden="false" customHeight="false" outlineLevel="0" collapsed="false">
      <c r="A583" s="464"/>
    </row>
    <row r="584" customFormat="false" ht="12.75" hidden="false" customHeight="false" outlineLevel="0" collapsed="false">
      <c r="A584" s="464"/>
    </row>
    <row r="585" customFormat="false" ht="12.75" hidden="false" customHeight="false" outlineLevel="0" collapsed="false">
      <c r="A585" s="464"/>
    </row>
    <row r="586" customFormat="false" ht="12.75" hidden="false" customHeight="false" outlineLevel="0" collapsed="false">
      <c r="A586" s="464"/>
    </row>
    <row r="587" customFormat="false" ht="12.75" hidden="false" customHeight="false" outlineLevel="0" collapsed="false">
      <c r="A587" s="464"/>
    </row>
    <row r="588" customFormat="false" ht="12.75" hidden="false" customHeight="false" outlineLevel="0" collapsed="false">
      <c r="A588" s="464"/>
    </row>
    <row r="589" customFormat="false" ht="12.75" hidden="false" customHeight="false" outlineLevel="0" collapsed="false">
      <c r="A589" s="464"/>
    </row>
    <row r="590" customFormat="false" ht="12.75" hidden="false" customHeight="false" outlineLevel="0" collapsed="false">
      <c r="A590" s="464"/>
    </row>
    <row r="591" customFormat="false" ht="12.75" hidden="false" customHeight="false" outlineLevel="0" collapsed="false">
      <c r="A591" s="464"/>
    </row>
    <row r="592" customFormat="false" ht="12.75" hidden="false" customHeight="false" outlineLevel="0" collapsed="false">
      <c r="A592" s="464"/>
    </row>
    <row r="593" customFormat="false" ht="12.75" hidden="false" customHeight="false" outlineLevel="0" collapsed="false">
      <c r="A593" s="464"/>
    </row>
    <row r="594" customFormat="false" ht="12.75" hidden="false" customHeight="false" outlineLevel="0" collapsed="false">
      <c r="A594" s="464"/>
    </row>
    <row r="595" customFormat="false" ht="12.75" hidden="false" customHeight="false" outlineLevel="0" collapsed="false">
      <c r="A595" s="464"/>
    </row>
    <row r="596" customFormat="false" ht="12.75" hidden="false" customHeight="false" outlineLevel="0" collapsed="false">
      <c r="A596" s="464"/>
    </row>
    <row r="597" customFormat="false" ht="12.75" hidden="false" customHeight="false" outlineLevel="0" collapsed="false">
      <c r="A597" s="464"/>
    </row>
    <row r="598" customFormat="false" ht="12.75" hidden="false" customHeight="false" outlineLevel="0" collapsed="false">
      <c r="A598" s="464"/>
    </row>
    <row r="599" customFormat="false" ht="12.75" hidden="false" customHeight="false" outlineLevel="0" collapsed="false">
      <c r="A599" s="464"/>
    </row>
    <row r="600" customFormat="false" ht="12.75" hidden="false" customHeight="false" outlineLevel="0" collapsed="false">
      <c r="A600" s="464"/>
    </row>
    <row r="601" customFormat="false" ht="12.75" hidden="false" customHeight="false" outlineLevel="0" collapsed="false">
      <c r="A601" s="464"/>
    </row>
    <row r="602" customFormat="false" ht="12.75" hidden="false" customHeight="false" outlineLevel="0" collapsed="false">
      <c r="A602" s="464"/>
    </row>
    <row r="603" customFormat="false" ht="12.75" hidden="false" customHeight="false" outlineLevel="0" collapsed="false">
      <c r="A603" s="464"/>
    </row>
    <row r="604" customFormat="false" ht="12.75" hidden="false" customHeight="false" outlineLevel="0" collapsed="false">
      <c r="A604" s="464"/>
    </row>
    <row r="605" customFormat="false" ht="12.75" hidden="false" customHeight="false" outlineLevel="0" collapsed="false">
      <c r="A605" s="464"/>
    </row>
    <row r="606" customFormat="false" ht="12.75" hidden="false" customHeight="false" outlineLevel="0" collapsed="false">
      <c r="A606" s="464"/>
    </row>
    <row r="607" customFormat="false" ht="12.75" hidden="false" customHeight="false" outlineLevel="0" collapsed="false">
      <c r="A607" s="464"/>
    </row>
    <row r="608" customFormat="false" ht="12.75" hidden="false" customHeight="false" outlineLevel="0" collapsed="false">
      <c r="A608" s="464"/>
    </row>
    <row r="609" customFormat="false" ht="12.75" hidden="false" customHeight="false" outlineLevel="0" collapsed="false">
      <c r="A609" s="464"/>
    </row>
    <row r="610" customFormat="false" ht="12.75" hidden="false" customHeight="false" outlineLevel="0" collapsed="false">
      <c r="A610" s="464"/>
    </row>
    <row r="611" customFormat="false" ht="12.75" hidden="false" customHeight="false" outlineLevel="0" collapsed="false">
      <c r="A611" s="464"/>
    </row>
    <row r="612" customFormat="false" ht="12.75" hidden="false" customHeight="false" outlineLevel="0" collapsed="false">
      <c r="A612" s="464"/>
    </row>
    <row r="613" customFormat="false" ht="12.75" hidden="false" customHeight="false" outlineLevel="0" collapsed="false">
      <c r="A613" s="464"/>
    </row>
    <row r="614" customFormat="false" ht="12.75" hidden="false" customHeight="false" outlineLevel="0" collapsed="false">
      <c r="A614" s="464"/>
    </row>
    <row r="615" customFormat="false" ht="12.75" hidden="false" customHeight="false" outlineLevel="0" collapsed="false">
      <c r="A615" s="464"/>
    </row>
    <row r="616" customFormat="false" ht="12.75" hidden="false" customHeight="false" outlineLevel="0" collapsed="false">
      <c r="A616" s="464"/>
    </row>
    <row r="617" customFormat="false" ht="12.75" hidden="false" customHeight="false" outlineLevel="0" collapsed="false">
      <c r="A617" s="464"/>
    </row>
    <row r="618" customFormat="false" ht="12.75" hidden="false" customHeight="false" outlineLevel="0" collapsed="false">
      <c r="A618" s="464"/>
    </row>
    <row r="619" customFormat="false" ht="12.75" hidden="false" customHeight="false" outlineLevel="0" collapsed="false">
      <c r="A619" s="464"/>
    </row>
    <row r="620" customFormat="false" ht="12.75" hidden="false" customHeight="false" outlineLevel="0" collapsed="false">
      <c r="A620" s="464"/>
    </row>
    <row r="621" customFormat="false" ht="12.75" hidden="false" customHeight="false" outlineLevel="0" collapsed="false">
      <c r="A621" s="464"/>
    </row>
    <row r="622" customFormat="false" ht="12.75" hidden="false" customHeight="false" outlineLevel="0" collapsed="false">
      <c r="A622" s="464"/>
    </row>
    <row r="623" customFormat="false" ht="12.75" hidden="false" customHeight="false" outlineLevel="0" collapsed="false">
      <c r="A623" s="464"/>
    </row>
    <row r="624" customFormat="false" ht="12.75" hidden="false" customHeight="false" outlineLevel="0" collapsed="false">
      <c r="A624" s="464"/>
    </row>
    <row r="625" customFormat="false" ht="12.75" hidden="false" customHeight="false" outlineLevel="0" collapsed="false">
      <c r="A625" s="464"/>
    </row>
    <row r="626" customFormat="false" ht="12.75" hidden="false" customHeight="false" outlineLevel="0" collapsed="false">
      <c r="A626" s="464"/>
    </row>
    <row r="627" customFormat="false" ht="12.75" hidden="false" customHeight="false" outlineLevel="0" collapsed="false">
      <c r="A627" s="464"/>
    </row>
    <row r="628" customFormat="false" ht="12.75" hidden="false" customHeight="false" outlineLevel="0" collapsed="false">
      <c r="A628" s="464"/>
    </row>
    <row r="629" customFormat="false" ht="12.75" hidden="false" customHeight="false" outlineLevel="0" collapsed="false">
      <c r="A629" s="464"/>
    </row>
    <row r="630" customFormat="false" ht="12.75" hidden="false" customHeight="false" outlineLevel="0" collapsed="false">
      <c r="A630" s="464"/>
    </row>
    <row r="631" customFormat="false" ht="12.75" hidden="false" customHeight="false" outlineLevel="0" collapsed="false">
      <c r="A631" s="464"/>
    </row>
    <row r="632" customFormat="false" ht="12.75" hidden="false" customHeight="false" outlineLevel="0" collapsed="false">
      <c r="A632" s="464"/>
    </row>
    <row r="633" customFormat="false" ht="12.75" hidden="false" customHeight="false" outlineLevel="0" collapsed="false">
      <c r="A633" s="464"/>
    </row>
    <row r="634" customFormat="false" ht="12.75" hidden="false" customHeight="false" outlineLevel="0" collapsed="false">
      <c r="A634" s="464"/>
    </row>
    <row r="635" customFormat="false" ht="12.75" hidden="false" customHeight="false" outlineLevel="0" collapsed="false">
      <c r="A635" s="464"/>
    </row>
    <row r="636" customFormat="false" ht="12.75" hidden="false" customHeight="false" outlineLevel="0" collapsed="false">
      <c r="A636" s="464"/>
    </row>
    <row r="637" customFormat="false" ht="12.75" hidden="false" customHeight="false" outlineLevel="0" collapsed="false">
      <c r="A637" s="464"/>
    </row>
    <row r="638" customFormat="false" ht="12.75" hidden="false" customHeight="false" outlineLevel="0" collapsed="false">
      <c r="A638" s="464"/>
    </row>
    <row r="639" customFormat="false" ht="12.75" hidden="false" customHeight="false" outlineLevel="0" collapsed="false">
      <c r="A639" s="464"/>
    </row>
    <row r="640" customFormat="false" ht="12.75" hidden="false" customHeight="false" outlineLevel="0" collapsed="false">
      <c r="A640" s="464"/>
    </row>
    <row r="641" customFormat="false" ht="12.75" hidden="false" customHeight="false" outlineLevel="0" collapsed="false">
      <c r="A641" s="464"/>
    </row>
    <row r="642" customFormat="false" ht="12.75" hidden="false" customHeight="false" outlineLevel="0" collapsed="false">
      <c r="A642" s="464"/>
    </row>
    <row r="643" customFormat="false" ht="12.75" hidden="false" customHeight="false" outlineLevel="0" collapsed="false">
      <c r="A643" s="464"/>
    </row>
    <row r="644" customFormat="false" ht="12.75" hidden="false" customHeight="false" outlineLevel="0" collapsed="false">
      <c r="A644" s="464"/>
    </row>
    <row r="645" customFormat="false" ht="12.75" hidden="false" customHeight="false" outlineLevel="0" collapsed="false">
      <c r="A645" s="464"/>
    </row>
    <row r="646" customFormat="false" ht="12.75" hidden="false" customHeight="false" outlineLevel="0" collapsed="false">
      <c r="A646" s="464"/>
    </row>
    <row r="647" customFormat="false" ht="12.75" hidden="false" customHeight="false" outlineLevel="0" collapsed="false">
      <c r="A647" s="464"/>
    </row>
    <row r="648" customFormat="false" ht="12.75" hidden="false" customHeight="false" outlineLevel="0" collapsed="false">
      <c r="A648" s="464"/>
    </row>
    <row r="649" customFormat="false" ht="12.75" hidden="false" customHeight="false" outlineLevel="0" collapsed="false">
      <c r="A649" s="464"/>
    </row>
    <row r="650" customFormat="false" ht="12.75" hidden="false" customHeight="false" outlineLevel="0" collapsed="false">
      <c r="A650" s="464"/>
    </row>
    <row r="651" customFormat="false" ht="12.75" hidden="false" customHeight="false" outlineLevel="0" collapsed="false">
      <c r="A651" s="464"/>
    </row>
    <row r="652" customFormat="false" ht="12.75" hidden="false" customHeight="false" outlineLevel="0" collapsed="false">
      <c r="A652" s="464"/>
    </row>
    <row r="653" customFormat="false" ht="12.75" hidden="false" customHeight="false" outlineLevel="0" collapsed="false">
      <c r="A653" s="464"/>
    </row>
    <row r="654" customFormat="false" ht="12.75" hidden="false" customHeight="false" outlineLevel="0" collapsed="false">
      <c r="A654" s="464"/>
    </row>
    <row r="655" customFormat="false" ht="12.75" hidden="false" customHeight="false" outlineLevel="0" collapsed="false">
      <c r="A655" s="464"/>
    </row>
    <row r="656" customFormat="false" ht="12.75" hidden="false" customHeight="false" outlineLevel="0" collapsed="false">
      <c r="A656" s="464"/>
    </row>
    <row r="657" customFormat="false" ht="12.75" hidden="false" customHeight="false" outlineLevel="0" collapsed="false">
      <c r="A657" s="464"/>
    </row>
    <row r="658" customFormat="false" ht="12.75" hidden="false" customHeight="false" outlineLevel="0" collapsed="false">
      <c r="A658" s="464"/>
    </row>
    <row r="659" customFormat="false" ht="12.75" hidden="false" customHeight="false" outlineLevel="0" collapsed="false">
      <c r="A659" s="464"/>
    </row>
    <row r="660" customFormat="false" ht="12.75" hidden="false" customHeight="false" outlineLevel="0" collapsed="false">
      <c r="A660" s="464"/>
    </row>
    <row r="661" customFormat="false" ht="12.75" hidden="false" customHeight="false" outlineLevel="0" collapsed="false">
      <c r="A661" s="464"/>
    </row>
    <row r="662" customFormat="false" ht="12.75" hidden="false" customHeight="false" outlineLevel="0" collapsed="false">
      <c r="A662" s="464"/>
    </row>
    <row r="663" customFormat="false" ht="12.75" hidden="false" customHeight="false" outlineLevel="0" collapsed="false">
      <c r="A663" s="464"/>
    </row>
    <row r="664" customFormat="false" ht="12.75" hidden="false" customHeight="false" outlineLevel="0" collapsed="false">
      <c r="A664" s="464"/>
    </row>
    <row r="665" customFormat="false" ht="12.75" hidden="false" customHeight="false" outlineLevel="0" collapsed="false">
      <c r="A665" s="464"/>
    </row>
    <row r="666" customFormat="false" ht="12.75" hidden="false" customHeight="false" outlineLevel="0" collapsed="false">
      <c r="A666" s="464"/>
    </row>
    <row r="667" customFormat="false" ht="12.75" hidden="false" customHeight="false" outlineLevel="0" collapsed="false">
      <c r="A667" s="464"/>
    </row>
    <row r="668" customFormat="false" ht="12.75" hidden="false" customHeight="false" outlineLevel="0" collapsed="false">
      <c r="A668" s="464"/>
    </row>
    <row r="669" customFormat="false" ht="12.75" hidden="false" customHeight="false" outlineLevel="0" collapsed="false">
      <c r="A669" s="464"/>
    </row>
    <row r="670" customFormat="false" ht="12.75" hidden="false" customHeight="false" outlineLevel="0" collapsed="false">
      <c r="A670" s="464"/>
    </row>
    <row r="671" customFormat="false" ht="12.75" hidden="false" customHeight="false" outlineLevel="0" collapsed="false">
      <c r="A671" s="464"/>
    </row>
    <row r="672" customFormat="false" ht="12.75" hidden="false" customHeight="false" outlineLevel="0" collapsed="false">
      <c r="A672" s="464"/>
    </row>
    <row r="673" customFormat="false" ht="12.75" hidden="false" customHeight="false" outlineLevel="0" collapsed="false">
      <c r="A673" s="464"/>
    </row>
    <row r="674" customFormat="false" ht="12.75" hidden="false" customHeight="false" outlineLevel="0" collapsed="false">
      <c r="A674" s="464"/>
    </row>
    <row r="675" customFormat="false" ht="12.75" hidden="false" customHeight="false" outlineLevel="0" collapsed="false">
      <c r="A675" s="464"/>
    </row>
    <row r="676" customFormat="false" ht="12.75" hidden="false" customHeight="false" outlineLevel="0" collapsed="false">
      <c r="A676" s="464"/>
    </row>
    <row r="677" customFormat="false" ht="12.75" hidden="false" customHeight="false" outlineLevel="0" collapsed="false">
      <c r="A677" s="464"/>
    </row>
    <row r="678" customFormat="false" ht="12.75" hidden="false" customHeight="false" outlineLevel="0" collapsed="false">
      <c r="A678" s="464"/>
    </row>
    <row r="679" customFormat="false" ht="12.75" hidden="false" customHeight="false" outlineLevel="0" collapsed="false">
      <c r="A679" s="464"/>
    </row>
    <row r="680" customFormat="false" ht="12.75" hidden="false" customHeight="false" outlineLevel="0" collapsed="false">
      <c r="A680" s="464"/>
    </row>
    <row r="681" customFormat="false" ht="12.75" hidden="false" customHeight="false" outlineLevel="0" collapsed="false">
      <c r="A681" s="464"/>
    </row>
    <row r="682" customFormat="false" ht="12.75" hidden="false" customHeight="false" outlineLevel="0" collapsed="false">
      <c r="A682" s="464"/>
    </row>
    <row r="683" customFormat="false" ht="12.75" hidden="false" customHeight="false" outlineLevel="0" collapsed="false">
      <c r="A683" s="464"/>
    </row>
    <row r="684" customFormat="false" ht="12.75" hidden="false" customHeight="false" outlineLevel="0" collapsed="false">
      <c r="A684" s="464"/>
    </row>
    <row r="685" customFormat="false" ht="12.75" hidden="false" customHeight="false" outlineLevel="0" collapsed="false">
      <c r="A685" s="464"/>
    </row>
    <row r="686" customFormat="false" ht="12.75" hidden="false" customHeight="false" outlineLevel="0" collapsed="false">
      <c r="A686" s="464"/>
    </row>
    <row r="687" customFormat="false" ht="12.75" hidden="false" customHeight="false" outlineLevel="0" collapsed="false">
      <c r="A687" s="464"/>
    </row>
    <row r="688" customFormat="false" ht="12.75" hidden="false" customHeight="false" outlineLevel="0" collapsed="false">
      <c r="A688" s="464"/>
    </row>
    <row r="689" customFormat="false" ht="12.75" hidden="false" customHeight="false" outlineLevel="0" collapsed="false">
      <c r="A689" s="464"/>
    </row>
    <row r="690" customFormat="false" ht="12.75" hidden="false" customHeight="false" outlineLevel="0" collapsed="false">
      <c r="A690" s="464"/>
    </row>
    <row r="691" customFormat="false" ht="12.75" hidden="false" customHeight="false" outlineLevel="0" collapsed="false">
      <c r="A691" s="464"/>
    </row>
    <row r="692" customFormat="false" ht="12.75" hidden="false" customHeight="false" outlineLevel="0" collapsed="false">
      <c r="A692" s="464"/>
    </row>
    <row r="693" customFormat="false" ht="12.75" hidden="false" customHeight="false" outlineLevel="0" collapsed="false">
      <c r="A693" s="464"/>
    </row>
    <row r="694" customFormat="false" ht="12.75" hidden="false" customHeight="false" outlineLevel="0" collapsed="false">
      <c r="A694" s="464"/>
    </row>
    <row r="695" customFormat="false" ht="12.75" hidden="false" customHeight="false" outlineLevel="0" collapsed="false">
      <c r="A695" s="464"/>
    </row>
    <row r="696" customFormat="false" ht="12.75" hidden="false" customHeight="false" outlineLevel="0" collapsed="false">
      <c r="A696" s="464"/>
    </row>
    <row r="697" customFormat="false" ht="12.75" hidden="false" customHeight="false" outlineLevel="0" collapsed="false">
      <c r="A697" s="464"/>
    </row>
    <row r="698" customFormat="false" ht="12.75" hidden="false" customHeight="false" outlineLevel="0" collapsed="false">
      <c r="A698" s="464"/>
    </row>
    <row r="699" customFormat="false" ht="12.75" hidden="false" customHeight="false" outlineLevel="0" collapsed="false">
      <c r="A699" s="464"/>
    </row>
    <row r="700" customFormat="false" ht="12.75" hidden="false" customHeight="false" outlineLevel="0" collapsed="false">
      <c r="A700" s="464"/>
    </row>
    <row r="701" customFormat="false" ht="12.75" hidden="false" customHeight="false" outlineLevel="0" collapsed="false">
      <c r="A701" s="464"/>
    </row>
    <row r="702" customFormat="false" ht="12.75" hidden="false" customHeight="false" outlineLevel="0" collapsed="false">
      <c r="A702" s="464"/>
    </row>
    <row r="703" customFormat="false" ht="12.75" hidden="false" customHeight="false" outlineLevel="0" collapsed="false">
      <c r="A703" s="464"/>
    </row>
    <row r="704" customFormat="false" ht="12.75" hidden="false" customHeight="false" outlineLevel="0" collapsed="false">
      <c r="A704" s="464"/>
    </row>
    <row r="705" customFormat="false" ht="12.75" hidden="false" customHeight="false" outlineLevel="0" collapsed="false">
      <c r="A705" s="464"/>
    </row>
    <row r="706" customFormat="false" ht="12.75" hidden="false" customHeight="false" outlineLevel="0" collapsed="false">
      <c r="A706" s="464"/>
    </row>
    <row r="707" customFormat="false" ht="12.75" hidden="false" customHeight="false" outlineLevel="0" collapsed="false">
      <c r="A707" s="464"/>
    </row>
    <row r="708" customFormat="false" ht="12.75" hidden="false" customHeight="false" outlineLevel="0" collapsed="false">
      <c r="A708" s="464"/>
    </row>
    <row r="709" customFormat="false" ht="12.75" hidden="false" customHeight="false" outlineLevel="0" collapsed="false">
      <c r="A709" s="464"/>
    </row>
    <row r="710" customFormat="false" ht="12.75" hidden="false" customHeight="false" outlineLevel="0" collapsed="false">
      <c r="A710" s="464"/>
    </row>
    <row r="711" customFormat="false" ht="12.75" hidden="false" customHeight="false" outlineLevel="0" collapsed="false">
      <c r="A711" s="464"/>
    </row>
    <row r="712" customFormat="false" ht="12.75" hidden="false" customHeight="false" outlineLevel="0" collapsed="false">
      <c r="A712" s="464"/>
    </row>
    <row r="713" customFormat="false" ht="12.75" hidden="false" customHeight="false" outlineLevel="0" collapsed="false">
      <c r="A713" s="464"/>
    </row>
    <row r="714" customFormat="false" ht="12.75" hidden="false" customHeight="false" outlineLevel="0" collapsed="false">
      <c r="A714" s="464"/>
    </row>
    <row r="715" customFormat="false" ht="12.75" hidden="false" customHeight="false" outlineLevel="0" collapsed="false">
      <c r="A715" s="464"/>
    </row>
    <row r="716" customFormat="false" ht="12.75" hidden="false" customHeight="false" outlineLevel="0" collapsed="false">
      <c r="A716" s="464"/>
    </row>
    <row r="717" customFormat="false" ht="12.75" hidden="false" customHeight="false" outlineLevel="0" collapsed="false">
      <c r="A717" s="464"/>
    </row>
    <row r="718" customFormat="false" ht="12.75" hidden="false" customHeight="false" outlineLevel="0" collapsed="false">
      <c r="A718" s="464"/>
    </row>
    <row r="719" customFormat="false" ht="12.75" hidden="false" customHeight="false" outlineLevel="0" collapsed="false">
      <c r="A719" s="464"/>
    </row>
    <row r="720" customFormat="false" ht="12.75" hidden="false" customHeight="false" outlineLevel="0" collapsed="false">
      <c r="A720" s="464"/>
    </row>
    <row r="721" customFormat="false" ht="12.75" hidden="false" customHeight="false" outlineLevel="0" collapsed="false">
      <c r="A721" s="464"/>
    </row>
    <row r="722" customFormat="false" ht="12.75" hidden="false" customHeight="false" outlineLevel="0" collapsed="false">
      <c r="A722" s="464"/>
    </row>
    <row r="723" customFormat="false" ht="12.75" hidden="false" customHeight="false" outlineLevel="0" collapsed="false">
      <c r="A723" s="464"/>
    </row>
    <row r="724" customFormat="false" ht="12.75" hidden="false" customHeight="false" outlineLevel="0" collapsed="false">
      <c r="A724" s="464"/>
    </row>
    <row r="725" customFormat="false" ht="12.75" hidden="false" customHeight="false" outlineLevel="0" collapsed="false">
      <c r="A725" s="464"/>
    </row>
    <row r="726" customFormat="false" ht="12.75" hidden="false" customHeight="false" outlineLevel="0" collapsed="false">
      <c r="A726" s="464"/>
    </row>
    <row r="727" customFormat="false" ht="12.75" hidden="false" customHeight="false" outlineLevel="0" collapsed="false">
      <c r="A727" s="464"/>
    </row>
    <row r="728" customFormat="false" ht="12.75" hidden="false" customHeight="false" outlineLevel="0" collapsed="false">
      <c r="A728" s="464"/>
    </row>
    <row r="729" customFormat="false" ht="12.75" hidden="false" customHeight="false" outlineLevel="0" collapsed="false">
      <c r="A729" s="464"/>
    </row>
    <row r="730" customFormat="false" ht="12.75" hidden="false" customHeight="false" outlineLevel="0" collapsed="false">
      <c r="A730" s="464"/>
    </row>
    <row r="731" customFormat="false" ht="12.75" hidden="false" customHeight="false" outlineLevel="0" collapsed="false">
      <c r="A731" s="464"/>
    </row>
    <row r="732" customFormat="false" ht="12.75" hidden="false" customHeight="false" outlineLevel="0" collapsed="false">
      <c r="A732" s="464"/>
    </row>
    <row r="733" customFormat="false" ht="12.75" hidden="false" customHeight="false" outlineLevel="0" collapsed="false">
      <c r="A733" s="464"/>
    </row>
    <row r="734" customFormat="false" ht="12.75" hidden="false" customHeight="false" outlineLevel="0" collapsed="false">
      <c r="A734" s="464"/>
    </row>
    <row r="735" customFormat="false" ht="12.75" hidden="false" customHeight="false" outlineLevel="0" collapsed="false">
      <c r="A735" s="464"/>
    </row>
    <row r="736" customFormat="false" ht="12.75" hidden="false" customHeight="false" outlineLevel="0" collapsed="false">
      <c r="A736" s="464"/>
    </row>
    <row r="737" customFormat="false" ht="12.75" hidden="false" customHeight="false" outlineLevel="0" collapsed="false">
      <c r="A737" s="464"/>
    </row>
    <row r="738" customFormat="false" ht="12.75" hidden="false" customHeight="false" outlineLevel="0" collapsed="false">
      <c r="A738" s="464"/>
    </row>
    <row r="739" customFormat="false" ht="12.75" hidden="false" customHeight="false" outlineLevel="0" collapsed="false">
      <c r="A739" s="464"/>
    </row>
    <row r="740" customFormat="false" ht="12.75" hidden="false" customHeight="false" outlineLevel="0" collapsed="false">
      <c r="A740" s="464"/>
    </row>
    <row r="741" customFormat="false" ht="12.75" hidden="false" customHeight="false" outlineLevel="0" collapsed="false">
      <c r="A741" s="464"/>
    </row>
    <row r="742" customFormat="false" ht="12.75" hidden="false" customHeight="false" outlineLevel="0" collapsed="false">
      <c r="A742" s="464"/>
    </row>
    <row r="743" customFormat="false" ht="12.75" hidden="false" customHeight="false" outlineLevel="0" collapsed="false">
      <c r="A743" s="464"/>
    </row>
    <row r="744" customFormat="false" ht="12.75" hidden="false" customHeight="false" outlineLevel="0" collapsed="false">
      <c r="A744" s="464"/>
    </row>
    <row r="745" customFormat="false" ht="12.75" hidden="false" customHeight="false" outlineLevel="0" collapsed="false">
      <c r="A745" s="464"/>
    </row>
    <row r="746" customFormat="false" ht="12.75" hidden="false" customHeight="false" outlineLevel="0" collapsed="false">
      <c r="A746" s="464"/>
    </row>
    <row r="747" customFormat="false" ht="12.75" hidden="false" customHeight="false" outlineLevel="0" collapsed="false">
      <c r="A747" s="464"/>
    </row>
    <row r="748" customFormat="false" ht="12.75" hidden="false" customHeight="false" outlineLevel="0" collapsed="false">
      <c r="A748" s="464"/>
    </row>
    <row r="749" customFormat="false" ht="12.75" hidden="false" customHeight="false" outlineLevel="0" collapsed="false">
      <c r="A749" s="464"/>
    </row>
    <row r="750" customFormat="false" ht="12.75" hidden="false" customHeight="false" outlineLevel="0" collapsed="false">
      <c r="A750" s="464"/>
    </row>
    <row r="751" customFormat="false" ht="12.75" hidden="false" customHeight="false" outlineLevel="0" collapsed="false">
      <c r="A751" s="464"/>
    </row>
    <row r="752" customFormat="false" ht="12.75" hidden="false" customHeight="false" outlineLevel="0" collapsed="false">
      <c r="A752" s="464"/>
    </row>
    <row r="753" customFormat="false" ht="12.75" hidden="false" customHeight="false" outlineLevel="0" collapsed="false">
      <c r="A753" s="464"/>
    </row>
    <row r="754" customFormat="false" ht="12.75" hidden="false" customHeight="false" outlineLevel="0" collapsed="false">
      <c r="A754" s="464"/>
    </row>
    <row r="755" customFormat="false" ht="12.75" hidden="false" customHeight="false" outlineLevel="0" collapsed="false">
      <c r="A755" s="464"/>
    </row>
    <row r="756" customFormat="false" ht="12.75" hidden="false" customHeight="false" outlineLevel="0" collapsed="false">
      <c r="A756" s="464"/>
    </row>
    <row r="757" customFormat="false" ht="12.75" hidden="false" customHeight="false" outlineLevel="0" collapsed="false">
      <c r="A757" s="464"/>
    </row>
    <row r="758" customFormat="false" ht="12.75" hidden="false" customHeight="false" outlineLevel="0" collapsed="false">
      <c r="A758" s="464"/>
    </row>
    <row r="759" customFormat="false" ht="12.75" hidden="false" customHeight="false" outlineLevel="0" collapsed="false">
      <c r="A759" s="464"/>
    </row>
    <row r="760" customFormat="false" ht="12.75" hidden="false" customHeight="false" outlineLevel="0" collapsed="false">
      <c r="A760" s="464"/>
    </row>
    <row r="761" customFormat="false" ht="12.75" hidden="false" customHeight="false" outlineLevel="0" collapsed="false">
      <c r="A761" s="464"/>
    </row>
    <row r="762" customFormat="false" ht="12.75" hidden="false" customHeight="false" outlineLevel="0" collapsed="false">
      <c r="A762" s="464"/>
    </row>
    <row r="763" customFormat="false" ht="12.75" hidden="false" customHeight="false" outlineLevel="0" collapsed="false">
      <c r="A763" s="464"/>
    </row>
    <row r="764" customFormat="false" ht="12.75" hidden="false" customHeight="false" outlineLevel="0" collapsed="false">
      <c r="A764" s="464"/>
    </row>
    <row r="765" customFormat="false" ht="12.75" hidden="false" customHeight="false" outlineLevel="0" collapsed="false">
      <c r="A765" s="464"/>
    </row>
    <row r="766" customFormat="false" ht="12.75" hidden="false" customHeight="false" outlineLevel="0" collapsed="false">
      <c r="A766" s="464"/>
    </row>
    <row r="767" customFormat="false" ht="12.75" hidden="false" customHeight="false" outlineLevel="0" collapsed="false">
      <c r="A767" s="464"/>
    </row>
    <row r="768" customFormat="false" ht="12.75" hidden="false" customHeight="false" outlineLevel="0" collapsed="false">
      <c r="A768" s="464"/>
    </row>
    <row r="769" customFormat="false" ht="12.75" hidden="false" customHeight="false" outlineLevel="0" collapsed="false">
      <c r="A769" s="464"/>
    </row>
    <row r="770" customFormat="false" ht="12.75" hidden="false" customHeight="false" outlineLevel="0" collapsed="false">
      <c r="A770" s="464"/>
    </row>
    <row r="771" customFormat="false" ht="12.75" hidden="false" customHeight="false" outlineLevel="0" collapsed="false">
      <c r="A771" s="464"/>
    </row>
    <row r="772" customFormat="false" ht="12.75" hidden="false" customHeight="false" outlineLevel="0" collapsed="false">
      <c r="A772" s="464"/>
    </row>
    <row r="773" customFormat="false" ht="12.75" hidden="false" customHeight="false" outlineLevel="0" collapsed="false">
      <c r="A773" s="464"/>
    </row>
    <row r="774" customFormat="false" ht="12.75" hidden="false" customHeight="false" outlineLevel="0" collapsed="false">
      <c r="A774" s="464"/>
    </row>
    <row r="775" customFormat="false" ht="12.75" hidden="false" customHeight="false" outlineLevel="0" collapsed="false">
      <c r="A775" s="464"/>
    </row>
    <row r="776" customFormat="false" ht="12.75" hidden="false" customHeight="false" outlineLevel="0" collapsed="false">
      <c r="A776" s="464"/>
    </row>
    <row r="777" customFormat="false" ht="12.75" hidden="false" customHeight="false" outlineLevel="0" collapsed="false">
      <c r="A777" s="464"/>
    </row>
    <row r="778" customFormat="false" ht="12.75" hidden="false" customHeight="false" outlineLevel="0" collapsed="false">
      <c r="A778" s="464"/>
    </row>
    <row r="779" customFormat="false" ht="12.75" hidden="false" customHeight="false" outlineLevel="0" collapsed="false">
      <c r="A779" s="464"/>
    </row>
    <row r="780" customFormat="false" ht="12.75" hidden="false" customHeight="false" outlineLevel="0" collapsed="false">
      <c r="A780" s="464"/>
    </row>
    <row r="781" customFormat="false" ht="12.75" hidden="false" customHeight="false" outlineLevel="0" collapsed="false">
      <c r="A781" s="464"/>
    </row>
    <row r="782" customFormat="false" ht="12.75" hidden="false" customHeight="false" outlineLevel="0" collapsed="false">
      <c r="A782" s="464"/>
    </row>
    <row r="783" customFormat="false" ht="12.75" hidden="false" customHeight="false" outlineLevel="0" collapsed="false">
      <c r="A783" s="464"/>
    </row>
    <row r="784" customFormat="false" ht="12.75" hidden="false" customHeight="false" outlineLevel="0" collapsed="false">
      <c r="A784" s="464"/>
    </row>
    <row r="785" customFormat="false" ht="12.75" hidden="false" customHeight="false" outlineLevel="0" collapsed="false">
      <c r="A785" s="464"/>
    </row>
    <row r="786" customFormat="false" ht="12.75" hidden="false" customHeight="false" outlineLevel="0" collapsed="false">
      <c r="A786" s="464"/>
    </row>
    <row r="787" customFormat="false" ht="12.75" hidden="false" customHeight="false" outlineLevel="0" collapsed="false">
      <c r="A787" s="464"/>
    </row>
    <row r="788" customFormat="false" ht="12.75" hidden="false" customHeight="false" outlineLevel="0" collapsed="false">
      <c r="A788" s="464"/>
    </row>
    <row r="789" customFormat="false" ht="12.75" hidden="false" customHeight="false" outlineLevel="0" collapsed="false">
      <c r="A789" s="464"/>
    </row>
    <row r="790" customFormat="false" ht="12.75" hidden="false" customHeight="false" outlineLevel="0" collapsed="false">
      <c r="A790" s="464"/>
    </row>
    <row r="791" customFormat="false" ht="12.75" hidden="false" customHeight="false" outlineLevel="0" collapsed="false">
      <c r="A791" s="464"/>
    </row>
    <row r="792" customFormat="false" ht="12.75" hidden="false" customHeight="false" outlineLevel="0" collapsed="false">
      <c r="A792" s="464"/>
    </row>
    <row r="793" customFormat="false" ht="12.75" hidden="false" customHeight="false" outlineLevel="0" collapsed="false">
      <c r="A793" s="464"/>
    </row>
    <row r="794" customFormat="false" ht="12.75" hidden="false" customHeight="false" outlineLevel="0" collapsed="false">
      <c r="A794" s="464"/>
    </row>
    <row r="795" customFormat="false" ht="12.75" hidden="false" customHeight="false" outlineLevel="0" collapsed="false">
      <c r="A795" s="464"/>
    </row>
    <row r="796" customFormat="false" ht="12.75" hidden="false" customHeight="false" outlineLevel="0" collapsed="false">
      <c r="A796" s="464"/>
    </row>
    <row r="797" customFormat="false" ht="12.75" hidden="false" customHeight="false" outlineLevel="0" collapsed="false">
      <c r="A797" s="464"/>
    </row>
    <row r="798" customFormat="false" ht="12.75" hidden="false" customHeight="false" outlineLevel="0" collapsed="false">
      <c r="A798" s="464"/>
    </row>
    <row r="799" customFormat="false" ht="12.75" hidden="false" customHeight="false" outlineLevel="0" collapsed="false">
      <c r="A799" s="464"/>
    </row>
    <row r="800" customFormat="false" ht="12.75" hidden="false" customHeight="false" outlineLevel="0" collapsed="false">
      <c r="A800" s="464"/>
    </row>
    <row r="801" customFormat="false" ht="12.75" hidden="false" customHeight="false" outlineLevel="0" collapsed="false">
      <c r="A801" s="464"/>
    </row>
    <row r="802" customFormat="false" ht="12.75" hidden="false" customHeight="false" outlineLevel="0" collapsed="false">
      <c r="A802" s="464"/>
    </row>
    <row r="803" customFormat="false" ht="12.75" hidden="false" customHeight="false" outlineLevel="0" collapsed="false">
      <c r="A803" s="464"/>
    </row>
    <row r="804" customFormat="false" ht="12.75" hidden="false" customHeight="false" outlineLevel="0" collapsed="false">
      <c r="A804" s="464"/>
    </row>
    <row r="805" customFormat="false" ht="12.75" hidden="false" customHeight="false" outlineLevel="0" collapsed="false">
      <c r="A805" s="464"/>
    </row>
    <row r="806" customFormat="false" ht="12.75" hidden="false" customHeight="false" outlineLevel="0" collapsed="false">
      <c r="A806" s="464"/>
    </row>
    <row r="807" customFormat="false" ht="12.75" hidden="false" customHeight="false" outlineLevel="0" collapsed="false">
      <c r="A807" s="464"/>
    </row>
    <row r="808" customFormat="false" ht="12.75" hidden="false" customHeight="false" outlineLevel="0" collapsed="false">
      <c r="A808" s="464"/>
    </row>
    <row r="809" customFormat="false" ht="12.75" hidden="false" customHeight="false" outlineLevel="0" collapsed="false">
      <c r="A809" s="464"/>
    </row>
    <row r="810" customFormat="false" ht="12.75" hidden="false" customHeight="false" outlineLevel="0" collapsed="false">
      <c r="A810" s="464"/>
    </row>
    <row r="811" customFormat="false" ht="12.75" hidden="false" customHeight="false" outlineLevel="0" collapsed="false">
      <c r="A811" s="464"/>
    </row>
    <row r="812" customFormat="false" ht="12.75" hidden="false" customHeight="false" outlineLevel="0" collapsed="false">
      <c r="A812" s="464"/>
    </row>
    <row r="813" customFormat="false" ht="12.75" hidden="false" customHeight="false" outlineLevel="0" collapsed="false">
      <c r="A813" s="464"/>
    </row>
    <row r="814" customFormat="false" ht="12.75" hidden="false" customHeight="false" outlineLevel="0" collapsed="false">
      <c r="A814" s="464"/>
    </row>
    <row r="815" customFormat="false" ht="12.75" hidden="false" customHeight="false" outlineLevel="0" collapsed="false">
      <c r="A815" s="464"/>
    </row>
    <row r="816" customFormat="false" ht="12.75" hidden="false" customHeight="false" outlineLevel="0" collapsed="false">
      <c r="A816" s="464"/>
    </row>
    <row r="817" customFormat="false" ht="12.75" hidden="false" customHeight="false" outlineLevel="0" collapsed="false">
      <c r="A817" s="464"/>
    </row>
    <row r="818" customFormat="false" ht="12.75" hidden="false" customHeight="false" outlineLevel="0" collapsed="false">
      <c r="A818" s="464"/>
    </row>
    <row r="819" customFormat="false" ht="12.75" hidden="false" customHeight="false" outlineLevel="0" collapsed="false">
      <c r="A819" s="464"/>
    </row>
    <row r="820" customFormat="false" ht="12.75" hidden="false" customHeight="false" outlineLevel="0" collapsed="false">
      <c r="A820" s="464"/>
    </row>
    <row r="821" customFormat="false" ht="12.75" hidden="false" customHeight="false" outlineLevel="0" collapsed="false">
      <c r="A821" s="464"/>
    </row>
    <row r="822" customFormat="false" ht="12.75" hidden="false" customHeight="false" outlineLevel="0" collapsed="false">
      <c r="A822" s="464"/>
    </row>
    <row r="823" customFormat="false" ht="12.75" hidden="false" customHeight="false" outlineLevel="0" collapsed="false">
      <c r="A823" s="464"/>
    </row>
    <row r="824" customFormat="false" ht="12.75" hidden="false" customHeight="false" outlineLevel="0" collapsed="false">
      <c r="A824" s="464"/>
    </row>
    <row r="825" customFormat="false" ht="12.75" hidden="false" customHeight="false" outlineLevel="0" collapsed="false">
      <c r="A825" s="464"/>
    </row>
    <row r="826" customFormat="false" ht="12.75" hidden="false" customHeight="false" outlineLevel="0" collapsed="false">
      <c r="A826" s="464"/>
    </row>
    <row r="827" customFormat="false" ht="12.75" hidden="false" customHeight="false" outlineLevel="0" collapsed="false">
      <c r="A827" s="464"/>
    </row>
    <row r="828" customFormat="false" ht="12.75" hidden="false" customHeight="false" outlineLevel="0" collapsed="false">
      <c r="A828" s="464"/>
    </row>
    <row r="829" customFormat="false" ht="12.75" hidden="false" customHeight="false" outlineLevel="0" collapsed="false">
      <c r="A829" s="464"/>
    </row>
    <row r="830" customFormat="false" ht="12.75" hidden="false" customHeight="false" outlineLevel="0" collapsed="false">
      <c r="A830" s="464"/>
    </row>
    <row r="831" customFormat="false" ht="12.75" hidden="false" customHeight="false" outlineLevel="0" collapsed="false">
      <c r="A831" s="464"/>
    </row>
    <row r="832" customFormat="false" ht="12.75" hidden="false" customHeight="false" outlineLevel="0" collapsed="false">
      <c r="A832" s="464"/>
    </row>
    <row r="833" customFormat="false" ht="12.75" hidden="false" customHeight="false" outlineLevel="0" collapsed="false">
      <c r="A833" s="464"/>
    </row>
    <row r="834" customFormat="false" ht="12.75" hidden="false" customHeight="false" outlineLevel="0" collapsed="false">
      <c r="A834" s="464"/>
    </row>
    <row r="835" customFormat="false" ht="12.75" hidden="false" customHeight="false" outlineLevel="0" collapsed="false">
      <c r="A835" s="464"/>
    </row>
    <row r="836" customFormat="false" ht="12.75" hidden="false" customHeight="false" outlineLevel="0" collapsed="false">
      <c r="A836" s="464"/>
    </row>
    <row r="837" customFormat="false" ht="12.75" hidden="false" customHeight="false" outlineLevel="0" collapsed="false">
      <c r="A837" s="464"/>
    </row>
    <row r="838" customFormat="false" ht="12.75" hidden="false" customHeight="false" outlineLevel="0" collapsed="false">
      <c r="A838" s="464"/>
    </row>
    <row r="839" customFormat="false" ht="12.75" hidden="false" customHeight="false" outlineLevel="0" collapsed="false">
      <c r="A839" s="464"/>
    </row>
    <row r="840" customFormat="false" ht="12.75" hidden="false" customHeight="false" outlineLevel="0" collapsed="false">
      <c r="A840" s="464"/>
    </row>
    <row r="841" customFormat="false" ht="12.75" hidden="false" customHeight="false" outlineLevel="0" collapsed="false">
      <c r="A841" s="464"/>
    </row>
    <row r="842" customFormat="false" ht="12.75" hidden="false" customHeight="false" outlineLevel="0" collapsed="false">
      <c r="A842" s="464"/>
    </row>
    <row r="843" customFormat="false" ht="12.75" hidden="false" customHeight="false" outlineLevel="0" collapsed="false">
      <c r="A843" s="464"/>
    </row>
    <row r="844" customFormat="false" ht="12.75" hidden="false" customHeight="false" outlineLevel="0" collapsed="false">
      <c r="A844" s="464"/>
    </row>
    <row r="845" customFormat="false" ht="12.75" hidden="false" customHeight="false" outlineLevel="0" collapsed="false">
      <c r="A845" s="464"/>
    </row>
    <row r="846" customFormat="false" ht="12.75" hidden="false" customHeight="false" outlineLevel="0" collapsed="false">
      <c r="A846" s="464"/>
    </row>
    <row r="847" customFormat="false" ht="12.75" hidden="false" customHeight="false" outlineLevel="0" collapsed="false">
      <c r="A847" s="464"/>
    </row>
    <row r="848" customFormat="false" ht="12.75" hidden="false" customHeight="false" outlineLevel="0" collapsed="false">
      <c r="A848" s="464"/>
    </row>
    <row r="849" customFormat="false" ht="12.75" hidden="false" customHeight="false" outlineLevel="0" collapsed="false">
      <c r="A849" s="464"/>
    </row>
    <row r="850" customFormat="false" ht="12.75" hidden="false" customHeight="false" outlineLevel="0" collapsed="false">
      <c r="A850" s="464"/>
    </row>
    <row r="851" customFormat="false" ht="12.75" hidden="false" customHeight="false" outlineLevel="0" collapsed="false">
      <c r="A851" s="464"/>
    </row>
    <row r="852" customFormat="false" ht="12.75" hidden="false" customHeight="false" outlineLevel="0" collapsed="false">
      <c r="A852" s="464"/>
    </row>
    <row r="853" customFormat="false" ht="12.75" hidden="false" customHeight="false" outlineLevel="0" collapsed="false">
      <c r="A853" s="464"/>
    </row>
    <row r="854" customFormat="false" ht="12.75" hidden="false" customHeight="false" outlineLevel="0" collapsed="false">
      <c r="A854" s="464"/>
    </row>
    <row r="855" customFormat="false" ht="12.75" hidden="false" customHeight="false" outlineLevel="0" collapsed="false">
      <c r="A855" s="464"/>
    </row>
    <row r="856" customFormat="false" ht="12.75" hidden="false" customHeight="false" outlineLevel="0" collapsed="false">
      <c r="A856" s="464"/>
    </row>
    <row r="857" customFormat="false" ht="12.75" hidden="false" customHeight="false" outlineLevel="0" collapsed="false">
      <c r="A857" s="464"/>
    </row>
    <row r="858" customFormat="false" ht="12.75" hidden="false" customHeight="false" outlineLevel="0" collapsed="false">
      <c r="A858" s="464"/>
    </row>
    <row r="859" customFormat="false" ht="12.75" hidden="false" customHeight="false" outlineLevel="0" collapsed="false">
      <c r="A859" s="464"/>
    </row>
    <row r="860" customFormat="false" ht="12.75" hidden="false" customHeight="false" outlineLevel="0" collapsed="false">
      <c r="A860" s="464"/>
    </row>
    <row r="861" customFormat="false" ht="12.75" hidden="false" customHeight="false" outlineLevel="0" collapsed="false">
      <c r="A861" s="464"/>
    </row>
    <row r="862" customFormat="false" ht="12.75" hidden="false" customHeight="false" outlineLevel="0" collapsed="false">
      <c r="A862" s="464"/>
    </row>
    <row r="863" customFormat="false" ht="12.75" hidden="false" customHeight="false" outlineLevel="0" collapsed="false">
      <c r="A863" s="464"/>
    </row>
    <row r="864" customFormat="false" ht="12.75" hidden="false" customHeight="false" outlineLevel="0" collapsed="false">
      <c r="A864" s="464"/>
    </row>
    <row r="865" customFormat="false" ht="12.75" hidden="false" customHeight="false" outlineLevel="0" collapsed="false">
      <c r="A865" s="464"/>
    </row>
    <row r="866" customFormat="false" ht="12.75" hidden="false" customHeight="false" outlineLevel="0" collapsed="false">
      <c r="A866" s="464"/>
    </row>
    <row r="867" customFormat="false" ht="12.75" hidden="false" customHeight="false" outlineLevel="0" collapsed="false">
      <c r="A867" s="464"/>
    </row>
    <row r="868" customFormat="false" ht="12.75" hidden="false" customHeight="false" outlineLevel="0" collapsed="false">
      <c r="A868" s="464"/>
    </row>
    <row r="869" customFormat="false" ht="12.75" hidden="false" customHeight="false" outlineLevel="0" collapsed="false">
      <c r="A869" s="464"/>
    </row>
    <row r="870" customFormat="false" ht="12.75" hidden="false" customHeight="false" outlineLevel="0" collapsed="false">
      <c r="A870" s="464"/>
    </row>
    <row r="871" customFormat="false" ht="12.75" hidden="false" customHeight="false" outlineLevel="0" collapsed="false">
      <c r="A871" s="464"/>
    </row>
    <row r="872" customFormat="false" ht="12.75" hidden="false" customHeight="false" outlineLevel="0" collapsed="false">
      <c r="A872" s="464"/>
    </row>
    <row r="873" customFormat="false" ht="12.75" hidden="false" customHeight="false" outlineLevel="0" collapsed="false">
      <c r="A873" s="464"/>
    </row>
    <row r="874" customFormat="false" ht="12.75" hidden="false" customHeight="false" outlineLevel="0" collapsed="false">
      <c r="A874" s="464"/>
    </row>
    <row r="875" customFormat="false" ht="12.75" hidden="false" customHeight="false" outlineLevel="0" collapsed="false">
      <c r="A875" s="464"/>
    </row>
    <row r="876" customFormat="false" ht="12.75" hidden="false" customHeight="false" outlineLevel="0" collapsed="false">
      <c r="A876" s="464"/>
    </row>
    <row r="877" customFormat="false" ht="12.75" hidden="false" customHeight="false" outlineLevel="0" collapsed="false">
      <c r="A877" s="464"/>
    </row>
    <row r="878" customFormat="false" ht="12.75" hidden="false" customHeight="false" outlineLevel="0" collapsed="false">
      <c r="A878" s="464"/>
    </row>
    <row r="879" customFormat="false" ht="12.75" hidden="false" customHeight="false" outlineLevel="0" collapsed="false">
      <c r="A879" s="464"/>
    </row>
    <row r="880" customFormat="false" ht="12.75" hidden="false" customHeight="false" outlineLevel="0" collapsed="false">
      <c r="A880" s="464"/>
    </row>
    <row r="881" customFormat="false" ht="12.75" hidden="false" customHeight="false" outlineLevel="0" collapsed="false">
      <c r="A881" s="464"/>
    </row>
    <row r="882" customFormat="false" ht="12.75" hidden="false" customHeight="false" outlineLevel="0" collapsed="false">
      <c r="A882" s="464"/>
    </row>
    <row r="883" customFormat="false" ht="12.75" hidden="false" customHeight="false" outlineLevel="0" collapsed="false">
      <c r="A883" s="464"/>
    </row>
    <row r="884" customFormat="false" ht="12.75" hidden="false" customHeight="false" outlineLevel="0" collapsed="false">
      <c r="A884" s="464"/>
    </row>
    <row r="885" customFormat="false" ht="12.75" hidden="false" customHeight="false" outlineLevel="0" collapsed="false">
      <c r="A885" s="464"/>
    </row>
    <row r="886" customFormat="false" ht="12.75" hidden="false" customHeight="false" outlineLevel="0" collapsed="false">
      <c r="A886" s="464"/>
    </row>
    <row r="887" customFormat="false" ht="12.75" hidden="false" customHeight="false" outlineLevel="0" collapsed="false">
      <c r="A887" s="464"/>
    </row>
    <row r="888" customFormat="false" ht="12.75" hidden="false" customHeight="false" outlineLevel="0" collapsed="false">
      <c r="A888" s="464"/>
    </row>
    <row r="889" customFormat="false" ht="12.75" hidden="false" customHeight="false" outlineLevel="0" collapsed="false">
      <c r="A889" s="464"/>
    </row>
    <row r="890" customFormat="false" ht="12.75" hidden="false" customHeight="false" outlineLevel="0" collapsed="false">
      <c r="A890" s="464"/>
    </row>
    <row r="891" customFormat="false" ht="12.75" hidden="false" customHeight="false" outlineLevel="0" collapsed="false">
      <c r="A891" s="464"/>
    </row>
    <row r="892" customFormat="false" ht="12.75" hidden="false" customHeight="false" outlineLevel="0" collapsed="false">
      <c r="A892" s="464"/>
    </row>
    <row r="893" customFormat="false" ht="12.75" hidden="false" customHeight="false" outlineLevel="0" collapsed="false">
      <c r="A893" s="464"/>
    </row>
    <row r="894" customFormat="false" ht="12.75" hidden="false" customHeight="false" outlineLevel="0" collapsed="false">
      <c r="A894" s="464"/>
    </row>
    <row r="895" customFormat="false" ht="12.75" hidden="false" customHeight="false" outlineLevel="0" collapsed="false">
      <c r="A895" s="464"/>
    </row>
    <row r="896" customFormat="false" ht="12.75" hidden="false" customHeight="false" outlineLevel="0" collapsed="false">
      <c r="A896" s="464"/>
    </row>
    <row r="897" customFormat="false" ht="12.75" hidden="false" customHeight="false" outlineLevel="0" collapsed="false">
      <c r="A897" s="464"/>
    </row>
    <row r="898" customFormat="false" ht="12.75" hidden="false" customHeight="false" outlineLevel="0" collapsed="false">
      <c r="A898" s="464"/>
    </row>
    <row r="899" customFormat="false" ht="12.75" hidden="false" customHeight="false" outlineLevel="0" collapsed="false">
      <c r="A899" s="464"/>
    </row>
    <row r="900" customFormat="false" ht="12.75" hidden="false" customHeight="false" outlineLevel="0" collapsed="false">
      <c r="A900" s="464"/>
    </row>
    <row r="901" customFormat="false" ht="12.75" hidden="false" customHeight="false" outlineLevel="0" collapsed="false">
      <c r="A901" s="464"/>
    </row>
    <row r="902" customFormat="false" ht="12.75" hidden="false" customHeight="false" outlineLevel="0" collapsed="false">
      <c r="A902" s="464"/>
    </row>
    <row r="903" customFormat="false" ht="12.75" hidden="false" customHeight="false" outlineLevel="0" collapsed="false">
      <c r="A903" s="464"/>
    </row>
    <row r="904" customFormat="false" ht="12.75" hidden="false" customHeight="false" outlineLevel="0" collapsed="false">
      <c r="A904" s="464"/>
    </row>
    <row r="905" customFormat="false" ht="12.75" hidden="false" customHeight="false" outlineLevel="0" collapsed="false">
      <c r="A905" s="464"/>
    </row>
    <row r="906" customFormat="false" ht="12.75" hidden="false" customHeight="false" outlineLevel="0" collapsed="false">
      <c r="A906" s="464"/>
    </row>
    <row r="907" customFormat="false" ht="12.75" hidden="false" customHeight="false" outlineLevel="0" collapsed="false">
      <c r="A907" s="464"/>
    </row>
    <row r="908" customFormat="false" ht="12.75" hidden="false" customHeight="false" outlineLevel="0" collapsed="false">
      <c r="A908" s="464"/>
    </row>
    <row r="909" customFormat="false" ht="12.75" hidden="false" customHeight="false" outlineLevel="0" collapsed="false">
      <c r="A909" s="464"/>
    </row>
    <row r="910" customFormat="false" ht="12.75" hidden="false" customHeight="false" outlineLevel="0" collapsed="false">
      <c r="A910" s="464"/>
    </row>
    <row r="911" customFormat="false" ht="12.75" hidden="false" customHeight="false" outlineLevel="0" collapsed="false">
      <c r="A911" s="464"/>
    </row>
    <row r="912" customFormat="false" ht="12.75" hidden="false" customHeight="false" outlineLevel="0" collapsed="false">
      <c r="A912" s="464"/>
    </row>
    <row r="913" customFormat="false" ht="12.75" hidden="false" customHeight="false" outlineLevel="0" collapsed="false">
      <c r="A913" s="464"/>
    </row>
    <row r="914" customFormat="false" ht="12.75" hidden="false" customHeight="false" outlineLevel="0" collapsed="false">
      <c r="A914" s="464"/>
    </row>
    <row r="915" customFormat="false" ht="12.75" hidden="false" customHeight="false" outlineLevel="0" collapsed="false">
      <c r="A915" s="464"/>
    </row>
    <row r="916" customFormat="false" ht="12.75" hidden="false" customHeight="false" outlineLevel="0" collapsed="false">
      <c r="A916" s="464"/>
    </row>
    <row r="917" customFormat="false" ht="12.75" hidden="false" customHeight="false" outlineLevel="0" collapsed="false">
      <c r="A917" s="464"/>
    </row>
    <row r="918" customFormat="false" ht="12.75" hidden="false" customHeight="false" outlineLevel="0" collapsed="false">
      <c r="A918" s="464"/>
    </row>
    <row r="919" customFormat="false" ht="12.75" hidden="false" customHeight="false" outlineLevel="0" collapsed="false">
      <c r="A919" s="464"/>
    </row>
    <row r="920" customFormat="false" ht="12.75" hidden="false" customHeight="false" outlineLevel="0" collapsed="false">
      <c r="A920" s="464"/>
    </row>
    <row r="921" customFormat="false" ht="12.75" hidden="false" customHeight="false" outlineLevel="0" collapsed="false">
      <c r="A921" s="464"/>
    </row>
    <row r="922" customFormat="false" ht="12.75" hidden="false" customHeight="false" outlineLevel="0" collapsed="false">
      <c r="A922" s="464"/>
    </row>
    <row r="923" customFormat="false" ht="12.75" hidden="false" customHeight="false" outlineLevel="0" collapsed="false">
      <c r="A923" s="464"/>
    </row>
    <row r="924" customFormat="false" ht="12.75" hidden="false" customHeight="false" outlineLevel="0" collapsed="false">
      <c r="A924" s="464"/>
    </row>
    <row r="925" customFormat="false" ht="12.75" hidden="false" customHeight="false" outlineLevel="0" collapsed="false">
      <c r="A925" s="464"/>
    </row>
    <row r="926" customFormat="false" ht="12.75" hidden="false" customHeight="false" outlineLevel="0" collapsed="false">
      <c r="A926" s="464"/>
    </row>
    <row r="927" customFormat="false" ht="12.75" hidden="false" customHeight="false" outlineLevel="0" collapsed="false">
      <c r="A927" s="464"/>
    </row>
    <row r="928" customFormat="false" ht="12.75" hidden="false" customHeight="false" outlineLevel="0" collapsed="false">
      <c r="A928" s="464"/>
    </row>
    <row r="929" customFormat="false" ht="12.75" hidden="false" customHeight="false" outlineLevel="0" collapsed="false">
      <c r="A929" s="464"/>
    </row>
    <row r="930" customFormat="false" ht="12.75" hidden="false" customHeight="false" outlineLevel="0" collapsed="false">
      <c r="A930" s="464"/>
    </row>
    <row r="931" customFormat="false" ht="12.75" hidden="false" customHeight="false" outlineLevel="0" collapsed="false">
      <c r="A931" s="464"/>
    </row>
    <row r="932" customFormat="false" ht="12.75" hidden="false" customHeight="false" outlineLevel="0" collapsed="false">
      <c r="A932" s="464"/>
    </row>
    <row r="933" customFormat="false" ht="12.75" hidden="false" customHeight="false" outlineLevel="0" collapsed="false">
      <c r="A933" s="464"/>
    </row>
    <row r="934" customFormat="false" ht="12.75" hidden="false" customHeight="false" outlineLevel="0" collapsed="false">
      <c r="A934" s="464"/>
    </row>
    <row r="935" customFormat="false" ht="12.75" hidden="false" customHeight="false" outlineLevel="0" collapsed="false">
      <c r="A935" s="464"/>
    </row>
    <row r="936" customFormat="false" ht="12.75" hidden="false" customHeight="false" outlineLevel="0" collapsed="false">
      <c r="A936" s="464"/>
    </row>
    <row r="937" customFormat="false" ht="12.75" hidden="false" customHeight="false" outlineLevel="0" collapsed="false">
      <c r="A937" s="464"/>
    </row>
    <row r="938" customFormat="false" ht="12.75" hidden="false" customHeight="false" outlineLevel="0" collapsed="false">
      <c r="A938" s="464"/>
    </row>
    <row r="939" customFormat="false" ht="12.75" hidden="false" customHeight="false" outlineLevel="0" collapsed="false">
      <c r="A939" s="464"/>
    </row>
    <row r="940" customFormat="false" ht="12.75" hidden="false" customHeight="false" outlineLevel="0" collapsed="false">
      <c r="A940" s="464"/>
    </row>
    <row r="941" customFormat="false" ht="12.75" hidden="false" customHeight="false" outlineLevel="0" collapsed="false">
      <c r="A941" s="464"/>
    </row>
    <row r="942" customFormat="false" ht="12.75" hidden="false" customHeight="false" outlineLevel="0" collapsed="false">
      <c r="A942" s="464"/>
    </row>
    <row r="943" customFormat="false" ht="12.75" hidden="false" customHeight="false" outlineLevel="0" collapsed="false">
      <c r="A943" s="464"/>
    </row>
    <row r="944" customFormat="false" ht="12.75" hidden="false" customHeight="false" outlineLevel="0" collapsed="false">
      <c r="A944" s="464"/>
    </row>
    <row r="945" customFormat="false" ht="12.75" hidden="false" customHeight="false" outlineLevel="0" collapsed="false">
      <c r="A945" s="464"/>
    </row>
    <row r="946" customFormat="false" ht="12.75" hidden="false" customHeight="false" outlineLevel="0" collapsed="false">
      <c r="A946" s="464"/>
    </row>
    <row r="947" customFormat="false" ht="12.75" hidden="false" customHeight="false" outlineLevel="0" collapsed="false">
      <c r="A947" s="464"/>
    </row>
    <row r="948" customFormat="false" ht="12.75" hidden="false" customHeight="false" outlineLevel="0" collapsed="false">
      <c r="A948" s="464"/>
    </row>
    <row r="949" customFormat="false" ht="12.75" hidden="false" customHeight="false" outlineLevel="0" collapsed="false">
      <c r="A949" s="464"/>
    </row>
    <row r="950" customFormat="false" ht="12.75" hidden="false" customHeight="false" outlineLevel="0" collapsed="false">
      <c r="A950" s="464"/>
    </row>
    <row r="951" customFormat="false" ht="12.75" hidden="false" customHeight="false" outlineLevel="0" collapsed="false">
      <c r="A951" s="464"/>
    </row>
    <row r="952" customFormat="false" ht="12.75" hidden="false" customHeight="false" outlineLevel="0" collapsed="false">
      <c r="A952" s="464"/>
    </row>
    <row r="953" customFormat="false" ht="12.75" hidden="false" customHeight="false" outlineLevel="0" collapsed="false">
      <c r="A953" s="464"/>
    </row>
    <row r="954" customFormat="false" ht="12.75" hidden="false" customHeight="false" outlineLevel="0" collapsed="false">
      <c r="A954" s="464"/>
    </row>
    <row r="955" customFormat="false" ht="12.75" hidden="false" customHeight="false" outlineLevel="0" collapsed="false">
      <c r="A955" s="464"/>
    </row>
    <row r="956" customFormat="false" ht="12.75" hidden="false" customHeight="false" outlineLevel="0" collapsed="false">
      <c r="A956" s="464"/>
    </row>
    <row r="957" customFormat="false" ht="12.75" hidden="false" customHeight="false" outlineLevel="0" collapsed="false">
      <c r="A957" s="464"/>
    </row>
    <row r="958" customFormat="false" ht="12.75" hidden="false" customHeight="false" outlineLevel="0" collapsed="false">
      <c r="A958" s="46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FetchCurves">
                <anchor moveWithCells="true" sizeWithCells="false">
                  <from>
                    <xdr:col>2</xdr:col>
                    <xdr:colOff>100440</xdr:colOff>
                    <xdr:row>1</xdr:row>
                    <xdr:rowOff>19080</xdr:rowOff>
                  </from>
                  <to>
                    <xdr:col>4</xdr:col>
                    <xdr:colOff>20880</xdr:colOff>
                    <xdr:row>4</xdr:row>
                    <xdr:rowOff>123840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3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6" activeCellId="0" sqref="F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6.56"/>
    <col collapsed="false" customWidth="true" hidden="false" outlineLevel="0" max="4" min="4" style="0" width="12.14"/>
    <col collapsed="false" customWidth="true" hidden="false" outlineLevel="0" max="9" min="5" style="0" width="12.42"/>
    <col collapsed="false" customWidth="true" hidden="false" outlineLevel="0" max="10" min="10" style="0" width="4.41"/>
  </cols>
  <sheetData>
    <row r="1" customFormat="false" ht="12.75" hidden="false" customHeight="false" outlineLevel="0" collapsed="false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</row>
    <row r="2" customFormat="false" ht="12.75" hidden="false" customHeight="false" outlineLevel="0" collapsed="false">
      <c r="A2" s="127"/>
      <c r="B2" s="468" t="s">
        <v>168</v>
      </c>
      <c r="C2" s="469"/>
      <c r="D2" s="470"/>
      <c r="E2" s="471" t="n">
        <v>0</v>
      </c>
      <c r="F2" s="472"/>
      <c r="G2" s="472"/>
      <c r="H2" s="472"/>
      <c r="I2" s="472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</row>
    <row r="3" customFormat="false" ht="12.75" hidden="false" customHeight="false" outlineLevel="0" collapsed="false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93" t="s">
        <v>169</v>
      </c>
      <c r="M3" s="127"/>
      <c r="N3" s="127"/>
      <c r="O3" s="127"/>
      <c r="P3" s="127"/>
      <c r="Q3" s="127"/>
      <c r="R3" s="127"/>
      <c r="S3" s="127"/>
      <c r="T3" s="127"/>
      <c r="U3" s="127"/>
    </row>
    <row r="4" customFormat="false" ht="12.75" hidden="false" customHeight="false" outlineLevel="0" collapsed="false">
      <c r="A4" s="127"/>
      <c r="B4" s="127"/>
      <c r="C4" s="127"/>
      <c r="D4" s="127"/>
      <c r="E4" s="193" t="s">
        <v>170</v>
      </c>
      <c r="F4" s="193" t="s">
        <v>171</v>
      </c>
      <c r="G4" s="193"/>
      <c r="H4" s="193"/>
      <c r="I4" s="193"/>
      <c r="J4" s="193"/>
      <c r="K4" s="127"/>
      <c r="L4" s="193" t="s">
        <v>172</v>
      </c>
      <c r="M4" s="127"/>
      <c r="N4" s="127"/>
      <c r="O4" s="127"/>
      <c r="P4" s="127"/>
      <c r="Q4" s="127"/>
      <c r="R4" s="127"/>
      <c r="S4" s="127"/>
      <c r="T4" s="127"/>
      <c r="U4" s="127"/>
    </row>
    <row r="5" customFormat="false" ht="12.75" hidden="false" customHeight="false" outlineLevel="0" collapsed="false">
      <c r="A5" s="473"/>
      <c r="B5" s="323" t="s">
        <v>139</v>
      </c>
      <c r="C5" s="323" t="s">
        <v>173</v>
      </c>
      <c r="D5" s="323" t="s">
        <v>174</v>
      </c>
      <c r="E5" s="323" t="s">
        <v>175</v>
      </c>
      <c r="F5" s="310" t="s">
        <v>176</v>
      </c>
      <c r="G5" s="310"/>
      <c r="H5" s="310"/>
      <c r="I5" s="310"/>
      <c r="J5" s="193"/>
      <c r="K5" s="473"/>
      <c r="L5" s="323" t="s">
        <v>170</v>
      </c>
      <c r="M5" s="127"/>
      <c r="N5" s="127"/>
      <c r="O5" s="127"/>
      <c r="P5" s="127"/>
      <c r="Q5" s="127"/>
      <c r="R5" s="127"/>
      <c r="S5" s="127"/>
      <c r="T5" s="127"/>
      <c r="U5" s="127"/>
    </row>
    <row r="6" customFormat="false" ht="12.75" hidden="false" customHeight="false" outlineLevel="0" collapsed="false">
      <c r="A6" s="0" t="n">
        <v>1</v>
      </c>
      <c r="B6" s="43" t="n">
        <f aca="false">+YEAR(C6)</f>
        <v>2000</v>
      </c>
      <c r="C6" s="474" t="n">
        <f aca="false">+CURVELOAD!A11</f>
        <v>36708</v>
      </c>
      <c r="D6" s="475" t="n">
        <f aca="false">+IF($E$2&gt;0,$E$2,CURVELOAD!B11)</f>
        <v>1</v>
      </c>
      <c r="E6" s="476" t="n">
        <f aca="true">+IF(C6&lt;TODAY(),1,1/(1+D6/2)^((C7-TODAY())/182.625))</f>
        <v>1</v>
      </c>
      <c r="F6" s="477" t="n">
        <f aca="false">+CURVELOAD!C11+CURVELOAD!E11+CURVELOAD!F11</f>
        <v>4.365</v>
      </c>
      <c r="G6" s="478"/>
      <c r="H6" s="478"/>
      <c r="I6" s="478"/>
      <c r="J6" s="478"/>
      <c r="K6" s="0" t="n">
        <v>2000</v>
      </c>
      <c r="L6" s="478" t="n">
        <f aca="false">+SUMIF($B$6:$B$312,K6,$E$6:$E$311)/SUMIF($B$6:$B$312,K6,$A$6:$A$312)</f>
        <v>1</v>
      </c>
    </row>
    <row r="7" customFormat="false" ht="12.75" hidden="false" customHeight="false" outlineLevel="0" collapsed="false">
      <c r="A7" s="0" t="n">
        <v>1</v>
      </c>
      <c r="B7" s="43" t="n">
        <f aca="false">+YEAR(C7)</f>
        <v>2000</v>
      </c>
      <c r="C7" s="474" t="n">
        <f aca="false">+CURVELOAD!A12</f>
        <v>36739</v>
      </c>
      <c r="D7" s="479" t="n">
        <f aca="false">+IF($E$2&gt;0,$E$2,CURVELOAD!B12)</f>
        <v>0.067741348072035</v>
      </c>
      <c r="E7" s="480" t="n">
        <f aca="true">+IF(C7&lt;TODAY(),1,1/(1+D7/2)^((C8-TODAY())/182.625))</f>
        <v>1</v>
      </c>
      <c r="F7" s="481" t="n">
        <f aca="false">+CURVELOAD!C12+CURVELOAD!E12+CURVELOAD!F12</f>
        <v>3.715</v>
      </c>
      <c r="G7" s="478"/>
      <c r="H7" s="478"/>
      <c r="I7" s="478"/>
      <c r="J7" s="478"/>
      <c r="K7" s="0" t="n">
        <v>2001</v>
      </c>
      <c r="L7" s="478" t="n">
        <f aca="false">+SUMIF($B$6:$B$312,K7,$E$6:$E$311)/SUMIF($B$6:$B$312,K7,$A$6:$A$312)</f>
        <v>1</v>
      </c>
    </row>
    <row r="8" customFormat="false" ht="12.75" hidden="false" customHeight="false" outlineLevel="0" collapsed="false">
      <c r="A8" s="0" t="n">
        <v>1</v>
      </c>
      <c r="B8" s="43" t="n">
        <f aca="false">+YEAR(C8)</f>
        <v>2000</v>
      </c>
      <c r="C8" s="474" t="n">
        <f aca="false">+CURVELOAD!A13</f>
        <v>36770</v>
      </c>
      <c r="D8" s="479" t="n">
        <f aca="false">+IF($E$2&gt;0,$E$2,CURVELOAD!B13)</f>
        <v>0.068048812714454</v>
      </c>
      <c r="E8" s="480" t="n">
        <f aca="true">+IF(C8&lt;TODAY(),1,1/(1+D8/2)^((C9-TODAY())/182.625))</f>
        <v>1</v>
      </c>
      <c r="F8" s="481" t="n">
        <f aca="false">+CURVELOAD!C13+CURVELOAD!E13+CURVELOAD!F13</f>
        <v>3.725</v>
      </c>
      <c r="G8" s="478"/>
      <c r="H8" s="478"/>
      <c r="I8" s="478"/>
      <c r="J8" s="478"/>
      <c r="K8" s="0" t="n">
        <v>2002</v>
      </c>
      <c r="L8" s="478" t="n">
        <f aca="false">+SUMIF($B$6:$B$312,K8,$E$6:$E$311)/SUMIF($B$6:$B$312,K8,$A$6:$A$312)</f>
        <v>1</v>
      </c>
    </row>
    <row r="9" customFormat="false" ht="12.75" hidden="false" customHeight="false" outlineLevel="0" collapsed="false">
      <c r="A9" s="0" t="n">
        <v>1</v>
      </c>
      <c r="B9" s="43" t="n">
        <f aca="false">+YEAR(C9)</f>
        <v>2000</v>
      </c>
      <c r="C9" s="474" t="n">
        <f aca="false">+CURVELOAD!A14</f>
        <v>36800</v>
      </c>
      <c r="D9" s="479" t="n">
        <f aca="false">+IF($E$2&gt;0,$E$2,CURVELOAD!B14)</f>
        <v>0.068307378972657</v>
      </c>
      <c r="E9" s="480" t="n">
        <f aca="true">+IF(C9&lt;TODAY(),1,1/(1+D9/2)^((C10-TODAY())/182.625))</f>
        <v>1</v>
      </c>
      <c r="F9" s="481" t="n">
        <f aca="false">+CURVELOAD!C14+CURVELOAD!E14+CURVELOAD!F14</f>
        <v>3.732</v>
      </c>
      <c r="G9" s="478"/>
      <c r="H9" s="478"/>
      <c r="I9" s="478"/>
      <c r="J9" s="478"/>
      <c r="K9" s="0" t="n">
        <v>2003</v>
      </c>
      <c r="L9" s="478" t="n">
        <f aca="false">+SUMIF($B$6:$B$312,K9,$E$6:$E$311)/SUMIF($B$6:$B$312,K9,$A$6:$A$312)</f>
        <v>1</v>
      </c>
    </row>
    <row r="10" customFormat="false" ht="12.75" hidden="false" customHeight="false" outlineLevel="0" collapsed="false">
      <c r="A10" s="0" t="n">
        <v>1</v>
      </c>
      <c r="B10" s="43" t="n">
        <f aca="false">+YEAR(C10)</f>
        <v>2000</v>
      </c>
      <c r="C10" s="474" t="n">
        <f aca="false">+CURVELOAD!A15</f>
        <v>36831</v>
      </c>
      <c r="D10" s="479" t="n">
        <f aca="false">+IF($E$2&gt;0,$E$2,CURVELOAD!B15)</f>
        <v>0.068694480919292</v>
      </c>
      <c r="E10" s="480" t="n">
        <f aca="true">+IF(C10&lt;TODAY(),1,1/(1+D10/2)^((C11-TODAY())/182.625))</f>
        <v>1</v>
      </c>
      <c r="F10" s="481" t="n">
        <f aca="false">+CURVELOAD!C15+CURVELOAD!E15+CURVELOAD!F15</f>
        <v>3.815</v>
      </c>
      <c r="G10" s="478"/>
      <c r="H10" s="478"/>
      <c r="I10" s="478"/>
      <c r="J10" s="478"/>
      <c r="K10" s="0" t="n">
        <v>2004</v>
      </c>
      <c r="L10" s="478" t="n">
        <f aca="false">+SUMIF($B$6:$B$312,K10,$E$6:$E$311)/SUMIF($B$6:$B$312,K10,$A$6:$A$312)</f>
        <v>1</v>
      </c>
    </row>
    <row r="11" customFormat="false" ht="12.75" hidden="false" customHeight="false" outlineLevel="0" collapsed="false">
      <c r="A11" s="0" t="n">
        <v>1</v>
      </c>
      <c r="B11" s="43" t="n">
        <f aca="false">+YEAR(C11)</f>
        <v>2000</v>
      </c>
      <c r="C11" s="474" t="n">
        <f aca="false">+CURVELOAD!A16</f>
        <v>36861</v>
      </c>
      <c r="D11" s="479" t="n">
        <f aca="false">+IF($E$2&gt;0,$E$2,CURVELOAD!B16)</f>
        <v>0.068881816359694</v>
      </c>
      <c r="E11" s="480" t="n">
        <f aca="true">+IF(C11&lt;TODAY(),1,1/(1+D11/2)^((C12-TODAY())/182.625))</f>
        <v>1</v>
      </c>
      <c r="F11" s="481" t="n">
        <f aca="false">+CURVELOAD!C16+CURVELOAD!E16+CURVELOAD!F16</f>
        <v>3.897</v>
      </c>
      <c r="G11" s="478"/>
      <c r="H11" s="478"/>
      <c r="I11" s="478"/>
      <c r="J11" s="478"/>
      <c r="K11" s="0" t="n">
        <v>2005</v>
      </c>
      <c r="L11" s="478" t="n">
        <f aca="false">+SUMIF($B$6:$B$312,K11,$E$6:$E$311)/SUMIF($B$6:$B$312,K11,$A$6:$A$312)</f>
        <v>1</v>
      </c>
    </row>
    <row r="12" customFormat="false" ht="12.75" hidden="false" customHeight="false" outlineLevel="0" collapsed="false">
      <c r="A12" s="0" t="n">
        <v>1</v>
      </c>
      <c r="B12" s="43" t="n">
        <f aca="false">+YEAR(C12)</f>
        <v>2001</v>
      </c>
      <c r="C12" s="474" t="n">
        <f aca="false">+CURVELOAD!A17</f>
        <v>36892</v>
      </c>
      <c r="D12" s="479" t="n">
        <f aca="false">+IF($E$2&gt;0,$E$2,CURVELOAD!B17)</f>
        <v>0.069111166945366</v>
      </c>
      <c r="E12" s="480" t="n">
        <f aca="true">+IF(C12&lt;TODAY(),1,1/(1+D12/2)^((C13-TODAY())/182.625))</f>
        <v>1</v>
      </c>
      <c r="F12" s="481" t="n">
        <f aca="false">+CURVELOAD!C17+CURVELOAD!E17+CURVELOAD!F17</f>
        <v>3.895</v>
      </c>
      <c r="G12" s="478"/>
      <c r="H12" s="478"/>
      <c r="I12" s="478"/>
      <c r="J12" s="478"/>
      <c r="K12" s="0" t="n">
        <v>2006</v>
      </c>
      <c r="L12" s="478" t="n">
        <f aca="false">+SUMIF($B$6:$B$312,K12,$E$6:$E$311)/SUMIF($B$6:$B$312,K12,$A$6:$A$312)</f>
        <v>1</v>
      </c>
    </row>
    <row r="13" customFormat="false" ht="12.75" hidden="false" customHeight="false" outlineLevel="0" collapsed="false">
      <c r="A13" s="0" t="n">
        <v>1</v>
      </c>
      <c r="B13" s="43" t="n">
        <f aca="false">+YEAR(C13)</f>
        <v>2001</v>
      </c>
      <c r="C13" s="474" t="n">
        <f aca="false">+CURVELOAD!A18</f>
        <v>36923</v>
      </c>
      <c r="D13" s="479" t="n">
        <f aca="false">+IF($E$2&gt;0,$E$2,CURVELOAD!B18)</f>
        <v>0.069397154366051</v>
      </c>
      <c r="E13" s="480" t="n">
        <f aca="true">+IF(C13&lt;TODAY(),1,1/(1+D13/2)^((C14-TODAY())/182.625))</f>
        <v>1</v>
      </c>
      <c r="F13" s="481" t="n">
        <f aca="false">+CURVELOAD!C18+CURVELOAD!E18+CURVELOAD!F18</f>
        <v>3.74</v>
      </c>
      <c r="G13" s="478"/>
      <c r="H13" s="478"/>
      <c r="I13" s="478"/>
      <c r="J13" s="478"/>
      <c r="K13" s="0" t="n">
        <v>2007</v>
      </c>
      <c r="L13" s="478" t="n">
        <f aca="false">+SUMIF($B$6:$B$312,K13,$E$6:$E$311)/SUMIF($B$6:$B$312,K13,$A$6:$A$312)</f>
        <v>1</v>
      </c>
    </row>
    <row r="14" customFormat="false" ht="12.75" hidden="false" customHeight="false" outlineLevel="0" collapsed="false">
      <c r="A14" s="0" t="n">
        <v>1</v>
      </c>
      <c r="B14" s="43" t="n">
        <f aca="false">+YEAR(C14)</f>
        <v>2001</v>
      </c>
      <c r="C14" s="474" t="n">
        <f aca="false">+CURVELOAD!A19</f>
        <v>36951</v>
      </c>
      <c r="D14" s="479" t="n">
        <f aca="false">+IF($E$2&gt;0,$E$2,CURVELOAD!B19)</f>
        <v>0.069655465607987</v>
      </c>
      <c r="E14" s="480" t="n">
        <f aca="true">+IF(C14&lt;TODAY(),1,1/(1+D14/2)^((C15-TODAY())/182.625))</f>
        <v>1</v>
      </c>
      <c r="F14" s="481" t="n">
        <f aca="false">+CURVELOAD!C19+CURVELOAD!E19+CURVELOAD!F19</f>
        <v>3.59</v>
      </c>
      <c r="G14" s="478"/>
      <c r="H14" s="478"/>
      <c r="I14" s="478"/>
      <c r="J14" s="478"/>
      <c r="K14" s="0" t="n">
        <v>2008</v>
      </c>
      <c r="L14" s="478" t="n">
        <f aca="false">+SUMIF($B$6:$B$312,K14,$E$6:$E$311)/SUMIF($B$6:$B$312,K14,$A$6:$A$312)</f>
        <v>1</v>
      </c>
    </row>
    <row r="15" customFormat="false" ht="12.75" hidden="false" customHeight="false" outlineLevel="0" collapsed="false">
      <c r="A15" s="0" t="n">
        <v>1</v>
      </c>
      <c r="B15" s="43" t="n">
        <f aca="false">+YEAR(C15)</f>
        <v>2001</v>
      </c>
      <c r="C15" s="474" t="n">
        <f aca="false">+CURVELOAD!A20</f>
        <v>36982</v>
      </c>
      <c r="D15" s="479" t="n">
        <f aca="false">+IF($E$2&gt;0,$E$2,CURVELOAD!B20)</f>
        <v>0.069880071022267</v>
      </c>
      <c r="E15" s="480" t="n">
        <f aca="true">+IF(C15&lt;TODAY(),1,1/(1+D15/2)^((C16-TODAY())/182.625))</f>
        <v>1</v>
      </c>
      <c r="F15" s="481" t="n">
        <f aca="false">+CURVELOAD!C20+CURVELOAD!E20+CURVELOAD!F20</f>
        <v>3.445</v>
      </c>
      <c r="G15" s="478"/>
      <c r="H15" s="478"/>
      <c r="I15" s="478"/>
      <c r="J15" s="478"/>
      <c r="K15" s="0" t="n">
        <v>2009</v>
      </c>
      <c r="L15" s="478" t="n">
        <f aca="false">+SUMIF($B$6:$B$312,K15,$E$6:$E$311)/SUMIF($B$6:$B$312,K15,$A$6:$A$312)</f>
        <v>1</v>
      </c>
    </row>
    <row r="16" customFormat="false" ht="12.75" hidden="false" customHeight="false" outlineLevel="0" collapsed="false">
      <c r="A16" s="0" t="n">
        <v>1</v>
      </c>
      <c r="B16" s="43" t="n">
        <f aca="false">+YEAR(C16)</f>
        <v>2001</v>
      </c>
      <c r="C16" s="474" t="n">
        <f aca="false">+CURVELOAD!A21</f>
        <v>37012</v>
      </c>
      <c r="D16" s="479" t="n">
        <f aca="false">+IF($E$2&gt;0,$E$2,CURVELOAD!B21)</f>
        <v>0.069993204989047</v>
      </c>
      <c r="E16" s="480" t="n">
        <f aca="true">+IF(C16&lt;TODAY(),1,1/(1+D16/2)^((C17-TODAY())/182.625))</f>
        <v>1</v>
      </c>
      <c r="F16" s="481" t="n">
        <f aca="false">+CURVELOAD!C21+CURVELOAD!E21+CURVELOAD!F21</f>
        <v>3.414</v>
      </c>
      <c r="G16" s="478"/>
      <c r="H16" s="478"/>
      <c r="I16" s="478"/>
      <c r="J16" s="478"/>
      <c r="K16" s="0" t="n">
        <v>2010</v>
      </c>
      <c r="L16" s="478" t="n">
        <f aca="false">+SUMIF($B$6:$B$312,K16,$E$6:$E$311)/SUMIF($B$6:$B$312,K16,$A$6:$A$312)</f>
        <v>1</v>
      </c>
    </row>
    <row r="17" customFormat="false" ht="12.75" hidden="false" customHeight="false" outlineLevel="0" collapsed="false">
      <c r="A17" s="0" t="n">
        <v>1</v>
      </c>
      <c r="B17" s="43" t="n">
        <f aca="false">+YEAR(C17)</f>
        <v>2001</v>
      </c>
      <c r="C17" s="474" t="n">
        <f aca="false">+CURVELOAD!A22</f>
        <v>37043</v>
      </c>
      <c r="D17" s="479" t="n">
        <f aca="false">+IF($E$2&gt;0,$E$2,CURVELOAD!B22)</f>
        <v>0.070110110092498</v>
      </c>
      <c r="E17" s="480" t="n">
        <f aca="true">+IF(C17&lt;TODAY(),1,1/(1+D17/2)^((C18-TODAY())/182.625))</f>
        <v>1</v>
      </c>
      <c r="F17" s="481" t="n">
        <f aca="false">+CURVELOAD!C22+CURVELOAD!E22+CURVELOAD!F22</f>
        <v>3.404</v>
      </c>
      <c r="G17" s="478"/>
      <c r="H17" s="478"/>
      <c r="I17" s="478"/>
      <c r="J17" s="478"/>
      <c r="K17" s="0" t="n">
        <v>2011</v>
      </c>
      <c r="L17" s="478" t="n">
        <f aca="false">+SUMIF($B$6:$B$312,K17,$E$6:$E$311)/SUMIF($B$6:$B$312,K17,$A$6:$A$312)</f>
        <v>1</v>
      </c>
    </row>
    <row r="18" customFormat="false" ht="12.75" hidden="false" customHeight="false" outlineLevel="0" collapsed="false">
      <c r="A18" s="0" t="n">
        <v>1</v>
      </c>
      <c r="B18" s="43" t="n">
        <f aca="false">+YEAR(C18)</f>
        <v>2001</v>
      </c>
      <c r="C18" s="474" t="n">
        <f aca="false">+CURVELOAD!A23</f>
        <v>37073</v>
      </c>
      <c r="D18" s="479" t="n">
        <f aca="false">+IF($E$2&gt;0,$E$2,CURVELOAD!B23)</f>
        <v>0.0702147889035</v>
      </c>
      <c r="E18" s="480" t="n">
        <f aca="true">+IF(C18&lt;TODAY(),1,1/(1+D18/2)^((C19-TODAY())/182.625))</f>
        <v>1</v>
      </c>
      <c r="F18" s="481" t="n">
        <f aca="false">+CURVELOAD!C23+CURVELOAD!E23+CURVELOAD!F23</f>
        <v>3.394</v>
      </c>
      <c r="G18" s="478"/>
      <c r="H18" s="478"/>
      <c r="I18" s="478"/>
      <c r="J18" s="478"/>
      <c r="K18" s="0" t="n">
        <v>2012</v>
      </c>
      <c r="L18" s="478" t="n">
        <f aca="false">+SUMIF($B$6:$B$312,K18,$E$6:$E$311)/SUMIF($B$6:$B$312,K18,$A$6:$A$312)</f>
        <v>1</v>
      </c>
    </row>
    <row r="19" customFormat="false" ht="12.75" hidden="false" customHeight="false" outlineLevel="0" collapsed="false">
      <c r="A19" s="0" t="n">
        <v>1</v>
      </c>
      <c r="B19" s="43" t="n">
        <f aca="false">+YEAR(C19)</f>
        <v>2001</v>
      </c>
      <c r="C19" s="474" t="n">
        <f aca="false">+CURVELOAD!A24</f>
        <v>37104</v>
      </c>
      <c r="D19" s="479" t="n">
        <f aca="false">+IF($E$2&gt;0,$E$2,CURVELOAD!B24)</f>
        <v>0.070307065970443</v>
      </c>
      <c r="E19" s="480" t="n">
        <f aca="true">+IF(C19&lt;TODAY(),1,1/(1+D19/2)^((C20-TODAY())/182.625))</f>
        <v>1</v>
      </c>
      <c r="F19" s="481" t="n">
        <f aca="false">+CURVELOAD!C24+CURVELOAD!E24+CURVELOAD!F24</f>
        <v>3.394</v>
      </c>
      <c r="G19" s="478"/>
      <c r="H19" s="478"/>
      <c r="I19" s="478"/>
      <c r="J19" s="478"/>
      <c r="K19" s="0" t="n">
        <v>2013</v>
      </c>
      <c r="L19" s="478" t="n">
        <f aca="false">+SUMIF($B$6:$B$312,K19,$E$6:$E$311)/SUMIF($B$6:$B$312,K19,$A$6:$A$312)</f>
        <v>1</v>
      </c>
    </row>
    <row r="20" customFormat="false" ht="12.75" hidden="false" customHeight="false" outlineLevel="0" collapsed="false">
      <c r="A20" s="0" t="n">
        <v>1</v>
      </c>
      <c r="B20" s="43" t="n">
        <f aca="false">+YEAR(C20)</f>
        <v>2001</v>
      </c>
      <c r="C20" s="474" t="n">
        <f aca="false">+CURVELOAD!A25</f>
        <v>37135</v>
      </c>
      <c r="D20" s="479" t="n">
        <f aca="false">+IF($E$2&gt;0,$E$2,CURVELOAD!B25)</f>
        <v>0.070399343040201</v>
      </c>
      <c r="E20" s="480" t="n">
        <f aca="true">+IF(C20&lt;TODAY(),1,1/(1+D20/2)^((C21-TODAY())/182.625))</f>
        <v>1</v>
      </c>
      <c r="F20" s="481" t="n">
        <f aca="false">+CURVELOAD!C25+CURVELOAD!E25+CURVELOAD!F25</f>
        <v>3.384</v>
      </c>
      <c r="G20" s="478"/>
      <c r="H20" s="478"/>
      <c r="I20" s="478"/>
      <c r="J20" s="478"/>
      <c r="K20" s="0" t="n">
        <v>2014</v>
      </c>
      <c r="L20" s="478" t="n">
        <f aca="false">+SUMIF($B$6:$B$312,K20,$E$6:$E$311)/SUMIF($B$6:$B$312,K20,$A$6:$A$312)</f>
        <v>1</v>
      </c>
    </row>
    <row r="21" customFormat="false" ht="12.75" hidden="false" customHeight="false" outlineLevel="0" collapsed="false">
      <c r="A21" s="0" t="n">
        <v>1</v>
      </c>
      <c r="B21" s="43" t="n">
        <f aca="false">+YEAR(C21)</f>
        <v>2001</v>
      </c>
      <c r="C21" s="474" t="n">
        <f aca="false">+CURVELOAD!A26</f>
        <v>37165</v>
      </c>
      <c r="D21" s="479" t="n">
        <f aca="false">+IF($E$2&gt;0,$E$2,CURVELOAD!B26)</f>
        <v>0.070478404083171</v>
      </c>
      <c r="E21" s="480" t="n">
        <f aca="true">+IF(C21&lt;TODAY(),1,1/(1+D21/2)^((C22-TODAY())/182.625))</f>
        <v>1</v>
      </c>
      <c r="F21" s="481" t="n">
        <f aca="false">+CURVELOAD!C26+CURVELOAD!E26+CURVELOAD!F26</f>
        <v>3.409</v>
      </c>
      <c r="G21" s="478"/>
      <c r="H21" s="478"/>
      <c r="I21" s="478"/>
      <c r="J21" s="478"/>
      <c r="K21" s="0" t="n">
        <v>2015</v>
      </c>
      <c r="L21" s="478" t="n">
        <f aca="false">+SUMIF($B$6:$B$312,K21,$E$6:$E$311)/SUMIF($B$6:$B$312,K21,$A$6:$A$312)</f>
        <v>1</v>
      </c>
    </row>
    <row r="22" customFormat="false" ht="12.75" hidden="false" customHeight="false" outlineLevel="0" collapsed="false">
      <c r="A22" s="0" t="n">
        <v>1</v>
      </c>
      <c r="B22" s="43" t="n">
        <f aca="false">+YEAR(C22)</f>
        <v>2001</v>
      </c>
      <c r="C22" s="474" t="n">
        <f aca="false">+CURVELOAD!A27</f>
        <v>37196</v>
      </c>
      <c r="D22" s="479" t="n">
        <f aca="false">+IF($E$2&gt;0,$E$2,CURVELOAD!B27)</f>
        <v>0.070543334070211</v>
      </c>
      <c r="E22" s="480" t="n">
        <f aca="true">+IF(C22&lt;TODAY(),1,1/(1+D22/2)^((C23-TODAY())/182.625))</f>
        <v>1</v>
      </c>
      <c r="F22" s="481" t="n">
        <f aca="false">+CURVELOAD!C27+CURVELOAD!E27+CURVELOAD!F27</f>
        <v>3.525</v>
      </c>
      <c r="G22" s="478"/>
      <c r="H22" s="478"/>
      <c r="I22" s="478"/>
      <c r="J22" s="478"/>
      <c r="K22" s="0" t="n">
        <v>2016</v>
      </c>
      <c r="L22" s="478" t="n">
        <f aca="false">+SUMIF($B$6:$B$312,K22,$E$6:$E$311)/SUMIF($B$6:$B$312,K22,$A$6:$A$312)</f>
        <v>1</v>
      </c>
    </row>
    <row r="23" customFormat="false" ht="12.75" hidden="false" customHeight="false" outlineLevel="0" collapsed="false">
      <c r="A23" s="0" t="n">
        <v>1</v>
      </c>
      <c r="B23" s="43" t="n">
        <f aca="false">+YEAR(C23)</f>
        <v>2001</v>
      </c>
      <c r="C23" s="474" t="n">
        <f aca="false">+CURVELOAD!A28</f>
        <v>37226</v>
      </c>
      <c r="D23" s="479" t="n">
        <f aca="false">+IF($E$2&gt;0,$E$2,CURVELOAD!B28)</f>
        <v>0.070606169542866</v>
      </c>
      <c r="E23" s="480" t="n">
        <f aca="true">+IF(C23&lt;TODAY(),1,1/(1+D23/2)^((C24-TODAY())/182.625))</f>
        <v>1</v>
      </c>
      <c r="F23" s="481" t="n">
        <f aca="false">+CURVELOAD!C28+CURVELOAD!E28+CURVELOAD!F28</f>
        <v>3.635</v>
      </c>
      <c r="G23" s="478"/>
      <c r="H23" s="478"/>
      <c r="I23" s="478"/>
      <c r="J23" s="478"/>
      <c r="K23" s="0" t="n">
        <v>2017</v>
      </c>
      <c r="L23" s="478" t="n">
        <f aca="false">+SUMIF($B$6:$B$312,K23,$E$6:$E$311)/SUMIF($B$6:$B$312,K23,$A$6:$A$312)</f>
        <v>1</v>
      </c>
    </row>
    <row r="24" customFormat="false" ht="12.75" hidden="false" customHeight="false" outlineLevel="0" collapsed="false">
      <c r="A24" s="0" t="n">
        <v>1</v>
      </c>
      <c r="B24" s="43" t="n">
        <f aca="false">+YEAR(C24)</f>
        <v>2002</v>
      </c>
      <c r="C24" s="474" t="n">
        <f aca="false">+CURVELOAD!A29</f>
        <v>37257</v>
      </c>
      <c r="D24" s="479" t="n">
        <f aca="false">+IF($E$2&gt;0,$E$2,CURVELOAD!B29)</f>
        <v>0.070674686513092</v>
      </c>
      <c r="E24" s="480" t="n">
        <f aca="true">+IF(C24&lt;TODAY(),1,1/(1+D24/2)^((C25-TODAY())/182.625))</f>
        <v>1</v>
      </c>
      <c r="F24" s="481" t="n">
        <f aca="false">+CURVELOAD!C29+CURVELOAD!E29+CURVELOAD!F29</f>
        <v>3.655</v>
      </c>
      <c r="G24" s="478"/>
      <c r="H24" s="478"/>
      <c r="I24" s="478"/>
      <c r="J24" s="478"/>
      <c r="K24" s="0" t="n">
        <v>2018</v>
      </c>
      <c r="L24" s="478" t="n">
        <f aca="false">+SUMIF($B$6:$B$312,K24,$E$6:$E$311)/SUMIF($B$6:$B$312,K24,$A$6:$A$312)</f>
        <v>1</v>
      </c>
    </row>
    <row r="25" customFormat="false" ht="12.75" hidden="false" customHeight="false" outlineLevel="0" collapsed="false">
      <c r="A25" s="0" t="n">
        <v>1</v>
      </c>
      <c r="B25" s="43" t="n">
        <f aca="false">+YEAR(C25)</f>
        <v>2002</v>
      </c>
      <c r="C25" s="474" t="n">
        <f aca="false">+CURVELOAD!A30</f>
        <v>37288</v>
      </c>
      <c r="D25" s="479" t="n">
        <f aca="false">+IF($E$2&gt;0,$E$2,CURVELOAD!B30)</f>
        <v>0.070748170073293</v>
      </c>
      <c r="E25" s="480" t="n">
        <f aca="true">+IF(C25&lt;TODAY(),1,1/(1+D25/2)^((C26-TODAY())/182.625))</f>
        <v>1</v>
      </c>
      <c r="F25" s="481" t="n">
        <f aca="false">+CURVELOAD!C30+CURVELOAD!E30+CURVELOAD!F30</f>
        <v>3.52</v>
      </c>
      <c r="G25" s="478"/>
      <c r="H25" s="478"/>
      <c r="I25" s="478"/>
      <c r="J25" s="478"/>
      <c r="K25" s="0" t="n">
        <v>2019</v>
      </c>
      <c r="L25" s="478" t="n">
        <f aca="false">+SUMIF($B$6:$B$312,K25,$E$6:$E$311)/SUMIF($B$6:$B$312,K25,$A$6:$A$312)</f>
        <v>1</v>
      </c>
    </row>
    <row r="26" customFormat="false" ht="12.75" hidden="false" customHeight="false" outlineLevel="0" collapsed="false">
      <c r="A26" s="0" t="n">
        <v>1</v>
      </c>
      <c r="B26" s="43" t="n">
        <f aca="false">+YEAR(C26)</f>
        <v>2002</v>
      </c>
      <c r="C26" s="474" t="n">
        <f aca="false">+CURVELOAD!A31</f>
        <v>37316</v>
      </c>
      <c r="D26" s="479" t="n">
        <f aca="false">+IF($E$2&gt;0,$E$2,CURVELOAD!B31)</f>
        <v>0.070814542322751</v>
      </c>
      <c r="E26" s="480" t="n">
        <f aca="true">+IF(C26&lt;TODAY(),1,1/(1+D26/2)^((C27-TODAY())/182.625))</f>
        <v>1</v>
      </c>
      <c r="F26" s="481" t="n">
        <f aca="false">+CURVELOAD!C31+CURVELOAD!E31+CURVELOAD!F31</f>
        <v>3.385</v>
      </c>
      <c r="G26" s="478"/>
      <c r="H26" s="478"/>
      <c r="I26" s="478"/>
      <c r="J26" s="478"/>
      <c r="K26" s="0" t="n">
        <v>2020</v>
      </c>
      <c r="L26" s="478" t="n">
        <f aca="false">+SUMIF($B$6:$B$312,K26,$E$6:$E$311)/SUMIF($B$6:$B$312,K26,$A$6:$A$312)</f>
        <v>1</v>
      </c>
    </row>
    <row r="27" customFormat="false" ht="12.75" hidden="false" customHeight="false" outlineLevel="0" collapsed="false">
      <c r="A27" s="0" t="n">
        <v>1</v>
      </c>
      <c r="B27" s="43" t="n">
        <f aca="false">+YEAR(C27)</f>
        <v>2002</v>
      </c>
      <c r="C27" s="474" t="n">
        <f aca="false">+CURVELOAD!A32</f>
        <v>37347</v>
      </c>
      <c r="D27" s="479" t="n">
        <f aca="false">+IF($E$2&gt;0,$E$2,CURVELOAD!B32)</f>
        <v>0.07086749010135</v>
      </c>
      <c r="E27" s="480" t="n">
        <f aca="true">+IF(C27&lt;TODAY(),1,1/(1+D27/2)^((C28-TODAY())/182.625))</f>
        <v>1</v>
      </c>
      <c r="F27" s="481" t="n">
        <f aca="false">+CURVELOAD!C32+CURVELOAD!E32+CURVELOAD!F32</f>
        <v>3.246</v>
      </c>
      <c r="G27" s="478"/>
      <c r="H27" s="478"/>
      <c r="I27" s="478"/>
      <c r="J27" s="478"/>
      <c r="K27" s="0" t="n">
        <v>2021</v>
      </c>
      <c r="L27" s="478" t="n">
        <f aca="false">+SUMIF($B$6:$B$312,K27,$E$6:$E$311)/SUMIF($B$6:$B$312,K27,$A$6:$A$312)</f>
        <v>1</v>
      </c>
    </row>
    <row r="28" customFormat="false" ht="12.75" hidden="false" customHeight="false" outlineLevel="0" collapsed="false">
      <c r="A28" s="0" t="n">
        <v>1</v>
      </c>
      <c r="B28" s="43" t="n">
        <f aca="false">+YEAR(C28)</f>
        <v>2002</v>
      </c>
      <c r="C28" s="474" t="n">
        <f aca="false">+CURVELOAD!A33</f>
        <v>37377</v>
      </c>
      <c r="D28" s="479" t="n">
        <f aca="false">+IF($E$2&gt;0,$E$2,CURVELOAD!B33)</f>
        <v>0.070888552750499</v>
      </c>
      <c r="E28" s="480" t="n">
        <f aca="true">+IF(C28&lt;TODAY(),1,1/(1+D28/2)^((C29-TODAY())/182.625))</f>
        <v>1</v>
      </c>
      <c r="F28" s="481" t="n">
        <f aca="false">+CURVELOAD!C33+CURVELOAD!E33+CURVELOAD!F33</f>
        <v>3.211</v>
      </c>
      <c r="G28" s="478"/>
      <c r="H28" s="478"/>
      <c r="I28" s="478"/>
      <c r="J28" s="478"/>
      <c r="K28" s="0" t="n">
        <v>2022</v>
      </c>
      <c r="L28" s="478" t="n">
        <f aca="false">+SUMIF($B$6:$B$312,K28,$E$6:$E$311)/SUMIF($B$6:$B$312,K28,$A$6:$A$312)</f>
        <v>1</v>
      </c>
    </row>
    <row r="29" customFormat="false" ht="12.75" hidden="false" customHeight="false" outlineLevel="0" collapsed="false">
      <c r="A29" s="0" t="n">
        <v>1</v>
      </c>
      <c r="B29" s="43" t="n">
        <f aca="false">+YEAR(C29)</f>
        <v>2002</v>
      </c>
      <c r="C29" s="474" t="n">
        <f aca="false">+CURVELOAD!A34</f>
        <v>37408</v>
      </c>
      <c r="D29" s="479" t="n">
        <f aca="false">+IF($E$2&gt;0,$E$2,CURVELOAD!B34)</f>
        <v>0.070910317488108</v>
      </c>
      <c r="E29" s="480" t="n">
        <f aca="true">+IF(C29&lt;TODAY(),1,1/(1+D29/2)^((C30-TODAY())/182.625))</f>
        <v>1</v>
      </c>
      <c r="F29" s="481" t="n">
        <f aca="false">+CURVELOAD!C34+CURVELOAD!E34+CURVELOAD!F34</f>
        <v>3.201</v>
      </c>
      <c r="G29" s="478"/>
      <c r="H29" s="478"/>
      <c r="I29" s="478"/>
      <c r="J29" s="478"/>
      <c r="K29" s="0" t="n">
        <v>2023</v>
      </c>
      <c r="L29" s="478" t="n">
        <f aca="false">+SUMIF($B$6:$B$312,K29,$E$6:$E$311)/SUMIF($B$6:$B$312,K29,$A$6:$A$312)</f>
        <v>1</v>
      </c>
    </row>
    <row r="30" customFormat="false" ht="12.75" hidden="false" customHeight="false" outlineLevel="0" collapsed="false">
      <c r="A30" s="0" t="n">
        <v>1</v>
      </c>
      <c r="B30" s="43" t="n">
        <f aca="false">+YEAR(C30)</f>
        <v>2002</v>
      </c>
      <c r="C30" s="474" t="n">
        <f aca="false">+CURVELOAD!A35</f>
        <v>37438</v>
      </c>
      <c r="D30" s="479" t="n">
        <f aca="false">+IF($E$2&gt;0,$E$2,CURVELOAD!B35)</f>
        <v>0.07092964762038</v>
      </c>
      <c r="E30" s="480" t="n">
        <f aca="true">+IF(C30&lt;TODAY(),1,1/(1+D30/2)^((C31-TODAY())/182.625))</f>
        <v>1</v>
      </c>
      <c r="F30" s="481" t="n">
        <f aca="false">+CURVELOAD!C35+CURVELOAD!E35+CURVELOAD!F35</f>
        <v>3.201</v>
      </c>
      <c r="G30" s="478"/>
      <c r="H30" s="478"/>
      <c r="I30" s="478"/>
      <c r="J30" s="478"/>
      <c r="K30" s="0" t="n">
        <v>2024</v>
      </c>
      <c r="L30" s="478" t="n">
        <f aca="false">+SUMIF($B$6:$B$312,K30,$E$6:$E$311)/SUMIF($B$6:$B$312,K30,$A$6:$A$312)</f>
        <v>1</v>
      </c>
    </row>
    <row r="31" customFormat="false" ht="12.75" hidden="false" customHeight="false" outlineLevel="0" collapsed="false">
      <c r="A31" s="0" t="n">
        <v>1</v>
      </c>
      <c r="B31" s="43" t="n">
        <f aca="false">+YEAR(C31)</f>
        <v>2002</v>
      </c>
      <c r="C31" s="474" t="n">
        <f aca="false">+CURVELOAD!A36</f>
        <v>37469</v>
      </c>
      <c r="D31" s="479" t="n">
        <f aca="false">+IF($E$2&gt;0,$E$2,CURVELOAD!B36)</f>
        <v>0.070946770197311</v>
      </c>
      <c r="E31" s="480" t="n">
        <f aca="true">+IF(C31&lt;TODAY(),1,1/(1+D31/2)^((C32-TODAY())/182.625))</f>
        <v>1</v>
      </c>
      <c r="F31" s="481" t="n">
        <f aca="false">+CURVELOAD!C36+CURVELOAD!E36+CURVELOAD!F36</f>
        <v>3.201</v>
      </c>
      <c r="G31" s="478"/>
      <c r="H31" s="478"/>
      <c r="I31" s="478"/>
      <c r="J31" s="478"/>
      <c r="K31" s="0" t="n">
        <v>2025</v>
      </c>
      <c r="L31" s="478" t="n">
        <f aca="false">+SUMIF($B$6:$B$312,K31,$E$6:$E$311)/SUMIF($B$6:$B$312,K31,$A$6:$A$312)</f>
        <v>0.996812259793674</v>
      </c>
    </row>
    <row r="32" customFormat="false" ht="12.75" hidden="false" customHeight="false" outlineLevel="0" collapsed="false">
      <c r="A32" s="0" t="n">
        <v>1</v>
      </c>
      <c r="B32" s="43" t="n">
        <f aca="false">+YEAR(C32)</f>
        <v>2002</v>
      </c>
      <c r="C32" s="474" t="n">
        <f aca="false">+CURVELOAD!A37</f>
        <v>37500</v>
      </c>
      <c r="D32" s="479" t="n">
        <f aca="false">+IF($E$2&gt;0,$E$2,CURVELOAD!B37)</f>
        <v>0.070963892774338</v>
      </c>
      <c r="E32" s="480" t="n">
        <f aca="true">+IF(C32&lt;TODAY(),1,1/(1+D32/2)^((C33-TODAY())/182.625))</f>
        <v>1</v>
      </c>
      <c r="F32" s="481" t="n">
        <f aca="false">+CURVELOAD!C37+CURVELOAD!E37+CURVELOAD!F37</f>
        <v>3.191</v>
      </c>
      <c r="G32" s="478"/>
      <c r="H32" s="478"/>
      <c r="I32" s="478"/>
      <c r="J32" s="478"/>
    </row>
    <row r="33" customFormat="false" ht="12.75" hidden="false" customHeight="false" outlineLevel="0" collapsed="false">
      <c r="A33" s="0" t="n">
        <v>1</v>
      </c>
      <c r="B33" s="43" t="n">
        <f aca="false">+YEAR(C33)</f>
        <v>2002</v>
      </c>
      <c r="C33" s="474" t="n">
        <f aca="false">+CURVELOAD!A38</f>
        <v>37530</v>
      </c>
      <c r="D33" s="479" t="n">
        <f aca="false">+IF($E$2&gt;0,$E$2,CURVELOAD!B38)</f>
        <v>0.070978377180669</v>
      </c>
      <c r="E33" s="480" t="n">
        <f aca="true">+IF(C33&lt;TODAY(),1,1/(1+D33/2)^((C34-TODAY())/182.625))</f>
        <v>1</v>
      </c>
      <c r="F33" s="481" t="n">
        <f aca="false">+CURVELOAD!C38+CURVELOAD!E38+CURVELOAD!F38</f>
        <v>3.211</v>
      </c>
      <c r="G33" s="478"/>
      <c r="H33" s="478"/>
      <c r="I33" s="478"/>
      <c r="J33" s="478"/>
    </row>
    <row r="34" customFormat="false" ht="12.75" hidden="false" customHeight="false" outlineLevel="0" collapsed="false">
      <c r="A34" s="0" t="n">
        <v>1</v>
      </c>
      <c r="B34" s="43" t="n">
        <f aca="false">+YEAR(C34)</f>
        <v>2002</v>
      </c>
      <c r="C34" s="474" t="n">
        <f aca="false">+CURVELOAD!A39</f>
        <v>37561</v>
      </c>
      <c r="D34" s="479" t="n">
        <f aca="false">+IF($E$2&gt;0,$E$2,CURVELOAD!B39)</f>
        <v>0.070990350597544</v>
      </c>
      <c r="E34" s="480" t="n">
        <f aca="true">+IF(C34&lt;TODAY(),1,1/(1+D34/2)^((C35-TODAY())/182.625))</f>
        <v>1</v>
      </c>
      <c r="F34" s="481" t="n">
        <f aca="false">+CURVELOAD!C39+CURVELOAD!E39+CURVELOAD!F39</f>
        <v>3.32</v>
      </c>
      <c r="G34" s="478"/>
      <c r="H34" s="478"/>
      <c r="I34" s="478"/>
      <c r="J34" s="478"/>
    </row>
    <row r="35" customFormat="false" ht="12.75" hidden="false" customHeight="false" outlineLevel="0" collapsed="false">
      <c r="A35" s="0" t="n">
        <v>1</v>
      </c>
      <c r="B35" s="43" t="n">
        <f aca="false">+YEAR(C35)</f>
        <v>2002</v>
      </c>
      <c r="C35" s="474" t="n">
        <f aca="false">+CURVELOAD!A40</f>
        <v>37591</v>
      </c>
      <c r="D35" s="479" t="n">
        <f aca="false">+IF($E$2&gt;0,$E$2,CURVELOAD!B40)</f>
        <v>0.071001937775211</v>
      </c>
      <c r="E35" s="480" t="n">
        <f aca="true">+IF(C35&lt;TODAY(),1,1/(1+D35/2)^((C36-TODAY())/182.625))</f>
        <v>1</v>
      </c>
      <c r="F35" s="481" t="n">
        <f aca="false">+CURVELOAD!C40+CURVELOAD!E40+CURVELOAD!F40</f>
        <v>3.425</v>
      </c>
      <c r="G35" s="478"/>
      <c r="H35" s="478"/>
      <c r="I35" s="478"/>
      <c r="J35" s="478"/>
    </row>
    <row r="36" customFormat="false" ht="12.75" hidden="false" customHeight="false" outlineLevel="0" collapsed="false">
      <c r="A36" s="0" t="n">
        <v>1</v>
      </c>
      <c r="B36" s="43" t="n">
        <f aca="false">+YEAR(C36)</f>
        <v>2003</v>
      </c>
      <c r="C36" s="474" t="n">
        <f aca="false">+CURVELOAD!A41</f>
        <v>37622</v>
      </c>
      <c r="D36" s="479" t="n">
        <f aca="false">+IF($E$2&gt;0,$E$2,CURVELOAD!B41)</f>
        <v>0.07101883887975</v>
      </c>
      <c r="E36" s="480" t="n">
        <f aca="true">+IF(C36&lt;TODAY(),1,1/(1+D36/2)^((C37-TODAY())/182.625))</f>
        <v>1</v>
      </c>
      <c r="F36" s="481" t="n">
        <f aca="false">+CURVELOAD!C41+CURVELOAD!E41+CURVELOAD!F41</f>
        <v>3.445</v>
      </c>
      <c r="G36" s="478"/>
      <c r="H36" s="478"/>
      <c r="I36" s="478"/>
      <c r="J36" s="478"/>
    </row>
    <row r="37" customFormat="false" ht="12.75" hidden="false" customHeight="false" outlineLevel="0" collapsed="false">
      <c r="A37" s="0" t="n">
        <v>1</v>
      </c>
      <c r="B37" s="43" t="n">
        <f aca="false">+YEAR(C37)</f>
        <v>2003</v>
      </c>
      <c r="C37" s="474" t="n">
        <f aca="false">+CURVELOAD!A42</f>
        <v>37653</v>
      </c>
      <c r="D37" s="479" t="n">
        <f aca="false">+IF($E$2&gt;0,$E$2,CURVELOAD!B42)</f>
        <v>0.071041723605048</v>
      </c>
      <c r="E37" s="480" t="n">
        <f aca="true">+IF(C37&lt;TODAY(),1,1/(1+D37/2)^((C38-TODAY())/182.625))</f>
        <v>1</v>
      </c>
      <c r="F37" s="481" t="n">
        <f aca="false">+CURVELOAD!C42+CURVELOAD!E42+CURVELOAD!F42</f>
        <v>3.315</v>
      </c>
      <c r="G37" s="478"/>
      <c r="H37" s="478"/>
      <c r="I37" s="478"/>
      <c r="J37" s="478"/>
    </row>
    <row r="38" customFormat="false" ht="12.75" hidden="false" customHeight="false" outlineLevel="0" collapsed="false">
      <c r="A38" s="0" t="n">
        <v>1</v>
      </c>
      <c r="B38" s="43" t="n">
        <f aca="false">+YEAR(C38)</f>
        <v>2003</v>
      </c>
      <c r="C38" s="474" t="n">
        <f aca="false">+CURVELOAD!A43</f>
        <v>37681</v>
      </c>
      <c r="D38" s="479" t="n">
        <f aca="false">+IF($E$2&gt;0,$E$2,CURVELOAD!B43)</f>
        <v>0.071062393679659</v>
      </c>
      <c r="E38" s="480" t="n">
        <f aca="true">+IF(C38&lt;TODAY(),1,1/(1+D38/2)^((C39-TODAY())/182.625))</f>
        <v>1</v>
      </c>
      <c r="F38" s="481" t="n">
        <f aca="false">+CURVELOAD!C43+CURVELOAD!E43+CURVELOAD!F43</f>
        <v>3.175</v>
      </c>
      <c r="G38" s="478"/>
      <c r="H38" s="478"/>
      <c r="I38" s="478"/>
      <c r="J38" s="478"/>
    </row>
    <row r="39" customFormat="false" ht="12.75" hidden="false" customHeight="false" outlineLevel="0" collapsed="false">
      <c r="A39" s="0" t="n">
        <v>1</v>
      </c>
      <c r="B39" s="43" t="n">
        <f aca="false">+YEAR(C39)</f>
        <v>2003</v>
      </c>
      <c r="C39" s="474" t="n">
        <f aca="false">+CURVELOAD!A44</f>
        <v>37712</v>
      </c>
      <c r="D39" s="479" t="n">
        <f aca="false">+IF($E$2&gt;0,$E$2,CURVELOAD!B44)</f>
        <v>0.071076451505119</v>
      </c>
      <c r="E39" s="480" t="n">
        <f aca="true">+IF(C39&lt;TODAY(),1,1/(1+D39/2)^((C40-TODAY())/182.625))</f>
        <v>1</v>
      </c>
      <c r="F39" s="481" t="n">
        <f aca="false">+CURVELOAD!C44+CURVELOAD!E44+CURVELOAD!F44</f>
        <v>3.035</v>
      </c>
      <c r="G39" s="478"/>
      <c r="H39" s="478"/>
      <c r="I39" s="478"/>
      <c r="J39" s="478"/>
    </row>
    <row r="40" customFormat="false" ht="12.75" hidden="false" customHeight="false" outlineLevel="0" collapsed="false">
      <c r="A40" s="0" t="n">
        <v>1</v>
      </c>
      <c r="B40" s="43" t="n">
        <f aca="false">+YEAR(C40)</f>
        <v>2003</v>
      </c>
      <c r="C40" s="474" t="n">
        <f aca="false">+CURVELOAD!A45</f>
        <v>37742</v>
      </c>
      <c r="D40" s="479" t="n">
        <f aca="false">+IF($E$2&gt;0,$E$2,CURVELOAD!B45)</f>
        <v>0.071078281380432</v>
      </c>
      <c r="E40" s="480" t="n">
        <f aca="true">+IF(C40&lt;TODAY(),1,1/(1+D40/2)^((C41-TODAY())/182.625))</f>
        <v>1</v>
      </c>
      <c r="F40" s="481" t="n">
        <f aca="false">+CURVELOAD!C45+CURVELOAD!E45+CURVELOAD!F45</f>
        <v>3.02</v>
      </c>
      <c r="G40" s="478"/>
      <c r="H40" s="478"/>
      <c r="I40" s="478"/>
      <c r="J40" s="478"/>
    </row>
    <row r="41" customFormat="false" ht="12.75" hidden="false" customHeight="false" outlineLevel="0" collapsed="false">
      <c r="A41" s="0" t="n">
        <v>1</v>
      </c>
      <c r="B41" s="43" t="n">
        <f aca="false">+YEAR(C41)</f>
        <v>2003</v>
      </c>
      <c r="C41" s="474" t="n">
        <f aca="false">+CURVELOAD!A46</f>
        <v>37773</v>
      </c>
      <c r="D41" s="479" t="n">
        <f aca="false">+IF($E$2&gt;0,$E$2,CURVELOAD!B46)</f>
        <v>0.07108017225159</v>
      </c>
      <c r="E41" s="480" t="n">
        <f aca="true">+IF(C41&lt;TODAY(),1,1/(1+D41/2)^((C42-TODAY())/182.625))</f>
        <v>1</v>
      </c>
      <c r="F41" s="481" t="n">
        <f aca="false">+CURVELOAD!C46+CURVELOAD!E46+CURVELOAD!F46</f>
        <v>3.05</v>
      </c>
      <c r="G41" s="478"/>
      <c r="H41" s="478"/>
      <c r="I41" s="478"/>
      <c r="J41" s="478"/>
    </row>
    <row r="42" customFormat="false" ht="12.75" hidden="false" customHeight="false" outlineLevel="0" collapsed="false">
      <c r="A42" s="0" t="n">
        <v>1</v>
      </c>
      <c r="B42" s="43" t="n">
        <f aca="false">+YEAR(C42)</f>
        <v>2003</v>
      </c>
      <c r="C42" s="474" t="n">
        <f aca="false">+CURVELOAD!A47</f>
        <v>37803</v>
      </c>
      <c r="D42" s="479" t="n">
        <f aca="false">+IF($E$2&gt;0,$E$2,CURVELOAD!B47)</f>
        <v>0.071082674655184</v>
      </c>
      <c r="E42" s="480" t="n">
        <f aca="true">+IF(C42&lt;TODAY(),1,1/(1+D42/2)^((C43-TODAY())/182.625))</f>
        <v>1</v>
      </c>
      <c r="F42" s="481" t="n">
        <f aca="false">+CURVELOAD!C47+CURVELOAD!E47+CURVELOAD!F47</f>
        <v>3.05</v>
      </c>
      <c r="G42" s="478"/>
      <c r="H42" s="478"/>
      <c r="I42" s="478"/>
      <c r="J42" s="478"/>
    </row>
    <row r="43" customFormat="false" ht="12.75" hidden="false" customHeight="false" outlineLevel="0" collapsed="false">
      <c r="A43" s="0" t="n">
        <v>1</v>
      </c>
      <c r="B43" s="43" t="n">
        <f aca="false">+YEAR(C43)</f>
        <v>2003</v>
      </c>
      <c r="C43" s="474" t="n">
        <f aca="false">+CURVELOAD!A48</f>
        <v>37834</v>
      </c>
      <c r="D43" s="479" t="n">
        <f aca="false">+IF($E$2&gt;0,$E$2,CURVELOAD!B48)</f>
        <v>0.071086227545837</v>
      </c>
      <c r="E43" s="480" t="n">
        <f aca="true">+IF(C43&lt;TODAY(),1,1/(1+D43/2)^((C44-TODAY())/182.625))</f>
        <v>1</v>
      </c>
      <c r="F43" s="481" t="n">
        <f aca="false">+CURVELOAD!C48+CURVELOAD!E48+CURVELOAD!F48</f>
        <v>3.11</v>
      </c>
      <c r="G43" s="478"/>
      <c r="H43" s="478"/>
      <c r="I43" s="478"/>
      <c r="J43" s="478"/>
    </row>
    <row r="44" customFormat="false" ht="12.75" hidden="false" customHeight="false" outlineLevel="0" collapsed="false">
      <c r="A44" s="0" t="n">
        <v>1</v>
      </c>
      <c r="B44" s="43" t="n">
        <f aca="false">+YEAR(C44)</f>
        <v>2003</v>
      </c>
      <c r="C44" s="474" t="n">
        <f aca="false">+CURVELOAD!A49</f>
        <v>37865</v>
      </c>
      <c r="D44" s="479" t="n">
        <f aca="false">+IF($E$2&gt;0,$E$2,CURVELOAD!B49)</f>
        <v>0.071089780436495</v>
      </c>
      <c r="E44" s="480" t="n">
        <f aca="true">+IF(C44&lt;TODAY(),1,1/(1+D44/2)^((C45-TODAY())/182.625))</f>
        <v>1</v>
      </c>
      <c r="F44" s="481" t="n">
        <f aca="false">+CURVELOAD!C49+CURVELOAD!E49+CURVELOAD!F49</f>
        <v>3.1</v>
      </c>
      <c r="G44" s="478"/>
      <c r="H44" s="478"/>
      <c r="I44" s="478"/>
      <c r="J44" s="478"/>
    </row>
    <row r="45" customFormat="false" ht="12.75" hidden="false" customHeight="false" outlineLevel="0" collapsed="false">
      <c r="A45" s="0" t="n">
        <v>1</v>
      </c>
      <c r="B45" s="43" t="n">
        <f aca="false">+YEAR(C45)</f>
        <v>2003</v>
      </c>
      <c r="C45" s="474" t="n">
        <f aca="false">+CURVELOAD!A50</f>
        <v>37895</v>
      </c>
      <c r="D45" s="479" t="n">
        <f aca="false">+IF($E$2&gt;0,$E$2,CURVELOAD!B50)</f>
        <v>0.071093404512285</v>
      </c>
      <c r="E45" s="480" t="n">
        <f aca="true">+IF(C45&lt;TODAY(),1,1/(1+D45/2)^((C46-TODAY())/182.625))</f>
        <v>1</v>
      </c>
      <c r="F45" s="481" t="n">
        <f aca="false">+CURVELOAD!C50+CURVELOAD!E50+CURVELOAD!F50</f>
        <v>3.12</v>
      </c>
      <c r="G45" s="478"/>
      <c r="H45" s="478"/>
      <c r="I45" s="478"/>
      <c r="J45" s="478"/>
    </row>
    <row r="46" customFormat="false" ht="12.75" hidden="false" customHeight="false" outlineLevel="0" collapsed="false">
      <c r="A46" s="0" t="n">
        <v>1</v>
      </c>
      <c r="B46" s="43" t="n">
        <f aca="false">+YEAR(C46)</f>
        <v>2003</v>
      </c>
      <c r="C46" s="474" t="n">
        <f aca="false">+CURVELOAD!A51</f>
        <v>37926</v>
      </c>
      <c r="D46" s="479" t="n">
        <f aca="false">+IF($E$2&gt;0,$E$2,CURVELOAD!B51)</f>
        <v>0.071097382802968</v>
      </c>
      <c r="E46" s="480" t="n">
        <f aca="true">+IF(C46&lt;TODAY(),1,1/(1+D46/2)^((C47-TODAY())/182.625))</f>
        <v>1</v>
      </c>
      <c r="F46" s="481" t="n">
        <f aca="false">+CURVELOAD!C51+CURVELOAD!E51+CURVELOAD!F51</f>
        <v>3.229</v>
      </c>
      <c r="G46" s="478"/>
      <c r="H46" s="478"/>
      <c r="I46" s="478"/>
      <c r="J46" s="478"/>
    </row>
    <row r="47" customFormat="false" ht="12.75" hidden="false" customHeight="false" outlineLevel="0" collapsed="false">
      <c r="A47" s="0" t="n">
        <v>1</v>
      </c>
      <c r="B47" s="43" t="n">
        <f aca="false">+YEAR(C47)</f>
        <v>2003</v>
      </c>
      <c r="C47" s="474" t="n">
        <f aca="false">+CURVELOAD!A52</f>
        <v>37956</v>
      </c>
      <c r="D47" s="479" t="n">
        <f aca="false">+IF($E$2&gt;0,$E$2,CURVELOAD!B52)</f>
        <v>0.0711012327617</v>
      </c>
      <c r="E47" s="480" t="n">
        <f aca="true">+IF(C47&lt;TODAY(),1,1/(1+D47/2)^((C48-TODAY())/182.625))</f>
        <v>1</v>
      </c>
      <c r="F47" s="481" t="n">
        <f aca="false">+CURVELOAD!C52+CURVELOAD!E52+CURVELOAD!F52</f>
        <v>3.334</v>
      </c>
      <c r="G47" s="478"/>
      <c r="H47" s="478"/>
      <c r="I47" s="478"/>
      <c r="J47" s="478"/>
    </row>
    <row r="48" customFormat="false" ht="12.75" hidden="false" customHeight="false" outlineLevel="0" collapsed="false">
      <c r="A48" s="0" t="n">
        <v>1</v>
      </c>
      <c r="B48" s="43" t="n">
        <f aca="false">+YEAR(C48)</f>
        <v>2004</v>
      </c>
      <c r="C48" s="474" t="n">
        <f aca="false">+CURVELOAD!A53</f>
        <v>37987</v>
      </c>
      <c r="D48" s="479" t="n">
        <f aca="false">+IF($E$2&gt;0,$E$2,CURVELOAD!B53)</f>
        <v>0.071110992920143</v>
      </c>
      <c r="E48" s="480" t="n">
        <f aca="true">+IF(C48&lt;TODAY(),1,1/(1+D48/2)^((C49-TODAY())/182.625))</f>
        <v>1</v>
      </c>
      <c r="F48" s="481" t="n">
        <f aca="false">+CURVELOAD!C53+CURVELOAD!E53+CURVELOAD!F53</f>
        <v>3.412</v>
      </c>
      <c r="G48" s="478"/>
      <c r="H48" s="478"/>
      <c r="I48" s="478"/>
      <c r="J48" s="478"/>
    </row>
    <row r="49" customFormat="false" ht="12.75" hidden="false" customHeight="false" outlineLevel="0" collapsed="false">
      <c r="A49" s="0" t="n">
        <v>1</v>
      </c>
      <c r="B49" s="43" t="n">
        <f aca="false">+YEAR(C49)</f>
        <v>2004</v>
      </c>
      <c r="C49" s="474" t="n">
        <f aca="false">+CURVELOAD!A54</f>
        <v>38018</v>
      </c>
      <c r="D49" s="479" t="n">
        <f aca="false">+IF($E$2&gt;0,$E$2,CURVELOAD!B54)</f>
        <v>0.071126920404248</v>
      </c>
      <c r="E49" s="480" t="n">
        <f aca="true">+IF(C49&lt;TODAY(),1,1/(1+D49/2)^((C50-TODAY())/182.625))</f>
        <v>1</v>
      </c>
      <c r="F49" s="481" t="n">
        <f aca="false">+CURVELOAD!C54+CURVELOAD!E54+CURVELOAD!F54</f>
        <v>3.286</v>
      </c>
      <c r="G49" s="478"/>
      <c r="H49" s="478"/>
      <c r="I49" s="478"/>
      <c r="J49" s="478"/>
    </row>
    <row r="50" customFormat="false" ht="12.75" hidden="false" customHeight="false" outlineLevel="0" collapsed="false">
      <c r="A50" s="0" t="n">
        <v>1</v>
      </c>
      <c r="B50" s="43" t="n">
        <f aca="false">+YEAR(C50)</f>
        <v>2004</v>
      </c>
      <c r="C50" s="474" t="n">
        <f aca="false">+CURVELOAD!A55</f>
        <v>38047</v>
      </c>
      <c r="D50" s="479" t="n">
        <f aca="false">+IF($E$2&gt;0,$E$2,CURVELOAD!B55)</f>
        <v>0.07114182030881</v>
      </c>
      <c r="E50" s="480" t="n">
        <f aca="true">+IF(C50&lt;TODAY(),1,1/(1+D50/2)^((C51-TODAY())/182.625))</f>
        <v>1</v>
      </c>
      <c r="F50" s="481" t="n">
        <f aca="false">+CURVELOAD!C55+CURVELOAD!E55+CURVELOAD!F55</f>
        <v>3.149</v>
      </c>
      <c r="G50" s="478"/>
      <c r="H50" s="478"/>
      <c r="I50" s="478"/>
      <c r="J50" s="478"/>
    </row>
    <row r="51" customFormat="false" ht="12.75" hidden="false" customHeight="false" outlineLevel="0" collapsed="false">
      <c r="A51" s="0" t="n">
        <v>1</v>
      </c>
      <c r="B51" s="43" t="n">
        <f aca="false">+YEAR(C51)</f>
        <v>2004</v>
      </c>
      <c r="C51" s="474" t="n">
        <f aca="false">+CURVELOAD!A56</f>
        <v>38078</v>
      </c>
      <c r="D51" s="479" t="n">
        <f aca="false">+IF($E$2&gt;0,$E$2,CURVELOAD!B56)</f>
        <v>0.07115146442233</v>
      </c>
      <c r="E51" s="480" t="n">
        <f aca="true">+IF(C51&lt;TODAY(),1,1/(1+D51/2)^((C52-TODAY())/182.625))</f>
        <v>1</v>
      </c>
      <c r="F51" s="481" t="n">
        <f aca="false">+CURVELOAD!C56+CURVELOAD!E56+CURVELOAD!F56</f>
        <v>3.012</v>
      </c>
      <c r="G51" s="478"/>
      <c r="H51" s="478"/>
      <c r="I51" s="478"/>
      <c r="J51" s="478"/>
    </row>
    <row r="52" customFormat="false" ht="12.75" hidden="false" customHeight="false" outlineLevel="0" collapsed="false">
      <c r="A52" s="0" t="n">
        <v>1</v>
      </c>
      <c r="B52" s="43" t="n">
        <f aca="false">+YEAR(C52)</f>
        <v>2004</v>
      </c>
      <c r="C52" s="474" t="n">
        <f aca="false">+CURVELOAD!A57</f>
        <v>38108</v>
      </c>
      <c r="D52" s="479" t="n">
        <f aca="false">+IF($E$2&gt;0,$E$2,CURVELOAD!B57)</f>
        <v>0.071154311375311</v>
      </c>
      <c r="E52" s="480" t="n">
        <f aca="true">+IF(C52&lt;TODAY(),1,1/(1+D52/2)^((C53-TODAY())/182.625))</f>
        <v>1</v>
      </c>
      <c r="F52" s="481" t="n">
        <f aca="false">+CURVELOAD!C57+CURVELOAD!E57+CURVELOAD!F57</f>
        <v>2.998</v>
      </c>
      <c r="G52" s="478"/>
      <c r="H52" s="478"/>
      <c r="I52" s="478"/>
      <c r="J52" s="478"/>
    </row>
    <row r="53" customFormat="false" ht="12.75" hidden="false" customHeight="false" outlineLevel="0" collapsed="false">
      <c r="A53" s="0" t="n">
        <v>1</v>
      </c>
      <c r="B53" s="43" t="n">
        <f aca="false">+YEAR(C53)</f>
        <v>2004</v>
      </c>
      <c r="C53" s="474" t="n">
        <f aca="false">+CURVELOAD!A58</f>
        <v>38139</v>
      </c>
      <c r="D53" s="479" t="n">
        <f aca="false">+IF($E$2&gt;0,$E$2,CURVELOAD!B58)</f>
        <v>0.071157253226729</v>
      </c>
      <c r="E53" s="480" t="n">
        <f aca="true">+IF(C53&lt;TODAY(),1,1/(1+D53/2)^((C54-TODAY())/182.625))</f>
        <v>1</v>
      </c>
      <c r="F53" s="481" t="n">
        <f aca="false">+CURVELOAD!C58+CURVELOAD!E58+CURVELOAD!F58</f>
        <v>3.029</v>
      </c>
      <c r="G53" s="478"/>
      <c r="H53" s="478"/>
      <c r="I53" s="478"/>
      <c r="J53" s="478"/>
    </row>
    <row r="54" customFormat="false" ht="12.75" hidden="false" customHeight="false" outlineLevel="0" collapsed="false">
      <c r="A54" s="0" t="n">
        <v>1</v>
      </c>
      <c r="B54" s="43" t="n">
        <f aca="false">+YEAR(C54)</f>
        <v>2004</v>
      </c>
      <c r="C54" s="474" t="n">
        <f aca="false">+CURVELOAD!A59</f>
        <v>38169</v>
      </c>
      <c r="D54" s="479" t="n">
        <f aca="false">+IF($E$2&gt;0,$E$2,CURVELOAD!B59)</f>
        <v>0.071171966017142</v>
      </c>
      <c r="E54" s="480" t="n">
        <f aca="true">+IF(C54&lt;TODAY(),1,1/(1+D54/2)^((C55-TODAY())/182.625))</f>
        <v>1</v>
      </c>
      <c r="F54" s="481" t="n">
        <f aca="false">+CURVELOAD!C59+CURVELOAD!E59+CURVELOAD!F59</f>
        <v>3.029</v>
      </c>
      <c r="G54" s="478"/>
      <c r="H54" s="478"/>
      <c r="I54" s="478"/>
      <c r="J54" s="478"/>
    </row>
    <row r="55" customFormat="false" ht="12.75" hidden="false" customHeight="false" outlineLevel="0" collapsed="false">
      <c r="A55" s="0" t="n">
        <v>1</v>
      </c>
      <c r="B55" s="43" t="n">
        <f aca="false">+YEAR(C55)</f>
        <v>2004</v>
      </c>
      <c r="C55" s="474" t="n">
        <f aca="false">+CURVELOAD!A60</f>
        <v>38200</v>
      </c>
      <c r="D55" s="479" t="n">
        <f aca="false">+IF($E$2&gt;0,$E$2,CURVELOAD!B60)</f>
        <v>0.071201182223067</v>
      </c>
      <c r="E55" s="480" t="n">
        <f aca="true">+IF(C55&lt;TODAY(),1,1/(1+D55/2)^((C56-TODAY())/182.625))</f>
        <v>1</v>
      </c>
      <c r="F55" s="481" t="n">
        <f aca="false">+CURVELOAD!C60+CURVELOAD!E60+CURVELOAD!F60</f>
        <v>3.089</v>
      </c>
      <c r="G55" s="478"/>
      <c r="H55" s="478"/>
      <c r="I55" s="478"/>
      <c r="J55" s="478"/>
    </row>
    <row r="56" customFormat="false" ht="12.75" hidden="false" customHeight="false" outlineLevel="0" collapsed="false">
      <c r="A56" s="0" t="n">
        <v>1</v>
      </c>
      <c r="B56" s="43" t="n">
        <f aca="false">+YEAR(C56)</f>
        <v>2004</v>
      </c>
      <c r="C56" s="474" t="n">
        <f aca="false">+CURVELOAD!A61</f>
        <v>38231</v>
      </c>
      <c r="D56" s="479" t="n">
        <f aca="false">+IF($E$2&gt;0,$E$2,CURVELOAD!B61)</f>
        <v>0.071230398429276</v>
      </c>
      <c r="E56" s="480" t="n">
        <f aca="true">+IF(C56&lt;TODAY(),1,1/(1+D56/2)^((C57-TODAY())/182.625))</f>
        <v>1</v>
      </c>
      <c r="F56" s="481" t="n">
        <f aca="false">+CURVELOAD!C61+CURVELOAD!E61+CURVELOAD!F61</f>
        <v>3.078</v>
      </c>
      <c r="G56" s="478"/>
      <c r="H56" s="478"/>
      <c r="I56" s="478"/>
      <c r="J56" s="478"/>
    </row>
    <row r="57" customFormat="false" ht="12.75" hidden="false" customHeight="false" outlineLevel="0" collapsed="false">
      <c r="A57" s="0" t="n">
        <v>1</v>
      </c>
      <c r="B57" s="43" t="n">
        <f aca="false">+YEAR(C57)</f>
        <v>2004</v>
      </c>
      <c r="C57" s="474" t="n">
        <f aca="false">+CURVELOAD!A62</f>
        <v>38261</v>
      </c>
      <c r="D57" s="479" t="n">
        <f aca="false">+IF($E$2&gt;0,$E$2,CURVELOAD!B62)</f>
        <v>0.071258672177487</v>
      </c>
      <c r="E57" s="480" t="n">
        <f aca="true">+IF(C57&lt;TODAY(),1,1/(1+D57/2)^((C58-TODAY())/182.625))</f>
        <v>1</v>
      </c>
      <c r="F57" s="481" t="n">
        <f aca="false">+CURVELOAD!C62+CURVELOAD!E62+CURVELOAD!F62</f>
        <v>3.097</v>
      </c>
      <c r="G57" s="478"/>
      <c r="H57" s="478"/>
      <c r="I57" s="478"/>
      <c r="J57" s="478"/>
    </row>
    <row r="58" customFormat="false" ht="12.75" hidden="false" customHeight="false" outlineLevel="0" collapsed="false">
      <c r="A58" s="0" t="n">
        <v>1</v>
      </c>
      <c r="B58" s="43" t="n">
        <f aca="false">+YEAR(C58)</f>
        <v>2004</v>
      </c>
      <c r="C58" s="474" t="n">
        <f aca="false">+CURVELOAD!A63</f>
        <v>38292</v>
      </c>
      <c r="D58" s="479" t="n">
        <f aca="false">+IF($E$2&gt;0,$E$2,CURVELOAD!B63)</f>
        <v>0.07128788838425</v>
      </c>
      <c r="E58" s="480" t="n">
        <f aca="true">+IF(C58&lt;TODAY(),1,1/(1+D58/2)^((C59-TODAY())/182.625))</f>
        <v>1</v>
      </c>
      <c r="F58" s="481" t="n">
        <f aca="false">+CURVELOAD!C63+CURVELOAD!E63+CURVELOAD!F63</f>
        <v>3.201</v>
      </c>
      <c r="G58" s="478"/>
      <c r="H58" s="478"/>
      <c r="I58" s="478"/>
      <c r="J58" s="478"/>
    </row>
    <row r="59" customFormat="false" ht="12.75" hidden="false" customHeight="false" outlineLevel="0" collapsed="false">
      <c r="A59" s="0" t="n">
        <v>1</v>
      </c>
      <c r="B59" s="43" t="n">
        <f aca="false">+YEAR(C59)</f>
        <v>2004</v>
      </c>
      <c r="C59" s="474" t="n">
        <f aca="false">+CURVELOAD!A64</f>
        <v>38322</v>
      </c>
      <c r="D59" s="479" t="n">
        <f aca="false">+IF($E$2&gt;0,$E$2,CURVELOAD!B64)</f>
        <v>0.071316162133</v>
      </c>
      <c r="E59" s="480" t="n">
        <f aca="true">+IF(C59&lt;TODAY(),1,1/(1+D59/2)^((C60-TODAY())/182.625))</f>
        <v>1</v>
      </c>
      <c r="F59" s="481" t="n">
        <f aca="false">+CURVELOAD!C64+CURVELOAD!E64+CURVELOAD!F64</f>
        <v>3.303</v>
      </c>
      <c r="G59" s="478"/>
      <c r="H59" s="478"/>
      <c r="I59" s="478"/>
      <c r="J59" s="478"/>
    </row>
    <row r="60" customFormat="false" ht="12.75" hidden="false" customHeight="false" outlineLevel="0" collapsed="false">
      <c r="A60" s="0" t="n">
        <v>1</v>
      </c>
      <c r="B60" s="43" t="n">
        <f aca="false">+YEAR(C60)</f>
        <v>2005</v>
      </c>
      <c r="C60" s="474" t="n">
        <f aca="false">+CURVELOAD!A65</f>
        <v>38353</v>
      </c>
      <c r="D60" s="479" t="n">
        <f aca="false">+IF($E$2&gt;0,$E$2,CURVELOAD!B65)</f>
        <v>0.071345378340317</v>
      </c>
      <c r="E60" s="480" t="n">
        <f aca="true">+IF(C60&lt;TODAY(),1,1/(1+D60/2)^((C61-TODAY())/182.625))</f>
        <v>1</v>
      </c>
      <c r="F60" s="481" t="n">
        <f aca="false">+CURVELOAD!C65+CURVELOAD!E65+CURVELOAD!F65</f>
        <v>3.414</v>
      </c>
      <c r="G60" s="478"/>
      <c r="H60" s="478"/>
      <c r="I60" s="478"/>
      <c r="J60" s="478"/>
    </row>
    <row r="61" customFormat="false" ht="12.75" hidden="false" customHeight="false" outlineLevel="0" collapsed="false">
      <c r="A61" s="0" t="n">
        <v>1</v>
      </c>
      <c r="B61" s="43" t="n">
        <f aca="false">+YEAR(C61)</f>
        <v>2005</v>
      </c>
      <c r="C61" s="474" t="n">
        <f aca="false">+CURVELOAD!A66</f>
        <v>38384</v>
      </c>
      <c r="D61" s="479" t="n">
        <f aca="false">+IF($E$2&gt;0,$E$2,CURVELOAD!B66)</f>
        <v>0.071374594547918</v>
      </c>
      <c r="E61" s="480" t="n">
        <f aca="true">+IF(C61&lt;TODAY(),1,1/(1+D61/2)^((C62-TODAY())/182.625))</f>
        <v>1</v>
      </c>
      <c r="F61" s="481" t="n">
        <f aca="false">+CURVELOAD!C66+CURVELOAD!E66+CURVELOAD!F66</f>
        <v>3.292</v>
      </c>
      <c r="G61" s="478"/>
      <c r="H61" s="478"/>
      <c r="I61" s="478"/>
      <c r="J61" s="478"/>
    </row>
    <row r="62" customFormat="false" ht="12.75" hidden="false" customHeight="false" outlineLevel="0" collapsed="false">
      <c r="A62" s="0" t="n">
        <v>1</v>
      </c>
      <c r="B62" s="43" t="n">
        <f aca="false">+YEAR(C62)</f>
        <v>2005</v>
      </c>
      <c r="C62" s="474" t="n">
        <f aca="false">+CURVELOAD!A67</f>
        <v>38412</v>
      </c>
      <c r="D62" s="479" t="n">
        <f aca="false">+IF($E$2&gt;0,$E$2,CURVELOAD!B67)</f>
        <v>0.071400983380831</v>
      </c>
      <c r="E62" s="480" t="n">
        <f aca="true">+IF(C62&lt;TODAY(),1,1/(1+D62/2)^((C63-TODAY())/182.625))</f>
        <v>1</v>
      </c>
      <c r="F62" s="481" t="n">
        <f aca="false">+CURVELOAD!C67+CURVELOAD!E67+CURVELOAD!F67</f>
        <v>3.158</v>
      </c>
      <c r="G62" s="478"/>
      <c r="H62" s="478"/>
      <c r="I62" s="478"/>
      <c r="J62" s="478"/>
    </row>
    <row r="63" customFormat="false" ht="12.75" hidden="false" customHeight="false" outlineLevel="0" collapsed="false">
      <c r="A63" s="0" t="n">
        <v>1</v>
      </c>
      <c r="B63" s="43" t="n">
        <f aca="false">+YEAR(C63)</f>
        <v>2005</v>
      </c>
      <c r="C63" s="474" t="n">
        <f aca="false">+CURVELOAD!A68</f>
        <v>38443</v>
      </c>
      <c r="D63" s="479" t="n">
        <f aca="false">+IF($E$2&gt;0,$E$2,CURVELOAD!B68)</f>
        <v>0.071430199588968</v>
      </c>
      <c r="E63" s="480" t="n">
        <f aca="true">+IF(C63&lt;TODAY(),1,1/(1+D63/2)^((C64-TODAY())/182.625))</f>
        <v>1</v>
      </c>
      <c r="F63" s="481" t="n">
        <f aca="false">+CURVELOAD!C68+CURVELOAD!E68+CURVELOAD!F68</f>
        <v>3.024</v>
      </c>
      <c r="G63" s="478"/>
      <c r="H63" s="478"/>
      <c r="I63" s="478"/>
      <c r="J63" s="478"/>
    </row>
    <row r="64" customFormat="false" ht="12.75" hidden="false" customHeight="false" outlineLevel="0" collapsed="false">
      <c r="A64" s="0" t="n">
        <v>1</v>
      </c>
      <c r="B64" s="43" t="n">
        <f aca="false">+YEAR(C64)</f>
        <v>2005</v>
      </c>
      <c r="C64" s="474" t="n">
        <f aca="false">+CURVELOAD!A69</f>
        <v>38473</v>
      </c>
      <c r="D64" s="479" t="n">
        <f aca="false">+IF($E$2&gt;0,$E$2,CURVELOAD!B69)</f>
        <v>0.071458473339046</v>
      </c>
      <c r="E64" s="480" t="n">
        <f aca="true">+IF(C64&lt;TODAY(),1,1/(1+D64/2)^((C65-TODAY())/182.625))</f>
        <v>1</v>
      </c>
      <c r="F64" s="481" t="n">
        <f aca="false">+CURVELOAD!C69+CURVELOAD!E69+CURVELOAD!F69</f>
        <v>3.011</v>
      </c>
      <c r="G64" s="478"/>
      <c r="H64" s="478"/>
      <c r="I64" s="478"/>
      <c r="J64" s="478"/>
    </row>
    <row r="65" customFormat="false" ht="12.75" hidden="false" customHeight="false" outlineLevel="0" collapsed="false">
      <c r="A65" s="0" t="n">
        <v>1</v>
      </c>
      <c r="B65" s="43" t="n">
        <f aca="false">+YEAR(C65)</f>
        <v>2005</v>
      </c>
      <c r="C65" s="474" t="n">
        <f aca="false">+CURVELOAD!A70</f>
        <v>38504</v>
      </c>
      <c r="D65" s="479" t="n">
        <f aca="false">+IF($E$2&gt;0,$E$2,CURVELOAD!B70)</f>
        <v>0.071487689547738</v>
      </c>
      <c r="E65" s="480" t="n">
        <f aca="true">+IF(C65&lt;TODAY(),1,1/(1+D65/2)^((C66-TODAY())/182.625))</f>
        <v>1</v>
      </c>
      <c r="F65" s="481" t="n">
        <f aca="false">+CURVELOAD!C70+CURVELOAD!E70+CURVELOAD!F70</f>
        <v>3.043</v>
      </c>
      <c r="G65" s="478"/>
      <c r="H65" s="478"/>
      <c r="I65" s="478"/>
      <c r="J65" s="478"/>
    </row>
    <row r="66" customFormat="false" ht="12.75" hidden="false" customHeight="false" outlineLevel="0" collapsed="false">
      <c r="A66" s="0" t="n">
        <v>1</v>
      </c>
      <c r="B66" s="43" t="n">
        <f aca="false">+YEAR(C66)</f>
        <v>2005</v>
      </c>
      <c r="C66" s="474" t="n">
        <f aca="false">+CURVELOAD!A71</f>
        <v>38534</v>
      </c>
      <c r="D66" s="479" t="n">
        <f aca="false">+IF($E$2&gt;0,$E$2,CURVELOAD!B71)</f>
        <v>0.071515963298354</v>
      </c>
      <c r="E66" s="480" t="n">
        <f aca="true">+IF(C66&lt;TODAY(),1,1/(1+D66/2)^((C67-TODAY())/182.625))</f>
        <v>1</v>
      </c>
      <c r="F66" s="481" t="n">
        <f aca="false">+CURVELOAD!C71+CURVELOAD!E71+CURVELOAD!F71</f>
        <v>3.043</v>
      </c>
      <c r="G66" s="478"/>
      <c r="H66" s="478"/>
      <c r="I66" s="478"/>
      <c r="J66" s="478"/>
    </row>
    <row r="67" customFormat="false" ht="12.75" hidden="false" customHeight="false" outlineLevel="0" collapsed="false">
      <c r="A67" s="0" t="n">
        <v>1</v>
      </c>
      <c r="B67" s="43" t="n">
        <f aca="false">+YEAR(C67)</f>
        <v>2005</v>
      </c>
      <c r="C67" s="474" t="n">
        <f aca="false">+CURVELOAD!A72</f>
        <v>38565</v>
      </c>
      <c r="D67" s="479" t="n">
        <f aca="false">+IF($E$2&gt;0,$E$2,CURVELOAD!B72)</f>
        <v>0.071546853272664</v>
      </c>
      <c r="E67" s="480" t="n">
        <f aca="true">+IF(C67&lt;TODAY(),1,1/(1+D67/2)^((C68-TODAY())/182.625))</f>
        <v>1</v>
      </c>
      <c r="F67" s="481" t="n">
        <f aca="false">+CURVELOAD!C72+CURVELOAD!E72+CURVELOAD!F72</f>
        <v>3.103</v>
      </c>
      <c r="G67" s="478"/>
      <c r="H67" s="478"/>
      <c r="I67" s="478"/>
      <c r="J67" s="478"/>
    </row>
    <row r="68" customFormat="false" ht="12.75" hidden="false" customHeight="false" outlineLevel="0" collapsed="false">
      <c r="A68" s="0" t="n">
        <v>1</v>
      </c>
      <c r="B68" s="43" t="n">
        <f aca="false">+YEAR(C68)</f>
        <v>2005</v>
      </c>
      <c r="C68" s="474" t="n">
        <f aca="false">+CURVELOAD!A73</f>
        <v>38596</v>
      </c>
      <c r="D68" s="479" t="n">
        <f aca="false">+IF($E$2&gt;0,$E$2,CURVELOAD!B73)</f>
        <v>0.071584717268468</v>
      </c>
      <c r="E68" s="480" t="n">
        <f aca="true">+IF(C68&lt;TODAY(),1,1/(1+D68/2)^((C69-TODAY())/182.625))</f>
        <v>1</v>
      </c>
      <c r="F68" s="481" t="n">
        <f aca="false">+CURVELOAD!C73+CURVELOAD!E73+CURVELOAD!F73</f>
        <v>3.091</v>
      </c>
      <c r="G68" s="478"/>
      <c r="H68" s="478"/>
      <c r="I68" s="478"/>
      <c r="J68" s="478"/>
    </row>
    <row r="69" customFormat="false" ht="12.75" hidden="false" customHeight="false" outlineLevel="0" collapsed="false">
      <c r="A69" s="0" t="n">
        <v>1</v>
      </c>
      <c r="B69" s="43" t="n">
        <f aca="false">+YEAR(C69)</f>
        <v>2005</v>
      </c>
      <c r="C69" s="474" t="n">
        <f aca="false">+CURVELOAD!A74</f>
        <v>38626</v>
      </c>
      <c r="D69" s="479" t="n">
        <f aca="false">+IF($E$2&gt;0,$E$2,CURVELOAD!B74)</f>
        <v>0.071621359845503</v>
      </c>
      <c r="E69" s="480" t="n">
        <f aca="true">+IF(C69&lt;TODAY(),1,1/(1+D69/2)^((C70-TODAY())/182.625))</f>
        <v>1</v>
      </c>
      <c r="F69" s="481" t="n">
        <f aca="false">+CURVELOAD!C74+CURVELOAD!E74+CURVELOAD!F74</f>
        <v>3.109</v>
      </c>
      <c r="G69" s="478"/>
      <c r="H69" s="478"/>
      <c r="I69" s="478"/>
      <c r="J69" s="478"/>
    </row>
    <row r="70" customFormat="false" ht="12.75" hidden="false" customHeight="false" outlineLevel="0" collapsed="false">
      <c r="A70" s="0" t="n">
        <v>1</v>
      </c>
      <c r="B70" s="43" t="n">
        <f aca="false">+YEAR(C70)</f>
        <v>2005</v>
      </c>
      <c r="C70" s="474" t="n">
        <f aca="false">+CURVELOAD!A75</f>
        <v>38657</v>
      </c>
      <c r="D70" s="479" t="n">
        <f aca="false">+IF($E$2&gt;0,$E$2,CURVELOAD!B75)</f>
        <v>0.071659223842239</v>
      </c>
      <c r="E70" s="480" t="n">
        <f aca="true">+IF(C70&lt;TODAY(),1,1/(1+D70/2)^((C71-TODAY())/182.625))</f>
        <v>1</v>
      </c>
      <c r="F70" s="481" t="n">
        <f aca="false">+CURVELOAD!C75+CURVELOAD!E75+CURVELOAD!F75</f>
        <v>3.208</v>
      </c>
      <c r="G70" s="478"/>
      <c r="H70" s="478"/>
      <c r="I70" s="478"/>
      <c r="J70" s="478"/>
    </row>
    <row r="71" customFormat="false" ht="12.75" hidden="false" customHeight="false" outlineLevel="0" collapsed="false">
      <c r="A71" s="0" t="n">
        <v>1</v>
      </c>
      <c r="B71" s="43" t="n">
        <f aca="false">+YEAR(C71)</f>
        <v>2005</v>
      </c>
      <c r="C71" s="474" t="n">
        <f aca="false">+CURVELOAD!A76</f>
        <v>38687</v>
      </c>
      <c r="D71" s="479" t="n">
        <f aca="false">+IF($E$2&gt;0,$E$2,CURVELOAD!B76)</f>
        <v>0.071695866420177</v>
      </c>
      <c r="E71" s="480" t="n">
        <f aca="true">+IF(C71&lt;TODAY(),1,1/(1+D71/2)^((C72-TODAY())/182.625))</f>
        <v>1</v>
      </c>
      <c r="F71" s="481" t="n">
        <f aca="false">+CURVELOAD!C76+CURVELOAD!E76+CURVELOAD!F76</f>
        <v>3.307</v>
      </c>
      <c r="G71" s="478"/>
      <c r="H71" s="478"/>
      <c r="I71" s="478"/>
      <c r="J71" s="478"/>
    </row>
    <row r="72" customFormat="false" ht="12.75" hidden="false" customHeight="false" outlineLevel="0" collapsed="false">
      <c r="A72" s="0" t="n">
        <v>1</v>
      </c>
      <c r="B72" s="43" t="n">
        <f aca="false">+YEAR(C72)</f>
        <v>2006</v>
      </c>
      <c r="C72" s="474" t="n">
        <f aca="false">+CURVELOAD!A77</f>
        <v>38718</v>
      </c>
      <c r="D72" s="479" t="n">
        <f aca="false">+IF($E$2&gt;0,$E$2,CURVELOAD!B77)</f>
        <v>0.071733730417844</v>
      </c>
      <c r="E72" s="480" t="n">
        <f aca="true">+IF(C72&lt;TODAY(),1,1/(1+D72/2)^((C73-TODAY())/182.625))</f>
        <v>1</v>
      </c>
      <c r="F72" s="481" t="n">
        <f aca="false">+CURVELOAD!C77+CURVELOAD!E77+CURVELOAD!F77</f>
        <v>3.431</v>
      </c>
      <c r="G72" s="478"/>
      <c r="H72" s="478"/>
      <c r="I72" s="478"/>
      <c r="J72" s="478"/>
    </row>
    <row r="73" customFormat="false" ht="12.75" hidden="false" customHeight="false" outlineLevel="0" collapsed="false">
      <c r="A73" s="0" t="n">
        <v>1</v>
      </c>
      <c r="B73" s="43" t="n">
        <f aca="false">+YEAR(C73)</f>
        <v>2006</v>
      </c>
      <c r="C73" s="474" t="n">
        <f aca="false">+CURVELOAD!A78</f>
        <v>38749</v>
      </c>
      <c r="D73" s="479" t="n">
        <f aca="false">+IF($E$2&gt;0,$E$2,CURVELOAD!B78)</f>
        <v>0.071771594415986</v>
      </c>
      <c r="E73" s="480" t="n">
        <f aca="true">+IF(C73&lt;TODAY(),1,1/(1+D73/2)^((C74-TODAY())/182.625))</f>
        <v>1</v>
      </c>
      <c r="F73" s="481" t="n">
        <f aca="false">+CURVELOAD!C78+CURVELOAD!E78+CURVELOAD!F78</f>
        <v>3.313</v>
      </c>
      <c r="G73" s="478"/>
      <c r="H73" s="478"/>
      <c r="I73" s="478"/>
      <c r="J73" s="478"/>
    </row>
    <row r="74" customFormat="false" ht="12.75" hidden="false" customHeight="false" outlineLevel="0" collapsed="false">
      <c r="A74" s="0" t="n">
        <v>1</v>
      </c>
      <c r="B74" s="43" t="n">
        <f aca="false">+YEAR(C74)</f>
        <v>2006</v>
      </c>
      <c r="C74" s="474" t="n">
        <f aca="false">+CURVELOAD!A79</f>
        <v>38777</v>
      </c>
      <c r="D74" s="479" t="n">
        <f aca="false">+IF($E$2&gt;0,$E$2,CURVELOAD!B79)</f>
        <v>0.07180579415665</v>
      </c>
      <c r="E74" s="480" t="n">
        <f aca="true">+IF(C74&lt;TODAY(),1,1/(1+D74/2)^((C75-TODAY())/182.625))</f>
        <v>1</v>
      </c>
      <c r="F74" s="481" t="n">
        <f aca="false">+CURVELOAD!C79+CURVELOAD!E79+CURVELOAD!F79</f>
        <v>3.182</v>
      </c>
      <c r="G74" s="478"/>
      <c r="H74" s="478"/>
      <c r="I74" s="478"/>
      <c r="J74" s="478"/>
    </row>
    <row r="75" customFormat="false" ht="12.75" hidden="false" customHeight="false" outlineLevel="0" collapsed="false">
      <c r="A75" s="0" t="n">
        <v>1</v>
      </c>
      <c r="B75" s="43" t="n">
        <f aca="false">+YEAR(C75)</f>
        <v>2006</v>
      </c>
      <c r="C75" s="474" t="n">
        <f aca="false">+CURVELOAD!A80</f>
        <v>38808</v>
      </c>
      <c r="D75" s="479" t="n">
        <f aca="false">+IF($E$2&gt;0,$E$2,CURVELOAD!B80)</f>
        <v>0.071843658155693</v>
      </c>
      <c r="E75" s="480" t="n">
        <f aca="true">+IF(C75&lt;TODAY(),1,1/(1+D75/2)^((C76-TODAY())/182.625))</f>
        <v>1</v>
      </c>
      <c r="F75" s="481" t="n">
        <f aca="false">+CURVELOAD!C80+CURVELOAD!E80+CURVELOAD!F80</f>
        <v>3.051</v>
      </c>
      <c r="G75" s="478"/>
      <c r="H75" s="478"/>
      <c r="I75" s="478"/>
      <c r="J75" s="478"/>
    </row>
    <row r="76" customFormat="false" ht="12.75" hidden="false" customHeight="false" outlineLevel="0" collapsed="false">
      <c r="A76" s="0" t="n">
        <v>1</v>
      </c>
      <c r="B76" s="43" t="n">
        <f aca="false">+YEAR(C76)</f>
        <v>2006</v>
      </c>
      <c r="C76" s="474" t="n">
        <f aca="false">+CURVELOAD!A81</f>
        <v>38838</v>
      </c>
      <c r="D76" s="479" t="n">
        <f aca="false">+IF($E$2&gt;0,$E$2,CURVELOAD!B81)</f>
        <v>0.071880300735863</v>
      </c>
      <c r="E76" s="480" t="n">
        <f aca="true">+IF(C76&lt;TODAY(),1,1/(1+D76/2)^((C77-TODAY())/182.625))</f>
        <v>1</v>
      </c>
      <c r="F76" s="481" t="n">
        <f aca="false">+CURVELOAD!C81+CURVELOAD!E81+CURVELOAD!F81</f>
        <v>3.039</v>
      </c>
      <c r="G76" s="478"/>
      <c r="H76" s="478"/>
      <c r="I76" s="478"/>
      <c r="J76" s="478"/>
    </row>
    <row r="77" customFormat="false" ht="12.75" hidden="false" customHeight="false" outlineLevel="0" collapsed="false">
      <c r="A77" s="0" t="n">
        <v>1</v>
      </c>
      <c r="B77" s="43" t="n">
        <f aca="false">+YEAR(C77)</f>
        <v>2006</v>
      </c>
      <c r="C77" s="474" t="n">
        <f aca="false">+CURVELOAD!A82</f>
        <v>38869</v>
      </c>
      <c r="D77" s="479" t="n">
        <f aca="false">+IF($E$2&gt;0,$E$2,CURVELOAD!B82)</f>
        <v>0.071918164735838</v>
      </c>
      <c r="E77" s="480" t="n">
        <f aca="true">+IF(C77&lt;TODAY(),1,1/(1+D77/2)^((C78-TODAY())/182.625))</f>
        <v>1</v>
      </c>
      <c r="F77" s="481" t="n">
        <f aca="false">+CURVELOAD!C82+CURVELOAD!E82+CURVELOAD!F82</f>
        <v>3.072</v>
      </c>
      <c r="G77" s="478"/>
      <c r="H77" s="478"/>
      <c r="I77" s="478"/>
      <c r="J77" s="478"/>
    </row>
    <row r="78" customFormat="false" ht="12.75" hidden="false" customHeight="false" outlineLevel="0" collapsed="false">
      <c r="A78" s="0" t="n">
        <v>1</v>
      </c>
      <c r="B78" s="43" t="n">
        <f aca="false">+YEAR(C78)</f>
        <v>2006</v>
      </c>
      <c r="C78" s="474" t="n">
        <f aca="false">+CURVELOAD!A83</f>
        <v>38899</v>
      </c>
      <c r="D78" s="479" t="n">
        <f aca="false">+IF($E$2&gt;0,$E$2,CURVELOAD!B83)</f>
        <v>0.07195480731691</v>
      </c>
      <c r="E78" s="480" t="n">
        <f aca="true">+IF(C78&lt;TODAY(),1,1/(1+D78/2)^((C79-TODAY())/182.625))</f>
        <v>1</v>
      </c>
      <c r="F78" s="481" t="n">
        <f aca="false">+CURVELOAD!C83+CURVELOAD!E83+CURVELOAD!F83</f>
        <v>3.072</v>
      </c>
      <c r="G78" s="478"/>
      <c r="H78" s="478"/>
      <c r="I78" s="478"/>
      <c r="J78" s="478"/>
    </row>
    <row r="79" customFormat="false" ht="12.75" hidden="false" customHeight="false" outlineLevel="0" collapsed="false">
      <c r="A79" s="0" t="n">
        <v>1</v>
      </c>
      <c r="B79" s="43" t="n">
        <f aca="false">+YEAR(C79)</f>
        <v>2006</v>
      </c>
      <c r="C79" s="474" t="n">
        <f aca="false">+CURVELOAD!A84</f>
        <v>38930</v>
      </c>
      <c r="D79" s="479" t="n">
        <f aca="false">+IF($E$2&gt;0,$E$2,CURVELOAD!B84)</f>
        <v>0.071992671317817</v>
      </c>
      <c r="E79" s="480" t="n">
        <f aca="true">+IF(C79&lt;TODAY(),1,1/(1+D79/2)^((C80-TODAY())/182.625))</f>
        <v>1</v>
      </c>
      <c r="F79" s="481" t="n">
        <f aca="false">+CURVELOAD!C84+CURVELOAD!E84+CURVELOAD!F84</f>
        <v>3.132</v>
      </c>
      <c r="G79" s="478"/>
      <c r="H79" s="478"/>
      <c r="I79" s="478"/>
      <c r="J79" s="478"/>
    </row>
    <row r="80" customFormat="false" ht="12.75" hidden="false" customHeight="false" outlineLevel="0" collapsed="false">
      <c r="A80" s="0" t="n">
        <v>1</v>
      </c>
      <c r="B80" s="43" t="n">
        <f aca="false">+YEAR(C80)</f>
        <v>2006</v>
      </c>
      <c r="C80" s="474" t="n">
        <f aca="false">+CURVELOAD!A85</f>
        <v>38961</v>
      </c>
      <c r="D80" s="479" t="n">
        <f aca="false">+IF($E$2&gt;0,$E$2,CURVELOAD!B85)</f>
        <v>0.072030535319198</v>
      </c>
      <c r="E80" s="480" t="n">
        <f aca="true">+IF(C80&lt;TODAY(),1,1/(1+D80/2)^((C81-TODAY())/182.625))</f>
        <v>1</v>
      </c>
      <c r="F80" s="481" t="n">
        <f aca="false">+CURVELOAD!C85+CURVELOAD!E85+CURVELOAD!F85</f>
        <v>3.119</v>
      </c>
      <c r="G80" s="478"/>
      <c r="H80" s="478"/>
      <c r="I80" s="478"/>
      <c r="J80" s="478"/>
    </row>
    <row r="81" customFormat="false" ht="12.75" hidden="false" customHeight="false" outlineLevel="0" collapsed="false">
      <c r="A81" s="0" t="n">
        <v>1</v>
      </c>
      <c r="B81" s="43" t="n">
        <f aca="false">+YEAR(C81)</f>
        <v>2006</v>
      </c>
      <c r="C81" s="474" t="n">
        <f aca="false">+CURVELOAD!A86</f>
        <v>38991</v>
      </c>
      <c r="D81" s="479" t="n">
        <f aca="false">+IF($E$2&gt;0,$E$2,CURVELOAD!B86)</f>
        <v>0.07206717790163</v>
      </c>
      <c r="E81" s="480" t="n">
        <f aca="true">+IF(C81&lt;TODAY(),1,1/(1+D81/2)^((C82-TODAY())/182.625))</f>
        <v>1</v>
      </c>
      <c r="F81" s="481" t="n">
        <f aca="false">+CURVELOAD!C86+CURVELOAD!E86+CURVELOAD!F86</f>
        <v>3.136</v>
      </c>
      <c r="G81" s="478"/>
      <c r="H81" s="478"/>
      <c r="I81" s="478"/>
      <c r="J81" s="478"/>
    </row>
    <row r="82" customFormat="false" ht="12.75" hidden="false" customHeight="false" outlineLevel="0" collapsed="false">
      <c r="A82" s="0" t="n">
        <v>1</v>
      </c>
      <c r="B82" s="43" t="n">
        <f aca="false">+YEAR(C82)</f>
        <v>2006</v>
      </c>
      <c r="C82" s="474" t="n">
        <f aca="false">+CURVELOAD!A87</f>
        <v>39022</v>
      </c>
      <c r="D82" s="479" t="n">
        <f aca="false">+IF($E$2&gt;0,$E$2,CURVELOAD!B87)</f>
        <v>0.072105041903943</v>
      </c>
      <c r="E82" s="480" t="n">
        <f aca="true">+IF(C82&lt;TODAY(),1,1/(1+D82/2)^((C83-TODAY())/182.625))</f>
        <v>1</v>
      </c>
      <c r="F82" s="481" t="n">
        <f aca="false">+CURVELOAD!C87+CURVELOAD!E87+CURVELOAD!F87</f>
        <v>3.23</v>
      </c>
      <c r="G82" s="478"/>
      <c r="H82" s="478"/>
      <c r="I82" s="478"/>
      <c r="J82" s="478"/>
    </row>
    <row r="83" customFormat="false" ht="12.75" hidden="false" customHeight="false" outlineLevel="0" collapsed="false">
      <c r="A83" s="0" t="n">
        <v>1</v>
      </c>
      <c r="B83" s="43" t="n">
        <f aca="false">+YEAR(C83)</f>
        <v>2006</v>
      </c>
      <c r="C83" s="474" t="n">
        <f aca="false">+CURVELOAD!A88</f>
        <v>39052</v>
      </c>
      <c r="D83" s="479" t="n">
        <f aca="false">+IF($E$2&gt;0,$E$2,CURVELOAD!B88)</f>
        <v>0.072141684487276</v>
      </c>
      <c r="E83" s="480" t="n">
        <f aca="true">+IF(C83&lt;TODAY(),1,1/(1+D83/2)^((C84-TODAY())/182.625))</f>
        <v>1</v>
      </c>
      <c r="F83" s="481" t="n">
        <f aca="false">+CURVELOAD!C88+CURVELOAD!E88+CURVELOAD!F88</f>
        <v>3.326</v>
      </c>
      <c r="G83" s="478"/>
      <c r="H83" s="478"/>
      <c r="I83" s="478"/>
      <c r="J83" s="478"/>
    </row>
    <row r="84" customFormat="false" ht="12.75" hidden="false" customHeight="false" outlineLevel="0" collapsed="false">
      <c r="A84" s="0" t="n">
        <v>1</v>
      </c>
      <c r="B84" s="43" t="n">
        <f aca="false">+YEAR(C84)</f>
        <v>2007</v>
      </c>
      <c r="C84" s="474" t="n">
        <f aca="false">+CURVELOAD!A89</f>
        <v>39083</v>
      </c>
      <c r="D84" s="479" t="n">
        <f aca="false">+IF($E$2&gt;0,$E$2,CURVELOAD!B89)</f>
        <v>0.072179548490521</v>
      </c>
      <c r="E84" s="480" t="n">
        <f aca="true">+IF(C84&lt;TODAY(),1,1/(1+D84/2)^((C85-TODAY())/182.625))</f>
        <v>1</v>
      </c>
      <c r="F84" s="481" t="n">
        <f aca="false">+CURVELOAD!C89+CURVELOAD!E89+CURVELOAD!F89</f>
        <v>3.463</v>
      </c>
      <c r="G84" s="478"/>
      <c r="H84" s="478"/>
      <c r="I84" s="478"/>
      <c r="J84" s="478"/>
    </row>
    <row r="85" customFormat="false" ht="12.75" hidden="false" customHeight="false" outlineLevel="0" collapsed="false">
      <c r="A85" s="0" t="n">
        <v>1</v>
      </c>
      <c r="B85" s="43" t="n">
        <f aca="false">+YEAR(C85)</f>
        <v>2007</v>
      </c>
      <c r="C85" s="474" t="n">
        <f aca="false">+CURVELOAD!A90</f>
        <v>39114</v>
      </c>
      <c r="D85" s="479" t="n">
        <f aca="false">+IF($E$2&gt;0,$E$2,CURVELOAD!B90)</f>
        <v>0.072217412494239</v>
      </c>
      <c r="E85" s="480" t="n">
        <f aca="true">+IF(C85&lt;TODAY(),1,1/(1+D85/2)^((C86-TODAY())/182.625))</f>
        <v>1</v>
      </c>
      <c r="F85" s="481" t="n">
        <f aca="false">+CURVELOAD!C90+CURVELOAD!E90+CURVELOAD!F90</f>
        <v>3.349</v>
      </c>
      <c r="G85" s="478"/>
      <c r="H85" s="478"/>
      <c r="I85" s="478"/>
      <c r="J85" s="478"/>
    </row>
    <row r="86" customFormat="false" ht="12.75" hidden="false" customHeight="false" outlineLevel="0" collapsed="false">
      <c r="A86" s="0" t="n">
        <v>1</v>
      </c>
      <c r="B86" s="43" t="n">
        <f aca="false">+YEAR(C86)</f>
        <v>2007</v>
      </c>
      <c r="C86" s="474" t="n">
        <f aca="false">+CURVELOAD!A91</f>
        <v>39142</v>
      </c>
      <c r="D86" s="479" t="n">
        <f aca="false">+IF($E$2&gt;0,$E$2,CURVELOAD!B91)</f>
        <v>0.07225161223994</v>
      </c>
      <c r="E86" s="480" t="n">
        <f aca="true">+IF(C86&lt;TODAY(),1,1/(1+D86/2)^((C87-TODAY())/182.625))</f>
        <v>1</v>
      </c>
      <c r="F86" s="481" t="n">
        <f aca="false">+CURVELOAD!C91+CURVELOAD!E91+CURVELOAD!F91</f>
        <v>3.221</v>
      </c>
      <c r="G86" s="478"/>
      <c r="H86" s="478"/>
      <c r="I86" s="478"/>
      <c r="J86" s="478"/>
    </row>
    <row r="87" customFormat="false" ht="12.75" hidden="false" customHeight="false" outlineLevel="0" collapsed="false">
      <c r="A87" s="0" t="n">
        <v>1</v>
      </c>
      <c r="B87" s="43" t="n">
        <f aca="false">+YEAR(C87)</f>
        <v>2007</v>
      </c>
      <c r="C87" s="474" t="n">
        <f aca="false">+CURVELOAD!A92</f>
        <v>39173</v>
      </c>
      <c r="D87" s="479" t="n">
        <f aca="false">+IF($E$2&gt;0,$E$2,CURVELOAD!B92)</f>
        <v>0.072289476244559</v>
      </c>
      <c r="E87" s="480" t="n">
        <f aca="true">+IF(C87&lt;TODAY(),1,1/(1+D87/2)^((C88-TODAY())/182.625))</f>
        <v>1</v>
      </c>
      <c r="F87" s="481" t="n">
        <f aca="false">+CURVELOAD!C92+CURVELOAD!E92+CURVELOAD!F92</f>
        <v>3.093</v>
      </c>
      <c r="G87" s="478"/>
      <c r="H87" s="478"/>
      <c r="I87" s="478"/>
      <c r="J87" s="478"/>
    </row>
    <row r="88" customFormat="false" ht="12.75" hidden="false" customHeight="false" outlineLevel="0" collapsed="false">
      <c r="A88" s="0" t="n">
        <v>1</v>
      </c>
      <c r="B88" s="43" t="n">
        <f aca="false">+YEAR(C88)</f>
        <v>2007</v>
      </c>
      <c r="C88" s="474" t="n">
        <f aca="false">+CURVELOAD!A93</f>
        <v>39203</v>
      </c>
      <c r="D88" s="479" t="n">
        <f aca="false">+IF($E$2&gt;0,$E$2,CURVELOAD!B93)</f>
        <v>0.072326118830125</v>
      </c>
      <c r="E88" s="480" t="n">
        <f aca="true">+IF(C88&lt;TODAY(),1,1/(1+D88/2)^((C89-TODAY())/182.625))</f>
        <v>1</v>
      </c>
      <c r="F88" s="481" t="n">
        <f aca="false">+CURVELOAD!C93+CURVELOAD!E93+CURVELOAD!F93</f>
        <v>3.082</v>
      </c>
      <c r="G88" s="478"/>
      <c r="H88" s="478"/>
      <c r="I88" s="478"/>
      <c r="J88" s="478"/>
    </row>
    <row r="89" customFormat="false" ht="12.75" hidden="false" customHeight="false" outlineLevel="0" collapsed="false">
      <c r="A89" s="0" t="n">
        <v>1</v>
      </c>
      <c r="B89" s="43" t="n">
        <f aca="false">+YEAR(C89)</f>
        <v>2007</v>
      </c>
      <c r="C89" s="474" t="n">
        <f aca="false">+CURVELOAD!A94</f>
        <v>39234</v>
      </c>
      <c r="D89" s="479" t="n">
        <f aca="false">+IF($E$2&gt;0,$E$2,CURVELOAD!B94)</f>
        <v>0.072363982835676</v>
      </c>
      <c r="E89" s="480" t="n">
        <f aca="true">+IF(C89&lt;TODAY(),1,1/(1+D89/2)^((C90-TODAY())/182.625))</f>
        <v>1</v>
      </c>
      <c r="F89" s="481" t="n">
        <f aca="false">+CURVELOAD!C94+CURVELOAD!E94+CURVELOAD!F94</f>
        <v>3.116</v>
      </c>
      <c r="G89" s="478"/>
      <c r="H89" s="478"/>
      <c r="I89" s="478"/>
      <c r="J89" s="478"/>
    </row>
    <row r="90" customFormat="false" ht="12.75" hidden="false" customHeight="false" outlineLevel="0" collapsed="false">
      <c r="A90" s="0" t="n">
        <v>1</v>
      </c>
      <c r="B90" s="43" t="n">
        <f aca="false">+YEAR(C90)</f>
        <v>2007</v>
      </c>
      <c r="C90" s="474" t="n">
        <f aca="false">+CURVELOAD!A95</f>
        <v>39264</v>
      </c>
      <c r="D90" s="479" t="n">
        <f aca="false">+IF($E$2&gt;0,$E$2,CURVELOAD!B95)</f>
        <v>0.072400625422144</v>
      </c>
      <c r="E90" s="480" t="n">
        <f aca="true">+IF(C90&lt;TODAY(),1,1/(1+D90/2)^((C91-TODAY())/182.625))</f>
        <v>1</v>
      </c>
      <c r="F90" s="481" t="n">
        <f aca="false">+CURVELOAD!C95+CURVELOAD!E95+CURVELOAD!F95</f>
        <v>3.116</v>
      </c>
      <c r="G90" s="478"/>
      <c r="H90" s="478"/>
      <c r="I90" s="478"/>
      <c r="J90" s="478"/>
    </row>
    <row r="91" customFormat="false" ht="12.75" hidden="false" customHeight="false" outlineLevel="0" collapsed="false">
      <c r="A91" s="0" t="n">
        <v>1</v>
      </c>
      <c r="B91" s="43" t="n">
        <f aca="false">+YEAR(C91)</f>
        <v>2007</v>
      </c>
      <c r="C91" s="474" t="n">
        <f aca="false">+CURVELOAD!A96</f>
        <v>39295</v>
      </c>
      <c r="D91" s="479" t="n">
        <f aca="false">+IF($E$2&gt;0,$E$2,CURVELOAD!B96)</f>
        <v>0.072430391560767</v>
      </c>
      <c r="E91" s="480" t="n">
        <f aca="true">+IF(C91&lt;TODAY(),1,1/(1+D91/2)^((C92-TODAY())/182.625))</f>
        <v>1</v>
      </c>
      <c r="F91" s="481" t="n">
        <f aca="false">+CURVELOAD!C96+CURVELOAD!E96+CURVELOAD!F96</f>
        <v>3.176</v>
      </c>
      <c r="G91" s="478"/>
      <c r="H91" s="478"/>
      <c r="I91" s="478"/>
      <c r="J91" s="478"/>
    </row>
    <row r="92" customFormat="false" ht="12.75" hidden="false" customHeight="false" outlineLevel="0" collapsed="false">
      <c r="A92" s="0" t="n">
        <v>1</v>
      </c>
      <c r="B92" s="43" t="n">
        <f aca="false">+YEAR(C92)</f>
        <v>2007</v>
      </c>
      <c r="C92" s="474" t="n">
        <f aca="false">+CURVELOAD!A97</f>
        <v>39326</v>
      </c>
      <c r="D92" s="479" t="n">
        <f aca="false">+IF($E$2&gt;0,$E$2,CURVELOAD!B97)</f>
        <v>0.072426416583505</v>
      </c>
      <c r="E92" s="480" t="n">
        <f aca="true">+IF(C92&lt;TODAY(),1,1/(1+D92/2)^((C93-TODAY())/182.625))</f>
        <v>1</v>
      </c>
      <c r="F92" s="481" t="n">
        <f aca="false">+CURVELOAD!C97+CURVELOAD!E97+CURVELOAD!F97</f>
        <v>3.162</v>
      </c>
      <c r="G92" s="478"/>
      <c r="H92" s="478"/>
      <c r="I92" s="478"/>
      <c r="J92" s="478"/>
    </row>
    <row r="93" customFormat="false" ht="12.75" hidden="false" customHeight="false" outlineLevel="0" collapsed="false">
      <c r="A93" s="0" t="n">
        <v>1</v>
      </c>
      <c r="B93" s="43" t="n">
        <f aca="false">+YEAR(C93)</f>
        <v>2007</v>
      </c>
      <c r="C93" s="474" t="n">
        <f aca="false">+CURVELOAD!A98</f>
        <v>39356</v>
      </c>
      <c r="D93" s="479" t="n">
        <f aca="false">+IF($E$2&gt;0,$E$2,CURVELOAD!B98)</f>
        <v>0.07242256983132</v>
      </c>
      <c r="E93" s="480" t="n">
        <f aca="true">+IF(C93&lt;TODAY(),1,1/(1+D93/2)^((C94-TODAY())/182.625))</f>
        <v>1</v>
      </c>
      <c r="F93" s="481" t="n">
        <f aca="false">+CURVELOAD!C98+CURVELOAD!E98+CURVELOAD!F98</f>
        <v>3.178</v>
      </c>
      <c r="G93" s="478"/>
      <c r="H93" s="478"/>
      <c r="I93" s="478"/>
      <c r="J93" s="478"/>
    </row>
    <row r="94" customFormat="false" ht="12.75" hidden="false" customHeight="false" outlineLevel="0" collapsed="false">
      <c r="A94" s="0" t="n">
        <v>1</v>
      </c>
      <c r="B94" s="43" t="n">
        <f aca="false">+YEAR(C94)</f>
        <v>2007</v>
      </c>
      <c r="C94" s="474" t="n">
        <f aca="false">+CURVELOAD!A99</f>
        <v>39387</v>
      </c>
      <c r="D94" s="479" t="n">
        <f aca="false">+IF($E$2&gt;0,$E$2,CURVELOAD!B99)</f>
        <v>0.072418594854068</v>
      </c>
      <c r="E94" s="480" t="n">
        <f aca="true">+IF(C94&lt;TODAY(),1,1/(1+D94/2)^((C95-TODAY())/182.625))</f>
        <v>1</v>
      </c>
      <c r="F94" s="481" t="n">
        <f aca="false">+CURVELOAD!C99+CURVELOAD!E99+CURVELOAD!F99</f>
        <v>3.267</v>
      </c>
      <c r="G94" s="478"/>
      <c r="H94" s="478"/>
      <c r="I94" s="478"/>
      <c r="J94" s="478"/>
    </row>
    <row r="95" customFormat="false" ht="12.75" hidden="false" customHeight="false" outlineLevel="0" collapsed="false">
      <c r="A95" s="0" t="n">
        <v>1</v>
      </c>
      <c r="B95" s="43" t="n">
        <f aca="false">+YEAR(C95)</f>
        <v>2007</v>
      </c>
      <c r="C95" s="474" t="n">
        <f aca="false">+CURVELOAD!A100</f>
        <v>39417</v>
      </c>
      <c r="D95" s="479" t="n">
        <f aca="false">+IF($E$2&gt;0,$E$2,CURVELOAD!B100)</f>
        <v>0.072414748101893</v>
      </c>
      <c r="E95" s="480" t="n">
        <f aca="true">+IF(C95&lt;TODAY(),1,1/(1+D95/2)^((C96-TODAY())/182.625))</f>
        <v>1</v>
      </c>
      <c r="F95" s="481" t="n">
        <f aca="false">+CURVELOAD!C100+CURVELOAD!E100+CURVELOAD!F100</f>
        <v>3.36</v>
      </c>
      <c r="G95" s="478"/>
      <c r="H95" s="478"/>
      <c r="I95" s="478"/>
      <c r="J95" s="478"/>
    </row>
    <row r="96" customFormat="false" ht="12.75" hidden="false" customHeight="false" outlineLevel="0" collapsed="false">
      <c r="A96" s="0" t="n">
        <v>1</v>
      </c>
      <c r="B96" s="43" t="n">
        <f aca="false">+YEAR(C96)</f>
        <v>2008</v>
      </c>
      <c r="C96" s="474" t="n">
        <f aca="false">+CURVELOAD!A101</f>
        <v>39448</v>
      </c>
      <c r="D96" s="479" t="n">
        <f aca="false">+IF($E$2&gt;0,$E$2,CURVELOAD!B101)</f>
        <v>0.072410773124651</v>
      </c>
      <c r="E96" s="480" t="n">
        <f aca="true">+IF(C96&lt;TODAY(),1,1/(1+D96/2)^((C97-TODAY())/182.625))</f>
        <v>1</v>
      </c>
      <c r="F96" s="481" t="n">
        <f aca="false">+CURVELOAD!C101+CURVELOAD!E101+CURVELOAD!F101</f>
        <v>3.505</v>
      </c>
      <c r="G96" s="478"/>
      <c r="H96" s="478"/>
      <c r="I96" s="478"/>
      <c r="J96" s="478"/>
    </row>
    <row r="97" customFormat="false" ht="12.75" hidden="false" customHeight="false" outlineLevel="0" collapsed="false">
      <c r="A97" s="0" t="n">
        <v>1</v>
      </c>
      <c r="B97" s="43" t="n">
        <f aca="false">+YEAR(C97)</f>
        <v>2008</v>
      </c>
      <c r="C97" s="474" t="n">
        <f aca="false">+CURVELOAD!A102</f>
        <v>39479</v>
      </c>
      <c r="D97" s="479" t="n">
        <f aca="false">+IF($E$2&gt;0,$E$2,CURVELOAD!B102)</f>
        <v>0.072406798147414</v>
      </c>
      <c r="E97" s="480" t="n">
        <f aca="true">+IF(C97&lt;TODAY(),1,1/(1+D97/2)^((C98-TODAY())/182.625))</f>
        <v>1</v>
      </c>
      <c r="F97" s="481" t="n">
        <f aca="false">+CURVELOAD!C102+CURVELOAD!E102+CURVELOAD!F102</f>
        <v>3.395</v>
      </c>
      <c r="G97" s="478"/>
      <c r="H97" s="478"/>
      <c r="I97" s="478"/>
      <c r="J97" s="478"/>
    </row>
    <row r="98" customFormat="false" ht="12.75" hidden="false" customHeight="false" outlineLevel="0" collapsed="false">
      <c r="A98" s="0" t="n">
        <v>1</v>
      </c>
      <c r="B98" s="43" t="n">
        <f aca="false">+YEAR(C98)</f>
        <v>2008</v>
      </c>
      <c r="C98" s="474" t="n">
        <f aca="false">+CURVELOAD!A103</f>
        <v>39508</v>
      </c>
      <c r="D98" s="479" t="n">
        <f aca="false">+IF($E$2&gt;0,$E$2,CURVELOAD!B103)</f>
        <v>0.072403079620327</v>
      </c>
      <c r="E98" s="480" t="n">
        <f aca="true">+IF(C98&lt;TODAY(),1,1/(1+D98/2)^((C99-TODAY())/182.625))</f>
        <v>1</v>
      </c>
      <c r="F98" s="481" t="n">
        <f aca="false">+CURVELOAD!C103+CURVELOAD!E103+CURVELOAD!F103</f>
        <v>3.27</v>
      </c>
      <c r="G98" s="478"/>
      <c r="H98" s="478"/>
      <c r="I98" s="478"/>
      <c r="J98" s="478"/>
    </row>
    <row r="99" customFormat="false" ht="12.75" hidden="false" customHeight="false" outlineLevel="0" collapsed="false">
      <c r="A99" s="0" t="n">
        <v>1</v>
      </c>
      <c r="B99" s="43" t="n">
        <f aca="false">+YEAR(C99)</f>
        <v>2008</v>
      </c>
      <c r="C99" s="474" t="n">
        <f aca="false">+CURVELOAD!A104</f>
        <v>39539</v>
      </c>
      <c r="D99" s="479" t="n">
        <f aca="false">+IF($E$2&gt;0,$E$2,CURVELOAD!B104)</f>
        <v>0.0723991046431</v>
      </c>
      <c r="E99" s="480" t="n">
        <f aca="true">+IF(C99&lt;TODAY(),1,1/(1+D99/2)^((C100-TODAY())/182.625))</f>
        <v>1</v>
      </c>
      <c r="F99" s="481" t="n">
        <f aca="false">+CURVELOAD!C104+CURVELOAD!E104+CURVELOAD!F104</f>
        <v>3.145</v>
      </c>
      <c r="G99" s="478"/>
      <c r="H99" s="478"/>
      <c r="I99" s="478"/>
      <c r="J99" s="478"/>
    </row>
    <row r="100" customFormat="false" ht="12.75" hidden="false" customHeight="false" outlineLevel="0" collapsed="false">
      <c r="A100" s="0" t="n">
        <v>1</v>
      </c>
      <c r="B100" s="43" t="n">
        <f aca="false">+YEAR(C100)</f>
        <v>2008</v>
      </c>
      <c r="C100" s="474" t="n">
        <f aca="false">+CURVELOAD!A105</f>
        <v>39569</v>
      </c>
      <c r="D100" s="479" t="n">
        <f aca="false">+IF($E$2&gt;0,$E$2,CURVELOAD!B105)</f>
        <v>0.07239525789095</v>
      </c>
      <c r="E100" s="480" t="n">
        <f aca="true">+IF(C100&lt;TODAY(),1,1/(1+D100/2)^((C101-TODAY())/182.625))</f>
        <v>1</v>
      </c>
      <c r="F100" s="481" t="n">
        <f aca="false">+CURVELOAD!C105+CURVELOAD!E105+CURVELOAD!F105</f>
        <v>3.135</v>
      </c>
      <c r="G100" s="478"/>
      <c r="H100" s="478"/>
      <c r="I100" s="478"/>
      <c r="J100" s="478"/>
    </row>
    <row r="101" customFormat="false" ht="12.75" hidden="false" customHeight="false" outlineLevel="0" collapsed="false">
      <c r="A101" s="0" t="n">
        <v>1</v>
      </c>
      <c r="B101" s="43" t="n">
        <f aca="false">+YEAR(C101)</f>
        <v>2008</v>
      </c>
      <c r="C101" s="474" t="n">
        <f aca="false">+CURVELOAD!A106</f>
        <v>39600</v>
      </c>
      <c r="D101" s="479" t="n">
        <f aca="false">+IF($E$2&gt;0,$E$2,CURVELOAD!B106)</f>
        <v>0.072391282913734</v>
      </c>
      <c r="E101" s="480" t="n">
        <f aca="true">+IF(C101&lt;TODAY(),1,1/(1+D101/2)^((C102-TODAY())/182.625))</f>
        <v>1</v>
      </c>
      <c r="F101" s="481" t="n">
        <f aca="false">+CURVELOAD!C106+CURVELOAD!E106+CURVELOAD!F106</f>
        <v>3.17</v>
      </c>
      <c r="G101" s="478"/>
      <c r="H101" s="478"/>
      <c r="I101" s="478"/>
      <c r="J101" s="478"/>
    </row>
    <row r="102" customFormat="false" ht="12.75" hidden="false" customHeight="false" outlineLevel="0" collapsed="false">
      <c r="A102" s="0" t="n">
        <v>1</v>
      </c>
      <c r="B102" s="43" t="n">
        <f aca="false">+YEAR(C102)</f>
        <v>2008</v>
      </c>
      <c r="C102" s="474" t="n">
        <f aca="false">+CURVELOAD!A107</f>
        <v>39630</v>
      </c>
      <c r="D102" s="479" t="n">
        <f aca="false">+IF($E$2&gt;0,$E$2,CURVELOAD!B107)</f>
        <v>0.072387436161594</v>
      </c>
      <c r="E102" s="480" t="n">
        <f aca="true">+IF(C102&lt;TODAY(),1,1/(1+D102/2)^((C103-TODAY())/182.625))</f>
        <v>1</v>
      </c>
      <c r="F102" s="481" t="n">
        <f aca="false">+CURVELOAD!C107+CURVELOAD!E107+CURVELOAD!F107</f>
        <v>3.17</v>
      </c>
      <c r="G102" s="478"/>
      <c r="H102" s="478"/>
      <c r="I102" s="478"/>
      <c r="J102" s="478"/>
    </row>
    <row r="103" customFormat="false" ht="12.75" hidden="false" customHeight="false" outlineLevel="0" collapsed="false">
      <c r="A103" s="0" t="n">
        <v>1</v>
      </c>
      <c r="B103" s="43" t="n">
        <f aca="false">+YEAR(C103)</f>
        <v>2008</v>
      </c>
      <c r="C103" s="474" t="n">
        <f aca="false">+CURVELOAD!A108</f>
        <v>39661</v>
      </c>
      <c r="D103" s="479" t="n">
        <f aca="false">+IF($E$2&gt;0,$E$2,CURVELOAD!B108)</f>
        <v>0.072383461184387</v>
      </c>
      <c r="E103" s="480" t="n">
        <f aca="true">+IF(C103&lt;TODAY(),1,1/(1+D103/2)^((C104-TODAY())/182.625))</f>
        <v>1</v>
      </c>
      <c r="F103" s="481" t="n">
        <f aca="false">+CURVELOAD!C108+CURVELOAD!E108+CURVELOAD!F108</f>
        <v>3.23</v>
      </c>
      <c r="G103" s="478"/>
      <c r="H103" s="478"/>
      <c r="I103" s="478"/>
      <c r="J103" s="478"/>
    </row>
    <row r="104" customFormat="false" ht="12.75" hidden="false" customHeight="false" outlineLevel="0" collapsed="false">
      <c r="A104" s="0" t="n">
        <v>1</v>
      </c>
      <c r="B104" s="43" t="n">
        <f aca="false">+YEAR(C104)</f>
        <v>2008</v>
      </c>
      <c r="C104" s="474" t="n">
        <f aca="false">+CURVELOAD!A109</f>
        <v>39692</v>
      </c>
      <c r="D104" s="479" t="n">
        <f aca="false">+IF($E$2&gt;0,$E$2,CURVELOAD!B109)</f>
        <v>0.072379486207187</v>
      </c>
      <c r="E104" s="480" t="n">
        <f aca="true">+IF(C104&lt;TODAY(),1,1/(1+D104/2)^((C105-TODAY())/182.625))</f>
        <v>1</v>
      </c>
      <c r="F104" s="481" t="n">
        <f aca="false">+CURVELOAD!C109+CURVELOAD!E109+CURVELOAD!F109</f>
        <v>3.215</v>
      </c>
      <c r="G104" s="478"/>
      <c r="H104" s="478"/>
      <c r="I104" s="478"/>
      <c r="J104" s="478"/>
    </row>
    <row r="105" customFormat="false" ht="12.75" hidden="false" customHeight="false" outlineLevel="0" collapsed="false">
      <c r="A105" s="0" t="n">
        <v>1</v>
      </c>
      <c r="B105" s="43" t="n">
        <f aca="false">+YEAR(C105)</f>
        <v>2008</v>
      </c>
      <c r="C105" s="474" t="n">
        <f aca="false">+CURVELOAD!A110</f>
        <v>39722</v>
      </c>
      <c r="D105" s="479" t="n">
        <f aca="false">+IF($E$2&gt;0,$E$2,CURVELOAD!B110)</f>
        <v>0.072375639455062</v>
      </c>
      <c r="E105" s="480" t="n">
        <f aca="true">+IF(C105&lt;TODAY(),1,1/(1+D105/2)^((C106-TODAY())/182.625))</f>
        <v>1</v>
      </c>
      <c r="F105" s="481" t="n">
        <f aca="false">+CURVELOAD!C110+CURVELOAD!E110+CURVELOAD!F110</f>
        <v>3.23</v>
      </c>
      <c r="G105" s="478"/>
      <c r="H105" s="478"/>
      <c r="I105" s="478"/>
      <c r="J105" s="478"/>
    </row>
    <row r="106" customFormat="false" ht="12.75" hidden="false" customHeight="false" outlineLevel="0" collapsed="false">
      <c r="A106" s="0" t="n">
        <v>1</v>
      </c>
      <c r="B106" s="43" t="n">
        <f aca="false">+YEAR(C106)</f>
        <v>2008</v>
      </c>
      <c r="C106" s="474" t="n">
        <f aca="false">+CURVELOAD!A111</f>
        <v>39753</v>
      </c>
      <c r="D106" s="479" t="n">
        <f aca="false">+IF($E$2&gt;0,$E$2,CURVELOAD!B111)</f>
        <v>0.072371664477871</v>
      </c>
      <c r="E106" s="480" t="n">
        <f aca="true">+IF(C106&lt;TODAY(),1,1/(1+D106/2)^((C107-TODAY())/182.625))</f>
        <v>1</v>
      </c>
      <c r="F106" s="481" t="n">
        <f aca="false">+CURVELOAD!C111+CURVELOAD!E111+CURVELOAD!F111</f>
        <v>3.314</v>
      </c>
      <c r="G106" s="478"/>
      <c r="H106" s="478"/>
      <c r="I106" s="478"/>
      <c r="J106" s="478"/>
    </row>
    <row r="107" customFormat="false" ht="12.75" hidden="false" customHeight="false" outlineLevel="0" collapsed="false">
      <c r="A107" s="0" t="n">
        <v>1</v>
      </c>
      <c r="B107" s="43" t="n">
        <f aca="false">+YEAR(C107)</f>
        <v>2008</v>
      </c>
      <c r="C107" s="474" t="n">
        <f aca="false">+CURVELOAD!A112</f>
        <v>39783</v>
      </c>
      <c r="D107" s="479" t="n">
        <f aca="false">+IF($E$2&gt;0,$E$2,CURVELOAD!B112)</f>
        <v>0.072367817725756</v>
      </c>
      <c r="E107" s="480" t="n">
        <f aca="true">+IF(C107&lt;TODAY(),1,1/(1+D107/2)^((C108-TODAY())/182.625))</f>
        <v>1</v>
      </c>
      <c r="F107" s="481" t="n">
        <f aca="false">+CURVELOAD!C112+CURVELOAD!E112+CURVELOAD!F112</f>
        <v>3.404</v>
      </c>
      <c r="G107" s="478"/>
      <c r="H107" s="478"/>
      <c r="I107" s="478"/>
      <c r="J107" s="478"/>
    </row>
    <row r="108" customFormat="false" ht="12.75" hidden="false" customHeight="false" outlineLevel="0" collapsed="false">
      <c r="A108" s="0" t="n">
        <v>1</v>
      </c>
      <c r="B108" s="43" t="n">
        <f aca="false">+YEAR(C108)</f>
        <v>2009</v>
      </c>
      <c r="C108" s="474" t="n">
        <f aca="false">+CURVELOAD!A113</f>
        <v>39814</v>
      </c>
      <c r="D108" s="479" t="n">
        <f aca="false">+IF($E$2&gt;0,$E$2,CURVELOAD!B113)</f>
        <v>0.072363842748576</v>
      </c>
      <c r="E108" s="480" t="n">
        <f aca="true">+IF(C108&lt;TODAY(),1,1/(1+D108/2)^((C109-TODAY())/182.625))</f>
        <v>1</v>
      </c>
      <c r="F108" s="481" t="n">
        <f aca="false">+CURVELOAD!C113+CURVELOAD!E113+CURVELOAD!F113</f>
        <v>3.557</v>
      </c>
      <c r="G108" s="478"/>
      <c r="H108" s="478"/>
      <c r="I108" s="478"/>
      <c r="J108" s="478"/>
    </row>
    <row r="109" customFormat="false" ht="12.75" hidden="false" customHeight="false" outlineLevel="0" collapsed="false">
      <c r="A109" s="0" t="n">
        <v>1</v>
      </c>
      <c r="B109" s="43" t="n">
        <f aca="false">+YEAR(C109)</f>
        <v>2009</v>
      </c>
      <c r="C109" s="474" t="n">
        <f aca="false">+CURVELOAD!A114</f>
        <v>39845</v>
      </c>
      <c r="D109" s="479" t="n">
        <f aca="false">+IF($E$2&gt;0,$E$2,CURVELOAD!B114)</f>
        <v>0.072359867771401</v>
      </c>
      <c r="E109" s="480" t="n">
        <f aca="true">+IF(C109&lt;TODAY(),1,1/(1+D109/2)^((C110-TODAY())/182.625))</f>
        <v>1</v>
      </c>
      <c r="F109" s="481" t="n">
        <f aca="false">+CURVELOAD!C114+CURVELOAD!E114+CURVELOAD!F114</f>
        <v>3.451</v>
      </c>
      <c r="G109" s="478"/>
      <c r="H109" s="478"/>
      <c r="I109" s="478"/>
      <c r="J109" s="478"/>
    </row>
    <row r="110" customFormat="false" ht="12.75" hidden="false" customHeight="false" outlineLevel="0" collapsed="false">
      <c r="A110" s="0" t="n">
        <v>1</v>
      </c>
      <c r="B110" s="43" t="n">
        <f aca="false">+YEAR(C110)</f>
        <v>2009</v>
      </c>
      <c r="C110" s="474" t="n">
        <f aca="false">+CURVELOAD!A115</f>
        <v>39873</v>
      </c>
      <c r="D110" s="479" t="n">
        <f aca="false">+IF($E$2&gt;0,$E$2,CURVELOAD!B115)</f>
        <v>0.072356277469441</v>
      </c>
      <c r="E110" s="480" t="n">
        <f aca="true">+IF(C110&lt;TODAY(),1,1/(1+D110/2)^((C111-TODAY())/182.625))</f>
        <v>1</v>
      </c>
      <c r="F110" s="481" t="n">
        <f aca="false">+CURVELOAD!C115+CURVELOAD!E115+CURVELOAD!F115</f>
        <v>3.329</v>
      </c>
      <c r="G110" s="478"/>
      <c r="H110" s="478"/>
      <c r="I110" s="478"/>
      <c r="J110" s="478"/>
    </row>
    <row r="111" customFormat="false" ht="12.75" hidden="false" customHeight="false" outlineLevel="0" collapsed="false">
      <c r="A111" s="0" t="n">
        <v>1</v>
      </c>
      <c r="B111" s="43" t="n">
        <f aca="false">+YEAR(C111)</f>
        <v>2009</v>
      </c>
      <c r="C111" s="474" t="n">
        <f aca="false">+CURVELOAD!A116</f>
        <v>39904</v>
      </c>
      <c r="D111" s="479" t="n">
        <f aca="false">+IF($E$2&gt;0,$E$2,CURVELOAD!B116)</f>
        <v>0.072352302492275</v>
      </c>
      <c r="E111" s="480" t="n">
        <f aca="true">+IF(C111&lt;TODAY(),1,1/(1+D111/2)^((C112-TODAY())/182.625))</f>
        <v>1</v>
      </c>
      <c r="F111" s="481" t="n">
        <f aca="false">+CURVELOAD!C116+CURVELOAD!E116+CURVELOAD!F116</f>
        <v>3.207</v>
      </c>
      <c r="G111" s="478"/>
      <c r="H111" s="478"/>
      <c r="I111" s="478"/>
      <c r="J111" s="478"/>
    </row>
    <row r="112" customFormat="false" ht="12.75" hidden="false" customHeight="false" outlineLevel="0" collapsed="false">
      <c r="A112" s="0" t="n">
        <v>1</v>
      </c>
      <c r="B112" s="43" t="n">
        <f aca="false">+YEAR(C112)</f>
        <v>2009</v>
      </c>
      <c r="C112" s="474" t="n">
        <f aca="false">+CURVELOAD!A117</f>
        <v>39934</v>
      </c>
      <c r="D112" s="479" t="n">
        <f aca="false">+IF($E$2&gt;0,$E$2,CURVELOAD!B117)</f>
        <v>0.072348455740185</v>
      </c>
      <c r="E112" s="480" t="n">
        <f aca="true">+IF(C112&lt;TODAY(),1,1/(1+D112/2)^((C113-TODAY())/182.625))</f>
        <v>1</v>
      </c>
      <c r="F112" s="481" t="n">
        <f aca="false">+CURVELOAD!C117+CURVELOAD!E117+CURVELOAD!F117</f>
        <v>3.198</v>
      </c>
      <c r="G112" s="478"/>
      <c r="H112" s="478"/>
      <c r="I112" s="478"/>
      <c r="J112" s="478"/>
    </row>
    <row r="113" customFormat="false" ht="12.75" hidden="false" customHeight="false" outlineLevel="0" collapsed="false">
      <c r="A113" s="0" t="n">
        <v>1</v>
      </c>
      <c r="B113" s="43" t="n">
        <f aca="false">+YEAR(C113)</f>
        <v>2009</v>
      </c>
      <c r="C113" s="474" t="n">
        <f aca="false">+CURVELOAD!A118</f>
        <v>39965</v>
      </c>
      <c r="D113" s="479" t="n">
        <f aca="false">+IF($E$2&gt;0,$E$2,CURVELOAD!B118)</f>
        <v>0.072344480763029</v>
      </c>
      <c r="E113" s="480" t="n">
        <f aca="true">+IF(C113&lt;TODAY(),1,1/(1+D113/2)^((C114-TODAY())/182.625))</f>
        <v>1</v>
      </c>
      <c r="F113" s="481" t="n">
        <f aca="false">+CURVELOAD!C118+CURVELOAD!E118+CURVELOAD!F118</f>
        <v>3.234</v>
      </c>
      <c r="G113" s="478"/>
      <c r="H113" s="478"/>
      <c r="I113" s="478"/>
      <c r="J113" s="478"/>
    </row>
    <row r="114" customFormat="false" ht="12.75" hidden="false" customHeight="false" outlineLevel="0" collapsed="false">
      <c r="A114" s="0" t="n">
        <v>1</v>
      </c>
      <c r="B114" s="43" t="n">
        <f aca="false">+YEAR(C114)</f>
        <v>2009</v>
      </c>
      <c r="C114" s="474" t="n">
        <f aca="false">+CURVELOAD!A119</f>
        <v>39995</v>
      </c>
      <c r="D114" s="479" t="n">
        <f aca="false">+IF($E$2&gt;0,$E$2,CURVELOAD!B119)</f>
        <v>0.07234063401095</v>
      </c>
      <c r="E114" s="480" t="n">
        <f aca="true">+IF(C114&lt;TODAY(),1,1/(1+D114/2)^((C115-TODAY())/182.625))</f>
        <v>1</v>
      </c>
      <c r="F114" s="481" t="n">
        <f aca="false">+CURVELOAD!C119+CURVELOAD!E119+CURVELOAD!F119</f>
        <v>3.234</v>
      </c>
      <c r="G114" s="478"/>
      <c r="H114" s="478"/>
      <c r="I114" s="478"/>
      <c r="J114" s="478"/>
    </row>
    <row r="115" customFormat="false" ht="12.75" hidden="false" customHeight="false" outlineLevel="0" collapsed="false">
      <c r="A115" s="0" t="n">
        <v>1</v>
      </c>
      <c r="B115" s="43" t="n">
        <f aca="false">+YEAR(C115)</f>
        <v>2009</v>
      </c>
      <c r="C115" s="474" t="n">
        <f aca="false">+CURVELOAD!A120</f>
        <v>40026</v>
      </c>
      <c r="D115" s="479" t="n">
        <f aca="false">+IF($E$2&gt;0,$E$2,CURVELOAD!B120)</f>
        <v>0.072336659033804</v>
      </c>
      <c r="E115" s="480" t="n">
        <f aca="true">+IF(C115&lt;TODAY(),1,1/(1+D115/2)^((C116-TODAY())/182.625))</f>
        <v>1</v>
      </c>
      <c r="F115" s="481" t="n">
        <f aca="false">+CURVELOAD!C120+CURVELOAD!E120+CURVELOAD!F120</f>
        <v>3.294</v>
      </c>
      <c r="G115" s="478"/>
      <c r="H115" s="478"/>
      <c r="I115" s="478"/>
      <c r="J115" s="478"/>
    </row>
    <row r="116" customFormat="false" ht="12.75" hidden="false" customHeight="false" outlineLevel="0" collapsed="false">
      <c r="A116" s="0" t="n">
        <v>1</v>
      </c>
      <c r="B116" s="43" t="n">
        <f aca="false">+YEAR(C116)</f>
        <v>2009</v>
      </c>
      <c r="C116" s="474" t="n">
        <f aca="false">+CURVELOAD!A121</f>
        <v>40057</v>
      </c>
      <c r="D116" s="479" t="n">
        <f aca="false">+IF($E$2&gt;0,$E$2,CURVELOAD!B121)</f>
        <v>0.072332684056665</v>
      </c>
      <c r="E116" s="480" t="n">
        <f aca="true">+IF(C116&lt;TODAY(),1,1/(1+D116/2)^((C117-TODAY())/182.625))</f>
        <v>1</v>
      </c>
      <c r="F116" s="481" t="n">
        <f aca="false">+CURVELOAD!C121+CURVELOAD!E121+CURVELOAD!F121</f>
        <v>3.278</v>
      </c>
      <c r="G116" s="478"/>
      <c r="H116" s="478"/>
      <c r="I116" s="478"/>
      <c r="J116" s="478"/>
    </row>
    <row r="117" customFormat="false" ht="12.75" hidden="false" customHeight="false" outlineLevel="0" collapsed="false">
      <c r="A117" s="0" t="n">
        <v>1</v>
      </c>
      <c r="B117" s="43" t="n">
        <f aca="false">+YEAR(C117)</f>
        <v>2009</v>
      </c>
      <c r="C117" s="474" t="n">
        <f aca="false">+CURVELOAD!A122</f>
        <v>40087</v>
      </c>
      <c r="D117" s="479" t="n">
        <f aca="false">+IF($E$2&gt;0,$E$2,CURVELOAD!B122)</f>
        <v>0.0723288373046</v>
      </c>
      <c r="E117" s="480" t="n">
        <f aca="true">+IF(C117&lt;TODAY(),1,1/(1+D117/2)^((C118-TODAY())/182.625))</f>
        <v>1</v>
      </c>
      <c r="F117" s="481" t="n">
        <f aca="false">+CURVELOAD!C122+CURVELOAD!E122+CURVELOAD!F122</f>
        <v>3.292</v>
      </c>
      <c r="G117" s="478"/>
      <c r="H117" s="478"/>
      <c r="I117" s="478"/>
      <c r="J117" s="478"/>
    </row>
    <row r="118" customFormat="false" ht="12.75" hidden="false" customHeight="false" outlineLevel="0" collapsed="false">
      <c r="A118" s="0" t="n">
        <v>1</v>
      </c>
      <c r="B118" s="43" t="n">
        <f aca="false">+YEAR(C118)</f>
        <v>2009</v>
      </c>
      <c r="C118" s="474" t="n">
        <f aca="false">+CURVELOAD!A123</f>
        <v>40118</v>
      </c>
      <c r="D118" s="479" t="n">
        <f aca="false">+IF($E$2&gt;0,$E$2,CURVELOAD!B123)</f>
        <v>0.07232486232747</v>
      </c>
      <c r="E118" s="480" t="n">
        <f aca="true">+IF(C118&lt;TODAY(),1,1/(1+D118/2)^((C119-TODAY())/182.625))</f>
        <v>1</v>
      </c>
      <c r="F118" s="481" t="n">
        <f aca="false">+CURVELOAD!C123+CURVELOAD!E123+CURVELOAD!F123</f>
        <v>3.371</v>
      </c>
      <c r="G118" s="478"/>
      <c r="H118" s="478"/>
      <c r="I118" s="478"/>
      <c r="J118" s="478"/>
    </row>
    <row r="119" customFormat="false" ht="12.75" hidden="false" customHeight="false" outlineLevel="0" collapsed="false">
      <c r="A119" s="0" t="n">
        <v>1</v>
      </c>
      <c r="B119" s="43" t="n">
        <f aca="false">+YEAR(C119)</f>
        <v>2009</v>
      </c>
      <c r="C119" s="474" t="n">
        <f aca="false">+CURVELOAD!A124</f>
        <v>40148</v>
      </c>
      <c r="D119" s="479" t="n">
        <f aca="false">+IF($E$2&gt;0,$E$2,CURVELOAD!B124)</f>
        <v>0.072321015575415</v>
      </c>
      <c r="E119" s="480" t="n">
        <f aca="true">+IF(C119&lt;TODAY(),1,1/(1+D119/2)^((C120-TODAY())/182.625))</f>
        <v>1</v>
      </c>
      <c r="F119" s="481" t="n">
        <f aca="false">+CURVELOAD!C124+CURVELOAD!E124+CURVELOAD!F124</f>
        <v>3.458</v>
      </c>
      <c r="G119" s="478"/>
      <c r="H119" s="478"/>
      <c r="I119" s="478"/>
      <c r="J119" s="478"/>
    </row>
    <row r="120" customFormat="false" ht="12.75" hidden="false" customHeight="false" outlineLevel="0" collapsed="false">
      <c r="A120" s="0" t="n">
        <v>1</v>
      </c>
      <c r="B120" s="43" t="n">
        <f aca="false">+YEAR(C120)</f>
        <v>2010</v>
      </c>
      <c r="C120" s="474" t="n">
        <f aca="false">+CURVELOAD!A125</f>
        <v>40179</v>
      </c>
      <c r="D120" s="479" t="n">
        <f aca="false">+IF($E$2&gt;0,$E$2,CURVELOAD!B125)</f>
        <v>0.072317040598296</v>
      </c>
      <c r="E120" s="480" t="n">
        <f aca="true">+IF(C120&lt;TODAY(),1,1/(1+D120/2)^((C121-TODAY())/182.625))</f>
        <v>1</v>
      </c>
      <c r="F120" s="481" t="n">
        <f aca="false">+CURVELOAD!C125+CURVELOAD!E125+CURVELOAD!F125</f>
        <v>3.619</v>
      </c>
      <c r="G120" s="478"/>
      <c r="H120" s="478"/>
      <c r="I120" s="478"/>
      <c r="J120" s="478"/>
    </row>
    <row r="121" customFormat="false" ht="12.75" hidden="false" customHeight="false" outlineLevel="0" collapsed="false">
      <c r="A121" s="0" t="n">
        <v>1</v>
      </c>
      <c r="B121" s="43" t="n">
        <f aca="false">+YEAR(C121)</f>
        <v>2010</v>
      </c>
      <c r="C121" s="474" t="n">
        <f aca="false">+CURVELOAD!A126</f>
        <v>40210</v>
      </c>
      <c r="D121" s="479" t="n">
        <f aca="false">+IF($E$2&gt;0,$E$2,CURVELOAD!B126)</f>
        <v>0.072313065621182</v>
      </c>
      <c r="E121" s="480" t="n">
        <f aca="true">+IF(C121&lt;TODAY(),1,1/(1+D121/2)^((C122-TODAY())/182.625))</f>
        <v>1</v>
      </c>
      <c r="F121" s="481" t="n">
        <f aca="false">+CURVELOAD!C126+CURVELOAD!E126+CURVELOAD!F126</f>
        <v>3.517</v>
      </c>
      <c r="G121" s="478"/>
      <c r="H121" s="478"/>
      <c r="I121" s="478"/>
      <c r="J121" s="478"/>
    </row>
    <row r="122" customFormat="false" ht="12.75" hidden="false" customHeight="false" outlineLevel="0" collapsed="false">
      <c r="A122" s="0" t="n">
        <v>1</v>
      </c>
      <c r="B122" s="43" t="n">
        <f aca="false">+YEAR(C122)</f>
        <v>2010</v>
      </c>
      <c r="C122" s="474" t="n">
        <f aca="false">+CURVELOAD!A127</f>
        <v>40238</v>
      </c>
      <c r="D122" s="479" t="n">
        <f aca="false">+IF($E$2&gt;0,$E$2,CURVELOAD!B127)</f>
        <v>0.072309475319277</v>
      </c>
      <c r="E122" s="480" t="n">
        <f aca="true">+IF(C122&lt;TODAY(),1,1/(1+D122/2)^((C123-TODAY())/182.625))</f>
        <v>1</v>
      </c>
      <c r="F122" s="481" t="n">
        <f aca="false">+CURVELOAD!C127+CURVELOAD!E127+CURVELOAD!F127</f>
        <v>3.398</v>
      </c>
      <c r="G122" s="478"/>
      <c r="H122" s="478"/>
      <c r="I122" s="478"/>
      <c r="J122" s="478"/>
    </row>
    <row r="123" customFormat="false" ht="12.75" hidden="false" customHeight="false" outlineLevel="0" collapsed="false">
      <c r="A123" s="0" t="n">
        <v>1</v>
      </c>
      <c r="B123" s="43" t="n">
        <f aca="false">+YEAR(C123)</f>
        <v>2010</v>
      </c>
      <c r="C123" s="474" t="n">
        <f aca="false">+CURVELOAD!A128</f>
        <v>40269</v>
      </c>
      <c r="D123" s="479" t="n">
        <f aca="false">+IF($E$2&gt;0,$E$2,CURVELOAD!B128)</f>
        <v>0.072305500342174</v>
      </c>
      <c r="E123" s="480" t="n">
        <f aca="true">+IF(C123&lt;TODAY(),1,1/(1+D123/2)^((C124-TODAY())/182.625))</f>
        <v>1</v>
      </c>
      <c r="F123" s="481" t="n">
        <f aca="false">+CURVELOAD!C128+CURVELOAD!E128+CURVELOAD!F128</f>
        <v>3.279</v>
      </c>
      <c r="G123" s="478"/>
      <c r="H123" s="478"/>
      <c r="I123" s="478"/>
      <c r="J123" s="478"/>
    </row>
    <row r="124" customFormat="false" ht="12.75" hidden="false" customHeight="false" outlineLevel="0" collapsed="false">
      <c r="A124" s="0" t="n">
        <v>1</v>
      </c>
      <c r="B124" s="43" t="n">
        <f aca="false">+YEAR(C124)</f>
        <v>2010</v>
      </c>
      <c r="C124" s="474" t="n">
        <f aca="false">+CURVELOAD!A129</f>
        <v>40299</v>
      </c>
      <c r="D124" s="479" t="n">
        <f aca="false">+IF($E$2&gt;0,$E$2,CURVELOAD!B129)</f>
        <v>0.072301653590143</v>
      </c>
      <c r="E124" s="480" t="n">
        <f aca="true">+IF(C124&lt;TODAY(),1,1/(1+D124/2)^((C125-TODAY())/182.625))</f>
        <v>1</v>
      </c>
      <c r="F124" s="481" t="n">
        <f aca="false">+CURVELOAD!C129+CURVELOAD!E129+CURVELOAD!F129</f>
        <v>3.271</v>
      </c>
      <c r="G124" s="478"/>
      <c r="H124" s="478"/>
      <c r="I124" s="478"/>
      <c r="J124" s="478"/>
    </row>
    <row r="125" customFormat="false" ht="12.75" hidden="false" customHeight="false" outlineLevel="0" collapsed="false">
      <c r="A125" s="0" t="n">
        <v>1</v>
      </c>
      <c r="B125" s="43" t="n">
        <f aca="false">+YEAR(C125)</f>
        <v>2010</v>
      </c>
      <c r="C125" s="474" t="n">
        <f aca="false">+CURVELOAD!A130</f>
        <v>40330</v>
      </c>
      <c r="D125" s="479" t="n">
        <f aca="false">+IF($E$2&gt;0,$E$2,CURVELOAD!B130)</f>
        <v>0.072297678613049</v>
      </c>
      <c r="E125" s="480" t="n">
        <f aca="true">+IF(C125&lt;TODAY(),1,1/(1+D125/2)^((C126-TODAY())/182.625))</f>
        <v>1</v>
      </c>
      <c r="F125" s="481" t="n">
        <f aca="false">+CURVELOAD!C130+CURVELOAD!E130+CURVELOAD!F130</f>
        <v>3.308</v>
      </c>
      <c r="G125" s="478"/>
      <c r="H125" s="478"/>
      <c r="I125" s="478"/>
      <c r="J125" s="478"/>
    </row>
    <row r="126" customFormat="false" ht="12.75" hidden="false" customHeight="false" outlineLevel="0" collapsed="false">
      <c r="A126" s="0" t="n">
        <v>1</v>
      </c>
      <c r="B126" s="43" t="n">
        <f aca="false">+YEAR(C126)</f>
        <v>2010</v>
      </c>
      <c r="C126" s="474" t="n">
        <f aca="false">+CURVELOAD!A131</f>
        <v>40360</v>
      </c>
      <c r="D126" s="479" t="n">
        <f aca="false">+IF($E$2&gt;0,$E$2,CURVELOAD!B131)</f>
        <v>0.072293831861028</v>
      </c>
      <c r="E126" s="480" t="n">
        <f aca="true">+IF(C126&lt;TODAY(),1,1/(1+D126/2)^((C127-TODAY())/182.625))</f>
        <v>1</v>
      </c>
      <c r="F126" s="481" t="n">
        <f aca="false">+CURVELOAD!C131+CURVELOAD!E131+CURVELOAD!F131</f>
        <v>3.308</v>
      </c>
      <c r="G126" s="478"/>
      <c r="H126" s="478"/>
      <c r="I126" s="478"/>
      <c r="J126" s="478"/>
    </row>
    <row r="127" customFormat="false" ht="12.75" hidden="false" customHeight="false" outlineLevel="0" collapsed="false">
      <c r="A127" s="0" t="n">
        <v>1</v>
      </c>
      <c r="B127" s="43" t="n">
        <f aca="false">+YEAR(C127)</f>
        <v>2010</v>
      </c>
      <c r="C127" s="474" t="n">
        <f aca="false">+CURVELOAD!A132</f>
        <v>40391</v>
      </c>
      <c r="D127" s="479" t="n">
        <f aca="false">+IF($E$2&gt;0,$E$2,CURVELOAD!B132)</f>
        <v>0.072290562622285</v>
      </c>
      <c r="E127" s="480" t="n">
        <f aca="true">+IF(C127&lt;TODAY(),1,1/(1+D127/2)^((C128-TODAY())/182.625))</f>
        <v>1</v>
      </c>
      <c r="F127" s="481" t="n">
        <f aca="false">+CURVELOAD!C132+CURVELOAD!E132+CURVELOAD!F132</f>
        <v>3.368</v>
      </c>
      <c r="G127" s="478"/>
      <c r="H127" s="478"/>
      <c r="I127" s="478"/>
      <c r="J127" s="478"/>
    </row>
    <row r="128" customFormat="false" ht="12.75" hidden="false" customHeight="false" outlineLevel="0" collapsed="false">
      <c r="A128" s="0" t="n">
        <v>1</v>
      </c>
      <c r="B128" s="43" t="n">
        <f aca="false">+YEAR(C128)</f>
        <v>2010</v>
      </c>
      <c r="C128" s="474" t="n">
        <f aca="false">+CURVELOAD!A133</f>
        <v>40422</v>
      </c>
      <c r="D128" s="479" t="n">
        <f aca="false">+IF($E$2&gt;0,$E$2,CURVELOAD!B133)</f>
        <v>0.072290233959959</v>
      </c>
      <c r="E128" s="480" t="n">
        <f aca="true">+IF(C128&lt;TODAY(),1,1/(1+D128/2)^((C129-TODAY())/182.625))</f>
        <v>1</v>
      </c>
      <c r="F128" s="481" t="n">
        <f aca="false">+CURVELOAD!C133+CURVELOAD!E133+CURVELOAD!F133</f>
        <v>3.351</v>
      </c>
      <c r="G128" s="478"/>
      <c r="H128" s="478"/>
      <c r="I128" s="478"/>
      <c r="J128" s="478"/>
    </row>
    <row r="129" customFormat="false" ht="12.75" hidden="false" customHeight="false" outlineLevel="0" collapsed="false">
      <c r="A129" s="0" t="n">
        <v>1</v>
      </c>
      <c r="B129" s="43" t="n">
        <f aca="false">+YEAR(C129)</f>
        <v>2010</v>
      </c>
      <c r="C129" s="474" t="n">
        <f aca="false">+CURVELOAD!A134</f>
        <v>40452</v>
      </c>
      <c r="D129" s="479" t="n">
        <f aca="false">+IF($E$2&gt;0,$E$2,CURVELOAD!B134)</f>
        <v>0.072289915899645</v>
      </c>
      <c r="E129" s="480" t="n">
        <f aca="true">+IF(C129&lt;TODAY(),1,1/(1+D129/2)^((C130-TODAY())/182.625))</f>
        <v>1</v>
      </c>
      <c r="F129" s="481" t="n">
        <f aca="false">+CURVELOAD!C134+CURVELOAD!E134+CURVELOAD!F134</f>
        <v>3.364</v>
      </c>
      <c r="G129" s="478"/>
      <c r="H129" s="478"/>
      <c r="I129" s="478"/>
      <c r="J129" s="478"/>
    </row>
    <row r="130" customFormat="false" ht="12.75" hidden="false" customHeight="false" outlineLevel="0" collapsed="false">
      <c r="A130" s="0" t="n">
        <v>1</v>
      </c>
      <c r="B130" s="43" t="n">
        <f aca="false">+YEAR(C130)</f>
        <v>2010</v>
      </c>
      <c r="C130" s="474" t="n">
        <f aca="false">+CURVELOAD!A135</f>
        <v>40483</v>
      </c>
      <c r="D130" s="479" t="n">
        <f aca="false">+IF($E$2&gt;0,$E$2,CURVELOAD!B135)</f>
        <v>0.07228958723732</v>
      </c>
      <c r="E130" s="480" t="n">
        <f aca="true">+IF(C130&lt;TODAY(),1,1/(1+D130/2)^((C131-TODAY())/182.625))</f>
        <v>1</v>
      </c>
      <c r="F130" s="481" t="n">
        <f aca="false">+CURVELOAD!C135+CURVELOAD!E135+CURVELOAD!F135</f>
        <v>3.438</v>
      </c>
      <c r="G130" s="478"/>
      <c r="H130" s="478"/>
      <c r="I130" s="478"/>
      <c r="J130" s="478"/>
    </row>
    <row r="131" customFormat="false" ht="12.75" hidden="false" customHeight="false" outlineLevel="0" collapsed="false">
      <c r="A131" s="0" t="n">
        <v>1</v>
      </c>
      <c r="B131" s="43" t="n">
        <f aca="false">+YEAR(C131)</f>
        <v>2010</v>
      </c>
      <c r="C131" s="474" t="n">
        <f aca="false">+CURVELOAD!A136</f>
        <v>40513</v>
      </c>
      <c r="D131" s="479" t="n">
        <f aca="false">+IF($E$2&gt;0,$E$2,CURVELOAD!B136)</f>
        <v>0.072289269177006</v>
      </c>
      <c r="E131" s="480" t="n">
        <f aca="true">+IF(C131&lt;TODAY(),1,1/(1+D131/2)^((C132-TODAY())/182.625))</f>
        <v>1</v>
      </c>
      <c r="F131" s="481" t="n">
        <f aca="false">+CURVELOAD!C136+CURVELOAD!E136+CURVELOAD!F136</f>
        <v>3.522</v>
      </c>
      <c r="G131" s="478"/>
      <c r="H131" s="478"/>
      <c r="I131" s="478"/>
      <c r="J131" s="478"/>
    </row>
    <row r="132" customFormat="false" ht="12.75" hidden="false" customHeight="false" outlineLevel="0" collapsed="false">
      <c r="A132" s="0" t="n">
        <v>1</v>
      </c>
      <c r="B132" s="43" t="n">
        <f aca="false">+YEAR(C132)</f>
        <v>2011</v>
      </c>
      <c r="C132" s="474" t="n">
        <f aca="false">+CURVELOAD!A137</f>
        <v>40544</v>
      </c>
      <c r="D132" s="479" t="n">
        <f aca="false">+IF($E$2&gt;0,$E$2,CURVELOAD!B137)</f>
        <v>0.072288940514681</v>
      </c>
      <c r="E132" s="480" t="n">
        <f aca="true">+IF(C132&lt;TODAY(),1,1/(1+D132/2)^((C133-TODAY())/182.625))</f>
        <v>1</v>
      </c>
      <c r="F132" s="481" t="n">
        <f aca="false">+CURVELOAD!C137+CURVELOAD!E137+CURVELOAD!F137</f>
        <v>3.691</v>
      </c>
      <c r="G132" s="478"/>
      <c r="H132" s="478"/>
      <c r="I132" s="478"/>
      <c r="J132" s="478"/>
    </row>
    <row r="133" customFormat="false" ht="12.75" hidden="false" customHeight="false" outlineLevel="0" collapsed="false">
      <c r="A133" s="0" t="n">
        <v>1</v>
      </c>
      <c r="B133" s="43" t="n">
        <f aca="false">+YEAR(C133)</f>
        <v>2011</v>
      </c>
      <c r="C133" s="474" t="n">
        <f aca="false">+CURVELOAD!A138</f>
        <v>40575</v>
      </c>
      <c r="D133" s="479" t="n">
        <f aca="false">+IF($E$2&gt;0,$E$2,CURVELOAD!B138)</f>
        <v>0.072288611852357</v>
      </c>
      <c r="E133" s="480" t="n">
        <f aca="true">+IF(C133&lt;TODAY(),1,1/(1+D133/2)^((C134-TODAY())/182.625))</f>
        <v>1</v>
      </c>
      <c r="F133" s="481" t="n">
        <f aca="false">+CURVELOAD!C138+CURVELOAD!E138+CURVELOAD!F138</f>
        <v>3.593</v>
      </c>
      <c r="G133" s="478"/>
      <c r="H133" s="478"/>
      <c r="I133" s="478"/>
      <c r="J133" s="478"/>
    </row>
    <row r="134" customFormat="false" ht="12.75" hidden="false" customHeight="false" outlineLevel="0" collapsed="false">
      <c r="A134" s="0" t="n">
        <v>1</v>
      </c>
      <c r="B134" s="43" t="n">
        <f aca="false">+YEAR(C134)</f>
        <v>2011</v>
      </c>
      <c r="C134" s="474" t="n">
        <f aca="false">+CURVELOAD!A139</f>
        <v>40603</v>
      </c>
      <c r="D134" s="479" t="n">
        <f aca="false">+IF($E$2&gt;0,$E$2,CURVELOAD!B139)</f>
        <v>0.072288314996063</v>
      </c>
      <c r="E134" s="480" t="n">
        <f aca="true">+IF(C134&lt;TODAY(),1,1/(1+D134/2)^((C135-TODAY())/182.625))</f>
        <v>1</v>
      </c>
      <c r="F134" s="481" t="n">
        <f aca="false">+CURVELOAD!C139+CURVELOAD!E139+CURVELOAD!F139</f>
        <v>3.477</v>
      </c>
      <c r="G134" s="478"/>
      <c r="H134" s="478"/>
      <c r="I134" s="478"/>
      <c r="J134" s="478"/>
    </row>
    <row r="135" customFormat="false" ht="12.75" hidden="false" customHeight="false" outlineLevel="0" collapsed="false">
      <c r="A135" s="0" t="n">
        <v>1</v>
      </c>
      <c r="B135" s="43" t="n">
        <f aca="false">+YEAR(C135)</f>
        <v>2011</v>
      </c>
      <c r="C135" s="474" t="n">
        <f aca="false">+CURVELOAD!A140</f>
        <v>40634</v>
      </c>
      <c r="D135" s="479" t="n">
        <f aca="false">+IF($E$2&gt;0,$E$2,CURVELOAD!B140)</f>
        <v>0.072287986333738</v>
      </c>
      <c r="E135" s="480" t="n">
        <f aca="true">+IF(C135&lt;TODAY(),1,1/(1+D135/2)^((C136-TODAY())/182.625))</f>
        <v>1</v>
      </c>
      <c r="F135" s="481" t="n">
        <f aca="false">+CURVELOAD!C140+CURVELOAD!E140+CURVELOAD!F140</f>
        <v>3.361</v>
      </c>
      <c r="G135" s="478"/>
      <c r="H135" s="478"/>
      <c r="I135" s="478"/>
      <c r="J135" s="478"/>
    </row>
    <row r="136" customFormat="false" ht="12.75" hidden="false" customHeight="false" outlineLevel="0" collapsed="false">
      <c r="A136" s="0" t="n">
        <v>1</v>
      </c>
      <c r="B136" s="43" t="n">
        <f aca="false">+YEAR(C136)</f>
        <v>2011</v>
      </c>
      <c r="C136" s="474" t="n">
        <f aca="false">+CURVELOAD!A141</f>
        <v>40664</v>
      </c>
      <c r="D136" s="479" t="n">
        <f aca="false">+IF($E$2&gt;0,$E$2,CURVELOAD!B141)</f>
        <v>0.072287668273424</v>
      </c>
      <c r="E136" s="480" t="n">
        <f aca="true">+IF(C136&lt;TODAY(),1,1/(1+D136/2)^((C137-TODAY())/182.625))</f>
        <v>1</v>
      </c>
      <c r="F136" s="481" t="n">
        <f aca="false">+CURVELOAD!C141+CURVELOAD!E141+CURVELOAD!F141</f>
        <v>3.354</v>
      </c>
      <c r="G136" s="478"/>
      <c r="H136" s="478"/>
      <c r="I136" s="478"/>
      <c r="J136" s="478"/>
    </row>
    <row r="137" customFormat="false" ht="12.75" hidden="false" customHeight="false" outlineLevel="0" collapsed="false">
      <c r="A137" s="0" t="n">
        <v>1</v>
      </c>
      <c r="B137" s="43" t="n">
        <f aca="false">+YEAR(C137)</f>
        <v>2011</v>
      </c>
      <c r="C137" s="474" t="n">
        <f aca="false">+CURVELOAD!A142</f>
        <v>40695</v>
      </c>
      <c r="D137" s="479" t="n">
        <f aca="false">+IF($E$2&gt;0,$E$2,CURVELOAD!B142)</f>
        <v>0.072287339611099</v>
      </c>
      <c r="E137" s="480" t="n">
        <f aca="true">+IF(C137&lt;TODAY(),1,1/(1+D137/2)^((C138-TODAY())/182.625))</f>
        <v>1</v>
      </c>
      <c r="F137" s="481" t="n">
        <f aca="false">+CURVELOAD!C142+CURVELOAD!E142+CURVELOAD!F142</f>
        <v>3.392</v>
      </c>
      <c r="G137" s="478"/>
      <c r="H137" s="478"/>
      <c r="I137" s="478"/>
      <c r="J137" s="478"/>
    </row>
    <row r="138" customFormat="false" ht="12.75" hidden="false" customHeight="false" outlineLevel="0" collapsed="false">
      <c r="A138" s="0" t="n">
        <v>1</v>
      </c>
      <c r="B138" s="43" t="n">
        <f aca="false">+YEAR(C138)</f>
        <v>2011</v>
      </c>
      <c r="C138" s="474" t="n">
        <f aca="false">+CURVELOAD!A143</f>
        <v>40725</v>
      </c>
      <c r="D138" s="479" t="n">
        <f aca="false">+IF($E$2&gt;0,$E$2,CURVELOAD!B143)</f>
        <v>0.072287021550785</v>
      </c>
      <c r="E138" s="480" t="n">
        <f aca="true">+IF(C138&lt;TODAY(),1,1/(1+D138/2)^((C139-TODAY())/182.625))</f>
        <v>1</v>
      </c>
      <c r="F138" s="481" t="n">
        <f aca="false">+CURVELOAD!C143+CURVELOAD!E143+CURVELOAD!F143</f>
        <v>3.392</v>
      </c>
      <c r="G138" s="478"/>
      <c r="H138" s="478"/>
      <c r="I138" s="478"/>
      <c r="J138" s="478"/>
    </row>
    <row r="139" customFormat="false" ht="12.75" hidden="false" customHeight="false" outlineLevel="0" collapsed="false">
      <c r="A139" s="0" t="n">
        <v>1</v>
      </c>
      <c r="B139" s="43" t="n">
        <f aca="false">+YEAR(C139)</f>
        <v>2011</v>
      </c>
      <c r="C139" s="474" t="n">
        <f aca="false">+CURVELOAD!A144</f>
        <v>40756</v>
      </c>
      <c r="D139" s="479" t="n">
        <f aca="false">+IF($E$2&gt;0,$E$2,CURVELOAD!B144)</f>
        <v>0.07228669288846</v>
      </c>
      <c r="E139" s="480" t="n">
        <f aca="true">+IF(C139&lt;TODAY(),1,1/(1+D139/2)^((C140-TODAY())/182.625))</f>
        <v>1</v>
      </c>
      <c r="F139" s="481" t="n">
        <f aca="false">+CURVELOAD!C144+CURVELOAD!E144+CURVELOAD!F144</f>
        <v>3.452</v>
      </c>
      <c r="G139" s="478"/>
      <c r="H139" s="478"/>
      <c r="I139" s="478"/>
      <c r="J139" s="478"/>
    </row>
    <row r="140" customFormat="false" ht="12.75" hidden="false" customHeight="false" outlineLevel="0" collapsed="false">
      <c r="A140" s="0" t="n">
        <v>1</v>
      </c>
      <c r="B140" s="43" t="n">
        <f aca="false">+YEAR(C140)</f>
        <v>2011</v>
      </c>
      <c r="C140" s="474" t="n">
        <f aca="false">+CURVELOAD!A145</f>
        <v>40787</v>
      </c>
      <c r="D140" s="479" t="n">
        <f aca="false">+IF($E$2&gt;0,$E$2,CURVELOAD!B145)</f>
        <v>0.072286364226136</v>
      </c>
      <c r="E140" s="480" t="n">
        <f aca="true">+IF(C140&lt;TODAY(),1,1/(1+D140/2)^((C141-TODAY())/182.625))</f>
        <v>1</v>
      </c>
      <c r="F140" s="481" t="n">
        <f aca="false">+CURVELOAD!C145+CURVELOAD!E145+CURVELOAD!F145</f>
        <v>3.434</v>
      </c>
      <c r="G140" s="478"/>
      <c r="H140" s="478"/>
      <c r="I140" s="478"/>
      <c r="J140" s="478"/>
    </row>
    <row r="141" customFormat="false" ht="12.75" hidden="false" customHeight="false" outlineLevel="0" collapsed="false">
      <c r="A141" s="0" t="n">
        <v>1</v>
      </c>
      <c r="B141" s="43" t="n">
        <f aca="false">+YEAR(C141)</f>
        <v>2011</v>
      </c>
      <c r="C141" s="474" t="n">
        <f aca="false">+CURVELOAD!A146</f>
        <v>40817</v>
      </c>
      <c r="D141" s="479" t="n">
        <f aca="false">+IF($E$2&gt;0,$E$2,CURVELOAD!B146)</f>
        <v>0.072286046165822</v>
      </c>
      <c r="E141" s="480" t="n">
        <f aca="true">+IF(C141&lt;TODAY(),1,1/(1+D141/2)^((C142-TODAY())/182.625))</f>
        <v>1</v>
      </c>
      <c r="F141" s="481" t="n">
        <f aca="false">+CURVELOAD!C146+CURVELOAD!E146+CURVELOAD!F146</f>
        <v>3.446</v>
      </c>
      <c r="G141" s="478"/>
      <c r="H141" s="478"/>
      <c r="I141" s="478"/>
      <c r="J141" s="478"/>
    </row>
    <row r="142" customFormat="false" ht="12.75" hidden="false" customHeight="false" outlineLevel="0" collapsed="false">
      <c r="A142" s="0" t="n">
        <v>1</v>
      </c>
      <c r="B142" s="43" t="n">
        <f aca="false">+YEAR(C142)</f>
        <v>2011</v>
      </c>
      <c r="C142" s="474" t="n">
        <f aca="false">+CURVELOAD!A147</f>
        <v>40848</v>
      </c>
      <c r="D142" s="479" t="n">
        <f aca="false">+IF($E$2&gt;0,$E$2,CURVELOAD!B147)</f>
        <v>0.072285717503498</v>
      </c>
      <c r="E142" s="480" t="n">
        <f aca="true">+IF(C142&lt;TODAY(),1,1/(1+D142/2)^((C143-TODAY())/182.625))</f>
        <v>1</v>
      </c>
      <c r="F142" s="481" t="n">
        <f aca="false">+CURVELOAD!C147+CURVELOAD!E147+CURVELOAD!F147</f>
        <v>3.515</v>
      </c>
      <c r="G142" s="478"/>
      <c r="H142" s="478"/>
      <c r="I142" s="478"/>
      <c r="J142" s="478"/>
    </row>
    <row r="143" customFormat="false" ht="12.75" hidden="false" customHeight="false" outlineLevel="0" collapsed="false">
      <c r="A143" s="0" t="n">
        <v>1</v>
      </c>
      <c r="B143" s="43" t="n">
        <f aca="false">+YEAR(C143)</f>
        <v>2011</v>
      </c>
      <c r="C143" s="474" t="n">
        <f aca="false">+CURVELOAD!A148</f>
        <v>40878</v>
      </c>
      <c r="D143" s="479" t="n">
        <f aca="false">+IF($E$2&gt;0,$E$2,CURVELOAD!B148)</f>
        <v>0.072285399443184</v>
      </c>
      <c r="E143" s="480" t="n">
        <f aca="true">+IF(C143&lt;TODAY(),1,1/(1+D143/2)^((C144-TODAY())/182.625))</f>
        <v>1</v>
      </c>
      <c r="F143" s="481" t="n">
        <f aca="false">+CURVELOAD!C148+CURVELOAD!E148+CURVELOAD!F148</f>
        <v>3.596</v>
      </c>
      <c r="G143" s="478"/>
      <c r="H143" s="478"/>
      <c r="I143" s="478"/>
      <c r="J143" s="478"/>
    </row>
    <row r="144" customFormat="false" ht="12.75" hidden="false" customHeight="false" outlineLevel="0" collapsed="false">
      <c r="A144" s="0" t="n">
        <v>1</v>
      </c>
      <c r="B144" s="43" t="n">
        <f aca="false">+YEAR(C144)</f>
        <v>2012</v>
      </c>
      <c r="C144" s="474" t="n">
        <f aca="false">+CURVELOAD!A149</f>
        <v>40909</v>
      </c>
      <c r="D144" s="479" t="n">
        <f aca="false">+IF($E$2&gt;0,$E$2,CURVELOAD!B149)</f>
        <v>0.072285070780859</v>
      </c>
      <c r="E144" s="480" t="n">
        <f aca="true">+IF(C144&lt;TODAY(),1,1/(1+D144/2)^((C145-TODAY())/182.625))</f>
        <v>1</v>
      </c>
      <c r="F144" s="481" t="n">
        <f aca="false">+CURVELOAD!C149+CURVELOAD!E149+CURVELOAD!F149</f>
        <v>3.773</v>
      </c>
      <c r="G144" s="478"/>
      <c r="H144" s="478"/>
      <c r="I144" s="478"/>
      <c r="J144" s="478"/>
    </row>
    <row r="145" customFormat="false" ht="12.75" hidden="false" customHeight="false" outlineLevel="0" collapsed="false">
      <c r="A145" s="0" t="n">
        <v>1</v>
      </c>
      <c r="B145" s="43" t="n">
        <f aca="false">+YEAR(C145)</f>
        <v>2012</v>
      </c>
      <c r="C145" s="474" t="n">
        <f aca="false">+CURVELOAD!A150</f>
        <v>40940</v>
      </c>
      <c r="D145" s="479" t="n">
        <f aca="false">+IF($E$2&gt;0,$E$2,CURVELOAD!B150)</f>
        <v>0.072284742118535</v>
      </c>
      <c r="E145" s="480" t="n">
        <f aca="true">+IF(C145&lt;TODAY(),1,1/(1+D145/2)^((C146-TODAY())/182.625))</f>
        <v>1</v>
      </c>
      <c r="F145" s="481" t="n">
        <f aca="false">+CURVELOAD!C150+CURVELOAD!E150+CURVELOAD!F150</f>
        <v>3.679</v>
      </c>
      <c r="G145" s="478"/>
      <c r="H145" s="478"/>
      <c r="I145" s="478"/>
      <c r="J145" s="478"/>
    </row>
    <row r="146" customFormat="false" ht="12.75" hidden="false" customHeight="false" outlineLevel="0" collapsed="false">
      <c r="A146" s="0" t="n">
        <v>1</v>
      </c>
      <c r="B146" s="43" t="n">
        <f aca="false">+YEAR(C146)</f>
        <v>2012</v>
      </c>
      <c r="C146" s="474" t="n">
        <f aca="false">+CURVELOAD!A151</f>
        <v>40969</v>
      </c>
      <c r="D146" s="479" t="n">
        <f aca="false">+IF($E$2&gt;0,$E$2,CURVELOAD!B151)</f>
        <v>0.072284434660232</v>
      </c>
      <c r="E146" s="480" t="n">
        <f aca="true">+IF(C146&lt;TODAY(),1,1/(1+D146/2)^((C147-TODAY())/182.625))</f>
        <v>1</v>
      </c>
      <c r="F146" s="481" t="n">
        <f aca="false">+CURVELOAD!C151+CURVELOAD!E151+CURVELOAD!F151</f>
        <v>3.566</v>
      </c>
      <c r="G146" s="478"/>
      <c r="H146" s="478"/>
      <c r="I146" s="478"/>
      <c r="J146" s="478"/>
    </row>
    <row r="147" customFormat="false" ht="12.75" hidden="false" customHeight="false" outlineLevel="0" collapsed="false">
      <c r="A147" s="0" t="n">
        <v>1</v>
      </c>
      <c r="B147" s="43" t="n">
        <f aca="false">+YEAR(C147)</f>
        <v>2012</v>
      </c>
      <c r="C147" s="474" t="n">
        <f aca="false">+CURVELOAD!A152</f>
        <v>41000</v>
      </c>
      <c r="D147" s="479" t="n">
        <f aca="false">+IF($E$2&gt;0,$E$2,CURVELOAD!B152)</f>
        <v>0.072284105997907</v>
      </c>
      <c r="E147" s="480" t="n">
        <f aca="true">+IF(C147&lt;TODAY(),1,1/(1+D147/2)^((C148-TODAY())/182.625))</f>
        <v>1</v>
      </c>
      <c r="F147" s="481" t="n">
        <f aca="false">+CURVELOAD!C152+CURVELOAD!E152+CURVELOAD!F152</f>
        <v>3.453</v>
      </c>
      <c r="G147" s="478"/>
      <c r="H147" s="478"/>
      <c r="I147" s="478"/>
      <c r="J147" s="478"/>
    </row>
    <row r="148" customFormat="false" ht="12.75" hidden="false" customHeight="false" outlineLevel="0" collapsed="false">
      <c r="A148" s="0" t="n">
        <v>1</v>
      </c>
      <c r="B148" s="43" t="n">
        <f aca="false">+YEAR(C148)</f>
        <v>2012</v>
      </c>
      <c r="C148" s="474" t="n">
        <f aca="false">+CURVELOAD!A153</f>
        <v>41030</v>
      </c>
      <c r="D148" s="479" t="n">
        <f aca="false">+IF($E$2&gt;0,$E$2,CURVELOAD!B153)</f>
        <v>0.072283787937593</v>
      </c>
      <c r="E148" s="480" t="n">
        <f aca="true">+IF(C148&lt;TODAY(),1,1/(1+D148/2)^((C149-TODAY())/182.625))</f>
        <v>1</v>
      </c>
      <c r="F148" s="481" t="n">
        <f aca="false">+CURVELOAD!C153+CURVELOAD!E153+CURVELOAD!F153</f>
        <v>3.447</v>
      </c>
      <c r="G148" s="478"/>
      <c r="H148" s="478"/>
      <c r="I148" s="478"/>
      <c r="J148" s="478"/>
    </row>
    <row r="149" customFormat="false" ht="12.75" hidden="false" customHeight="false" outlineLevel="0" collapsed="false">
      <c r="A149" s="0" t="n">
        <v>1</v>
      </c>
      <c r="B149" s="43" t="n">
        <f aca="false">+YEAR(C149)</f>
        <v>2012</v>
      </c>
      <c r="C149" s="474" t="n">
        <f aca="false">+CURVELOAD!A154</f>
        <v>41061</v>
      </c>
      <c r="D149" s="479" t="n">
        <f aca="false">+IF($E$2&gt;0,$E$2,CURVELOAD!B154)</f>
        <v>0.072283459275269</v>
      </c>
      <c r="E149" s="480" t="n">
        <f aca="true">+IF(C149&lt;TODAY(),1,1/(1+D149/2)^((C150-TODAY())/182.625))</f>
        <v>1</v>
      </c>
      <c r="F149" s="481" t="n">
        <f aca="false">+CURVELOAD!C154+CURVELOAD!E154+CURVELOAD!F154</f>
        <v>3.486</v>
      </c>
      <c r="G149" s="478"/>
      <c r="H149" s="478"/>
      <c r="I149" s="478"/>
      <c r="J149" s="478"/>
    </row>
    <row r="150" customFormat="false" ht="12.75" hidden="false" customHeight="false" outlineLevel="0" collapsed="false">
      <c r="A150" s="0" t="n">
        <v>1</v>
      </c>
      <c r="B150" s="43" t="n">
        <f aca="false">+YEAR(C150)</f>
        <v>2012</v>
      </c>
      <c r="C150" s="474" t="n">
        <f aca="false">+CURVELOAD!A155</f>
        <v>41091</v>
      </c>
      <c r="D150" s="479" t="n">
        <f aca="false">+IF($E$2&gt;0,$E$2,CURVELOAD!B155)</f>
        <v>0.072283141214955</v>
      </c>
      <c r="E150" s="480" t="n">
        <f aca="true">+IF(C150&lt;TODAY(),1,1/(1+D150/2)^((C151-TODAY())/182.625))</f>
        <v>1</v>
      </c>
      <c r="F150" s="481" t="n">
        <f aca="false">+CURVELOAD!C155+CURVELOAD!E155+CURVELOAD!F155</f>
        <v>3.486</v>
      </c>
      <c r="G150" s="478"/>
      <c r="H150" s="478"/>
      <c r="I150" s="478"/>
      <c r="J150" s="478"/>
    </row>
    <row r="151" customFormat="false" ht="12.75" hidden="false" customHeight="false" outlineLevel="0" collapsed="false">
      <c r="A151" s="0" t="n">
        <v>1</v>
      </c>
      <c r="B151" s="43" t="n">
        <f aca="false">+YEAR(C151)</f>
        <v>2012</v>
      </c>
      <c r="C151" s="474" t="n">
        <f aca="false">+CURVELOAD!A156</f>
        <v>41122</v>
      </c>
      <c r="D151" s="479" t="n">
        <f aca="false">+IF($E$2&gt;0,$E$2,CURVELOAD!B156)</f>
        <v>0.072282812552631</v>
      </c>
      <c r="E151" s="480" t="n">
        <f aca="true">+IF(C151&lt;TODAY(),1,1/(1+D151/2)^((C152-TODAY())/182.625))</f>
        <v>1</v>
      </c>
      <c r="F151" s="481" t="n">
        <f aca="false">+CURVELOAD!C156+CURVELOAD!E156+CURVELOAD!F156</f>
        <v>3.546</v>
      </c>
      <c r="G151" s="478"/>
      <c r="H151" s="478"/>
      <c r="I151" s="478"/>
      <c r="J151" s="478"/>
    </row>
    <row r="152" customFormat="false" ht="12.75" hidden="false" customHeight="false" outlineLevel="0" collapsed="false">
      <c r="A152" s="0" t="n">
        <v>1</v>
      </c>
      <c r="B152" s="43" t="n">
        <f aca="false">+YEAR(C152)</f>
        <v>2012</v>
      </c>
      <c r="C152" s="474" t="n">
        <f aca="false">+CURVELOAD!A157</f>
        <v>41153</v>
      </c>
      <c r="D152" s="479" t="n">
        <f aca="false">+IF($E$2&gt;0,$E$2,CURVELOAD!B157)</f>
        <v>0.072282483890307</v>
      </c>
      <c r="E152" s="480" t="n">
        <f aca="true">+IF(C152&lt;TODAY(),1,1/(1+D152/2)^((C153-TODAY())/182.625))</f>
        <v>1</v>
      </c>
      <c r="F152" s="481" t="n">
        <f aca="false">+CURVELOAD!C157+CURVELOAD!E157+CURVELOAD!F157</f>
        <v>3.527</v>
      </c>
      <c r="G152" s="478"/>
      <c r="H152" s="478"/>
      <c r="I152" s="478"/>
      <c r="J152" s="478"/>
    </row>
    <row r="153" customFormat="false" ht="12.75" hidden="false" customHeight="false" outlineLevel="0" collapsed="false">
      <c r="A153" s="0" t="n">
        <v>1</v>
      </c>
      <c r="B153" s="43" t="n">
        <f aca="false">+YEAR(C153)</f>
        <v>2012</v>
      </c>
      <c r="C153" s="474" t="n">
        <f aca="false">+CURVELOAD!A158</f>
        <v>41183</v>
      </c>
      <c r="D153" s="479" t="n">
        <f aca="false">+IF($E$2&gt;0,$E$2,CURVELOAD!B158)</f>
        <v>0.07228216583</v>
      </c>
      <c r="E153" s="480" t="n">
        <f aca="true">+IF(C153&lt;TODAY(),1,1/(1+D153/2)^((C154-TODAY())/182.625))</f>
        <v>1</v>
      </c>
      <c r="F153" s="481" t="n">
        <f aca="false">+CURVELOAD!C158+CURVELOAD!E158+CURVELOAD!F158</f>
        <v>3.538</v>
      </c>
      <c r="G153" s="478"/>
      <c r="H153" s="478"/>
      <c r="I153" s="478"/>
      <c r="J153" s="478"/>
    </row>
    <row r="154" customFormat="false" ht="12.75" hidden="false" customHeight="false" outlineLevel="0" collapsed="false">
      <c r="A154" s="0" t="n">
        <v>1</v>
      </c>
      <c r="B154" s="43" t="n">
        <f aca="false">+YEAR(C154)</f>
        <v>2012</v>
      </c>
      <c r="C154" s="474" t="n">
        <f aca="false">+CURVELOAD!A159</f>
        <v>41214</v>
      </c>
      <c r="D154" s="479" t="n">
        <f aca="false">+IF($E$2&gt;0,$E$2,CURVELOAD!B159)</f>
        <v>0.072281837167669</v>
      </c>
      <c r="E154" s="480" t="n">
        <f aca="true">+IF(C154&lt;TODAY(),1,1/(1+D154/2)^((C155-TODAY())/182.625))</f>
        <v>1</v>
      </c>
      <c r="F154" s="481" t="n">
        <f aca="false">+CURVELOAD!C159+CURVELOAD!E159+CURVELOAD!F159</f>
        <v>3.602</v>
      </c>
      <c r="G154" s="478"/>
      <c r="H154" s="478"/>
      <c r="I154" s="478"/>
      <c r="J154" s="478"/>
    </row>
    <row r="155" customFormat="false" ht="12.75" hidden="false" customHeight="false" outlineLevel="0" collapsed="false">
      <c r="A155" s="0" t="n">
        <v>1</v>
      </c>
      <c r="B155" s="43" t="n">
        <f aca="false">+YEAR(C155)</f>
        <v>2012</v>
      </c>
      <c r="C155" s="474" t="n">
        <f aca="false">+CURVELOAD!A160</f>
        <v>41244</v>
      </c>
      <c r="D155" s="479" t="n">
        <f aca="false">+IF($E$2&gt;0,$E$2,CURVELOAD!B160)</f>
        <v>0.072281519107356</v>
      </c>
      <c r="E155" s="480" t="n">
        <f aca="true">+IF(C155&lt;TODAY(),1,1/(1+D155/2)^((C156-TODAY())/182.625))</f>
        <v>1</v>
      </c>
      <c r="F155" s="481" t="n">
        <f aca="false">+CURVELOAD!C160+CURVELOAD!E160+CURVELOAD!F160</f>
        <v>3.68</v>
      </c>
      <c r="G155" s="478"/>
      <c r="H155" s="478"/>
      <c r="I155" s="478"/>
      <c r="J155" s="478"/>
    </row>
    <row r="156" customFormat="false" ht="12.75" hidden="false" customHeight="false" outlineLevel="0" collapsed="false">
      <c r="A156" s="0" t="n">
        <v>1</v>
      </c>
      <c r="B156" s="43" t="n">
        <f aca="false">+YEAR(C156)</f>
        <v>2013</v>
      </c>
      <c r="C156" s="474" t="n">
        <f aca="false">+CURVELOAD!A161</f>
        <v>41275</v>
      </c>
      <c r="D156" s="479" t="n">
        <f aca="false">+IF($E$2&gt;0,$E$2,CURVELOAD!B161)</f>
        <v>0.072281190445032</v>
      </c>
      <c r="E156" s="480" t="n">
        <f aca="true">+IF(C156&lt;TODAY(),1,1/(1+D156/2)^((C157-TODAY())/182.625))</f>
        <v>1</v>
      </c>
      <c r="F156" s="481" t="n">
        <f aca="false">+CURVELOAD!C161+CURVELOAD!E161+CURVELOAD!F161</f>
        <v>3.86</v>
      </c>
      <c r="G156" s="478"/>
      <c r="H156" s="478"/>
      <c r="I156" s="478"/>
      <c r="J156" s="478"/>
    </row>
    <row r="157" customFormat="false" ht="12.75" hidden="false" customHeight="false" outlineLevel="0" collapsed="false">
      <c r="A157" s="0" t="n">
        <v>1</v>
      </c>
      <c r="B157" s="43" t="n">
        <f aca="false">+YEAR(C157)</f>
        <v>2013</v>
      </c>
      <c r="C157" s="474" t="n">
        <f aca="false">+CURVELOAD!A162</f>
        <v>41306</v>
      </c>
      <c r="D157" s="479" t="n">
        <f aca="false">+IF($E$2&gt;0,$E$2,CURVELOAD!B162)</f>
        <v>0.072280861782708</v>
      </c>
      <c r="E157" s="480" t="n">
        <f aca="true">+IF(C157&lt;TODAY(),1,1/(1+D157/2)^((C158-TODAY())/182.625))</f>
        <v>1</v>
      </c>
      <c r="F157" s="481" t="n">
        <f aca="false">+CURVELOAD!C162+CURVELOAD!E162+CURVELOAD!F162</f>
        <v>3.77</v>
      </c>
      <c r="G157" s="478"/>
      <c r="H157" s="478"/>
      <c r="I157" s="478"/>
      <c r="J157" s="478"/>
    </row>
    <row r="158" customFormat="false" ht="12.75" hidden="false" customHeight="false" outlineLevel="0" collapsed="false">
      <c r="A158" s="0" t="n">
        <v>1</v>
      </c>
      <c r="B158" s="43" t="n">
        <f aca="false">+YEAR(C158)</f>
        <v>2013</v>
      </c>
      <c r="C158" s="474" t="n">
        <f aca="false">+CURVELOAD!A163</f>
        <v>41334</v>
      </c>
      <c r="D158" s="479" t="n">
        <f aca="false">+IF($E$2&gt;0,$E$2,CURVELOAD!B163)</f>
        <v>0.072280564926415</v>
      </c>
      <c r="E158" s="480" t="n">
        <f aca="true">+IF(C158&lt;TODAY(),1,1/(1+D158/2)^((C159-TODAY())/182.625))</f>
        <v>1</v>
      </c>
      <c r="F158" s="481" t="n">
        <f aca="false">+CURVELOAD!C163+CURVELOAD!E163+CURVELOAD!F163</f>
        <v>3.66</v>
      </c>
      <c r="G158" s="478"/>
      <c r="H158" s="478"/>
      <c r="I158" s="478"/>
      <c r="J158" s="478"/>
    </row>
    <row r="159" customFormat="false" ht="12.75" hidden="false" customHeight="false" outlineLevel="0" collapsed="false">
      <c r="A159" s="0" t="n">
        <v>1</v>
      </c>
      <c r="B159" s="43" t="n">
        <f aca="false">+YEAR(C159)</f>
        <v>2013</v>
      </c>
      <c r="C159" s="474" t="n">
        <f aca="false">+CURVELOAD!A164</f>
        <v>41365</v>
      </c>
      <c r="D159" s="479" t="n">
        <f aca="false">+IF($E$2&gt;0,$E$2,CURVELOAD!B164)</f>
        <v>0.072280236264091</v>
      </c>
      <c r="E159" s="480" t="n">
        <f aca="true">+IF(C159&lt;TODAY(),1,1/(1+D159/2)^((C160-TODAY())/182.625))</f>
        <v>1</v>
      </c>
      <c r="F159" s="481" t="n">
        <f aca="false">+CURVELOAD!C164+CURVELOAD!E164+CURVELOAD!F164</f>
        <v>3.55</v>
      </c>
      <c r="G159" s="478"/>
      <c r="H159" s="478"/>
      <c r="I159" s="478"/>
      <c r="J159" s="478"/>
    </row>
    <row r="160" customFormat="false" ht="12.75" hidden="false" customHeight="false" outlineLevel="0" collapsed="false">
      <c r="A160" s="0" t="n">
        <v>1</v>
      </c>
      <c r="B160" s="43" t="n">
        <f aca="false">+YEAR(C160)</f>
        <v>2013</v>
      </c>
      <c r="C160" s="474" t="n">
        <f aca="false">+CURVELOAD!A165</f>
        <v>41395</v>
      </c>
      <c r="D160" s="479" t="n">
        <f aca="false">+IF($E$2&gt;0,$E$2,CURVELOAD!B165)</f>
        <v>0.072279918203778</v>
      </c>
      <c r="E160" s="480" t="n">
        <f aca="true">+IF(C160&lt;TODAY(),1,1/(1+D160/2)^((C161-TODAY())/182.625))</f>
        <v>1</v>
      </c>
      <c r="F160" s="481" t="n">
        <f aca="false">+CURVELOAD!C165+CURVELOAD!E165+CURVELOAD!F165</f>
        <v>3.545</v>
      </c>
      <c r="G160" s="478"/>
      <c r="H160" s="478"/>
      <c r="I160" s="478"/>
      <c r="J160" s="478"/>
    </row>
    <row r="161" customFormat="false" ht="12.75" hidden="false" customHeight="false" outlineLevel="0" collapsed="false">
      <c r="A161" s="0" t="n">
        <v>1</v>
      </c>
      <c r="B161" s="43" t="n">
        <f aca="false">+YEAR(C161)</f>
        <v>2013</v>
      </c>
      <c r="C161" s="474" t="n">
        <f aca="false">+CURVELOAD!A166</f>
        <v>41426</v>
      </c>
      <c r="D161" s="479" t="n">
        <f aca="false">+IF($E$2&gt;0,$E$2,CURVELOAD!B166)</f>
        <v>0.072279589541454</v>
      </c>
      <c r="E161" s="480" t="n">
        <f aca="true">+IF(C161&lt;TODAY(),1,1/(1+D161/2)^((C162-TODAY())/182.625))</f>
        <v>1</v>
      </c>
      <c r="F161" s="481" t="n">
        <f aca="false">+CURVELOAD!C166+CURVELOAD!E166+CURVELOAD!F166</f>
        <v>3.585</v>
      </c>
      <c r="G161" s="478"/>
      <c r="H161" s="478"/>
      <c r="I161" s="478"/>
      <c r="J161" s="478"/>
    </row>
    <row r="162" customFormat="false" ht="12.75" hidden="false" customHeight="false" outlineLevel="0" collapsed="false">
      <c r="A162" s="0" t="n">
        <v>1</v>
      </c>
      <c r="B162" s="43" t="n">
        <f aca="false">+YEAR(C162)</f>
        <v>2013</v>
      </c>
      <c r="C162" s="474" t="n">
        <f aca="false">+CURVELOAD!A167</f>
        <v>41456</v>
      </c>
      <c r="D162" s="479" t="n">
        <f aca="false">+IF($E$2&gt;0,$E$2,CURVELOAD!B167)</f>
        <v>0.072279271481141</v>
      </c>
      <c r="E162" s="480" t="n">
        <f aca="true">+IF(C162&lt;TODAY(),1,1/(1+D162/2)^((C163-TODAY())/182.625))</f>
        <v>1</v>
      </c>
      <c r="F162" s="481" t="n">
        <f aca="false">+CURVELOAD!C167+CURVELOAD!E167+CURVELOAD!F167</f>
        <v>3.585</v>
      </c>
      <c r="G162" s="478"/>
      <c r="H162" s="478"/>
      <c r="I162" s="478"/>
      <c r="J162" s="478"/>
    </row>
    <row r="163" customFormat="false" ht="12.75" hidden="false" customHeight="false" outlineLevel="0" collapsed="false">
      <c r="A163" s="0" t="n">
        <v>1</v>
      </c>
      <c r="B163" s="43" t="n">
        <f aca="false">+YEAR(C163)</f>
        <v>2013</v>
      </c>
      <c r="C163" s="474" t="n">
        <f aca="false">+CURVELOAD!A168</f>
        <v>41487</v>
      </c>
      <c r="D163" s="479" t="n">
        <f aca="false">+IF($E$2&gt;0,$E$2,CURVELOAD!B168)</f>
        <v>0.072278942818817</v>
      </c>
      <c r="E163" s="480" t="n">
        <f aca="true">+IF(C163&lt;TODAY(),1,1/(1+D163/2)^((C164-TODAY())/182.625))</f>
        <v>1</v>
      </c>
      <c r="F163" s="481" t="n">
        <f aca="false">+CURVELOAD!C168+CURVELOAD!E168+CURVELOAD!F168</f>
        <v>3.645</v>
      </c>
      <c r="G163" s="478"/>
      <c r="H163" s="478"/>
      <c r="I163" s="478"/>
      <c r="J163" s="478"/>
    </row>
    <row r="164" customFormat="false" ht="12.75" hidden="false" customHeight="false" outlineLevel="0" collapsed="false">
      <c r="A164" s="0" t="n">
        <v>1</v>
      </c>
      <c r="B164" s="43" t="n">
        <f aca="false">+YEAR(C164)</f>
        <v>2013</v>
      </c>
      <c r="C164" s="474" t="n">
        <f aca="false">+CURVELOAD!A169</f>
        <v>41518</v>
      </c>
      <c r="D164" s="479" t="n">
        <f aca="false">+IF($E$2&gt;0,$E$2,CURVELOAD!B169)</f>
        <v>0.072278614156494</v>
      </c>
      <c r="E164" s="480" t="n">
        <f aca="true">+IF(C164&lt;TODAY(),1,1/(1+D164/2)^((C165-TODAY())/182.625))</f>
        <v>1</v>
      </c>
      <c r="F164" s="481" t="n">
        <f aca="false">+CURVELOAD!C169+CURVELOAD!E169+CURVELOAD!F169</f>
        <v>3.625</v>
      </c>
      <c r="G164" s="478"/>
      <c r="H164" s="478"/>
      <c r="I164" s="478"/>
      <c r="J164" s="478"/>
    </row>
    <row r="165" customFormat="false" ht="12.75" hidden="false" customHeight="false" outlineLevel="0" collapsed="false">
      <c r="A165" s="0" t="n">
        <v>1</v>
      </c>
      <c r="B165" s="43" t="n">
        <f aca="false">+YEAR(C165)</f>
        <v>2013</v>
      </c>
      <c r="C165" s="474" t="n">
        <f aca="false">+CURVELOAD!A170</f>
        <v>41548</v>
      </c>
      <c r="D165" s="479" t="n">
        <f aca="false">+IF($E$2&gt;0,$E$2,CURVELOAD!B170)</f>
        <v>0.07227829609618</v>
      </c>
      <c r="E165" s="480" t="n">
        <f aca="true">+IF(C165&lt;TODAY(),1,1/(1+D165/2)^((C166-TODAY())/182.625))</f>
        <v>1</v>
      </c>
      <c r="F165" s="481" t="n">
        <f aca="false">+CURVELOAD!C170+CURVELOAD!E170+CURVELOAD!F170</f>
        <v>3.635</v>
      </c>
      <c r="G165" s="478"/>
      <c r="H165" s="478"/>
      <c r="I165" s="478"/>
      <c r="J165" s="478"/>
    </row>
    <row r="166" customFormat="false" ht="12.75" hidden="false" customHeight="false" outlineLevel="0" collapsed="false">
      <c r="A166" s="0" t="n">
        <v>1</v>
      </c>
      <c r="B166" s="43" t="n">
        <f aca="false">+YEAR(C166)</f>
        <v>2013</v>
      </c>
      <c r="C166" s="474" t="n">
        <f aca="false">+CURVELOAD!A171</f>
        <v>41579</v>
      </c>
      <c r="D166" s="479" t="n">
        <f aca="false">+IF($E$2&gt;0,$E$2,CURVELOAD!B171)</f>
        <v>0.072277967433856</v>
      </c>
      <c r="E166" s="480" t="n">
        <f aca="true">+IF(C166&lt;TODAY(),1,1/(1+D166/2)^((C167-TODAY())/182.625))</f>
        <v>1</v>
      </c>
      <c r="F166" s="481" t="n">
        <f aca="false">+CURVELOAD!C171+CURVELOAD!E171+CURVELOAD!F171</f>
        <v>3.694</v>
      </c>
      <c r="G166" s="478"/>
      <c r="H166" s="478"/>
      <c r="I166" s="478"/>
      <c r="J166" s="478"/>
    </row>
    <row r="167" customFormat="false" ht="12.75" hidden="false" customHeight="false" outlineLevel="0" collapsed="false">
      <c r="A167" s="0" t="n">
        <v>1</v>
      </c>
      <c r="B167" s="43" t="n">
        <f aca="false">+YEAR(C167)</f>
        <v>2013</v>
      </c>
      <c r="C167" s="474" t="n">
        <f aca="false">+CURVELOAD!A172</f>
        <v>41609</v>
      </c>
      <c r="D167" s="479" t="n">
        <f aca="false">+IF($E$2&gt;0,$E$2,CURVELOAD!B172)</f>
        <v>0.072277649373543</v>
      </c>
      <c r="E167" s="480" t="n">
        <f aca="true">+IF(C167&lt;TODAY(),1,1/(1+D167/2)^((C168-TODAY())/182.625))</f>
        <v>1</v>
      </c>
      <c r="F167" s="481" t="n">
        <f aca="false">+CURVELOAD!C172+CURVELOAD!E172+CURVELOAD!F172</f>
        <v>3.769</v>
      </c>
      <c r="G167" s="478"/>
      <c r="H167" s="478"/>
      <c r="I167" s="478"/>
      <c r="J167" s="478"/>
    </row>
    <row r="168" customFormat="false" ht="12.75" hidden="false" customHeight="false" outlineLevel="0" collapsed="false">
      <c r="A168" s="0" t="n">
        <v>1</v>
      </c>
      <c r="B168" s="43" t="n">
        <f aca="false">+YEAR(C168)</f>
        <v>2014</v>
      </c>
      <c r="C168" s="474" t="n">
        <f aca="false">+CURVELOAD!A173</f>
        <v>41640</v>
      </c>
      <c r="D168" s="479" t="n">
        <f aca="false">+IF($E$2&gt;0,$E$2,CURVELOAD!B173)</f>
        <v>0.07227732071122</v>
      </c>
      <c r="E168" s="480" t="n">
        <f aca="true">+IF(C168&lt;TODAY(),1,1/(1+D168/2)^((C169-TODAY())/182.625))</f>
        <v>1</v>
      </c>
      <c r="F168" s="481" t="n">
        <f aca="false">+CURVELOAD!C173+CURVELOAD!E173+CURVELOAD!F173</f>
        <v>3.957</v>
      </c>
      <c r="G168" s="478"/>
      <c r="H168" s="478"/>
      <c r="I168" s="478"/>
      <c r="J168" s="478"/>
    </row>
    <row r="169" customFormat="false" ht="12.75" hidden="false" customHeight="false" outlineLevel="0" collapsed="false">
      <c r="A169" s="0" t="n">
        <v>1</v>
      </c>
      <c r="B169" s="43" t="n">
        <f aca="false">+YEAR(C169)</f>
        <v>2014</v>
      </c>
      <c r="C169" s="474" t="n">
        <f aca="false">+CURVELOAD!A174</f>
        <v>41671</v>
      </c>
      <c r="D169" s="479" t="n">
        <f aca="false">+IF($E$2&gt;0,$E$2,CURVELOAD!B174)</f>
        <v>0.072276992048896</v>
      </c>
      <c r="E169" s="480" t="n">
        <f aca="true">+IF(C169&lt;TODAY(),1,1/(1+D169/2)^((C170-TODAY())/182.625))</f>
        <v>1</v>
      </c>
      <c r="F169" s="481" t="n">
        <f aca="false">+CURVELOAD!C174+CURVELOAD!E174+CURVELOAD!F174</f>
        <v>3.871</v>
      </c>
      <c r="G169" s="478"/>
      <c r="H169" s="478"/>
      <c r="I169" s="478"/>
      <c r="J169" s="478"/>
    </row>
    <row r="170" customFormat="false" ht="12.75" hidden="false" customHeight="false" outlineLevel="0" collapsed="false">
      <c r="A170" s="0" t="n">
        <v>1</v>
      </c>
      <c r="B170" s="43" t="n">
        <f aca="false">+YEAR(C170)</f>
        <v>2014</v>
      </c>
      <c r="C170" s="474" t="n">
        <f aca="false">+CURVELOAD!A175</f>
        <v>41699</v>
      </c>
      <c r="D170" s="479" t="n">
        <f aca="false">+IF($E$2&gt;0,$E$2,CURVELOAD!B175)</f>
        <v>0.072276695192604</v>
      </c>
      <c r="E170" s="480" t="n">
        <f aca="true">+IF(C170&lt;TODAY(),1,1/(1+D170/2)^((C171-TODAY())/182.625))</f>
        <v>1</v>
      </c>
      <c r="F170" s="481" t="n">
        <f aca="false">+CURVELOAD!C175+CURVELOAD!E175+CURVELOAD!F175</f>
        <v>3.764</v>
      </c>
      <c r="G170" s="478"/>
      <c r="H170" s="478"/>
      <c r="I170" s="478"/>
      <c r="J170" s="478"/>
    </row>
    <row r="171" customFormat="false" ht="12.75" hidden="false" customHeight="false" outlineLevel="0" collapsed="false">
      <c r="A171" s="0" t="n">
        <v>1</v>
      </c>
      <c r="B171" s="43" t="n">
        <f aca="false">+YEAR(C171)</f>
        <v>2014</v>
      </c>
      <c r="C171" s="474" t="n">
        <f aca="false">+CURVELOAD!A176</f>
        <v>41730</v>
      </c>
      <c r="D171" s="479" t="n">
        <f aca="false">+IF($E$2&gt;0,$E$2,CURVELOAD!B176)</f>
        <v>0.072276366530281</v>
      </c>
      <c r="E171" s="480" t="n">
        <f aca="true">+IF(C171&lt;TODAY(),1,1/(1+D171/2)^((C172-TODAY())/182.625))</f>
        <v>1</v>
      </c>
      <c r="F171" s="481" t="n">
        <f aca="false">+CURVELOAD!C176+CURVELOAD!E176+CURVELOAD!F176</f>
        <v>3.657</v>
      </c>
      <c r="G171" s="478"/>
      <c r="H171" s="478"/>
      <c r="I171" s="478"/>
      <c r="J171" s="478"/>
    </row>
    <row r="172" customFormat="false" ht="12.75" hidden="false" customHeight="false" outlineLevel="0" collapsed="false">
      <c r="A172" s="0" t="n">
        <v>1</v>
      </c>
      <c r="B172" s="43" t="n">
        <f aca="false">+YEAR(C172)</f>
        <v>2014</v>
      </c>
      <c r="C172" s="474" t="n">
        <f aca="false">+CURVELOAD!A177</f>
        <v>41760</v>
      </c>
      <c r="D172" s="479" t="n">
        <f aca="false">+IF($E$2&gt;0,$E$2,CURVELOAD!B177)</f>
        <v>0.072276048469968</v>
      </c>
      <c r="E172" s="480" t="n">
        <f aca="true">+IF(C172&lt;TODAY(),1,1/(1+D172/2)^((C173-TODAY())/182.625))</f>
        <v>1</v>
      </c>
      <c r="F172" s="481" t="n">
        <f aca="false">+CURVELOAD!C177+CURVELOAD!E177+CURVELOAD!F177</f>
        <v>3.653</v>
      </c>
      <c r="G172" s="478"/>
      <c r="H172" s="478"/>
      <c r="I172" s="478"/>
      <c r="J172" s="478"/>
    </row>
    <row r="173" customFormat="false" ht="12.75" hidden="false" customHeight="false" outlineLevel="0" collapsed="false">
      <c r="A173" s="0" t="n">
        <v>1</v>
      </c>
      <c r="B173" s="43" t="n">
        <f aca="false">+YEAR(C173)</f>
        <v>2014</v>
      </c>
      <c r="C173" s="474" t="n">
        <f aca="false">+CURVELOAD!A178</f>
        <v>41791</v>
      </c>
      <c r="D173" s="479" t="n">
        <f aca="false">+IF($E$2&gt;0,$E$2,CURVELOAD!B178)</f>
        <v>0.072275719807644</v>
      </c>
      <c r="E173" s="480" t="n">
        <f aca="true">+IF(C173&lt;TODAY(),1,1/(1+D173/2)^((C174-TODAY())/182.625))</f>
        <v>1</v>
      </c>
      <c r="F173" s="481" t="n">
        <f aca="false">+CURVELOAD!C178+CURVELOAD!E178+CURVELOAD!F178</f>
        <v>3.694</v>
      </c>
      <c r="G173" s="478"/>
      <c r="H173" s="478"/>
      <c r="I173" s="478"/>
      <c r="J173" s="478"/>
    </row>
    <row r="174" customFormat="false" ht="12.75" hidden="false" customHeight="false" outlineLevel="0" collapsed="false">
      <c r="A174" s="0" t="n">
        <v>1</v>
      </c>
      <c r="B174" s="43" t="n">
        <f aca="false">+YEAR(C174)</f>
        <v>2014</v>
      </c>
      <c r="C174" s="474" t="n">
        <f aca="false">+CURVELOAD!A179</f>
        <v>41821</v>
      </c>
      <c r="D174" s="479" t="n">
        <f aca="false">+IF($E$2&gt;0,$E$2,CURVELOAD!B179)</f>
        <v>0.072275401747331</v>
      </c>
      <c r="E174" s="480" t="n">
        <f aca="true">+IF(C174&lt;TODAY(),1,1/(1+D174/2)^((C175-TODAY())/182.625))</f>
        <v>1</v>
      </c>
      <c r="F174" s="481" t="n">
        <f aca="false">+CURVELOAD!C179+CURVELOAD!E179+CURVELOAD!F179</f>
        <v>3.694</v>
      </c>
      <c r="G174" s="478"/>
      <c r="H174" s="478"/>
      <c r="I174" s="478"/>
      <c r="J174" s="478"/>
    </row>
    <row r="175" customFormat="false" ht="12.75" hidden="false" customHeight="false" outlineLevel="0" collapsed="false">
      <c r="A175" s="0" t="n">
        <v>1</v>
      </c>
      <c r="B175" s="43" t="n">
        <f aca="false">+YEAR(C175)</f>
        <v>2014</v>
      </c>
      <c r="C175" s="474" t="n">
        <f aca="false">+CURVELOAD!A180</f>
        <v>41852</v>
      </c>
      <c r="D175" s="479" t="n">
        <f aca="false">+IF($E$2&gt;0,$E$2,CURVELOAD!B180)</f>
        <v>0.072275073085008</v>
      </c>
      <c r="E175" s="480" t="n">
        <f aca="true">+IF(C175&lt;TODAY(),1,1/(1+D175/2)^((C176-TODAY())/182.625))</f>
        <v>1</v>
      </c>
      <c r="F175" s="481" t="n">
        <f aca="false">+CURVELOAD!C180+CURVELOAD!E180+CURVELOAD!F180</f>
        <v>3.754</v>
      </c>
      <c r="G175" s="478"/>
      <c r="H175" s="478"/>
      <c r="I175" s="478"/>
      <c r="J175" s="478"/>
    </row>
    <row r="176" customFormat="false" ht="12.75" hidden="false" customHeight="false" outlineLevel="0" collapsed="false">
      <c r="A176" s="0" t="n">
        <v>1</v>
      </c>
      <c r="B176" s="43" t="n">
        <f aca="false">+YEAR(C176)</f>
        <v>2014</v>
      </c>
      <c r="C176" s="474" t="n">
        <f aca="false">+CURVELOAD!A181</f>
        <v>41883</v>
      </c>
      <c r="D176" s="479" t="n">
        <f aca="false">+IF($E$2&gt;0,$E$2,CURVELOAD!B181)</f>
        <v>0.072274744422684</v>
      </c>
      <c r="E176" s="480" t="n">
        <f aca="true">+IF(C176&lt;TODAY(),1,1/(1+D176/2)^((C177-TODAY())/182.625))</f>
        <v>1</v>
      </c>
      <c r="F176" s="481" t="n">
        <f aca="false">+CURVELOAD!C181+CURVELOAD!E181+CURVELOAD!F181</f>
        <v>3.733</v>
      </c>
      <c r="G176" s="478"/>
      <c r="H176" s="478"/>
      <c r="I176" s="478"/>
      <c r="J176" s="478"/>
    </row>
    <row r="177" customFormat="false" ht="12.75" hidden="false" customHeight="false" outlineLevel="0" collapsed="false">
      <c r="A177" s="0" t="n">
        <v>1</v>
      </c>
      <c r="B177" s="43" t="n">
        <f aca="false">+YEAR(C177)</f>
        <v>2014</v>
      </c>
      <c r="C177" s="474" t="n">
        <f aca="false">+CURVELOAD!A182</f>
        <v>41913</v>
      </c>
      <c r="D177" s="479" t="n">
        <f aca="false">+IF($E$2&gt;0,$E$2,CURVELOAD!B182)</f>
        <v>0.072274426362371</v>
      </c>
      <c r="E177" s="480" t="n">
        <f aca="true">+IF(C177&lt;TODAY(),1,1/(1+D177/2)^((C178-TODAY())/182.625))</f>
        <v>1</v>
      </c>
      <c r="F177" s="481" t="n">
        <f aca="false">+CURVELOAD!C182+CURVELOAD!E182+CURVELOAD!F182</f>
        <v>3.742</v>
      </c>
      <c r="G177" s="478"/>
      <c r="H177" s="478"/>
      <c r="I177" s="478"/>
      <c r="J177" s="478"/>
    </row>
    <row r="178" customFormat="false" ht="12.75" hidden="false" customHeight="false" outlineLevel="0" collapsed="false">
      <c r="A178" s="0" t="n">
        <v>1</v>
      </c>
      <c r="B178" s="43" t="n">
        <f aca="false">+YEAR(C178)</f>
        <v>2014</v>
      </c>
      <c r="C178" s="474" t="n">
        <f aca="false">+CURVELOAD!A183</f>
        <v>41944</v>
      </c>
      <c r="D178" s="479" t="n">
        <f aca="false">+IF($E$2&gt;0,$E$2,CURVELOAD!B183)</f>
        <v>0.072274097700049</v>
      </c>
      <c r="E178" s="480" t="n">
        <f aca="true">+IF(C178&lt;TODAY(),1,1/(1+D178/2)^((C179-TODAY())/182.625))</f>
        <v>1</v>
      </c>
      <c r="F178" s="481" t="n">
        <f aca="false">+CURVELOAD!C183+CURVELOAD!E183+CURVELOAD!F183</f>
        <v>3.796</v>
      </c>
      <c r="G178" s="478"/>
      <c r="H178" s="478"/>
      <c r="I178" s="478"/>
      <c r="J178" s="478"/>
    </row>
    <row r="179" customFormat="false" ht="12.75" hidden="false" customHeight="false" outlineLevel="0" collapsed="false">
      <c r="A179" s="0" t="n">
        <v>1</v>
      </c>
      <c r="B179" s="43" t="n">
        <f aca="false">+YEAR(C179)</f>
        <v>2014</v>
      </c>
      <c r="C179" s="474" t="n">
        <f aca="false">+CURVELOAD!A184</f>
        <v>41974</v>
      </c>
      <c r="D179" s="479" t="n">
        <f aca="false">+IF($E$2&gt;0,$E$2,CURVELOAD!B184)</f>
        <v>0.072273779639736</v>
      </c>
      <c r="E179" s="480" t="n">
        <f aca="true">+IF(C179&lt;TODAY(),1,1/(1+D179/2)^((C180-TODAY())/182.625))</f>
        <v>1</v>
      </c>
      <c r="F179" s="481" t="n">
        <f aca="false">+CURVELOAD!C184+CURVELOAD!E184+CURVELOAD!F184</f>
        <v>3.868</v>
      </c>
      <c r="G179" s="478"/>
      <c r="H179" s="478"/>
      <c r="I179" s="478"/>
      <c r="J179" s="478"/>
    </row>
    <row r="180" customFormat="false" ht="12.75" hidden="false" customHeight="false" outlineLevel="0" collapsed="false">
      <c r="A180" s="0" t="n">
        <v>1</v>
      </c>
      <c r="B180" s="43" t="n">
        <f aca="false">+YEAR(C180)</f>
        <v>2015</v>
      </c>
      <c r="C180" s="474" t="n">
        <f aca="false">+CURVELOAD!A185</f>
        <v>42005</v>
      </c>
      <c r="D180" s="479" t="n">
        <f aca="false">+IF($E$2&gt;0,$E$2,CURVELOAD!B185)</f>
        <v>0.072273450977413</v>
      </c>
      <c r="E180" s="480" t="n">
        <f aca="true">+IF(C180&lt;TODAY(),1,1/(1+D180/2)^((C181-TODAY())/182.625))</f>
        <v>1</v>
      </c>
      <c r="F180" s="481" t="n">
        <f aca="false">+CURVELOAD!C185+CURVELOAD!E185+CURVELOAD!F185</f>
        <v>4.059</v>
      </c>
      <c r="G180" s="478"/>
      <c r="H180" s="478"/>
      <c r="I180" s="478"/>
      <c r="J180" s="478"/>
    </row>
    <row r="181" customFormat="false" ht="12.75" hidden="false" customHeight="false" outlineLevel="0" collapsed="false">
      <c r="A181" s="0" t="n">
        <v>1</v>
      </c>
      <c r="B181" s="43" t="n">
        <f aca="false">+YEAR(C181)</f>
        <v>2015</v>
      </c>
      <c r="C181" s="474" t="n">
        <f aca="false">+CURVELOAD!A186</f>
        <v>42036</v>
      </c>
      <c r="D181" s="479" t="n">
        <f aca="false">+IF($E$2&gt;0,$E$2,CURVELOAD!B186)</f>
        <v>0.07227312231509</v>
      </c>
      <c r="E181" s="480" t="n">
        <f aca="true">+IF(C181&lt;TODAY(),1,1/(1+D181/2)^((C182-TODAY())/182.625))</f>
        <v>1</v>
      </c>
      <c r="F181" s="481" t="n">
        <f aca="false">+CURVELOAD!C186+CURVELOAD!E186+CURVELOAD!F186</f>
        <v>3.977</v>
      </c>
      <c r="G181" s="478"/>
      <c r="H181" s="478"/>
      <c r="I181" s="478"/>
      <c r="J181" s="478"/>
    </row>
    <row r="182" customFormat="false" ht="12.75" hidden="false" customHeight="false" outlineLevel="0" collapsed="false">
      <c r="A182" s="0" t="n">
        <v>1</v>
      </c>
      <c r="B182" s="43" t="n">
        <f aca="false">+YEAR(C182)</f>
        <v>2015</v>
      </c>
      <c r="C182" s="474" t="n">
        <f aca="false">+CURVELOAD!A187</f>
        <v>42064</v>
      </c>
      <c r="D182" s="479" t="n">
        <f aca="false">+IF($E$2&gt;0,$E$2,CURVELOAD!B187)</f>
        <v>0.072272825458798</v>
      </c>
      <c r="E182" s="480" t="n">
        <f aca="true">+IF(C182&lt;TODAY(),1,1/(1+D182/2)^((C183-TODAY())/182.625))</f>
        <v>1</v>
      </c>
      <c r="F182" s="481" t="n">
        <f aca="false">+CURVELOAD!C187+CURVELOAD!E187+CURVELOAD!F187</f>
        <v>3.873</v>
      </c>
      <c r="G182" s="478"/>
      <c r="H182" s="478"/>
      <c r="I182" s="478"/>
      <c r="J182" s="478"/>
    </row>
    <row r="183" customFormat="false" ht="12.75" hidden="false" customHeight="false" outlineLevel="0" collapsed="false">
      <c r="A183" s="0" t="n">
        <v>1</v>
      </c>
      <c r="B183" s="43" t="n">
        <f aca="false">+YEAR(C183)</f>
        <v>2015</v>
      </c>
      <c r="C183" s="474" t="n">
        <f aca="false">+CURVELOAD!A188</f>
        <v>42095</v>
      </c>
      <c r="D183" s="479" t="n">
        <f aca="false">+IF($E$2&gt;0,$E$2,CURVELOAD!B188)</f>
        <v>0.072272496796475</v>
      </c>
      <c r="E183" s="480" t="n">
        <f aca="true">+IF(C183&lt;TODAY(),1,1/(1+D183/2)^((C184-TODAY())/182.625))</f>
        <v>1</v>
      </c>
      <c r="F183" s="481" t="n">
        <f aca="false">+CURVELOAD!C188+CURVELOAD!E188+CURVELOAD!F188</f>
        <v>3.769</v>
      </c>
      <c r="G183" s="478"/>
      <c r="H183" s="478"/>
      <c r="I183" s="478"/>
      <c r="J183" s="478"/>
    </row>
    <row r="184" customFormat="false" ht="12.75" hidden="false" customHeight="false" outlineLevel="0" collapsed="false">
      <c r="A184" s="0" t="n">
        <v>1</v>
      </c>
      <c r="B184" s="43" t="n">
        <f aca="false">+YEAR(C184)</f>
        <v>2015</v>
      </c>
      <c r="C184" s="474" t="n">
        <f aca="false">+CURVELOAD!A189</f>
        <v>42125</v>
      </c>
      <c r="D184" s="479" t="n">
        <f aca="false">+IF($E$2&gt;0,$E$2,CURVELOAD!B189)</f>
        <v>0.072272178736162</v>
      </c>
      <c r="E184" s="480" t="n">
        <f aca="true">+IF(C184&lt;TODAY(),1,1/(1+D184/2)^((C185-TODAY())/182.625))</f>
        <v>1</v>
      </c>
      <c r="F184" s="481" t="n">
        <f aca="false">+CURVELOAD!C189+CURVELOAD!E189+CURVELOAD!F189</f>
        <v>3.766</v>
      </c>
      <c r="G184" s="478"/>
      <c r="H184" s="478"/>
      <c r="I184" s="478"/>
      <c r="J184" s="478"/>
    </row>
    <row r="185" customFormat="false" ht="12.75" hidden="false" customHeight="false" outlineLevel="0" collapsed="false">
      <c r="A185" s="0" t="n">
        <v>1</v>
      </c>
      <c r="B185" s="43" t="n">
        <f aca="false">+YEAR(C185)</f>
        <v>2015</v>
      </c>
      <c r="C185" s="474" t="n">
        <f aca="false">+CURVELOAD!A190</f>
        <v>42156</v>
      </c>
      <c r="D185" s="479" t="n">
        <f aca="false">+IF($E$2&gt;0,$E$2,CURVELOAD!B190)</f>
        <v>0.072271850073839</v>
      </c>
      <c r="E185" s="480" t="n">
        <f aca="true">+IF(C185&lt;TODAY(),1,1/(1+D185/2)^((C186-TODAY())/182.625))</f>
        <v>1</v>
      </c>
      <c r="F185" s="481" t="n">
        <f aca="false">+CURVELOAD!C190+CURVELOAD!E190+CURVELOAD!F190</f>
        <v>3.808</v>
      </c>
      <c r="G185" s="478"/>
      <c r="H185" s="478"/>
      <c r="I185" s="478"/>
      <c r="J185" s="478"/>
    </row>
    <row r="186" customFormat="false" ht="12.75" hidden="false" customHeight="false" outlineLevel="0" collapsed="false">
      <c r="A186" s="0" t="n">
        <v>1</v>
      </c>
      <c r="B186" s="43" t="n">
        <f aca="false">+YEAR(C186)</f>
        <v>2015</v>
      </c>
      <c r="C186" s="474" t="n">
        <f aca="false">+CURVELOAD!A191</f>
        <v>42186</v>
      </c>
      <c r="D186" s="479" t="n">
        <f aca="false">+IF($E$2&gt;0,$E$2,CURVELOAD!B191)</f>
        <v>0.072271532013526</v>
      </c>
      <c r="E186" s="480" t="n">
        <f aca="true">+IF(C186&lt;TODAY(),1,1/(1+D186/2)^((C187-TODAY())/182.625))</f>
        <v>1</v>
      </c>
      <c r="F186" s="481" t="n">
        <f aca="false">+CURVELOAD!C191+CURVELOAD!E191+CURVELOAD!F191</f>
        <v>3.808</v>
      </c>
      <c r="G186" s="478"/>
      <c r="H186" s="478"/>
      <c r="I186" s="478"/>
      <c r="J186" s="478"/>
    </row>
    <row r="187" customFormat="false" ht="12.75" hidden="false" customHeight="false" outlineLevel="0" collapsed="false">
      <c r="A187" s="0" t="n">
        <v>1</v>
      </c>
      <c r="B187" s="43" t="n">
        <f aca="false">+YEAR(C187)</f>
        <v>2015</v>
      </c>
      <c r="C187" s="474" t="n">
        <f aca="false">+CURVELOAD!A192</f>
        <v>42217</v>
      </c>
      <c r="D187" s="479" t="n">
        <f aca="false">+IF($E$2&gt;0,$E$2,CURVELOAD!B192)</f>
        <v>0.072271203351204</v>
      </c>
      <c r="E187" s="480" t="n">
        <f aca="true">+IF(C187&lt;TODAY(),1,1/(1+D187/2)^((C188-TODAY())/182.625))</f>
        <v>1</v>
      </c>
      <c r="F187" s="481" t="n">
        <f aca="false">+CURVELOAD!C192+CURVELOAD!E192+CURVELOAD!F192</f>
        <v>3.868</v>
      </c>
      <c r="G187" s="478"/>
      <c r="H187" s="478"/>
      <c r="I187" s="478"/>
      <c r="J187" s="478"/>
    </row>
    <row r="188" customFormat="false" ht="12.75" hidden="false" customHeight="false" outlineLevel="0" collapsed="false">
      <c r="A188" s="0" t="n">
        <v>1</v>
      </c>
      <c r="B188" s="43" t="n">
        <f aca="false">+YEAR(C188)</f>
        <v>2015</v>
      </c>
      <c r="C188" s="474" t="n">
        <f aca="false">+CURVELOAD!A193</f>
        <v>42248</v>
      </c>
      <c r="D188" s="479" t="n">
        <f aca="false">+IF($E$2&gt;0,$E$2,CURVELOAD!B193)</f>
        <v>0.072270874688881</v>
      </c>
      <c r="E188" s="480" t="n">
        <f aca="true">+IF(C188&lt;TODAY(),1,1/(1+D188/2)^((C189-TODAY())/182.625))</f>
        <v>1</v>
      </c>
      <c r="F188" s="481" t="n">
        <f aca="false">+CURVELOAD!C193+CURVELOAD!E193+CURVELOAD!F193</f>
        <v>3.846</v>
      </c>
      <c r="G188" s="478"/>
      <c r="H188" s="478"/>
      <c r="I188" s="478"/>
      <c r="J188" s="478"/>
    </row>
    <row r="189" customFormat="false" ht="12.75" hidden="false" customHeight="false" outlineLevel="0" collapsed="false">
      <c r="A189" s="0" t="n">
        <v>1</v>
      </c>
      <c r="B189" s="43" t="n">
        <f aca="false">+YEAR(C189)</f>
        <v>2015</v>
      </c>
      <c r="C189" s="474" t="n">
        <f aca="false">+CURVELOAD!A194</f>
        <v>42278</v>
      </c>
      <c r="D189" s="479" t="n">
        <f aca="false">+IF($E$2&gt;0,$E$2,CURVELOAD!B194)</f>
        <v>0.072270556628569</v>
      </c>
      <c r="E189" s="480" t="n">
        <f aca="true">+IF(C189&lt;TODAY(),1,1/(1+D189/2)^((C190-TODAY())/182.625))</f>
        <v>1</v>
      </c>
      <c r="F189" s="481" t="n">
        <f aca="false">+CURVELOAD!C194+CURVELOAD!E194+CURVELOAD!F194</f>
        <v>3.854</v>
      </c>
      <c r="G189" s="478"/>
      <c r="H189" s="478"/>
      <c r="I189" s="478"/>
      <c r="J189" s="478"/>
    </row>
    <row r="190" customFormat="false" ht="12.75" hidden="false" customHeight="false" outlineLevel="0" collapsed="false">
      <c r="A190" s="0" t="n">
        <v>1</v>
      </c>
      <c r="B190" s="43" t="n">
        <f aca="false">+YEAR(C190)</f>
        <v>2015</v>
      </c>
      <c r="C190" s="474" t="n">
        <f aca="false">+CURVELOAD!A195</f>
        <v>42309</v>
      </c>
      <c r="D190" s="479" t="n">
        <f aca="false">+IF($E$2&gt;0,$E$2,CURVELOAD!B195)</f>
        <v>0.072270227966245</v>
      </c>
      <c r="E190" s="480" t="n">
        <f aca="true">+IF(C190&lt;TODAY(),1,1/(1+D190/2)^((C191-TODAY())/182.625))</f>
        <v>1</v>
      </c>
      <c r="F190" s="481" t="n">
        <f aca="false">+CURVELOAD!C195+CURVELOAD!E195+CURVELOAD!F195</f>
        <v>3.903</v>
      </c>
      <c r="G190" s="478"/>
      <c r="H190" s="478"/>
      <c r="I190" s="478"/>
      <c r="J190" s="478"/>
    </row>
    <row r="191" customFormat="false" ht="12.75" hidden="false" customHeight="false" outlineLevel="0" collapsed="false">
      <c r="A191" s="0" t="n">
        <v>1</v>
      </c>
      <c r="B191" s="43" t="n">
        <f aca="false">+YEAR(C191)</f>
        <v>2015</v>
      </c>
      <c r="C191" s="474" t="n">
        <f aca="false">+CURVELOAD!A196</f>
        <v>42339</v>
      </c>
      <c r="D191" s="479" t="n">
        <f aca="false">+IF($E$2&gt;0,$E$2,CURVELOAD!B196)</f>
        <v>0.072269909905933</v>
      </c>
      <c r="E191" s="480" t="n">
        <f aca="true">+IF(C191&lt;TODAY(),1,1/(1+D191/2)^((C192-TODAY())/182.625))</f>
        <v>1</v>
      </c>
      <c r="F191" s="481" t="n">
        <f aca="false">+CURVELOAD!C196+CURVELOAD!E196+CURVELOAD!F196</f>
        <v>3.972</v>
      </c>
      <c r="G191" s="478"/>
      <c r="H191" s="478"/>
      <c r="I191" s="478"/>
      <c r="J191" s="478"/>
    </row>
    <row r="192" customFormat="false" ht="12.75" hidden="false" customHeight="false" outlineLevel="0" collapsed="false">
      <c r="A192" s="0" t="n">
        <v>1</v>
      </c>
      <c r="B192" s="43" t="n">
        <f aca="false">+YEAR(C192)</f>
        <v>2016</v>
      </c>
      <c r="C192" s="474" t="n">
        <f aca="false">+CURVELOAD!A197</f>
        <v>42370</v>
      </c>
      <c r="D192" s="479" t="n">
        <f aca="false">+IF($E$2&gt;0,$E$2,CURVELOAD!B197)</f>
        <v>0.07226958124361</v>
      </c>
      <c r="E192" s="480" t="n">
        <f aca="true">+IF(C192&lt;TODAY(),1,1/(1+D192/2)^((C193-TODAY())/182.625))</f>
        <v>1</v>
      </c>
      <c r="F192" s="481" t="n">
        <f aca="false">+CURVELOAD!C197+CURVELOAD!E197+CURVELOAD!F197</f>
        <v>4.166</v>
      </c>
      <c r="G192" s="478"/>
      <c r="H192" s="478"/>
      <c r="I192" s="478"/>
      <c r="J192" s="478"/>
    </row>
    <row r="193" customFormat="false" ht="12.75" hidden="false" customHeight="false" outlineLevel="0" collapsed="false">
      <c r="A193" s="0" t="n">
        <v>1</v>
      </c>
      <c r="B193" s="43" t="n">
        <f aca="false">+YEAR(C193)</f>
        <v>2016</v>
      </c>
      <c r="C193" s="474" t="n">
        <f aca="false">+CURVELOAD!A198</f>
        <v>42401</v>
      </c>
      <c r="D193" s="479" t="n">
        <f aca="false">+IF($E$2&gt;0,$E$2,CURVELOAD!B198)</f>
        <v>0.072269252581288</v>
      </c>
      <c r="E193" s="480" t="n">
        <f aca="true">+IF(C193&lt;TODAY(),1,1/(1+D193/2)^((C194-TODAY())/182.625))</f>
        <v>1</v>
      </c>
      <c r="F193" s="481" t="n">
        <f aca="false">+CURVELOAD!C198+CURVELOAD!E198+CURVELOAD!F198</f>
        <v>4.088</v>
      </c>
      <c r="G193" s="478"/>
      <c r="H193" s="478"/>
      <c r="I193" s="478"/>
      <c r="J193" s="478"/>
    </row>
    <row r="194" customFormat="false" ht="12.75" hidden="false" customHeight="false" outlineLevel="0" collapsed="false">
      <c r="A194" s="0" t="n">
        <v>1</v>
      </c>
      <c r="B194" s="43" t="n">
        <f aca="false">+YEAR(C194)</f>
        <v>2016</v>
      </c>
      <c r="C194" s="474" t="n">
        <f aca="false">+CURVELOAD!A199</f>
        <v>42430</v>
      </c>
      <c r="D194" s="479" t="n">
        <f aca="false">+IF($E$2&gt;0,$E$2,CURVELOAD!B199)</f>
        <v>0.072268945122986</v>
      </c>
      <c r="E194" s="480" t="n">
        <f aca="true">+IF(C194&lt;TODAY(),1,1/(1+D194/2)^((C195-TODAY())/182.625))</f>
        <v>1</v>
      </c>
      <c r="F194" s="481" t="n">
        <f aca="false">+CURVELOAD!C199+CURVELOAD!E199+CURVELOAD!F199</f>
        <v>3.982</v>
      </c>
      <c r="G194" s="478"/>
      <c r="H194" s="478"/>
      <c r="I194" s="478"/>
      <c r="J194" s="478"/>
    </row>
    <row r="195" customFormat="false" ht="12.75" hidden="false" customHeight="false" outlineLevel="0" collapsed="false">
      <c r="A195" s="0" t="n">
        <v>1</v>
      </c>
      <c r="B195" s="43" t="n">
        <f aca="false">+YEAR(C195)</f>
        <v>2016</v>
      </c>
      <c r="C195" s="474" t="n">
        <f aca="false">+CURVELOAD!A200</f>
        <v>42461</v>
      </c>
      <c r="D195" s="479" t="n">
        <f aca="false">+IF($E$2&gt;0,$E$2,CURVELOAD!B200)</f>
        <v>0.072268616460663</v>
      </c>
      <c r="E195" s="480" t="n">
        <f aca="true">+IF(C195&lt;TODAY(),1,1/(1+D195/2)^((C196-TODAY())/182.625))</f>
        <v>1</v>
      </c>
      <c r="F195" s="481" t="n">
        <f aca="false">+CURVELOAD!C200+CURVELOAD!E200+CURVELOAD!F200</f>
        <v>3.881</v>
      </c>
      <c r="G195" s="478"/>
      <c r="H195" s="478"/>
      <c r="I195" s="478"/>
      <c r="J195" s="478"/>
    </row>
    <row r="196" customFormat="false" ht="12.75" hidden="false" customHeight="false" outlineLevel="0" collapsed="false">
      <c r="A196" s="0" t="n">
        <v>1</v>
      </c>
      <c r="B196" s="43" t="n">
        <f aca="false">+YEAR(C196)</f>
        <v>2016</v>
      </c>
      <c r="C196" s="474" t="n">
        <f aca="false">+CURVELOAD!A201</f>
        <v>42491</v>
      </c>
      <c r="D196" s="479" t="n">
        <f aca="false">+IF($E$2&gt;0,$E$2,CURVELOAD!B201)</f>
        <v>0.072268298400351</v>
      </c>
      <c r="E196" s="480" t="n">
        <f aca="true">+IF(C196&lt;TODAY(),1,1/(1+D196/2)^((C197-TODAY())/182.625))</f>
        <v>1</v>
      </c>
      <c r="F196" s="481" t="n">
        <f aca="false">+CURVELOAD!C201+CURVELOAD!E201+CURVELOAD!F201</f>
        <v>3.879</v>
      </c>
      <c r="G196" s="478"/>
      <c r="H196" s="478"/>
      <c r="I196" s="478"/>
      <c r="J196" s="478"/>
    </row>
    <row r="197" customFormat="false" ht="12.75" hidden="false" customHeight="false" outlineLevel="0" collapsed="false">
      <c r="A197" s="0" t="n">
        <v>1</v>
      </c>
      <c r="B197" s="43" t="n">
        <f aca="false">+YEAR(C197)</f>
        <v>2016</v>
      </c>
      <c r="C197" s="474" t="n">
        <f aca="false">+CURVELOAD!A202</f>
        <v>42522</v>
      </c>
      <c r="D197" s="479" t="n">
        <f aca="false">+IF($E$2&gt;0,$E$2,CURVELOAD!B202)</f>
        <v>0.072267969738028</v>
      </c>
      <c r="E197" s="480" t="n">
        <f aca="true">+IF(C197&lt;TODAY(),1,1/(1+D197/2)^((C198-TODAY())/182.625))</f>
        <v>1</v>
      </c>
      <c r="F197" s="481" t="n">
        <f aca="false">+CURVELOAD!C202+CURVELOAD!E202+CURVELOAD!F202</f>
        <v>3.922</v>
      </c>
      <c r="G197" s="478"/>
      <c r="H197" s="478"/>
      <c r="I197" s="478"/>
      <c r="J197" s="478"/>
    </row>
    <row r="198" customFormat="false" ht="12.75" hidden="false" customHeight="false" outlineLevel="0" collapsed="false">
      <c r="A198" s="0" t="n">
        <v>1</v>
      </c>
      <c r="B198" s="43" t="n">
        <f aca="false">+YEAR(C198)</f>
        <v>2016</v>
      </c>
      <c r="C198" s="474" t="n">
        <f aca="false">+CURVELOAD!A203</f>
        <v>42552</v>
      </c>
      <c r="D198" s="479" t="n">
        <f aca="false">+IF($E$2&gt;0,$E$2,CURVELOAD!B203)</f>
        <v>0.072267651677717</v>
      </c>
      <c r="E198" s="480" t="n">
        <f aca="true">+IF(C198&lt;TODAY(),1,1/(1+D198/2)^((C199-TODAY())/182.625))</f>
        <v>1</v>
      </c>
      <c r="F198" s="481" t="n">
        <f aca="false">+CURVELOAD!C203+CURVELOAD!E203+CURVELOAD!F203</f>
        <v>3.922</v>
      </c>
      <c r="G198" s="478"/>
      <c r="H198" s="478"/>
      <c r="I198" s="478"/>
      <c r="J198" s="478"/>
    </row>
    <row r="199" customFormat="false" ht="12.75" hidden="false" customHeight="false" outlineLevel="0" collapsed="false">
      <c r="A199" s="0" t="n">
        <v>1</v>
      </c>
      <c r="B199" s="43" t="n">
        <f aca="false">+YEAR(C199)</f>
        <v>2016</v>
      </c>
      <c r="C199" s="474" t="n">
        <f aca="false">+CURVELOAD!A204</f>
        <v>42583</v>
      </c>
      <c r="D199" s="479" t="n">
        <f aca="false">+IF($E$2&gt;0,$E$2,CURVELOAD!B204)</f>
        <v>0.072267323015394</v>
      </c>
      <c r="E199" s="480" t="n">
        <f aca="true">+IF(C199&lt;TODAY(),1,1/(1+D199/2)^((C200-TODAY())/182.625))</f>
        <v>1</v>
      </c>
      <c r="F199" s="481" t="n">
        <f aca="false">+CURVELOAD!C204+CURVELOAD!E204+CURVELOAD!F204</f>
        <v>3.982</v>
      </c>
      <c r="G199" s="478"/>
      <c r="H199" s="478"/>
      <c r="I199" s="478"/>
      <c r="J199" s="478"/>
    </row>
    <row r="200" customFormat="false" ht="12.75" hidden="false" customHeight="false" outlineLevel="0" collapsed="false">
      <c r="A200" s="0" t="n">
        <v>1</v>
      </c>
      <c r="B200" s="43" t="n">
        <f aca="false">+YEAR(C200)</f>
        <v>2016</v>
      </c>
      <c r="C200" s="474" t="n">
        <f aca="false">+CURVELOAD!A205</f>
        <v>42614</v>
      </c>
      <c r="D200" s="479" t="n">
        <f aca="false">+IF($E$2&gt;0,$E$2,CURVELOAD!B205)</f>
        <v>0.072266994353071</v>
      </c>
      <c r="E200" s="480" t="n">
        <f aca="true">+IF(C200&lt;TODAY(),1,1/(1+D200/2)^((C201-TODAY())/182.625))</f>
        <v>1</v>
      </c>
      <c r="F200" s="481" t="n">
        <f aca="false">+CURVELOAD!C205+CURVELOAD!E205+CURVELOAD!F205</f>
        <v>3.959</v>
      </c>
      <c r="G200" s="478"/>
      <c r="H200" s="478"/>
      <c r="I200" s="478"/>
      <c r="J200" s="478"/>
    </row>
    <row r="201" customFormat="false" ht="12.75" hidden="false" customHeight="false" outlineLevel="0" collapsed="false">
      <c r="A201" s="0" t="n">
        <v>1</v>
      </c>
      <c r="B201" s="43" t="n">
        <f aca="false">+YEAR(C201)</f>
        <v>2016</v>
      </c>
      <c r="C201" s="474" t="n">
        <f aca="false">+CURVELOAD!A206</f>
        <v>42644</v>
      </c>
      <c r="D201" s="479" t="n">
        <f aca="false">+IF($E$2&gt;0,$E$2,CURVELOAD!B206)</f>
        <v>0.07226667629276</v>
      </c>
      <c r="E201" s="480" t="n">
        <f aca="true">+IF(C201&lt;TODAY(),1,1/(1+D201/2)^((C202-TODAY())/182.625))</f>
        <v>1</v>
      </c>
      <c r="F201" s="481" t="n">
        <f aca="false">+CURVELOAD!C206+CURVELOAD!E206+CURVELOAD!F206</f>
        <v>3.966</v>
      </c>
      <c r="G201" s="478"/>
      <c r="H201" s="478"/>
      <c r="I201" s="478"/>
      <c r="J201" s="478"/>
    </row>
    <row r="202" customFormat="false" ht="12.75" hidden="false" customHeight="false" outlineLevel="0" collapsed="false">
      <c r="A202" s="0" t="n">
        <v>1</v>
      </c>
      <c r="B202" s="43" t="n">
        <f aca="false">+YEAR(C202)</f>
        <v>2016</v>
      </c>
      <c r="C202" s="474" t="n">
        <f aca="false">+CURVELOAD!A207</f>
        <v>42675</v>
      </c>
      <c r="D202" s="479" t="n">
        <f aca="false">+IF($E$2&gt;0,$E$2,CURVELOAD!B207)</f>
        <v>0.072266347630437</v>
      </c>
      <c r="E202" s="480" t="n">
        <f aca="true">+IF(C202&lt;TODAY(),1,1/(1+D202/2)^((C203-TODAY())/182.625))</f>
        <v>1</v>
      </c>
      <c r="F202" s="481" t="n">
        <f aca="false">+CURVELOAD!C207+CURVELOAD!E207+CURVELOAD!F207</f>
        <v>4.01</v>
      </c>
      <c r="G202" s="478"/>
      <c r="H202" s="478"/>
      <c r="I202" s="478"/>
      <c r="J202" s="478"/>
    </row>
    <row r="203" customFormat="false" ht="12.75" hidden="false" customHeight="false" outlineLevel="0" collapsed="false">
      <c r="A203" s="0" t="n">
        <v>1</v>
      </c>
      <c r="B203" s="43" t="n">
        <f aca="false">+YEAR(C203)</f>
        <v>2016</v>
      </c>
      <c r="C203" s="474" t="n">
        <f aca="false">+CURVELOAD!A208</f>
        <v>42705</v>
      </c>
      <c r="D203" s="479" t="n">
        <f aca="false">+IF($E$2&gt;0,$E$2,CURVELOAD!B208)</f>
        <v>0.072266029570125</v>
      </c>
      <c r="E203" s="480" t="n">
        <f aca="true">+IF(C203&lt;TODAY(),1,1/(1+D203/2)^((C204-TODAY())/182.625))</f>
        <v>1</v>
      </c>
      <c r="F203" s="481" t="n">
        <f aca="false">+CURVELOAD!C208+CURVELOAD!E208+CURVELOAD!F208</f>
        <v>4.076</v>
      </c>
      <c r="G203" s="478"/>
      <c r="H203" s="478"/>
      <c r="I203" s="478"/>
      <c r="J203" s="478"/>
    </row>
    <row r="204" customFormat="false" ht="12.75" hidden="false" customHeight="false" outlineLevel="0" collapsed="false">
      <c r="A204" s="0" t="n">
        <v>1</v>
      </c>
      <c r="B204" s="43" t="n">
        <f aca="false">+YEAR(C204)</f>
        <v>2017</v>
      </c>
      <c r="C204" s="474" t="n">
        <f aca="false">+CURVELOAD!A209</f>
        <v>42736</v>
      </c>
      <c r="D204" s="479" t="n">
        <f aca="false">+IF($E$2&gt;0,$E$2,CURVELOAD!B209)</f>
        <v>0.072265700907803</v>
      </c>
      <c r="E204" s="480" t="n">
        <f aca="true">+IF(C204&lt;TODAY(),1,1/(1+D204/2)^((C205-TODAY())/182.625))</f>
        <v>1</v>
      </c>
      <c r="F204" s="481" t="n">
        <f aca="false">+CURVELOAD!C209+CURVELOAD!E209+CURVELOAD!F209</f>
        <v>4.273</v>
      </c>
      <c r="G204" s="478"/>
      <c r="H204" s="478"/>
      <c r="I204" s="478"/>
      <c r="J204" s="478"/>
    </row>
    <row r="205" customFormat="false" ht="12.75" hidden="false" customHeight="false" outlineLevel="0" collapsed="false">
      <c r="A205" s="0" t="n">
        <v>1</v>
      </c>
      <c r="B205" s="43" t="n">
        <f aca="false">+YEAR(C205)</f>
        <v>2017</v>
      </c>
      <c r="C205" s="474" t="n">
        <f aca="false">+CURVELOAD!A210</f>
        <v>42767</v>
      </c>
      <c r="D205" s="479" t="n">
        <f aca="false">+IF($E$2&gt;0,$E$2,CURVELOAD!B210)</f>
        <v>0.07226537224548</v>
      </c>
      <c r="E205" s="480" t="n">
        <f aca="true">+IF(C205&lt;TODAY(),1,1/(1+D205/2)^((C206-TODAY())/182.625))</f>
        <v>1</v>
      </c>
      <c r="F205" s="481" t="n">
        <f aca="false">+CURVELOAD!C210+CURVELOAD!E210+CURVELOAD!F210</f>
        <v>4.199</v>
      </c>
      <c r="G205" s="478"/>
      <c r="H205" s="478"/>
      <c r="I205" s="478"/>
      <c r="J205" s="478"/>
    </row>
    <row r="206" customFormat="false" ht="12.75" hidden="false" customHeight="false" outlineLevel="0" collapsed="false">
      <c r="A206" s="0" t="n">
        <v>1</v>
      </c>
      <c r="B206" s="43" t="n">
        <f aca="false">+YEAR(C206)</f>
        <v>2017</v>
      </c>
      <c r="C206" s="474" t="n">
        <f aca="false">+CURVELOAD!A211</f>
        <v>42795</v>
      </c>
      <c r="D206" s="479" t="n">
        <f aca="false">+IF($E$2&gt;0,$E$2,CURVELOAD!B211)</f>
        <v>0.072265075389189</v>
      </c>
      <c r="E206" s="480" t="n">
        <f aca="true">+IF(C206&lt;TODAY(),1,1/(1+D206/2)^((C207-TODAY())/182.625))</f>
        <v>1</v>
      </c>
      <c r="F206" s="481" t="n">
        <f aca="false">+CURVELOAD!C211+CURVELOAD!E211+CURVELOAD!F211</f>
        <v>4.096</v>
      </c>
      <c r="G206" s="478"/>
      <c r="H206" s="478"/>
      <c r="I206" s="478"/>
      <c r="J206" s="478"/>
    </row>
    <row r="207" customFormat="false" ht="12.75" hidden="false" customHeight="false" outlineLevel="0" collapsed="false">
      <c r="A207" s="0" t="n">
        <v>1</v>
      </c>
      <c r="B207" s="43" t="n">
        <f aca="false">+YEAR(C207)</f>
        <v>2017</v>
      </c>
      <c r="C207" s="474" t="n">
        <f aca="false">+CURVELOAD!A212</f>
        <v>42826</v>
      </c>
      <c r="D207" s="479" t="n">
        <f aca="false">+IF($E$2&gt;0,$E$2,CURVELOAD!B212)</f>
        <v>0.072264746726868</v>
      </c>
      <c r="E207" s="480" t="n">
        <f aca="true">+IF(C207&lt;TODAY(),1,1/(1+D207/2)^((C208-TODAY())/182.625))</f>
        <v>1</v>
      </c>
      <c r="F207" s="481" t="n">
        <f aca="false">+CURVELOAD!C212+CURVELOAD!E212+CURVELOAD!F212</f>
        <v>3.998</v>
      </c>
      <c r="G207" s="478"/>
      <c r="H207" s="478"/>
      <c r="I207" s="478"/>
      <c r="J207" s="478"/>
    </row>
    <row r="208" customFormat="false" ht="12.75" hidden="false" customHeight="false" outlineLevel="0" collapsed="false">
      <c r="A208" s="0" t="n">
        <v>1</v>
      </c>
      <c r="B208" s="43" t="n">
        <f aca="false">+YEAR(C208)</f>
        <v>2017</v>
      </c>
      <c r="C208" s="474" t="n">
        <f aca="false">+CURVELOAD!A213</f>
        <v>42856</v>
      </c>
      <c r="D208" s="479" t="n">
        <f aca="false">+IF($E$2&gt;0,$E$2,CURVELOAD!B213)</f>
        <v>0.072264428666556</v>
      </c>
      <c r="E208" s="480" t="n">
        <f aca="true">+IF(C208&lt;TODAY(),1,1/(1+D208/2)^((C209-TODAY())/182.625))</f>
        <v>1</v>
      </c>
      <c r="F208" s="481" t="n">
        <f aca="false">+CURVELOAD!C213+CURVELOAD!E213+CURVELOAD!F213</f>
        <v>3.997</v>
      </c>
      <c r="G208" s="478"/>
      <c r="H208" s="478"/>
      <c r="I208" s="478"/>
      <c r="J208" s="478"/>
    </row>
    <row r="209" customFormat="false" ht="12.75" hidden="false" customHeight="false" outlineLevel="0" collapsed="false">
      <c r="A209" s="0" t="n">
        <v>1</v>
      </c>
      <c r="B209" s="43" t="n">
        <f aca="false">+YEAR(C209)</f>
        <v>2017</v>
      </c>
      <c r="C209" s="474" t="n">
        <f aca="false">+CURVELOAD!A214</f>
        <v>42887</v>
      </c>
      <c r="D209" s="479" t="n">
        <f aca="false">+IF($E$2&gt;0,$E$2,CURVELOAD!B214)</f>
        <v>0.072264100004233</v>
      </c>
      <c r="E209" s="480" t="n">
        <f aca="true">+IF(C209&lt;TODAY(),1,1/(1+D209/2)^((C210-TODAY())/182.625))</f>
        <v>1</v>
      </c>
      <c r="F209" s="481" t="n">
        <f aca="false">+CURVELOAD!C214+CURVELOAD!E214+CURVELOAD!F214</f>
        <v>4.041</v>
      </c>
      <c r="G209" s="478"/>
      <c r="H209" s="478"/>
      <c r="I209" s="478"/>
      <c r="J209" s="478"/>
    </row>
    <row r="210" customFormat="false" ht="12.75" hidden="false" customHeight="false" outlineLevel="0" collapsed="false">
      <c r="A210" s="0" t="n">
        <v>1</v>
      </c>
      <c r="B210" s="43" t="n">
        <f aca="false">+YEAR(C210)</f>
        <v>2017</v>
      </c>
      <c r="C210" s="474" t="n">
        <f aca="false">+CURVELOAD!A215</f>
        <v>42917</v>
      </c>
      <c r="D210" s="479" t="n">
        <f aca="false">+IF($E$2&gt;0,$E$2,CURVELOAD!B215)</f>
        <v>0.072263781943921</v>
      </c>
      <c r="E210" s="480" t="n">
        <f aca="true">+IF(C210&lt;TODAY(),1,1/(1+D210/2)^((C211-TODAY())/182.625))</f>
        <v>1</v>
      </c>
      <c r="F210" s="481" t="n">
        <f aca="false">+CURVELOAD!C215+CURVELOAD!E215+CURVELOAD!F215</f>
        <v>4.041</v>
      </c>
      <c r="G210" s="478"/>
      <c r="H210" s="478"/>
      <c r="I210" s="478"/>
      <c r="J210" s="478"/>
    </row>
    <row r="211" customFormat="false" ht="12.75" hidden="false" customHeight="false" outlineLevel="0" collapsed="false">
      <c r="A211" s="0" t="n">
        <v>1</v>
      </c>
      <c r="B211" s="43" t="n">
        <f aca="false">+YEAR(C211)</f>
        <v>2017</v>
      </c>
      <c r="C211" s="474" t="n">
        <f aca="false">+CURVELOAD!A216</f>
        <v>42948</v>
      </c>
      <c r="D211" s="479" t="n">
        <f aca="false">+IF($E$2&gt;0,$E$2,CURVELOAD!B216)</f>
        <v>0.0722634532816</v>
      </c>
      <c r="E211" s="480" t="n">
        <f aca="true">+IF(C211&lt;TODAY(),1,1/(1+D211/2)^((C212-TODAY())/182.625))</f>
        <v>1</v>
      </c>
      <c r="F211" s="481" t="n">
        <f aca="false">+CURVELOAD!C216+CURVELOAD!E216+CURVELOAD!F216</f>
        <v>4.101</v>
      </c>
      <c r="G211" s="478"/>
      <c r="H211" s="478"/>
      <c r="I211" s="478"/>
      <c r="J211" s="478"/>
    </row>
    <row r="212" customFormat="false" ht="12.75" hidden="false" customHeight="false" outlineLevel="0" collapsed="false">
      <c r="A212" s="0" t="n">
        <v>1</v>
      </c>
      <c r="B212" s="43" t="n">
        <f aca="false">+YEAR(C212)</f>
        <v>2017</v>
      </c>
      <c r="C212" s="474" t="n">
        <f aca="false">+CURVELOAD!A217</f>
        <v>42979</v>
      </c>
      <c r="D212" s="479" t="n">
        <f aca="false">+IF($E$2&gt;0,$E$2,CURVELOAD!B217)</f>
        <v>0.072263124619278</v>
      </c>
      <c r="E212" s="480" t="n">
        <f aca="true">+IF(C212&lt;TODAY(),1,1/(1+D212/2)^((C213-TODAY())/182.625))</f>
        <v>1</v>
      </c>
      <c r="F212" s="481" t="n">
        <f aca="false">+CURVELOAD!C217+CURVELOAD!E217+CURVELOAD!F217</f>
        <v>4.077</v>
      </c>
      <c r="G212" s="478"/>
      <c r="H212" s="478"/>
      <c r="I212" s="478"/>
      <c r="J212" s="478"/>
    </row>
    <row r="213" customFormat="false" ht="12.75" hidden="false" customHeight="false" outlineLevel="0" collapsed="false">
      <c r="A213" s="0" t="n">
        <v>1</v>
      </c>
      <c r="B213" s="43" t="n">
        <f aca="false">+YEAR(C213)</f>
        <v>2017</v>
      </c>
      <c r="C213" s="474" t="n">
        <f aca="false">+CURVELOAD!A218</f>
        <v>43009</v>
      </c>
      <c r="D213" s="479" t="n">
        <f aca="false">+IF($E$2&gt;0,$E$2,CURVELOAD!B218)</f>
        <v>0.072262806558966</v>
      </c>
      <c r="E213" s="480" t="n">
        <f aca="true">+IF(C213&lt;TODAY(),1,1/(1+D213/2)^((C214-TODAY())/182.625))</f>
        <v>1</v>
      </c>
      <c r="F213" s="481" t="n">
        <f aca="false">+CURVELOAD!C218+CURVELOAD!E218+CURVELOAD!F218</f>
        <v>4.083</v>
      </c>
      <c r="G213" s="478"/>
      <c r="H213" s="478"/>
      <c r="I213" s="478"/>
      <c r="J213" s="478"/>
    </row>
    <row r="214" customFormat="false" ht="12.75" hidden="false" customHeight="false" outlineLevel="0" collapsed="false">
      <c r="A214" s="0" t="n">
        <v>1</v>
      </c>
      <c r="B214" s="43" t="n">
        <f aca="false">+YEAR(C214)</f>
        <v>2017</v>
      </c>
      <c r="C214" s="474" t="n">
        <f aca="false">+CURVELOAD!A219</f>
        <v>43040</v>
      </c>
      <c r="D214" s="479" t="n">
        <f aca="false">+IF($E$2&gt;0,$E$2,CURVELOAD!B219)</f>
        <v>0.072262477896644</v>
      </c>
      <c r="E214" s="480" t="n">
        <f aca="true">+IF(C214&lt;TODAY(),1,1/(1+D214/2)^((C215-TODAY())/182.625))</f>
        <v>1</v>
      </c>
      <c r="F214" s="481" t="n">
        <f aca="false">+CURVELOAD!C219+CURVELOAD!E219+CURVELOAD!F219</f>
        <v>4.122</v>
      </c>
      <c r="G214" s="478"/>
      <c r="H214" s="478"/>
      <c r="I214" s="478"/>
      <c r="J214" s="478"/>
    </row>
    <row r="215" customFormat="false" ht="12.75" hidden="false" customHeight="false" outlineLevel="0" collapsed="false">
      <c r="A215" s="0" t="n">
        <v>1</v>
      </c>
      <c r="B215" s="43" t="n">
        <f aca="false">+YEAR(C215)</f>
        <v>2017</v>
      </c>
      <c r="C215" s="474" t="n">
        <f aca="false">+CURVELOAD!A220</f>
        <v>43070</v>
      </c>
      <c r="D215" s="479" t="n">
        <f aca="false">+IF($E$2&gt;0,$E$2,CURVELOAD!B220)</f>
        <v>0.072262159836332</v>
      </c>
      <c r="E215" s="480" t="n">
        <f aca="true">+IF(C215&lt;TODAY(),1,1/(1+D215/2)^((C216-TODAY())/182.625))</f>
        <v>1</v>
      </c>
      <c r="F215" s="481" t="n">
        <f aca="false">+CURVELOAD!C220+CURVELOAD!E220+CURVELOAD!F220</f>
        <v>4.185</v>
      </c>
      <c r="G215" s="478"/>
      <c r="H215" s="478"/>
      <c r="I215" s="478"/>
      <c r="J215" s="478"/>
    </row>
    <row r="216" customFormat="false" ht="12.75" hidden="false" customHeight="false" outlineLevel="0" collapsed="false">
      <c r="A216" s="0" t="n">
        <v>1</v>
      </c>
      <c r="B216" s="43" t="n">
        <f aca="false">+YEAR(C216)</f>
        <v>2018</v>
      </c>
      <c r="C216" s="474" t="n">
        <f aca="false">+CURVELOAD!A221</f>
        <v>43101</v>
      </c>
      <c r="D216" s="479" t="n">
        <f aca="false">+IF($E$2&gt;0,$E$2,CURVELOAD!B221)</f>
        <v>0.072261831174011</v>
      </c>
      <c r="E216" s="480" t="n">
        <f aca="true">+IF(C216&lt;TODAY(),1,1/(1+D216/2)^((C217-TODAY())/182.625))</f>
        <v>1</v>
      </c>
      <c r="F216" s="481" t="n">
        <f aca="false">+CURVELOAD!C221+CURVELOAD!E221+CURVELOAD!F221</f>
        <v>4.385</v>
      </c>
      <c r="G216" s="478"/>
      <c r="H216" s="478"/>
      <c r="I216" s="478"/>
      <c r="J216" s="478"/>
    </row>
    <row r="217" customFormat="false" ht="12.75" hidden="false" customHeight="false" outlineLevel="0" collapsed="false">
      <c r="A217" s="0" t="n">
        <v>1</v>
      </c>
      <c r="B217" s="43" t="n">
        <f aca="false">+YEAR(C217)</f>
        <v>2018</v>
      </c>
      <c r="C217" s="474" t="n">
        <f aca="false">+CURVELOAD!A222</f>
        <v>43132</v>
      </c>
      <c r="D217" s="479" t="n">
        <f aca="false">+IF($E$2&gt;0,$E$2,CURVELOAD!B222)</f>
        <v>0.072261502511689</v>
      </c>
      <c r="E217" s="480" t="n">
        <f aca="true">+IF(C217&lt;TODAY(),1,1/(1+D217/2)^((C218-TODAY())/182.625))</f>
        <v>1</v>
      </c>
      <c r="F217" s="481" t="n">
        <f aca="false">+CURVELOAD!C222+CURVELOAD!E222+CURVELOAD!F222</f>
        <v>4.315</v>
      </c>
      <c r="G217" s="478"/>
      <c r="H217" s="478"/>
      <c r="I217" s="478"/>
      <c r="J217" s="478"/>
    </row>
    <row r="218" customFormat="false" ht="12.75" hidden="false" customHeight="false" outlineLevel="0" collapsed="false">
      <c r="A218" s="0" t="n">
        <v>1</v>
      </c>
      <c r="B218" s="43" t="n">
        <f aca="false">+YEAR(C218)</f>
        <v>2018</v>
      </c>
      <c r="C218" s="474" t="n">
        <f aca="false">+CURVELOAD!A223</f>
        <v>43160</v>
      </c>
      <c r="D218" s="479" t="n">
        <f aca="false">+IF($E$2&gt;0,$E$2,CURVELOAD!B223)</f>
        <v>0.072261205655398</v>
      </c>
      <c r="E218" s="480" t="n">
        <f aca="true">+IF(C218&lt;TODAY(),1,1/(1+D218/2)^((C219-TODAY())/182.625))</f>
        <v>1</v>
      </c>
      <c r="F218" s="481" t="n">
        <f aca="false">+CURVELOAD!C223+CURVELOAD!E223+CURVELOAD!F223</f>
        <v>4.22</v>
      </c>
      <c r="G218" s="478"/>
      <c r="H218" s="478"/>
      <c r="I218" s="478"/>
      <c r="J218" s="478"/>
    </row>
    <row r="219" customFormat="false" ht="12.75" hidden="false" customHeight="false" outlineLevel="0" collapsed="false">
      <c r="A219" s="0" t="n">
        <v>1</v>
      </c>
      <c r="B219" s="43" t="n">
        <f aca="false">+YEAR(C219)</f>
        <v>2018</v>
      </c>
      <c r="C219" s="474" t="n">
        <f aca="false">+CURVELOAD!A224</f>
        <v>43191</v>
      </c>
      <c r="D219" s="479" t="n">
        <f aca="false">+IF($E$2&gt;0,$E$2,CURVELOAD!B224)</f>
        <v>0.072260876993076</v>
      </c>
      <c r="E219" s="480" t="n">
        <f aca="true">+IF(C219&lt;TODAY(),1,1/(1+D219/2)^((C220-TODAY())/182.625))</f>
        <v>1</v>
      </c>
      <c r="F219" s="481" t="n">
        <f aca="false">+CURVELOAD!C224+CURVELOAD!E224+CURVELOAD!F224</f>
        <v>4.125</v>
      </c>
      <c r="G219" s="478"/>
      <c r="H219" s="478"/>
      <c r="I219" s="478"/>
      <c r="J219" s="478"/>
    </row>
    <row r="220" customFormat="false" ht="12.75" hidden="false" customHeight="false" outlineLevel="0" collapsed="false">
      <c r="A220" s="0" t="n">
        <v>1</v>
      </c>
      <c r="B220" s="43" t="n">
        <f aca="false">+YEAR(C220)</f>
        <v>2018</v>
      </c>
      <c r="C220" s="474" t="n">
        <f aca="false">+CURVELOAD!A225</f>
        <v>43221</v>
      </c>
      <c r="D220" s="479" t="n">
        <f aca="false">+IF($E$2&gt;0,$E$2,CURVELOAD!B225)</f>
        <v>0.072260558932765</v>
      </c>
      <c r="E220" s="480" t="n">
        <f aca="true">+IF(C220&lt;TODAY(),1,1/(1+D220/2)^((C221-TODAY())/182.625))</f>
        <v>1</v>
      </c>
      <c r="F220" s="481" t="n">
        <f aca="false">+CURVELOAD!C225+CURVELOAD!E225+CURVELOAD!F225</f>
        <v>4.125</v>
      </c>
      <c r="G220" s="478"/>
      <c r="H220" s="478"/>
      <c r="I220" s="478"/>
      <c r="J220" s="478"/>
    </row>
    <row r="221" customFormat="false" ht="12.75" hidden="false" customHeight="false" outlineLevel="0" collapsed="false">
      <c r="A221" s="0" t="n">
        <v>1</v>
      </c>
      <c r="B221" s="43" t="n">
        <f aca="false">+YEAR(C221)</f>
        <v>2018</v>
      </c>
      <c r="C221" s="474" t="n">
        <f aca="false">+CURVELOAD!A226</f>
        <v>43252</v>
      </c>
      <c r="D221" s="479" t="n">
        <f aca="false">+IF($E$2&gt;0,$E$2,CURVELOAD!B226)</f>
        <v>0.072260230270443</v>
      </c>
      <c r="E221" s="480" t="n">
        <f aca="true">+IF(C221&lt;TODAY(),1,1/(1+D221/2)^((C222-TODAY())/182.625))</f>
        <v>1</v>
      </c>
      <c r="F221" s="481" t="n">
        <f aca="false">+CURVELOAD!C226+CURVELOAD!E226+CURVELOAD!F226</f>
        <v>4.17</v>
      </c>
      <c r="G221" s="478"/>
      <c r="H221" s="478"/>
      <c r="I221" s="478"/>
      <c r="J221" s="478"/>
    </row>
    <row r="222" customFormat="false" ht="12.75" hidden="false" customHeight="false" outlineLevel="0" collapsed="false">
      <c r="A222" s="0" t="n">
        <v>1</v>
      </c>
      <c r="B222" s="43" t="n">
        <f aca="false">+YEAR(C222)</f>
        <v>2018</v>
      </c>
      <c r="C222" s="474" t="n">
        <f aca="false">+CURVELOAD!A227</f>
        <v>43282</v>
      </c>
      <c r="D222" s="479" t="n">
        <f aca="false">+IF($E$2&gt;0,$E$2,CURVELOAD!B227)</f>
        <v>0.072259912210132</v>
      </c>
      <c r="E222" s="480" t="n">
        <f aca="true">+IF(C222&lt;TODAY(),1,1/(1+D222/2)^((C223-TODAY())/182.625))</f>
        <v>1</v>
      </c>
      <c r="F222" s="481" t="n">
        <f aca="false">+CURVELOAD!C227+CURVELOAD!E227+CURVELOAD!F227</f>
        <v>4.17</v>
      </c>
      <c r="G222" s="478"/>
      <c r="H222" s="478"/>
      <c r="I222" s="478"/>
      <c r="J222" s="478"/>
    </row>
    <row r="223" customFormat="false" ht="12.75" hidden="false" customHeight="false" outlineLevel="0" collapsed="false">
      <c r="A223" s="0" t="n">
        <v>1</v>
      </c>
      <c r="B223" s="43" t="n">
        <f aca="false">+YEAR(C223)</f>
        <v>2018</v>
      </c>
      <c r="C223" s="474" t="n">
        <f aca="false">+CURVELOAD!A228</f>
        <v>43313</v>
      </c>
      <c r="D223" s="479" t="n">
        <f aca="false">+IF($E$2&gt;0,$E$2,CURVELOAD!B228)</f>
        <v>0.07225958354781</v>
      </c>
      <c r="E223" s="480" t="n">
        <f aca="true">+IF(C223&lt;TODAY(),1,1/(1+D223/2)^((C224-TODAY())/182.625))</f>
        <v>1</v>
      </c>
      <c r="F223" s="481" t="n">
        <f aca="false">+CURVELOAD!C228+CURVELOAD!E228+CURVELOAD!F228</f>
        <v>4.23</v>
      </c>
      <c r="G223" s="478"/>
      <c r="H223" s="478"/>
      <c r="I223" s="478"/>
      <c r="J223" s="478"/>
    </row>
    <row r="224" customFormat="false" ht="12.75" hidden="false" customHeight="false" outlineLevel="0" collapsed="false">
      <c r="A224" s="0" t="n">
        <v>1</v>
      </c>
      <c r="B224" s="43" t="n">
        <f aca="false">+YEAR(C224)</f>
        <v>2018</v>
      </c>
      <c r="C224" s="474" t="n">
        <f aca="false">+CURVELOAD!A229</f>
        <v>43344</v>
      </c>
      <c r="D224" s="479" t="n">
        <f aca="false">+IF($E$2&gt;0,$E$2,CURVELOAD!B229)</f>
        <v>0.072259254885488</v>
      </c>
      <c r="E224" s="480" t="n">
        <f aca="true">+IF(C224&lt;TODAY(),1,1/(1+D224/2)^((C225-TODAY())/182.625))</f>
        <v>1</v>
      </c>
      <c r="F224" s="481" t="n">
        <f aca="false">+CURVELOAD!C229+CURVELOAD!E229+CURVELOAD!F229</f>
        <v>4.205</v>
      </c>
      <c r="G224" s="478"/>
      <c r="H224" s="478"/>
      <c r="I224" s="478"/>
      <c r="J224" s="478"/>
    </row>
    <row r="225" customFormat="false" ht="12.75" hidden="false" customHeight="false" outlineLevel="0" collapsed="false">
      <c r="A225" s="0" t="n">
        <v>1</v>
      </c>
      <c r="B225" s="43" t="n">
        <f aca="false">+YEAR(C225)</f>
        <v>2018</v>
      </c>
      <c r="C225" s="474" t="n">
        <f aca="false">+CURVELOAD!A230</f>
        <v>43374</v>
      </c>
      <c r="D225" s="479" t="n">
        <f aca="false">+IF($E$2&gt;0,$E$2,CURVELOAD!B230)</f>
        <v>0.072258936825177</v>
      </c>
      <c r="E225" s="480" t="n">
        <f aca="true">+IF(C225&lt;TODAY(),1,1/(1+D225/2)^((C226-TODAY())/182.625))</f>
        <v>1</v>
      </c>
      <c r="F225" s="481" t="n">
        <f aca="false">+CURVELOAD!C230+CURVELOAD!E230+CURVELOAD!F230</f>
        <v>4.21</v>
      </c>
      <c r="G225" s="478"/>
      <c r="H225" s="478"/>
      <c r="I225" s="478"/>
      <c r="J225" s="478"/>
    </row>
    <row r="226" customFormat="false" ht="12.75" hidden="false" customHeight="false" outlineLevel="0" collapsed="false">
      <c r="A226" s="0" t="n">
        <v>1</v>
      </c>
      <c r="B226" s="43" t="n">
        <f aca="false">+YEAR(C226)</f>
        <v>2018</v>
      </c>
      <c r="C226" s="474" t="n">
        <f aca="false">+CURVELOAD!A231</f>
        <v>43405</v>
      </c>
      <c r="D226" s="479" t="n">
        <f aca="false">+IF($E$2&gt;0,$E$2,CURVELOAD!B231)</f>
        <v>0.072258608162856</v>
      </c>
      <c r="E226" s="480" t="n">
        <f aca="true">+IF(C226&lt;TODAY(),1,1/(1+D226/2)^((C227-TODAY())/182.625))</f>
        <v>1</v>
      </c>
      <c r="F226" s="481" t="n">
        <f aca="false">+CURVELOAD!C231+CURVELOAD!E231+CURVELOAD!F231</f>
        <v>4.244</v>
      </c>
      <c r="G226" s="478"/>
      <c r="H226" s="478"/>
      <c r="I226" s="478"/>
      <c r="J226" s="478"/>
    </row>
    <row r="227" customFormat="false" ht="12.75" hidden="false" customHeight="false" outlineLevel="0" collapsed="false">
      <c r="A227" s="0" t="n">
        <v>1</v>
      </c>
      <c r="B227" s="43" t="n">
        <f aca="false">+YEAR(C227)</f>
        <v>2018</v>
      </c>
      <c r="C227" s="474" t="n">
        <f aca="false">+CURVELOAD!A232</f>
        <v>43435</v>
      </c>
      <c r="D227" s="479" t="n">
        <f aca="false">+IF($E$2&gt;0,$E$2,CURVELOAD!B232)</f>
        <v>0.072258290102545</v>
      </c>
      <c r="E227" s="480" t="n">
        <f aca="true">+IF(C227&lt;TODAY(),1,1/(1+D227/2)^((C228-TODAY())/182.625))</f>
        <v>1</v>
      </c>
      <c r="F227" s="481" t="n">
        <f aca="false">+CURVELOAD!C232+CURVELOAD!E232+CURVELOAD!F232</f>
        <v>4.304</v>
      </c>
      <c r="G227" s="478"/>
      <c r="H227" s="478"/>
      <c r="I227" s="478"/>
      <c r="J227" s="478"/>
    </row>
    <row r="228" customFormat="false" ht="12.75" hidden="false" customHeight="false" outlineLevel="0" collapsed="false">
      <c r="A228" s="0" t="n">
        <v>1</v>
      </c>
      <c r="B228" s="43" t="n">
        <f aca="false">+YEAR(C228)</f>
        <v>2019</v>
      </c>
      <c r="C228" s="474" t="n">
        <f aca="false">+CURVELOAD!A233</f>
        <v>43466</v>
      </c>
      <c r="D228" s="479" t="n">
        <f aca="false">+IF($E$2&gt;0,$E$2,CURVELOAD!B233)</f>
        <v>0.072257961440223</v>
      </c>
      <c r="E228" s="480" t="n">
        <f aca="true">+IF(C228&lt;TODAY(),1,1/(1+D228/2)^((C229-TODAY())/182.625))</f>
        <v>1</v>
      </c>
      <c r="F228" s="481" t="n">
        <f aca="false">+CURVELOAD!C233+CURVELOAD!E233+CURVELOAD!F233</f>
        <v>4.507</v>
      </c>
      <c r="G228" s="478"/>
      <c r="H228" s="478"/>
      <c r="I228" s="478"/>
      <c r="J228" s="478"/>
    </row>
    <row r="229" customFormat="false" ht="12.75" hidden="false" customHeight="false" outlineLevel="0" collapsed="false">
      <c r="A229" s="0" t="n">
        <v>1</v>
      </c>
      <c r="B229" s="43" t="n">
        <f aca="false">+YEAR(C229)</f>
        <v>2019</v>
      </c>
      <c r="C229" s="474" t="n">
        <f aca="false">+CURVELOAD!A234</f>
        <v>43497</v>
      </c>
      <c r="D229" s="479" t="n">
        <f aca="false">+IF($E$2&gt;0,$E$2,CURVELOAD!B234)</f>
        <v>0.072257632777902</v>
      </c>
      <c r="E229" s="480" t="n">
        <f aca="true">+IF(C229&lt;TODAY(),1,1/(1+D229/2)^((C230-TODAY())/182.625))</f>
        <v>1</v>
      </c>
      <c r="F229" s="481" t="n">
        <f aca="false">+CURVELOAD!C234+CURVELOAD!E234+CURVELOAD!F234</f>
        <v>4.441</v>
      </c>
      <c r="G229" s="478"/>
      <c r="H229" s="478"/>
      <c r="I229" s="478"/>
      <c r="J229" s="478"/>
    </row>
    <row r="230" customFormat="false" ht="12.75" hidden="false" customHeight="false" outlineLevel="0" collapsed="false">
      <c r="A230" s="0" t="n">
        <v>1</v>
      </c>
      <c r="B230" s="43" t="n">
        <f aca="false">+YEAR(C230)</f>
        <v>2019</v>
      </c>
      <c r="C230" s="474" t="n">
        <f aca="false">+CURVELOAD!A235</f>
        <v>43525</v>
      </c>
      <c r="D230" s="479" t="n">
        <f aca="false">+IF($E$2&gt;0,$E$2,CURVELOAD!B235)</f>
        <v>0.072257335921611</v>
      </c>
      <c r="E230" s="480" t="n">
        <f aca="true">+IF(C230&lt;TODAY(),1,1/(1+D230/2)^((C231-TODAY())/182.625))</f>
        <v>1</v>
      </c>
      <c r="F230" s="481" t="n">
        <f aca="false">+CURVELOAD!C235+CURVELOAD!E235+CURVELOAD!F235</f>
        <v>4.349</v>
      </c>
      <c r="G230" s="478"/>
      <c r="H230" s="478"/>
      <c r="I230" s="478"/>
      <c r="J230" s="478"/>
    </row>
    <row r="231" customFormat="false" ht="12.75" hidden="false" customHeight="false" outlineLevel="0" collapsed="false">
      <c r="A231" s="0" t="n">
        <v>1</v>
      </c>
      <c r="B231" s="43" t="n">
        <f aca="false">+YEAR(C231)</f>
        <v>2019</v>
      </c>
      <c r="C231" s="474" t="n">
        <f aca="false">+CURVELOAD!A236</f>
        <v>43556</v>
      </c>
      <c r="D231" s="479" t="n">
        <f aca="false">+IF($E$2&gt;0,$E$2,CURVELOAD!B236)</f>
        <v>0.07225700725929</v>
      </c>
      <c r="E231" s="480" t="n">
        <f aca="true">+IF(C231&lt;TODAY(),1,1/(1+D231/2)^((C232-TODAY())/182.625))</f>
        <v>1</v>
      </c>
      <c r="F231" s="481" t="n">
        <f aca="false">+CURVELOAD!C236+CURVELOAD!E236+CURVELOAD!F236</f>
        <v>4.257</v>
      </c>
      <c r="G231" s="478"/>
      <c r="H231" s="478"/>
      <c r="I231" s="478"/>
      <c r="J231" s="478"/>
    </row>
    <row r="232" customFormat="false" ht="12.75" hidden="false" customHeight="false" outlineLevel="0" collapsed="false">
      <c r="A232" s="0" t="n">
        <v>1</v>
      </c>
      <c r="B232" s="43" t="n">
        <f aca="false">+YEAR(C232)</f>
        <v>2019</v>
      </c>
      <c r="C232" s="474" t="n">
        <f aca="false">+CURVELOAD!A237</f>
        <v>43586</v>
      </c>
      <c r="D232" s="479" t="n">
        <f aca="false">+IF($E$2&gt;0,$E$2,CURVELOAD!B237)</f>
        <v>0.072256689198979</v>
      </c>
      <c r="E232" s="480" t="n">
        <f aca="true">+IF(C232&lt;TODAY(),1,1/(1+D232/2)^((C233-TODAY())/182.625))</f>
        <v>1</v>
      </c>
      <c r="F232" s="481" t="n">
        <f aca="false">+CURVELOAD!C237+CURVELOAD!E237+CURVELOAD!F237</f>
        <v>4.258</v>
      </c>
      <c r="G232" s="478"/>
      <c r="H232" s="478"/>
      <c r="I232" s="478"/>
      <c r="J232" s="478"/>
    </row>
    <row r="233" customFormat="false" ht="12.75" hidden="false" customHeight="false" outlineLevel="0" collapsed="false">
      <c r="A233" s="0" t="n">
        <v>1</v>
      </c>
      <c r="B233" s="43" t="n">
        <f aca="false">+YEAR(C233)</f>
        <v>2019</v>
      </c>
      <c r="C233" s="474" t="n">
        <f aca="false">+CURVELOAD!A238</f>
        <v>43617</v>
      </c>
      <c r="D233" s="479" t="n">
        <f aca="false">+IF($E$2&gt;0,$E$2,CURVELOAD!B238)</f>
        <v>0.072256360536658</v>
      </c>
      <c r="E233" s="480" t="n">
        <f aca="true">+IF(C233&lt;TODAY(),1,1/(1+D233/2)^((C234-TODAY())/182.625))</f>
        <v>1</v>
      </c>
      <c r="F233" s="481" t="n">
        <f aca="false">+CURVELOAD!C238+CURVELOAD!E238+CURVELOAD!F238</f>
        <v>4.304</v>
      </c>
      <c r="G233" s="478"/>
      <c r="H233" s="478"/>
      <c r="I233" s="478"/>
      <c r="J233" s="478"/>
    </row>
    <row r="234" customFormat="false" ht="12.75" hidden="false" customHeight="false" outlineLevel="0" collapsed="false">
      <c r="A234" s="0" t="n">
        <v>1</v>
      </c>
      <c r="B234" s="43" t="n">
        <f aca="false">+YEAR(C234)</f>
        <v>2019</v>
      </c>
      <c r="C234" s="474" t="n">
        <f aca="false">+CURVELOAD!A239</f>
        <v>43647</v>
      </c>
      <c r="D234" s="479" t="n">
        <f aca="false">+IF($E$2&gt;0,$E$2,CURVELOAD!B239)</f>
        <v>0.072256042476347</v>
      </c>
      <c r="E234" s="480" t="n">
        <f aca="true">+IF(C234&lt;TODAY(),1,1/(1+D234/2)^((C235-TODAY())/182.625))</f>
        <v>1</v>
      </c>
      <c r="F234" s="481" t="n">
        <f aca="false">+CURVELOAD!C239+CURVELOAD!E239+CURVELOAD!F239</f>
        <v>4.304</v>
      </c>
      <c r="G234" s="478"/>
      <c r="H234" s="478"/>
      <c r="I234" s="478"/>
      <c r="J234" s="478"/>
    </row>
    <row r="235" customFormat="false" ht="12.75" hidden="false" customHeight="false" outlineLevel="0" collapsed="false">
      <c r="A235" s="0" t="n">
        <v>1</v>
      </c>
      <c r="B235" s="43" t="n">
        <f aca="false">+YEAR(C235)</f>
        <v>2019</v>
      </c>
      <c r="C235" s="474" t="n">
        <f aca="false">+CURVELOAD!A240</f>
        <v>43678</v>
      </c>
      <c r="D235" s="479" t="n">
        <f aca="false">+IF($E$2&gt;0,$E$2,CURVELOAD!B240)</f>
        <v>0.072255713814025</v>
      </c>
      <c r="E235" s="480" t="n">
        <f aca="true">+IF(C235&lt;TODAY(),1,1/(1+D235/2)^((C236-TODAY())/182.625))</f>
        <v>1</v>
      </c>
      <c r="F235" s="481" t="n">
        <f aca="false">+CURVELOAD!C240+CURVELOAD!E240+CURVELOAD!F240</f>
        <v>4.364</v>
      </c>
      <c r="G235" s="478"/>
      <c r="H235" s="478"/>
      <c r="I235" s="478"/>
      <c r="J235" s="478"/>
    </row>
    <row r="236" customFormat="false" ht="12.75" hidden="false" customHeight="false" outlineLevel="0" collapsed="false">
      <c r="A236" s="0" t="n">
        <v>1</v>
      </c>
      <c r="B236" s="43" t="n">
        <f aca="false">+YEAR(C236)</f>
        <v>2019</v>
      </c>
      <c r="C236" s="474" t="n">
        <f aca="false">+CURVELOAD!A241</f>
        <v>43709</v>
      </c>
      <c r="D236" s="479" t="n">
        <f aca="false">+IF($E$2&gt;0,$E$2,CURVELOAD!B241)</f>
        <v>0.072255385151704</v>
      </c>
      <c r="E236" s="480" t="n">
        <f aca="true">+IF(C236&lt;TODAY(),1,1/(1+D236/2)^((C237-TODAY())/182.625))</f>
        <v>1</v>
      </c>
      <c r="F236" s="481" t="n">
        <f aca="false">+CURVELOAD!C241+CURVELOAD!E241+CURVELOAD!F241</f>
        <v>4.338</v>
      </c>
      <c r="G236" s="478"/>
      <c r="H236" s="478"/>
      <c r="I236" s="478"/>
      <c r="J236" s="478"/>
    </row>
    <row r="237" customFormat="false" ht="12.75" hidden="false" customHeight="false" outlineLevel="0" collapsed="false">
      <c r="A237" s="0" t="n">
        <v>1</v>
      </c>
      <c r="B237" s="43" t="n">
        <f aca="false">+YEAR(C237)</f>
        <v>2019</v>
      </c>
      <c r="C237" s="474" t="n">
        <f aca="false">+CURVELOAD!A242</f>
        <v>43739</v>
      </c>
      <c r="D237" s="479" t="n">
        <f aca="false">+IF($E$2&gt;0,$E$2,CURVELOAD!B242)</f>
        <v>0.072255067091394</v>
      </c>
      <c r="E237" s="480" t="n">
        <f aca="true">+IF(C237&lt;TODAY(),1,1/(1+D237/2)^((C238-TODAY())/182.625))</f>
        <v>1</v>
      </c>
      <c r="F237" s="481" t="n">
        <f aca="false">+CURVELOAD!C242+CURVELOAD!E242+CURVELOAD!F242</f>
        <v>4.342</v>
      </c>
      <c r="G237" s="478"/>
      <c r="H237" s="478"/>
      <c r="I237" s="478"/>
      <c r="J237" s="478"/>
    </row>
    <row r="238" customFormat="false" ht="12.75" hidden="false" customHeight="false" outlineLevel="0" collapsed="false">
      <c r="A238" s="0" t="n">
        <v>1</v>
      </c>
      <c r="B238" s="43" t="n">
        <f aca="false">+YEAR(C238)</f>
        <v>2019</v>
      </c>
      <c r="C238" s="474" t="n">
        <f aca="false">+CURVELOAD!A243</f>
        <v>43770</v>
      </c>
      <c r="D238" s="479" t="n">
        <f aca="false">+IF($E$2&gt;0,$E$2,CURVELOAD!B243)</f>
        <v>0.072254738429072</v>
      </c>
      <c r="E238" s="480" t="n">
        <f aca="true">+IF(C238&lt;TODAY(),1,1/(1+D238/2)^((C239-TODAY())/182.625))</f>
        <v>1</v>
      </c>
      <c r="F238" s="481" t="n">
        <f aca="false">+CURVELOAD!C243+CURVELOAD!E243+CURVELOAD!F243</f>
        <v>4.371</v>
      </c>
      <c r="G238" s="478"/>
      <c r="H238" s="478"/>
      <c r="I238" s="478"/>
      <c r="J238" s="478"/>
    </row>
    <row r="239" customFormat="false" ht="12.75" hidden="false" customHeight="false" outlineLevel="0" collapsed="false">
      <c r="A239" s="0" t="n">
        <v>1</v>
      </c>
      <c r="B239" s="43" t="n">
        <f aca="false">+YEAR(C239)</f>
        <v>2019</v>
      </c>
      <c r="C239" s="474" t="n">
        <f aca="false">+CURVELOAD!A244</f>
        <v>43800</v>
      </c>
      <c r="D239" s="479" t="n">
        <f aca="false">+IF($E$2&gt;0,$E$2,CURVELOAD!B244)</f>
        <v>0.072254420368762</v>
      </c>
      <c r="E239" s="480" t="n">
        <f aca="true">+IF(C239&lt;TODAY(),1,1/(1+D239/2)^((C240-TODAY())/182.625))</f>
        <v>1</v>
      </c>
      <c r="F239" s="481" t="n">
        <f aca="false">+CURVELOAD!C244+CURVELOAD!E244+CURVELOAD!F244</f>
        <v>4.428</v>
      </c>
      <c r="G239" s="478"/>
      <c r="H239" s="478"/>
      <c r="I239" s="478"/>
      <c r="J239" s="478"/>
    </row>
    <row r="240" customFormat="false" ht="12.75" hidden="false" customHeight="false" outlineLevel="0" collapsed="false">
      <c r="A240" s="0" t="n">
        <v>1</v>
      </c>
      <c r="B240" s="43" t="n">
        <f aca="false">+YEAR(C240)</f>
        <v>2020</v>
      </c>
      <c r="C240" s="474" t="n">
        <f aca="false">+CURVELOAD!A245</f>
        <v>43831</v>
      </c>
      <c r="D240" s="479" t="n">
        <f aca="false">+IF($E$2&gt;0,$E$2,CURVELOAD!B245)</f>
        <v>0.072254091706441</v>
      </c>
      <c r="E240" s="480" t="n">
        <f aca="true">+IF(C240&lt;TODAY(),1,1/(1+D240/2)^((C241-TODAY())/182.625))</f>
        <v>1</v>
      </c>
      <c r="F240" s="481" t="n">
        <f aca="false">+CURVELOAD!C245+CURVELOAD!E245+CURVELOAD!F245</f>
        <v>4.634</v>
      </c>
      <c r="G240" s="478"/>
      <c r="H240" s="478"/>
      <c r="I240" s="478"/>
      <c r="J240" s="478"/>
    </row>
    <row r="241" customFormat="false" ht="12.75" hidden="false" customHeight="false" outlineLevel="0" collapsed="false">
      <c r="A241" s="0" t="n">
        <v>1</v>
      </c>
      <c r="B241" s="43" t="n">
        <f aca="false">+YEAR(C241)</f>
        <v>2020</v>
      </c>
      <c r="C241" s="474" t="n">
        <f aca="false">+CURVELOAD!A246</f>
        <v>43862</v>
      </c>
      <c r="D241" s="479" t="n">
        <f aca="false">+IF($E$2&gt;0,$E$2,CURVELOAD!B246)</f>
        <v>0.07225376304412</v>
      </c>
      <c r="E241" s="480" t="n">
        <f aca="true">+IF(C241&lt;TODAY(),1,1/(1+D241/2)^((C242-TODAY())/182.625))</f>
        <v>1</v>
      </c>
      <c r="F241" s="481" t="n">
        <f aca="false">+CURVELOAD!C246+CURVELOAD!E246+CURVELOAD!F246</f>
        <v>4.572</v>
      </c>
      <c r="G241" s="478"/>
      <c r="H241" s="478"/>
      <c r="I241" s="478"/>
      <c r="J241" s="478"/>
    </row>
    <row r="242" customFormat="false" ht="12.75" hidden="false" customHeight="false" outlineLevel="0" collapsed="false">
      <c r="A242" s="0" t="n">
        <v>1</v>
      </c>
      <c r="B242" s="43" t="n">
        <f aca="false">+YEAR(C242)</f>
        <v>2020</v>
      </c>
      <c r="C242" s="474" t="n">
        <f aca="false">+CURVELOAD!A247</f>
        <v>43891</v>
      </c>
      <c r="D242" s="479" t="n">
        <f aca="false">+IF($E$2&gt;0,$E$2,CURVELOAD!B247)</f>
        <v>0.07225345558582</v>
      </c>
      <c r="E242" s="480" t="n">
        <f aca="true">+IF(C242&lt;TODAY(),1,1/(1+D242/2)^((C243-TODAY())/182.625))</f>
        <v>1</v>
      </c>
      <c r="F242" s="481" t="n">
        <f aca="false">+CURVELOAD!C247+CURVELOAD!E247+CURVELOAD!F247</f>
        <v>4.483</v>
      </c>
      <c r="G242" s="478"/>
      <c r="H242" s="478"/>
      <c r="I242" s="478"/>
      <c r="J242" s="478"/>
    </row>
    <row r="243" customFormat="false" ht="12.75" hidden="false" customHeight="false" outlineLevel="0" collapsed="false">
      <c r="A243" s="0" t="n">
        <v>1</v>
      </c>
      <c r="B243" s="43" t="n">
        <f aca="false">+YEAR(C243)</f>
        <v>2020</v>
      </c>
      <c r="C243" s="474" t="n">
        <f aca="false">+CURVELOAD!A248</f>
        <v>43922</v>
      </c>
      <c r="D243" s="479" t="n">
        <f aca="false">+IF($E$2&gt;0,$E$2,CURVELOAD!B248)</f>
        <v>0.072253126923498</v>
      </c>
      <c r="E243" s="480" t="n">
        <f aca="true">+IF(C243&lt;TODAY(),1,1/(1+D243/2)^((C244-TODAY())/182.625))</f>
        <v>1</v>
      </c>
      <c r="F243" s="481" t="n">
        <f aca="false">+CURVELOAD!C248+CURVELOAD!E248+CURVELOAD!F248</f>
        <v>4.394</v>
      </c>
      <c r="G243" s="478"/>
      <c r="H243" s="478"/>
      <c r="I243" s="478"/>
      <c r="J243" s="478"/>
    </row>
    <row r="244" customFormat="false" ht="12.75" hidden="false" customHeight="false" outlineLevel="0" collapsed="false">
      <c r="A244" s="0" t="n">
        <v>1</v>
      </c>
      <c r="B244" s="43" t="n">
        <f aca="false">+YEAR(C244)</f>
        <v>2020</v>
      </c>
      <c r="C244" s="474" t="n">
        <f aca="false">+CURVELOAD!A249</f>
        <v>43952</v>
      </c>
      <c r="D244" s="479" t="n">
        <f aca="false">+IF($E$2&gt;0,$E$2,CURVELOAD!B249)</f>
        <v>0.072252808863188</v>
      </c>
      <c r="E244" s="480" t="n">
        <f aca="true">+IF(C244&lt;TODAY(),1,1/(1+D244/2)^((C245-TODAY())/182.625))</f>
        <v>1</v>
      </c>
      <c r="F244" s="481" t="n">
        <f aca="false">+CURVELOAD!C249+CURVELOAD!E249+CURVELOAD!F249</f>
        <v>4.396</v>
      </c>
      <c r="G244" s="478"/>
      <c r="H244" s="478"/>
      <c r="I244" s="478"/>
      <c r="J244" s="478"/>
    </row>
    <row r="245" customFormat="false" ht="12.75" hidden="false" customHeight="false" outlineLevel="0" collapsed="false">
      <c r="A245" s="0" t="n">
        <v>1</v>
      </c>
      <c r="B245" s="43" t="n">
        <f aca="false">+YEAR(C245)</f>
        <v>2020</v>
      </c>
      <c r="C245" s="474" t="n">
        <f aca="false">+CURVELOAD!A250</f>
        <v>43983</v>
      </c>
      <c r="D245" s="479" t="n">
        <f aca="false">+IF($E$2&gt;0,$E$2,CURVELOAD!B250)</f>
        <v>0.072252480200867</v>
      </c>
      <c r="E245" s="480" t="n">
        <f aca="true">+IF(C245&lt;TODAY(),1,1/(1+D245/2)^((C246-TODAY())/182.625))</f>
        <v>1</v>
      </c>
      <c r="F245" s="481" t="n">
        <f aca="false">+CURVELOAD!C250+CURVELOAD!E250+CURVELOAD!F250</f>
        <v>4.443</v>
      </c>
      <c r="G245" s="478"/>
      <c r="H245" s="478"/>
      <c r="I245" s="478"/>
      <c r="J245" s="478"/>
    </row>
    <row r="246" customFormat="false" ht="12.75" hidden="false" customHeight="false" outlineLevel="0" collapsed="false">
      <c r="A246" s="0" t="n">
        <v>1</v>
      </c>
      <c r="B246" s="43" t="n">
        <f aca="false">+YEAR(C246)</f>
        <v>2020</v>
      </c>
      <c r="C246" s="474" t="n">
        <f aca="false">+CURVELOAD!A251</f>
        <v>44013</v>
      </c>
      <c r="D246" s="479" t="n">
        <f aca="false">+IF($E$2&gt;0,$E$2,CURVELOAD!B251)</f>
        <v>0.072252162140557</v>
      </c>
      <c r="E246" s="480" t="n">
        <f aca="true">+IF(C246&lt;TODAY(),1,1/(1+D246/2)^((C247-TODAY())/182.625))</f>
        <v>1</v>
      </c>
      <c r="F246" s="481" t="n">
        <f aca="false">+CURVELOAD!C251+CURVELOAD!E251+CURVELOAD!F251</f>
        <v>4.443</v>
      </c>
      <c r="G246" s="478"/>
      <c r="H246" s="478"/>
      <c r="I246" s="478"/>
      <c r="J246" s="478"/>
    </row>
    <row r="247" customFormat="false" ht="12.75" hidden="false" customHeight="false" outlineLevel="0" collapsed="false">
      <c r="A247" s="0" t="n">
        <v>1</v>
      </c>
      <c r="B247" s="43" t="n">
        <f aca="false">+YEAR(C247)</f>
        <v>2020</v>
      </c>
      <c r="C247" s="474" t="n">
        <f aca="false">+CURVELOAD!A252</f>
        <v>44044</v>
      </c>
      <c r="D247" s="479" t="n">
        <f aca="false">+IF($E$2&gt;0,$E$2,CURVELOAD!B252)</f>
        <v>0.072251212003724</v>
      </c>
      <c r="E247" s="480" t="n">
        <f aca="true">+IF(C247&lt;TODAY(),1,1/(1+D247/2)^((C248-TODAY())/182.625))</f>
        <v>1</v>
      </c>
      <c r="F247" s="481" t="n">
        <f aca="false">+CURVELOAD!C252+CURVELOAD!E252+CURVELOAD!F252</f>
        <v>4.503</v>
      </c>
      <c r="G247" s="478"/>
      <c r="H247" s="478"/>
      <c r="I247" s="478"/>
      <c r="J247" s="478"/>
    </row>
    <row r="248" customFormat="false" ht="12.75" hidden="false" customHeight="false" outlineLevel="0" collapsed="false">
      <c r="A248" s="0" t="n">
        <v>1</v>
      </c>
      <c r="B248" s="43" t="n">
        <f aca="false">+YEAR(C248)</f>
        <v>2020</v>
      </c>
      <c r="C248" s="474" t="n">
        <f aca="false">+CURVELOAD!A253</f>
        <v>44075</v>
      </c>
      <c r="D248" s="479" t="n">
        <f aca="false">+IF($E$2&gt;0,$E$2,CURVELOAD!B253)</f>
        <v>0.072247030199431</v>
      </c>
      <c r="E248" s="480" t="n">
        <f aca="true">+IF(C248&lt;TODAY(),1,1/(1+D248/2)^((C249-TODAY())/182.625))</f>
        <v>1</v>
      </c>
      <c r="F248" s="481" t="n">
        <f aca="false">+CURVELOAD!C253+CURVELOAD!E253+CURVELOAD!F253</f>
        <v>4.476</v>
      </c>
      <c r="G248" s="478"/>
      <c r="H248" s="478"/>
      <c r="I248" s="478"/>
      <c r="J248" s="478"/>
    </row>
    <row r="249" customFormat="false" ht="12.75" hidden="false" customHeight="false" outlineLevel="0" collapsed="false">
      <c r="A249" s="0" t="n">
        <v>1</v>
      </c>
      <c r="B249" s="43" t="n">
        <f aca="false">+YEAR(C249)</f>
        <v>2020</v>
      </c>
      <c r="C249" s="474" t="n">
        <f aca="false">+CURVELOAD!A254</f>
        <v>44105</v>
      </c>
      <c r="D249" s="479" t="n">
        <f aca="false">+IF($E$2&gt;0,$E$2,CURVELOAD!B254)</f>
        <v>0.072242983292057</v>
      </c>
      <c r="E249" s="480" t="n">
        <f aca="true">+IF(C249&lt;TODAY(),1,1/(1+D249/2)^((C250-TODAY())/182.625))</f>
        <v>1</v>
      </c>
      <c r="F249" s="481" t="n">
        <f aca="false">+CURVELOAD!C254+CURVELOAD!E254+CURVELOAD!F254</f>
        <v>4.479</v>
      </c>
      <c r="G249" s="478"/>
      <c r="H249" s="478"/>
      <c r="I249" s="478"/>
      <c r="J249" s="478"/>
    </row>
    <row r="250" customFormat="false" ht="12.75" hidden="false" customHeight="false" outlineLevel="0" collapsed="false">
      <c r="A250" s="0" t="n">
        <v>1</v>
      </c>
      <c r="B250" s="43" t="n">
        <f aca="false">+YEAR(C250)</f>
        <v>2020</v>
      </c>
      <c r="C250" s="474" t="n">
        <f aca="false">+CURVELOAD!A255</f>
        <v>44136</v>
      </c>
      <c r="D250" s="479" t="n">
        <f aca="false">+IF($E$2&gt;0,$E$2,CURVELOAD!B255)</f>
        <v>0.072238801487776</v>
      </c>
      <c r="E250" s="480" t="n">
        <f aca="true">+IF(C250&lt;TODAY(),1,1/(1+D250/2)^((C251-TODAY())/182.625))</f>
        <v>1</v>
      </c>
      <c r="F250" s="481" t="n">
        <f aca="false">+CURVELOAD!C255+CURVELOAD!E255+CURVELOAD!F255</f>
        <v>4.503</v>
      </c>
      <c r="G250" s="478"/>
      <c r="H250" s="478"/>
      <c r="I250" s="478"/>
      <c r="J250" s="478"/>
    </row>
    <row r="251" customFormat="false" ht="12.75" hidden="false" customHeight="false" outlineLevel="0" collapsed="false">
      <c r="A251" s="0" t="n">
        <v>1</v>
      </c>
      <c r="B251" s="43" t="n">
        <f aca="false">+YEAR(C251)</f>
        <v>2020</v>
      </c>
      <c r="C251" s="474" t="n">
        <f aca="false">+CURVELOAD!A256</f>
        <v>44166</v>
      </c>
      <c r="D251" s="479" t="n">
        <f aca="false">+IF($E$2&gt;0,$E$2,CURVELOAD!B256)</f>
        <v>0.072234754580412</v>
      </c>
      <c r="E251" s="480" t="n">
        <f aca="true">+IF(C251&lt;TODAY(),1,1/(1+D251/2)^((C252-TODAY())/182.625))</f>
        <v>1</v>
      </c>
      <c r="F251" s="481" t="n">
        <f aca="false">+CURVELOAD!C256+CURVELOAD!E256+CURVELOAD!F256</f>
        <v>4.557</v>
      </c>
      <c r="G251" s="478"/>
      <c r="H251" s="478"/>
      <c r="I251" s="478"/>
      <c r="J251" s="478"/>
    </row>
    <row r="252" customFormat="false" ht="12.75" hidden="false" customHeight="false" outlineLevel="0" collapsed="false">
      <c r="A252" s="0" t="n">
        <v>1</v>
      </c>
      <c r="B252" s="43" t="n">
        <f aca="false">+YEAR(C252)</f>
        <v>2021</v>
      </c>
      <c r="C252" s="474" t="n">
        <f aca="false">+CURVELOAD!A257</f>
        <v>44197</v>
      </c>
      <c r="D252" s="479" t="n">
        <f aca="false">+IF($E$2&gt;0,$E$2,CURVELOAD!B257)</f>
        <v>0.072230572776142</v>
      </c>
      <c r="E252" s="480" t="n">
        <f aca="true">+IF(C252&lt;TODAY(),1,1/(1+D252/2)^((C253-TODAY())/182.625))</f>
        <v>1</v>
      </c>
      <c r="F252" s="481" t="n">
        <f aca="false">+CURVELOAD!C257+CURVELOAD!E257+CURVELOAD!F257</f>
        <v>4.766</v>
      </c>
      <c r="G252" s="478"/>
      <c r="H252" s="478"/>
      <c r="I252" s="478"/>
      <c r="J252" s="478"/>
    </row>
    <row r="253" customFormat="false" ht="12.75" hidden="false" customHeight="false" outlineLevel="0" collapsed="false">
      <c r="A253" s="0" t="n">
        <v>1</v>
      </c>
      <c r="B253" s="43" t="n">
        <f aca="false">+YEAR(C253)</f>
        <v>2021</v>
      </c>
      <c r="C253" s="474" t="n">
        <f aca="false">+CURVELOAD!A258</f>
        <v>44228</v>
      </c>
      <c r="D253" s="479" t="n">
        <f aca="false">+IF($E$2&gt;0,$E$2,CURVELOAD!B258)</f>
        <v>0.072226390971878</v>
      </c>
      <c r="E253" s="480" t="n">
        <f aca="true">+IF(C253&lt;TODAY(),1,1/(1+D253/2)^((C254-TODAY())/182.625))</f>
        <v>1</v>
      </c>
      <c r="F253" s="481" t="n">
        <f aca="false">+CURVELOAD!C258+CURVELOAD!E258+CURVELOAD!F258</f>
        <v>4.708</v>
      </c>
      <c r="G253" s="478"/>
      <c r="H253" s="478"/>
      <c r="I253" s="478"/>
      <c r="J253" s="478"/>
    </row>
    <row r="254" customFormat="false" ht="12.75" hidden="false" customHeight="false" outlineLevel="0" collapsed="false">
      <c r="A254" s="0" t="n">
        <v>1</v>
      </c>
      <c r="B254" s="43" t="n">
        <f aca="false">+YEAR(C254)</f>
        <v>2021</v>
      </c>
      <c r="C254" s="474" t="n">
        <f aca="false">+CURVELOAD!A259</f>
        <v>44256</v>
      </c>
      <c r="D254" s="479" t="n">
        <f aca="false">+IF($E$2&gt;0,$E$2,CURVELOAD!B259)</f>
        <v>0.072222613858354</v>
      </c>
      <c r="E254" s="480" t="n">
        <f aca="true">+IF(C254&lt;TODAY(),1,1/(1+D254/2)^((C255-TODAY())/182.625))</f>
        <v>1</v>
      </c>
      <c r="F254" s="481" t="n">
        <f aca="false">+CURVELOAD!C259+CURVELOAD!E259+CURVELOAD!F259</f>
        <v>4.622</v>
      </c>
      <c r="G254" s="478"/>
      <c r="H254" s="478"/>
      <c r="I254" s="478"/>
      <c r="J254" s="478"/>
    </row>
    <row r="255" customFormat="false" ht="12.75" hidden="false" customHeight="false" outlineLevel="0" collapsed="false">
      <c r="A255" s="0" t="n">
        <v>1</v>
      </c>
      <c r="B255" s="43" t="n">
        <f aca="false">+YEAR(C255)</f>
        <v>2021</v>
      </c>
      <c r="C255" s="474" t="n">
        <f aca="false">+CURVELOAD!A260</f>
        <v>44287</v>
      </c>
      <c r="D255" s="479" t="n">
        <f aca="false">+IF($E$2&gt;0,$E$2,CURVELOAD!B260)</f>
        <v>0.072218432054101</v>
      </c>
      <c r="E255" s="480" t="n">
        <f aca="true">+IF(C255&lt;TODAY(),1,1/(1+D255/2)^((C256-TODAY())/182.625))</f>
        <v>1</v>
      </c>
      <c r="F255" s="481" t="n">
        <f aca="false">+CURVELOAD!C260+CURVELOAD!E260+CURVELOAD!F260</f>
        <v>4.536</v>
      </c>
      <c r="G255" s="478"/>
      <c r="H255" s="478"/>
      <c r="I255" s="478"/>
      <c r="J255" s="478"/>
    </row>
    <row r="256" customFormat="false" ht="12.75" hidden="false" customHeight="false" outlineLevel="0" collapsed="false">
      <c r="A256" s="0" t="n">
        <v>1</v>
      </c>
      <c r="B256" s="43" t="n">
        <f aca="false">+YEAR(C256)</f>
        <v>2021</v>
      </c>
      <c r="C256" s="474" t="n">
        <f aca="false">+CURVELOAD!A261</f>
        <v>44317</v>
      </c>
      <c r="D256" s="479" t="n">
        <f aca="false">+IF($E$2&gt;0,$E$2,CURVELOAD!B261)</f>
        <v>0.072214385146765</v>
      </c>
      <c r="E256" s="480" t="n">
        <f aca="true">+IF(C256&lt;TODAY(),1,1/(1+D256/2)^((C257-TODAY())/182.625))</f>
        <v>1</v>
      </c>
      <c r="F256" s="481" t="n">
        <f aca="false">+CURVELOAD!C261+CURVELOAD!E261+CURVELOAD!F261</f>
        <v>4.539</v>
      </c>
      <c r="G256" s="478"/>
      <c r="H256" s="478"/>
      <c r="I256" s="478"/>
      <c r="J256" s="478"/>
    </row>
    <row r="257" customFormat="false" ht="12.75" hidden="false" customHeight="false" outlineLevel="0" collapsed="false">
      <c r="A257" s="0" t="n">
        <v>1</v>
      </c>
      <c r="B257" s="43" t="n">
        <f aca="false">+YEAR(C257)</f>
        <v>2021</v>
      </c>
      <c r="C257" s="474" t="n">
        <f aca="false">+CURVELOAD!A262</f>
        <v>44348</v>
      </c>
      <c r="D257" s="479" t="n">
        <f aca="false">+IF($E$2&gt;0,$E$2,CURVELOAD!B262)</f>
        <v>0.072210203342523</v>
      </c>
      <c r="E257" s="480" t="n">
        <f aca="true">+IF(C257&lt;TODAY(),1,1/(1+D257/2)^((C258-TODAY())/182.625))</f>
        <v>1</v>
      </c>
      <c r="F257" s="481" t="n">
        <f aca="false">+CURVELOAD!C262+CURVELOAD!E262+CURVELOAD!F262</f>
        <v>4.587</v>
      </c>
      <c r="G257" s="478"/>
      <c r="H257" s="478"/>
      <c r="I257" s="478"/>
      <c r="J257" s="478"/>
    </row>
    <row r="258" customFormat="false" ht="12.75" hidden="false" customHeight="false" outlineLevel="0" collapsed="false">
      <c r="A258" s="0" t="n">
        <v>1</v>
      </c>
      <c r="B258" s="43" t="n">
        <f aca="false">+YEAR(C258)</f>
        <v>2021</v>
      </c>
      <c r="C258" s="474" t="n">
        <f aca="false">+CURVELOAD!A263</f>
        <v>44378</v>
      </c>
      <c r="D258" s="479" t="n">
        <f aca="false">+IF($E$2&gt;0,$E$2,CURVELOAD!B263)</f>
        <v>0.072206156435198</v>
      </c>
      <c r="E258" s="480" t="n">
        <f aca="true">+IF(C258&lt;TODAY(),1,1/(1+D258/2)^((C259-TODAY())/182.625))</f>
        <v>1</v>
      </c>
      <c r="F258" s="481" t="n">
        <f aca="false">+CURVELOAD!C263+CURVELOAD!E263+CURVELOAD!F263</f>
        <v>4.587</v>
      </c>
      <c r="G258" s="478"/>
      <c r="H258" s="478"/>
      <c r="I258" s="478"/>
      <c r="J258" s="478"/>
    </row>
    <row r="259" customFormat="false" ht="12.75" hidden="false" customHeight="false" outlineLevel="0" collapsed="false">
      <c r="A259" s="0" t="n">
        <v>1</v>
      </c>
      <c r="B259" s="43" t="n">
        <f aca="false">+YEAR(C259)</f>
        <v>2021</v>
      </c>
      <c r="C259" s="474" t="n">
        <f aca="false">+CURVELOAD!A264</f>
        <v>44409</v>
      </c>
      <c r="D259" s="479" t="n">
        <f aca="false">+IF($E$2&gt;0,$E$2,CURVELOAD!B264)</f>
        <v>0.072201974630968</v>
      </c>
      <c r="E259" s="480" t="n">
        <f aca="true">+IF(C259&lt;TODAY(),1,1/(1+D259/2)^((C260-TODAY())/182.625))</f>
        <v>1</v>
      </c>
      <c r="F259" s="481" t="n">
        <f aca="false">+CURVELOAD!C264+CURVELOAD!E264+CURVELOAD!F264</f>
        <v>4.647</v>
      </c>
      <c r="G259" s="478"/>
      <c r="H259" s="478"/>
      <c r="I259" s="478"/>
      <c r="J259" s="478"/>
    </row>
    <row r="260" customFormat="false" ht="12.75" hidden="false" customHeight="false" outlineLevel="0" collapsed="false">
      <c r="A260" s="0" t="n">
        <v>1</v>
      </c>
      <c r="B260" s="43" t="n">
        <f aca="false">+YEAR(C260)</f>
        <v>2021</v>
      </c>
      <c r="C260" s="474" t="n">
        <f aca="false">+CURVELOAD!A265</f>
        <v>44440</v>
      </c>
      <c r="D260" s="479" t="n">
        <f aca="false">+IF($E$2&gt;0,$E$2,CURVELOAD!B265)</f>
        <v>0.072197792826743</v>
      </c>
      <c r="E260" s="480" t="n">
        <f aca="true">+IF(C260&lt;TODAY(),1,1/(1+D260/2)^((C261-TODAY())/182.625))</f>
        <v>1</v>
      </c>
      <c r="F260" s="481" t="n">
        <f aca="false">+CURVELOAD!C265+CURVELOAD!E265+CURVELOAD!F265</f>
        <v>4.619</v>
      </c>
      <c r="G260" s="478"/>
      <c r="H260" s="478"/>
      <c r="I260" s="478"/>
      <c r="J260" s="478"/>
    </row>
    <row r="261" customFormat="false" ht="12.75" hidden="false" customHeight="false" outlineLevel="0" collapsed="false">
      <c r="A261" s="0" t="n">
        <v>1</v>
      </c>
      <c r="B261" s="43" t="n">
        <f aca="false">+YEAR(C261)</f>
        <v>2021</v>
      </c>
      <c r="C261" s="474" t="n">
        <f aca="false">+CURVELOAD!A266</f>
        <v>44470</v>
      </c>
      <c r="D261" s="479" t="n">
        <f aca="false">+IF($E$2&gt;0,$E$2,CURVELOAD!B266)</f>
        <v>0.072193745919435</v>
      </c>
      <c r="E261" s="480" t="n">
        <f aca="true">+IF(C261&lt;TODAY(),1,1/(1+D261/2)^((C262-TODAY())/182.625))</f>
        <v>1</v>
      </c>
      <c r="F261" s="481" t="n">
        <f aca="false">+CURVELOAD!C266+CURVELOAD!E266+CURVELOAD!F266</f>
        <v>4.621</v>
      </c>
      <c r="G261" s="478"/>
      <c r="H261" s="478"/>
      <c r="I261" s="478"/>
      <c r="J261" s="478"/>
    </row>
    <row r="262" customFormat="false" ht="12.75" hidden="false" customHeight="false" outlineLevel="0" collapsed="false">
      <c r="A262" s="0" t="n">
        <v>1</v>
      </c>
      <c r="B262" s="43" t="n">
        <f aca="false">+YEAR(C262)</f>
        <v>2021</v>
      </c>
      <c r="C262" s="474" t="n">
        <f aca="false">+CURVELOAD!A267</f>
        <v>44501</v>
      </c>
      <c r="D262" s="479" t="n">
        <f aca="false">+IF($E$2&gt;0,$E$2,CURVELOAD!B267)</f>
        <v>0.072189564115221</v>
      </c>
      <c r="E262" s="480" t="n">
        <f aca="true">+IF(C262&lt;TODAY(),1,1/(1+D262/2)^((C263-TODAY())/182.625))</f>
        <v>1</v>
      </c>
      <c r="F262" s="481" t="n">
        <f aca="false">+CURVELOAD!C267+CURVELOAD!E267+CURVELOAD!F267</f>
        <v>4.64</v>
      </c>
      <c r="G262" s="478"/>
      <c r="H262" s="478"/>
      <c r="I262" s="478"/>
      <c r="J262" s="478"/>
    </row>
    <row r="263" customFormat="false" ht="12.75" hidden="false" customHeight="false" outlineLevel="0" collapsed="false">
      <c r="A263" s="0" t="n">
        <v>1</v>
      </c>
      <c r="B263" s="43" t="n">
        <f aca="false">+YEAR(C263)</f>
        <v>2021</v>
      </c>
      <c r="C263" s="474" t="n">
        <f aca="false">+CURVELOAD!A268</f>
        <v>44531</v>
      </c>
      <c r="D263" s="479" t="n">
        <f aca="false">+IF($E$2&gt;0,$E$2,CURVELOAD!B268)</f>
        <v>0.072185517207924</v>
      </c>
      <c r="E263" s="480" t="n">
        <f aca="true">+IF(C263&lt;TODAY(),1,1/(1+D263/2)^((C264-TODAY())/182.625))</f>
        <v>1</v>
      </c>
      <c r="F263" s="481" t="n">
        <f aca="false">+CURVELOAD!C268+CURVELOAD!E268+CURVELOAD!F268</f>
        <v>4.691</v>
      </c>
      <c r="G263" s="478"/>
      <c r="H263" s="478"/>
      <c r="I263" s="478"/>
      <c r="J263" s="478"/>
    </row>
    <row r="264" customFormat="false" ht="12.75" hidden="false" customHeight="false" outlineLevel="0" collapsed="false">
      <c r="A264" s="0" t="n">
        <v>1</v>
      </c>
      <c r="B264" s="43" t="n">
        <f aca="false">+YEAR(C264)</f>
        <v>2022</v>
      </c>
      <c r="C264" s="474" t="n">
        <f aca="false">+CURVELOAD!A269</f>
        <v>44562</v>
      </c>
      <c r="D264" s="479" t="n">
        <f aca="false">+IF($E$2&gt;0,$E$2,CURVELOAD!B269)</f>
        <v>0.072181335403722</v>
      </c>
      <c r="E264" s="480" t="n">
        <f aca="true">+IF(C264&lt;TODAY(),1,1/(1+D264/2)^((C265-TODAY())/182.625))</f>
        <v>1</v>
      </c>
      <c r="F264" s="481" t="n">
        <f aca="false">+CURVELOAD!C269+CURVELOAD!E269+CURVELOAD!F269</f>
        <v>4.903</v>
      </c>
      <c r="G264" s="478"/>
      <c r="H264" s="478"/>
      <c r="I264" s="478"/>
      <c r="J264" s="478"/>
    </row>
    <row r="265" customFormat="false" ht="12.75" hidden="false" customHeight="false" outlineLevel="0" collapsed="false">
      <c r="A265" s="0" t="n">
        <v>1</v>
      </c>
      <c r="B265" s="43" t="n">
        <f aca="false">+YEAR(C265)</f>
        <v>2022</v>
      </c>
      <c r="C265" s="474" t="n">
        <f aca="false">+CURVELOAD!A270</f>
        <v>44593</v>
      </c>
      <c r="D265" s="479" t="n">
        <f aca="false">+IF($E$2&gt;0,$E$2,CURVELOAD!B270)</f>
        <v>0.072177153599526</v>
      </c>
      <c r="E265" s="480" t="n">
        <f aca="true">+IF(C265&lt;TODAY(),1,1/(1+D265/2)^((C266-TODAY())/182.625))</f>
        <v>1</v>
      </c>
      <c r="F265" s="481" t="n">
        <f aca="false">+CURVELOAD!C270+CURVELOAD!E270+CURVELOAD!F270</f>
        <v>4.849</v>
      </c>
      <c r="G265" s="478"/>
      <c r="H265" s="478"/>
      <c r="I265" s="478"/>
      <c r="J265" s="478"/>
    </row>
    <row r="266" customFormat="false" ht="12.75" hidden="false" customHeight="false" outlineLevel="0" collapsed="false">
      <c r="A266" s="0" t="n">
        <v>1</v>
      </c>
      <c r="B266" s="43" t="n">
        <f aca="false">+YEAR(C266)</f>
        <v>2022</v>
      </c>
      <c r="C266" s="474" t="n">
        <f aca="false">+CURVELOAD!A271</f>
        <v>44621</v>
      </c>
      <c r="D266" s="479" t="n">
        <f aca="false">+IF($E$2&gt;0,$E$2,CURVELOAD!B271)</f>
        <v>0.072173376486063</v>
      </c>
      <c r="E266" s="480" t="n">
        <f aca="true">+IF(C266&lt;TODAY(),1,1/(1+D266/2)^((C267-TODAY())/182.625))</f>
        <v>1</v>
      </c>
      <c r="F266" s="481" t="n">
        <f aca="false">+CURVELOAD!C271+CURVELOAD!E271+CURVELOAD!F271</f>
        <v>4.766</v>
      </c>
      <c r="G266" s="478"/>
      <c r="H266" s="478"/>
      <c r="I266" s="478"/>
      <c r="J266" s="478"/>
    </row>
    <row r="267" customFormat="false" ht="12.75" hidden="false" customHeight="false" outlineLevel="0" collapsed="false">
      <c r="A267" s="0" t="n">
        <v>1</v>
      </c>
      <c r="B267" s="43" t="n">
        <f aca="false">+YEAR(C267)</f>
        <v>2022</v>
      </c>
      <c r="C267" s="474" t="n">
        <f aca="false">+CURVELOAD!A272</f>
        <v>44652</v>
      </c>
      <c r="D267" s="479" t="n">
        <f aca="false">+IF($E$2&gt;0,$E$2,CURVELOAD!B272)</f>
        <v>0.072169194681878</v>
      </c>
      <c r="E267" s="480" t="n">
        <f aca="true">+IF(C267&lt;TODAY(),1,1/(1+D267/2)^((C268-TODAY())/182.625))</f>
        <v>1</v>
      </c>
      <c r="F267" s="481" t="n">
        <f aca="false">+CURVELOAD!C272+CURVELOAD!E272+CURVELOAD!F272</f>
        <v>4.683</v>
      </c>
      <c r="G267" s="478"/>
      <c r="H267" s="478"/>
      <c r="I267" s="478"/>
      <c r="J267" s="478"/>
    </row>
    <row r="268" customFormat="false" ht="12.75" hidden="false" customHeight="false" outlineLevel="0" collapsed="false">
      <c r="A268" s="0" t="n">
        <v>1</v>
      </c>
      <c r="B268" s="43" t="n">
        <f aca="false">+YEAR(C268)</f>
        <v>2022</v>
      </c>
      <c r="C268" s="474" t="n">
        <f aca="false">+CURVELOAD!A273</f>
        <v>44682</v>
      </c>
      <c r="D268" s="479" t="n">
        <f aca="false">+IF($E$2&gt;0,$E$2,CURVELOAD!B273)</f>
        <v>0.072165147774608</v>
      </c>
      <c r="E268" s="480" t="n">
        <f aca="true">+IF(C268&lt;TODAY(),1,1/(1+D268/2)^((C269-TODAY())/182.625))</f>
        <v>1</v>
      </c>
      <c r="F268" s="481" t="n">
        <f aca="false">+CURVELOAD!C273+CURVELOAD!E273+CURVELOAD!F273</f>
        <v>4.687</v>
      </c>
      <c r="G268" s="478"/>
      <c r="H268" s="478"/>
      <c r="I268" s="478"/>
      <c r="J268" s="478"/>
    </row>
    <row r="269" customFormat="false" ht="12.75" hidden="false" customHeight="false" outlineLevel="0" collapsed="false">
      <c r="A269" s="0" t="n">
        <v>1</v>
      </c>
      <c r="B269" s="43" t="n">
        <f aca="false">+YEAR(C269)</f>
        <v>2022</v>
      </c>
      <c r="C269" s="474" t="n">
        <f aca="false">+CURVELOAD!A274</f>
        <v>44713</v>
      </c>
      <c r="D269" s="479" t="n">
        <f aca="false">+IF($E$2&gt;0,$E$2,CURVELOAD!B274)</f>
        <v>0.072160965970435</v>
      </c>
      <c r="E269" s="480" t="n">
        <f aca="true">+IF(C269&lt;TODAY(),1,1/(1+D269/2)^((C270-TODAY())/182.625))</f>
        <v>1</v>
      </c>
      <c r="F269" s="481" t="n">
        <f aca="false">+CURVELOAD!C274+CURVELOAD!E274+CURVELOAD!F274</f>
        <v>4.736</v>
      </c>
      <c r="G269" s="478"/>
      <c r="H269" s="478"/>
      <c r="I269" s="478"/>
      <c r="J269" s="478"/>
    </row>
    <row r="270" customFormat="false" ht="12.75" hidden="false" customHeight="false" outlineLevel="0" collapsed="false">
      <c r="A270" s="0" t="n">
        <v>1</v>
      </c>
      <c r="B270" s="43" t="n">
        <f aca="false">+YEAR(C270)</f>
        <v>2022</v>
      </c>
      <c r="C270" s="474" t="n">
        <f aca="false">+CURVELOAD!A275</f>
        <v>44743</v>
      </c>
      <c r="D270" s="479" t="n">
        <f aca="false">+IF($E$2&gt;0,$E$2,CURVELOAD!B275)</f>
        <v>0.072156919063175</v>
      </c>
      <c r="E270" s="480" t="n">
        <f aca="true">+IF(C270&lt;TODAY(),1,1/(1+D270/2)^((C271-TODAY())/182.625))</f>
        <v>1</v>
      </c>
      <c r="F270" s="481" t="n">
        <f aca="false">+CURVELOAD!C275+CURVELOAD!E275+CURVELOAD!F275</f>
        <v>4.736</v>
      </c>
      <c r="G270" s="478"/>
      <c r="H270" s="478"/>
      <c r="I270" s="478"/>
      <c r="J270" s="478"/>
    </row>
    <row r="271" customFormat="false" ht="12.75" hidden="false" customHeight="false" outlineLevel="0" collapsed="false">
      <c r="A271" s="0" t="n">
        <v>1</v>
      </c>
      <c r="B271" s="43" t="n">
        <f aca="false">+YEAR(C271)</f>
        <v>2022</v>
      </c>
      <c r="C271" s="474" t="n">
        <f aca="false">+CURVELOAD!A276</f>
        <v>44774</v>
      </c>
      <c r="D271" s="479" t="n">
        <f aca="false">+IF($E$2&gt;0,$E$2,CURVELOAD!B276)</f>
        <v>0.072152737259013</v>
      </c>
      <c r="E271" s="480" t="n">
        <f aca="true">+IF(C271&lt;TODAY(),1,1/(1+D271/2)^((C272-TODAY())/182.625))</f>
        <v>1</v>
      </c>
      <c r="F271" s="481" t="n">
        <f aca="false">+CURVELOAD!C276+CURVELOAD!E276+CURVELOAD!F276</f>
        <v>4.796</v>
      </c>
      <c r="G271" s="478"/>
      <c r="H271" s="478"/>
      <c r="I271" s="478"/>
      <c r="J271" s="478"/>
    </row>
    <row r="272" customFormat="false" ht="12.75" hidden="false" customHeight="false" outlineLevel="0" collapsed="false">
      <c r="A272" s="0" t="n">
        <v>1</v>
      </c>
      <c r="B272" s="43" t="n">
        <f aca="false">+YEAR(C272)</f>
        <v>2022</v>
      </c>
      <c r="C272" s="474" t="n">
        <f aca="false">+CURVELOAD!A277</f>
        <v>44805</v>
      </c>
      <c r="D272" s="479" t="n">
        <f aca="false">+IF($E$2&gt;0,$E$2,CURVELOAD!B277)</f>
        <v>0.072148555454856</v>
      </c>
      <c r="E272" s="480" t="n">
        <f aca="true">+IF(C272&lt;TODAY(),1,1/(1+D272/2)^((C273-TODAY())/182.625))</f>
        <v>1</v>
      </c>
      <c r="F272" s="481" t="n">
        <f aca="false">+CURVELOAD!C277+CURVELOAD!E277+CURVELOAD!F277</f>
        <v>4.767</v>
      </c>
      <c r="G272" s="478"/>
      <c r="H272" s="478"/>
      <c r="I272" s="478"/>
      <c r="J272" s="478"/>
    </row>
    <row r="273" customFormat="false" ht="12.75" hidden="false" customHeight="false" outlineLevel="0" collapsed="false">
      <c r="A273" s="0" t="n">
        <v>1</v>
      </c>
      <c r="B273" s="43" t="n">
        <f aca="false">+YEAR(C273)</f>
        <v>2022</v>
      </c>
      <c r="C273" s="474" t="n">
        <f aca="false">+CURVELOAD!A278</f>
        <v>44835</v>
      </c>
      <c r="D273" s="479" t="n">
        <f aca="false">+IF($E$2&gt;0,$E$2,CURVELOAD!B278)</f>
        <v>0.072144508547613</v>
      </c>
      <c r="E273" s="480" t="n">
        <f aca="true">+IF(C273&lt;TODAY(),1,1/(1+D273/2)^((C274-TODAY())/182.625))</f>
        <v>1</v>
      </c>
      <c r="F273" s="481" t="n">
        <f aca="false">+CURVELOAD!C278+CURVELOAD!E278+CURVELOAD!F278</f>
        <v>4.768</v>
      </c>
      <c r="G273" s="478"/>
      <c r="H273" s="478"/>
      <c r="I273" s="478"/>
      <c r="J273" s="478"/>
    </row>
    <row r="274" customFormat="false" ht="12.75" hidden="false" customHeight="false" outlineLevel="0" collapsed="false">
      <c r="A274" s="0" t="n">
        <v>1</v>
      </c>
      <c r="B274" s="43" t="n">
        <f aca="false">+YEAR(C274)</f>
        <v>2022</v>
      </c>
      <c r="C274" s="474" t="n">
        <f aca="false">+CURVELOAD!A279</f>
        <v>44866</v>
      </c>
      <c r="D274" s="479" t="n">
        <f aca="false">+IF($E$2&gt;0,$E$2,CURVELOAD!B279)</f>
        <v>0.072140326743468</v>
      </c>
      <c r="E274" s="480" t="n">
        <f aca="true">+IF(C274&lt;TODAY(),1,1/(1+D274/2)^((C275-TODAY())/182.625))</f>
        <v>1</v>
      </c>
      <c r="F274" s="481" t="n">
        <f aca="false">+CURVELOAD!C279+CURVELOAD!E279+CURVELOAD!F279</f>
        <v>4.782</v>
      </c>
      <c r="G274" s="478"/>
      <c r="H274" s="478"/>
      <c r="I274" s="478"/>
      <c r="J274" s="478"/>
    </row>
    <row r="275" customFormat="false" ht="12.75" hidden="false" customHeight="false" outlineLevel="0" collapsed="false">
      <c r="A275" s="0" t="n">
        <v>1</v>
      </c>
      <c r="B275" s="43" t="n">
        <f aca="false">+YEAR(C275)</f>
        <v>2022</v>
      </c>
      <c r="C275" s="474" t="n">
        <f aca="false">+CURVELOAD!A280</f>
        <v>44896</v>
      </c>
      <c r="D275" s="479" t="n">
        <f aca="false">+IF($E$2&gt;0,$E$2,CURVELOAD!B280)</f>
        <v>0.072136279836236</v>
      </c>
      <c r="E275" s="480" t="n">
        <f aca="true">+IF(C275&lt;TODAY(),1,1/(1+D275/2)^((C276-TODAY())/182.625))</f>
        <v>1</v>
      </c>
      <c r="F275" s="481" t="n">
        <f aca="false">+CURVELOAD!C280+CURVELOAD!E280+CURVELOAD!F280</f>
        <v>4.83</v>
      </c>
      <c r="G275" s="478"/>
      <c r="H275" s="478"/>
      <c r="I275" s="478"/>
      <c r="J275" s="478"/>
    </row>
    <row r="276" customFormat="false" ht="12.75" hidden="false" customHeight="false" outlineLevel="0" collapsed="false">
      <c r="A276" s="0" t="n">
        <v>1</v>
      </c>
      <c r="B276" s="43" t="n">
        <f aca="false">+YEAR(C276)</f>
        <v>2023</v>
      </c>
      <c r="C276" s="474" t="n">
        <f aca="false">+CURVELOAD!A281</f>
        <v>44927</v>
      </c>
      <c r="D276" s="479" t="n">
        <f aca="false">+IF($E$2&gt;0,$E$2,CURVELOAD!B281)</f>
        <v>0.072132098032103</v>
      </c>
      <c r="E276" s="480" t="n">
        <f aca="true">+IF(C276&lt;TODAY(),1,1/(1+D276/2)^((C277-TODAY())/182.625))</f>
        <v>1</v>
      </c>
      <c r="F276" s="481" t="n">
        <f aca="false">+CURVELOAD!C281+CURVELOAD!E281+CURVELOAD!F281</f>
        <v>5.045</v>
      </c>
      <c r="G276" s="478"/>
      <c r="H276" s="478"/>
      <c r="I276" s="478"/>
      <c r="J276" s="478"/>
    </row>
    <row r="277" customFormat="false" ht="12.75" hidden="false" customHeight="false" outlineLevel="0" collapsed="false">
      <c r="A277" s="0" t="n">
        <v>1</v>
      </c>
      <c r="B277" s="43" t="n">
        <f aca="false">+YEAR(C277)</f>
        <v>2023</v>
      </c>
      <c r="C277" s="474" t="n">
        <f aca="false">+CURVELOAD!A282</f>
        <v>44958</v>
      </c>
      <c r="D277" s="479" t="n">
        <f aca="false">+IF($E$2&gt;0,$E$2,CURVELOAD!B282)</f>
        <v>0.072127916227974</v>
      </c>
      <c r="E277" s="480" t="n">
        <f aca="true">+IF(C277&lt;TODAY(),1,1/(1+D277/2)^((C278-TODAY())/182.625))</f>
        <v>1</v>
      </c>
      <c r="F277" s="481" t="n">
        <f aca="false">+CURVELOAD!C282+CURVELOAD!E282+CURVELOAD!F282</f>
        <v>4.995</v>
      </c>
      <c r="G277" s="478"/>
      <c r="H277" s="478"/>
      <c r="I277" s="478"/>
      <c r="J277" s="478"/>
    </row>
    <row r="278" customFormat="false" ht="12.75" hidden="false" customHeight="false" outlineLevel="0" collapsed="false">
      <c r="A278" s="0" t="n">
        <v>1</v>
      </c>
      <c r="B278" s="43" t="n">
        <f aca="false">+YEAR(C278)</f>
        <v>2023</v>
      </c>
      <c r="C278" s="474" t="n">
        <f aca="false">+CURVELOAD!A283</f>
        <v>44986</v>
      </c>
      <c r="D278" s="479" t="n">
        <f aca="false">+IF($E$2&gt;0,$E$2,CURVELOAD!B283)</f>
        <v>0.072124139114574</v>
      </c>
      <c r="E278" s="480" t="n">
        <f aca="true">+IF(C278&lt;TODAY(),1,1/(1+D278/2)^((C279-TODAY())/182.625))</f>
        <v>1</v>
      </c>
      <c r="F278" s="481" t="n">
        <f aca="false">+CURVELOAD!C283+CURVELOAD!E283+CURVELOAD!F283</f>
        <v>4.915</v>
      </c>
      <c r="G278" s="478"/>
      <c r="H278" s="478"/>
      <c r="I278" s="478"/>
      <c r="J278" s="478"/>
    </row>
    <row r="279" customFormat="false" ht="12.75" hidden="false" customHeight="false" outlineLevel="0" collapsed="false">
      <c r="A279" s="0" t="n">
        <v>1</v>
      </c>
      <c r="B279" s="43" t="n">
        <f aca="false">+YEAR(C279)</f>
        <v>2023</v>
      </c>
      <c r="C279" s="474" t="n">
        <f aca="false">+CURVELOAD!A284</f>
        <v>45017</v>
      </c>
      <c r="D279" s="479" t="n">
        <f aca="false">+IF($E$2&gt;0,$E$2,CURVELOAD!B284)</f>
        <v>0.072119957310457</v>
      </c>
      <c r="E279" s="480" t="n">
        <f aca="true">+IF(C279&lt;TODAY(),1,1/(1+D279/2)^((C280-TODAY())/182.625))</f>
        <v>1</v>
      </c>
      <c r="F279" s="481" t="n">
        <f aca="false">+CURVELOAD!C284+CURVELOAD!E284+CURVELOAD!F284</f>
        <v>4.835</v>
      </c>
      <c r="G279" s="478"/>
      <c r="H279" s="478"/>
      <c r="I279" s="478"/>
      <c r="J279" s="478"/>
    </row>
    <row r="280" customFormat="false" ht="12.75" hidden="false" customHeight="false" outlineLevel="0" collapsed="false">
      <c r="A280" s="0" t="n">
        <v>1</v>
      </c>
      <c r="B280" s="43" t="n">
        <f aca="false">+YEAR(C280)</f>
        <v>2023</v>
      </c>
      <c r="C280" s="474" t="n">
        <f aca="false">+CURVELOAD!A285</f>
        <v>45047</v>
      </c>
      <c r="D280" s="479" t="n">
        <f aca="false">+IF($E$2&gt;0,$E$2,CURVELOAD!B285)</f>
        <v>0.072115910403252</v>
      </c>
      <c r="E280" s="480" t="n">
        <f aca="true">+IF(C280&lt;TODAY(),1,1/(1+D280/2)^((C281-TODAY())/182.625))</f>
        <v>1</v>
      </c>
      <c r="F280" s="481" t="n">
        <f aca="false">+CURVELOAD!C285+CURVELOAD!E285+CURVELOAD!F285</f>
        <v>4.84</v>
      </c>
      <c r="G280" s="478"/>
      <c r="H280" s="478"/>
      <c r="I280" s="478"/>
      <c r="J280" s="478"/>
    </row>
    <row r="281" customFormat="false" ht="12.75" hidden="false" customHeight="false" outlineLevel="0" collapsed="false">
      <c r="A281" s="0" t="n">
        <v>1</v>
      </c>
      <c r="B281" s="43" t="n">
        <f aca="false">+YEAR(C281)</f>
        <v>2023</v>
      </c>
      <c r="C281" s="474" t="n">
        <f aca="false">+CURVELOAD!A286</f>
        <v>45078</v>
      </c>
      <c r="D281" s="479" t="n">
        <f aca="false">+IF($E$2&gt;0,$E$2,CURVELOAD!B286)</f>
        <v>0.072111728599146</v>
      </c>
      <c r="E281" s="480" t="n">
        <f aca="true">+IF(C281&lt;TODAY(),1,1/(1+D281/2)^((C282-TODAY())/182.625))</f>
        <v>1</v>
      </c>
      <c r="F281" s="481" t="n">
        <f aca="false">+CURVELOAD!C286+CURVELOAD!E286+CURVELOAD!F286</f>
        <v>4.89</v>
      </c>
      <c r="G281" s="478"/>
      <c r="H281" s="478"/>
      <c r="I281" s="478"/>
      <c r="J281" s="478"/>
    </row>
    <row r="282" customFormat="false" ht="12.75" hidden="false" customHeight="false" outlineLevel="0" collapsed="false">
      <c r="A282" s="0" t="n">
        <v>1</v>
      </c>
      <c r="B282" s="43" t="n">
        <f aca="false">+YEAR(C282)</f>
        <v>2023</v>
      </c>
      <c r="C282" s="474" t="n">
        <f aca="false">+CURVELOAD!A287</f>
        <v>45108</v>
      </c>
      <c r="D282" s="479" t="n">
        <f aca="false">+IF($E$2&gt;0,$E$2,CURVELOAD!B287)</f>
        <v>0.072107681691953</v>
      </c>
      <c r="E282" s="480" t="n">
        <f aca="true">+IF(C282&lt;TODAY(),1,1/(1+D282/2)^((C283-TODAY())/182.625))</f>
        <v>1</v>
      </c>
      <c r="F282" s="481" t="n">
        <f aca="false">+CURVELOAD!C287+CURVELOAD!E287+CURVELOAD!F287</f>
        <v>4.89</v>
      </c>
      <c r="G282" s="478"/>
      <c r="H282" s="478"/>
      <c r="I282" s="478"/>
      <c r="J282" s="478"/>
    </row>
    <row r="283" customFormat="false" ht="12.75" hidden="false" customHeight="false" outlineLevel="0" collapsed="false">
      <c r="A283" s="0" t="n">
        <v>1</v>
      </c>
      <c r="B283" s="43" t="n">
        <f aca="false">+YEAR(C283)</f>
        <v>2023</v>
      </c>
      <c r="C283" s="474" t="n">
        <f aca="false">+CURVELOAD!A288</f>
        <v>45139</v>
      </c>
      <c r="D283" s="479" t="n">
        <f aca="false">+IF($E$2&gt;0,$E$2,CURVELOAD!B288)</f>
        <v>0.072103499887858</v>
      </c>
      <c r="E283" s="480" t="n">
        <f aca="true">+IF(C283&lt;TODAY(),1,1/(1+D283/2)^((C284-TODAY())/182.625))</f>
        <v>1</v>
      </c>
      <c r="F283" s="481" t="n">
        <f aca="false">+CURVELOAD!C288+CURVELOAD!E288+CURVELOAD!F288</f>
        <v>4.95</v>
      </c>
      <c r="G283" s="478"/>
      <c r="H283" s="478"/>
      <c r="I283" s="478"/>
      <c r="J283" s="478"/>
    </row>
    <row r="284" customFormat="false" ht="12.75" hidden="false" customHeight="false" outlineLevel="0" collapsed="false">
      <c r="A284" s="0" t="n">
        <v>1</v>
      </c>
      <c r="B284" s="43" t="n">
        <f aca="false">+YEAR(C284)</f>
        <v>2023</v>
      </c>
      <c r="C284" s="474" t="n">
        <f aca="false">+CURVELOAD!A289</f>
        <v>45170</v>
      </c>
      <c r="D284" s="479" t="n">
        <f aca="false">+IF($E$2&gt;0,$E$2,CURVELOAD!B289)</f>
        <v>0.07209931808377</v>
      </c>
      <c r="E284" s="480" t="n">
        <f aca="true">+IF(C284&lt;TODAY(),1,1/(1+D284/2)^((C285-TODAY())/182.625))</f>
        <v>1</v>
      </c>
      <c r="F284" s="481" t="n">
        <f aca="false">+CURVELOAD!C289+CURVELOAD!E289+CURVELOAD!F289</f>
        <v>4.92</v>
      </c>
      <c r="G284" s="478"/>
      <c r="H284" s="478"/>
      <c r="I284" s="478"/>
      <c r="J284" s="478"/>
    </row>
    <row r="285" customFormat="false" ht="12.75" hidden="false" customHeight="false" outlineLevel="0" collapsed="false">
      <c r="A285" s="0" t="n">
        <v>1</v>
      </c>
      <c r="B285" s="43" t="n">
        <f aca="false">+YEAR(C285)</f>
        <v>2023</v>
      </c>
      <c r="C285" s="474" t="n">
        <f aca="false">+CURVELOAD!A290</f>
        <v>45200</v>
      </c>
      <c r="D285" s="479" t="n">
        <f aca="false">+IF($E$2&gt;0,$E$2,CURVELOAD!B290)</f>
        <v>0.072095271176593</v>
      </c>
      <c r="E285" s="480" t="n">
        <f aca="true">+IF(C285&lt;TODAY(),1,1/(1+D285/2)^((C286-TODAY())/182.625))</f>
        <v>1</v>
      </c>
      <c r="F285" s="481" t="n">
        <f aca="false">+CURVELOAD!C290+CURVELOAD!E290+CURVELOAD!F290</f>
        <v>4.92</v>
      </c>
      <c r="G285" s="478"/>
      <c r="H285" s="478"/>
      <c r="I285" s="478"/>
      <c r="J285" s="478"/>
    </row>
    <row r="286" customFormat="false" ht="12.75" hidden="false" customHeight="false" outlineLevel="0" collapsed="false">
      <c r="A286" s="0" t="n">
        <v>1</v>
      </c>
      <c r="B286" s="43" t="n">
        <f aca="false">+YEAR(C286)</f>
        <v>2023</v>
      </c>
      <c r="C286" s="474" t="n">
        <f aca="false">+CURVELOAD!A291</f>
        <v>45231</v>
      </c>
      <c r="D286" s="479" t="n">
        <f aca="false">+IF($E$2&gt;0,$E$2,CURVELOAD!B291)</f>
        <v>0.072091089372516</v>
      </c>
      <c r="E286" s="480" t="n">
        <f aca="true">+IF(C286&lt;TODAY(),1,1/(1+D286/2)^((C287-TODAY())/182.625))</f>
        <v>1</v>
      </c>
      <c r="F286" s="481" t="n">
        <f aca="false">+CURVELOAD!C291+CURVELOAD!E291+CURVELOAD!F291</f>
        <v>4.929</v>
      </c>
      <c r="G286" s="478"/>
      <c r="H286" s="478"/>
      <c r="I286" s="478"/>
      <c r="J286" s="478"/>
    </row>
    <row r="287" customFormat="false" ht="12.75" hidden="false" customHeight="false" outlineLevel="0" collapsed="false">
      <c r="A287" s="0" t="n">
        <v>1</v>
      </c>
      <c r="B287" s="43" t="n">
        <f aca="false">+YEAR(C287)</f>
        <v>2023</v>
      </c>
      <c r="C287" s="474" t="n">
        <f aca="false">+CURVELOAD!A292</f>
        <v>45261</v>
      </c>
      <c r="D287" s="479" t="n">
        <f aca="false">+IF($E$2&gt;0,$E$2,CURVELOAD!B292)</f>
        <v>0.07208704246535</v>
      </c>
      <c r="E287" s="480" t="n">
        <f aca="true">+IF(C287&lt;TODAY(),1,1/(1+D287/2)^((C288-TODAY())/182.625))</f>
        <v>1</v>
      </c>
      <c r="F287" s="481" t="n">
        <f aca="false">+CURVELOAD!C292+CURVELOAD!E292+CURVELOAD!F292</f>
        <v>4.974</v>
      </c>
      <c r="G287" s="478"/>
      <c r="H287" s="478"/>
      <c r="I287" s="478"/>
      <c r="J287" s="478"/>
    </row>
    <row r="288" customFormat="false" ht="12.75" hidden="false" customHeight="false" outlineLevel="0" collapsed="false">
      <c r="A288" s="0" t="n">
        <v>1</v>
      </c>
      <c r="B288" s="43" t="n">
        <f aca="false">+YEAR(C288)</f>
        <v>2024</v>
      </c>
      <c r="C288" s="474" t="n">
        <f aca="false">+CURVELOAD!A293</f>
        <v>45292</v>
      </c>
      <c r="D288" s="479" t="n">
        <f aca="false">+IF($E$2&gt;0,$E$2,CURVELOAD!B293)</f>
        <v>0.072082860661284</v>
      </c>
      <c r="E288" s="480" t="n">
        <f aca="true">+IF(C288&lt;TODAY(),1,1/(1+D288/2)^((C289-TODAY())/182.625))</f>
        <v>1</v>
      </c>
      <c r="F288" s="481" t="n">
        <f aca="false">+CURVELOAD!C293+CURVELOAD!E293+CURVELOAD!F293</f>
        <v>5.192</v>
      </c>
      <c r="G288" s="478"/>
      <c r="H288" s="478"/>
      <c r="I288" s="478"/>
      <c r="J288" s="478"/>
    </row>
    <row r="289" customFormat="false" ht="12.75" hidden="false" customHeight="false" outlineLevel="0" collapsed="false">
      <c r="A289" s="0" t="n">
        <v>1</v>
      </c>
      <c r="B289" s="43" t="n">
        <f aca="false">+YEAR(C289)</f>
        <v>2024</v>
      </c>
      <c r="C289" s="474" t="n">
        <f aca="false">+CURVELOAD!A294</f>
        <v>45323</v>
      </c>
      <c r="D289" s="479" t="n">
        <f aca="false">+IF($E$2&gt;0,$E$2,CURVELOAD!B294)</f>
        <v>0.072078678857224</v>
      </c>
      <c r="E289" s="480" t="n">
        <f aca="true">+IF(C289&lt;TODAY(),1,1/(1+D289/2)^((C290-TODAY())/182.625))</f>
        <v>1</v>
      </c>
      <c r="F289" s="481" t="n">
        <f aca="false">+CURVELOAD!C294+CURVELOAD!E294+CURVELOAD!F294</f>
        <v>5.146</v>
      </c>
      <c r="G289" s="478"/>
      <c r="H289" s="478"/>
      <c r="I289" s="478"/>
      <c r="J289" s="478"/>
    </row>
    <row r="290" customFormat="false" ht="12.75" hidden="false" customHeight="false" outlineLevel="0" collapsed="false">
      <c r="A290" s="0" t="n">
        <v>1</v>
      </c>
      <c r="B290" s="43" t="n">
        <f aca="false">+YEAR(C290)</f>
        <v>2024</v>
      </c>
      <c r="C290" s="474" t="n">
        <f aca="false">+CURVELOAD!A295</f>
        <v>45352</v>
      </c>
      <c r="D290" s="479" t="n">
        <f aca="false">+IF($E$2&gt;0,$E$2,CURVELOAD!B295)</f>
        <v>0.072074766846979</v>
      </c>
      <c r="E290" s="480" t="n">
        <f aca="true">+IF(C290&lt;TODAY(),1,1/(1+D290/2)^((C291-TODAY())/182.625))</f>
        <v>1</v>
      </c>
      <c r="F290" s="481" t="n">
        <f aca="false">+CURVELOAD!C295+CURVELOAD!E295+CURVELOAD!F295</f>
        <v>5.069</v>
      </c>
      <c r="G290" s="478"/>
      <c r="H290" s="478"/>
      <c r="I290" s="478"/>
      <c r="J290" s="478"/>
    </row>
    <row r="291" customFormat="false" ht="12.75" hidden="false" customHeight="false" outlineLevel="0" collapsed="false">
      <c r="A291" s="0" t="n">
        <v>1</v>
      </c>
      <c r="B291" s="43" t="n">
        <f aca="false">+YEAR(C291)</f>
        <v>2024</v>
      </c>
      <c r="C291" s="474" t="n">
        <f aca="false">+CURVELOAD!A296</f>
        <v>45383</v>
      </c>
      <c r="D291" s="479" t="n">
        <f aca="false">+IF($E$2&gt;0,$E$2,CURVELOAD!B296)</f>
        <v>0.072070585042931</v>
      </c>
      <c r="E291" s="480" t="n">
        <f aca="true">+IF(C291&lt;TODAY(),1,1/(1+D291/2)^((C292-TODAY())/182.625))</f>
        <v>1</v>
      </c>
      <c r="F291" s="481" t="n">
        <f aca="false">+CURVELOAD!C296+CURVELOAD!E296+CURVELOAD!F296</f>
        <v>4.992</v>
      </c>
      <c r="G291" s="478"/>
      <c r="H291" s="478"/>
      <c r="I291" s="478"/>
      <c r="J291" s="478"/>
    </row>
    <row r="292" customFormat="false" ht="12.75" hidden="false" customHeight="false" outlineLevel="0" collapsed="false">
      <c r="A292" s="0" t="n">
        <v>1</v>
      </c>
      <c r="B292" s="43" t="n">
        <f aca="false">+YEAR(C292)</f>
        <v>2024</v>
      </c>
      <c r="C292" s="474" t="n">
        <f aca="false">+CURVELOAD!A297</f>
        <v>45413</v>
      </c>
      <c r="D292" s="479" t="n">
        <f aca="false">+IF($E$2&gt;0,$E$2,CURVELOAD!B297)</f>
        <v>0.072066538135792</v>
      </c>
      <c r="E292" s="480" t="n">
        <f aca="true">+IF(C292&lt;TODAY(),1,1/(1+D292/2)^((C293-TODAY())/182.625))</f>
        <v>1</v>
      </c>
      <c r="F292" s="481" t="n">
        <f aca="false">+CURVELOAD!C297+CURVELOAD!E297+CURVELOAD!F297</f>
        <v>4.998</v>
      </c>
      <c r="G292" s="478"/>
      <c r="H292" s="478"/>
      <c r="I292" s="478"/>
      <c r="J292" s="478"/>
    </row>
    <row r="293" customFormat="false" ht="12.75" hidden="false" customHeight="false" outlineLevel="0" collapsed="false">
      <c r="A293" s="0" t="n">
        <v>1</v>
      </c>
      <c r="B293" s="43" t="n">
        <f aca="false">+YEAR(C293)</f>
        <v>2024</v>
      </c>
      <c r="C293" s="474" t="n">
        <f aca="false">+CURVELOAD!A298</f>
        <v>45444</v>
      </c>
      <c r="D293" s="479" t="n">
        <f aca="false">+IF($E$2&gt;0,$E$2,CURVELOAD!B298)</f>
        <v>0.072062356331754</v>
      </c>
      <c r="E293" s="480" t="n">
        <f aca="true">+IF(C293&lt;TODAY(),1,1/(1+D293/2)^((C294-TODAY())/182.625))</f>
        <v>1</v>
      </c>
      <c r="F293" s="481" t="n">
        <f aca="false">+CURVELOAD!C298+CURVELOAD!E298+CURVELOAD!F298</f>
        <v>0</v>
      </c>
      <c r="G293" s="478"/>
      <c r="H293" s="478"/>
      <c r="I293" s="478"/>
      <c r="J293" s="478"/>
    </row>
    <row r="294" customFormat="false" ht="12.75" hidden="false" customHeight="false" outlineLevel="0" collapsed="false">
      <c r="A294" s="0" t="n">
        <v>1</v>
      </c>
      <c r="B294" s="43" t="n">
        <f aca="false">+YEAR(C294)</f>
        <v>2024</v>
      </c>
      <c r="C294" s="474" t="n">
        <f aca="false">+CURVELOAD!A299</f>
        <v>45474</v>
      </c>
      <c r="D294" s="479" t="n">
        <f aca="false">+IF($E$2&gt;0,$E$2,CURVELOAD!B299)</f>
        <v>0.072058309424627</v>
      </c>
      <c r="E294" s="480" t="n">
        <f aca="true">+IF(C294&lt;TODAY(),1,1/(1+D294/2)^((C295-TODAY())/182.625))</f>
        <v>1</v>
      </c>
      <c r="F294" s="481" t="n">
        <f aca="false">+CURVELOAD!C299+CURVELOAD!E299+CURVELOAD!F299</f>
        <v>0</v>
      </c>
      <c r="G294" s="478"/>
      <c r="H294" s="478"/>
      <c r="I294" s="478"/>
      <c r="J294" s="478"/>
    </row>
    <row r="295" customFormat="false" ht="12.75" hidden="false" customHeight="false" outlineLevel="0" collapsed="false">
      <c r="A295" s="0" t="n">
        <v>1</v>
      </c>
      <c r="B295" s="43" t="n">
        <f aca="false">+YEAR(C295)</f>
        <v>2024</v>
      </c>
      <c r="C295" s="474" t="n">
        <f aca="false">+CURVELOAD!A300</f>
        <v>45505</v>
      </c>
      <c r="D295" s="479" t="n">
        <f aca="false">+IF($E$2&gt;0,$E$2,CURVELOAD!B300)</f>
        <v>0.072054127620601</v>
      </c>
      <c r="E295" s="480" t="n">
        <f aca="true">+IF(C295&lt;TODAY(),1,1/(1+D295/2)^((C296-TODAY())/182.625))</f>
        <v>1</v>
      </c>
      <c r="F295" s="481" t="n">
        <f aca="false">+CURVELOAD!C300+CURVELOAD!E300+CURVELOAD!F300</f>
        <v>0</v>
      </c>
      <c r="G295" s="478"/>
      <c r="H295" s="478"/>
      <c r="I295" s="478"/>
      <c r="J295" s="478"/>
    </row>
    <row r="296" customFormat="false" ht="12.75" hidden="false" customHeight="false" outlineLevel="0" collapsed="false">
      <c r="A296" s="0" t="n">
        <v>1</v>
      </c>
      <c r="B296" s="43" t="n">
        <f aca="false">+YEAR(C296)</f>
        <v>2024</v>
      </c>
      <c r="C296" s="474" t="n">
        <f aca="false">+CURVELOAD!A301</f>
        <v>45536</v>
      </c>
      <c r="D296" s="479" t="n">
        <f aca="false">+IF($E$2&gt;0,$E$2,CURVELOAD!B301)</f>
        <v>0.072049945816581</v>
      </c>
      <c r="E296" s="480" t="n">
        <f aca="true">+IF(C296&lt;TODAY(),1,1/(1+D296/2)^((C297-TODAY())/182.625))</f>
        <v>1</v>
      </c>
      <c r="F296" s="481" t="n">
        <f aca="false">+CURVELOAD!C301+CURVELOAD!E301+CURVELOAD!F301</f>
        <v>0</v>
      </c>
      <c r="G296" s="478"/>
      <c r="H296" s="478"/>
      <c r="I296" s="478"/>
      <c r="J296" s="478"/>
    </row>
    <row r="297" customFormat="false" ht="12.75" hidden="false" customHeight="false" outlineLevel="0" collapsed="false">
      <c r="A297" s="0" t="n">
        <v>1</v>
      </c>
      <c r="B297" s="43" t="n">
        <f aca="false">+YEAR(C297)</f>
        <v>2024</v>
      </c>
      <c r="C297" s="474" t="n">
        <f aca="false">+CURVELOAD!A302</f>
        <v>45566</v>
      </c>
      <c r="D297" s="479" t="n">
        <f aca="false">+IF($E$2&gt;0,$E$2,CURVELOAD!B302)</f>
        <v>0.07204589890947</v>
      </c>
      <c r="E297" s="480" t="n">
        <f aca="true">+IF(C297&lt;TODAY(),1,1/(1+D297/2)^((C298-TODAY())/182.625))</f>
        <v>1</v>
      </c>
      <c r="F297" s="481" t="n">
        <f aca="false">+CURVELOAD!C302+CURVELOAD!E302+CURVELOAD!F302</f>
        <v>0</v>
      </c>
      <c r="G297" s="478"/>
      <c r="H297" s="478"/>
      <c r="I297" s="478"/>
      <c r="J297" s="478"/>
    </row>
    <row r="298" customFormat="false" ht="12.75" hidden="false" customHeight="false" outlineLevel="0" collapsed="false">
      <c r="A298" s="0" t="n">
        <v>1</v>
      </c>
      <c r="B298" s="43" t="n">
        <f aca="false">+YEAR(C298)</f>
        <v>2024</v>
      </c>
      <c r="C298" s="474" t="n">
        <f aca="false">+CURVELOAD!A303</f>
        <v>45597</v>
      </c>
      <c r="D298" s="479" t="n">
        <f aca="false">+IF($E$2&gt;0,$E$2,CURVELOAD!B303)</f>
        <v>0.07204171710546</v>
      </c>
      <c r="E298" s="480" t="n">
        <f aca="true">+IF(C298&lt;TODAY(),1,1/(1+D298/2)^((C299-TODAY())/182.625))</f>
        <v>1</v>
      </c>
      <c r="F298" s="481" t="n">
        <f aca="false">+CURVELOAD!C303+CURVELOAD!E303+CURVELOAD!F303</f>
        <v>0</v>
      </c>
      <c r="G298" s="478"/>
      <c r="H298" s="478"/>
      <c r="I298" s="478"/>
      <c r="J298" s="478"/>
    </row>
    <row r="299" customFormat="false" ht="12.75" hidden="false" customHeight="false" outlineLevel="0" collapsed="false">
      <c r="A299" s="0" t="n">
        <v>1</v>
      </c>
      <c r="B299" s="43" t="n">
        <f aca="false">+YEAR(C299)</f>
        <v>2024</v>
      </c>
      <c r="C299" s="474" t="n">
        <f aca="false">+CURVELOAD!A304</f>
        <v>45627</v>
      </c>
      <c r="D299" s="479" t="n">
        <f aca="false">+IF($E$2&gt;0,$E$2,CURVELOAD!B304)</f>
        <v>0.072037670198361</v>
      </c>
      <c r="E299" s="480" t="n">
        <f aca="true">+IF(C299&lt;TODAY(),1,1/(1+D299/2)^((C300-TODAY())/182.625))</f>
        <v>1</v>
      </c>
      <c r="F299" s="481" t="n">
        <f aca="false">+CURVELOAD!C304+CURVELOAD!E304+CURVELOAD!F304</f>
        <v>0</v>
      </c>
      <c r="G299" s="478"/>
      <c r="H299" s="478"/>
      <c r="I299" s="478"/>
      <c r="J299" s="478"/>
    </row>
    <row r="300" customFormat="false" ht="12.75" hidden="false" customHeight="false" outlineLevel="0" collapsed="false">
      <c r="A300" s="0" t="n">
        <v>1</v>
      </c>
      <c r="B300" s="43" t="n">
        <f aca="false">+YEAR(C300)</f>
        <v>2025</v>
      </c>
      <c r="C300" s="474" t="n">
        <f aca="false">+CURVELOAD!A305</f>
        <v>45658</v>
      </c>
      <c r="D300" s="479" t="n">
        <f aca="false">+IF($E$2&gt;0,$E$2,CURVELOAD!B305)</f>
        <v>0.072033488394363</v>
      </c>
      <c r="E300" s="480" t="n">
        <f aca="true">+IF(C300&lt;TODAY(),1,1/(1+D300/2)^((C301-TODAY())/182.625))</f>
        <v>1</v>
      </c>
      <c r="F300" s="481" t="n">
        <f aca="false">+CURVELOAD!C305+CURVELOAD!E305+CURVELOAD!F305</f>
        <v>0</v>
      </c>
      <c r="G300" s="478"/>
      <c r="H300" s="478"/>
      <c r="I300" s="478"/>
      <c r="J300" s="478"/>
    </row>
    <row r="301" customFormat="false" ht="12.75" hidden="false" customHeight="false" outlineLevel="0" collapsed="false">
      <c r="A301" s="0" t="n">
        <v>1</v>
      </c>
      <c r="B301" s="43" t="n">
        <f aca="false">+YEAR(C301)</f>
        <v>2025</v>
      </c>
      <c r="C301" s="474" t="n">
        <f aca="false">+CURVELOAD!A306</f>
        <v>45689</v>
      </c>
      <c r="D301" s="479" t="n">
        <f aca="false">+IF($E$2&gt;0,$E$2,CURVELOAD!B306)</f>
        <v>0.072029306590371</v>
      </c>
      <c r="E301" s="480" t="n">
        <f aca="true">+IF(C301&lt;TODAY(),1,1/(1+D301/2)^((C302-TODAY())/182.625))</f>
        <v>1</v>
      </c>
      <c r="F301" s="481" t="n">
        <f aca="false">+CURVELOAD!C306+CURVELOAD!E306+CURVELOAD!F306</f>
        <v>0</v>
      </c>
      <c r="G301" s="478"/>
      <c r="H301" s="478"/>
      <c r="I301" s="478"/>
      <c r="J301" s="478"/>
    </row>
    <row r="302" customFormat="false" ht="12.75" hidden="false" customHeight="false" outlineLevel="0" collapsed="false">
      <c r="A302" s="0" t="n">
        <v>1</v>
      </c>
      <c r="B302" s="43" t="n">
        <f aca="false">+YEAR(C302)</f>
        <v>2025</v>
      </c>
      <c r="C302" s="474" t="n">
        <f aca="false">+CURVELOAD!A307</f>
        <v>45717</v>
      </c>
      <c r="D302" s="479" t="n">
        <f aca="false">+IF($E$2&gt;0,$E$2,CURVELOAD!B307)</f>
        <v>0.072025529477093</v>
      </c>
      <c r="E302" s="480" t="n">
        <f aca="true">+IF(C302&lt;TODAY(),1,1/(1+D302/2)^((C303-TODAY())/182.625))</f>
        <v>1</v>
      </c>
      <c r="F302" s="481" t="n">
        <f aca="false">+CURVELOAD!C307+CURVELOAD!E307+CURVELOAD!F307</f>
        <v>0</v>
      </c>
      <c r="G302" s="478"/>
      <c r="H302" s="478"/>
      <c r="I302" s="478"/>
      <c r="J302" s="478"/>
    </row>
    <row r="303" customFormat="false" ht="12.75" hidden="false" customHeight="false" outlineLevel="0" collapsed="false">
      <c r="A303" s="0" t="n">
        <v>1</v>
      </c>
      <c r="B303" s="43" t="n">
        <f aca="false">+YEAR(C303)</f>
        <v>2025</v>
      </c>
      <c r="C303" s="474" t="n">
        <f aca="false">+CURVELOAD!A308</f>
        <v>45748</v>
      </c>
      <c r="D303" s="479" t="n">
        <f aca="false">+IF($E$2&gt;0,$E$2,CURVELOAD!B308)</f>
        <v>0.072021347673112</v>
      </c>
      <c r="E303" s="480" t="n">
        <f aca="true">+IF(C303&lt;TODAY(),1,1/(1+D303/2)^((C304-TODAY())/182.625))</f>
        <v>1</v>
      </c>
      <c r="F303" s="481" t="n">
        <f aca="false">+CURVELOAD!C308+CURVELOAD!E308+CURVELOAD!F308</f>
        <v>0</v>
      </c>
      <c r="G303" s="478"/>
      <c r="H303" s="478"/>
      <c r="I303" s="478"/>
      <c r="J303" s="478"/>
    </row>
    <row r="304" customFormat="false" ht="12.75" hidden="false" customHeight="false" outlineLevel="0" collapsed="false">
      <c r="A304" s="0" t="n">
        <v>1</v>
      </c>
      <c r="B304" s="43" t="n">
        <f aca="false">+YEAR(C304)</f>
        <v>2025</v>
      </c>
      <c r="C304" s="474" t="n">
        <f aca="false">+CURVELOAD!A309</f>
        <v>45778</v>
      </c>
      <c r="D304" s="479" t="n">
        <f aca="false">+IF($E$2&gt;0,$E$2,CURVELOAD!B309)</f>
        <v>0.07201730076604</v>
      </c>
      <c r="E304" s="480" t="n">
        <f aca="true">+IF(C304&lt;TODAY(),1,1/(1+D304/2)^((C305-TODAY())/182.625))</f>
        <v>1</v>
      </c>
      <c r="F304" s="481" t="n">
        <f aca="false">+CURVELOAD!C309+CURVELOAD!E309+CURVELOAD!F309</f>
        <v>0</v>
      </c>
      <c r="G304" s="478"/>
      <c r="H304" s="478"/>
      <c r="I304" s="478"/>
      <c r="J304" s="478"/>
    </row>
    <row r="305" customFormat="false" ht="12.75" hidden="false" customHeight="false" outlineLevel="0" collapsed="false">
      <c r="A305" s="0" t="n">
        <v>1</v>
      </c>
      <c r="B305" s="43" t="n">
        <f aca="false">+YEAR(C305)</f>
        <v>2025</v>
      </c>
      <c r="C305" s="474" t="n">
        <f aca="false">+CURVELOAD!A310</f>
        <v>45809</v>
      </c>
      <c r="D305" s="479" t="n">
        <f aca="false">+IF($E$2&gt;0,$E$2,CURVELOAD!B310)</f>
        <v>0.07201311896207</v>
      </c>
      <c r="E305" s="480" t="n">
        <f aca="true">+IF(C305&lt;TODAY(),1,1/(1+D305/2)^((C306-TODAY())/182.625))</f>
        <v>1</v>
      </c>
      <c r="F305" s="481" t="n">
        <f aca="false">+CURVELOAD!C310+CURVELOAD!E310+CURVELOAD!F310</f>
        <v>0</v>
      </c>
      <c r="G305" s="478"/>
      <c r="H305" s="478"/>
      <c r="I305" s="478"/>
      <c r="J305" s="478"/>
    </row>
    <row r="306" customFormat="false" ht="12.75" hidden="false" customHeight="false" outlineLevel="0" collapsed="false">
      <c r="A306" s="0" t="n">
        <v>1</v>
      </c>
      <c r="B306" s="43" t="n">
        <f aca="false">+YEAR(C306)</f>
        <v>2025</v>
      </c>
      <c r="C306" s="474" t="n">
        <f aca="false">+CURVELOAD!A311</f>
        <v>45839</v>
      </c>
      <c r="D306" s="479" t="n">
        <f aca="false">+IF($E$2&gt;0,$E$2,CURVELOAD!B311)</f>
        <v>0.072009072055009</v>
      </c>
      <c r="E306" s="480" t="n">
        <f aca="true">+IF(C306&lt;TODAY(),1,1/(1+D306/2)^((C307-TODAY())/182.625))</f>
        <v>1</v>
      </c>
      <c r="F306" s="481" t="n">
        <f aca="false">+CURVELOAD!C311+CURVELOAD!E311+CURVELOAD!F311</f>
        <v>0</v>
      </c>
      <c r="G306" s="478"/>
      <c r="H306" s="478"/>
      <c r="I306" s="478"/>
      <c r="J306" s="478"/>
    </row>
    <row r="307" customFormat="false" ht="12.75" hidden="false" customHeight="false" outlineLevel="0" collapsed="false">
      <c r="A307" s="0" t="n">
        <v>1</v>
      </c>
      <c r="B307" s="43" t="n">
        <f aca="false">+YEAR(C307)</f>
        <v>2025</v>
      </c>
      <c r="C307" s="474" t="n">
        <f aca="false">+CURVELOAD!A312</f>
        <v>45870</v>
      </c>
      <c r="D307" s="479" t="n">
        <f aca="false">+IF($E$2&gt;0,$E$2,CURVELOAD!B312)</f>
        <v>0.07200489025105</v>
      </c>
      <c r="E307" s="480" t="n">
        <f aca="true">+IF(C307&lt;TODAY(),1,1/(1+D307/2)^((C308-TODAY())/182.625))</f>
        <v>1</v>
      </c>
      <c r="F307" s="481" t="n">
        <f aca="false">+CURVELOAD!C312+CURVELOAD!E312+CURVELOAD!F312</f>
        <v>0</v>
      </c>
      <c r="G307" s="478"/>
      <c r="H307" s="478"/>
      <c r="I307" s="478"/>
      <c r="J307" s="478"/>
    </row>
    <row r="308" customFormat="false" ht="12.75" hidden="false" customHeight="false" outlineLevel="0" collapsed="false">
      <c r="A308" s="0" t="n">
        <v>1</v>
      </c>
      <c r="B308" s="43" t="n">
        <f aca="false">+YEAR(C308)</f>
        <v>2025</v>
      </c>
      <c r="C308" s="474" t="n">
        <f aca="false">+CURVELOAD!A313</f>
        <v>45901</v>
      </c>
      <c r="D308" s="479" t="n">
        <f aca="false">+IF($E$2&gt;0,$E$2,CURVELOAD!B313)</f>
        <v>0.072000708447098</v>
      </c>
      <c r="E308" s="480" t="n">
        <f aca="true">+IF(C308&lt;TODAY(),1,1/(1+D308/2)^((C309-TODAY())/182.625))</f>
        <v>1</v>
      </c>
      <c r="F308" s="481" t="n">
        <f aca="false">+CURVELOAD!C313+CURVELOAD!E313+CURVELOAD!F313</f>
        <v>0</v>
      </c>
      <c r="G308" s="478"/>
      <c r="H308" s="478"/>
      <c r="I308" s="478"/>
      <c r="J308" s="478"/>
    </row>
    <row r="309" customFormat="false" ht="12.75" hidden="false" customHeight="false" outlineLevel="0" collapsed="false">
      <c r="A309" s="0" t="n">
        <v>1</v>
      </c>
      <c r="B309" s="43" t="n">
        <f aca="false">+YEAR(C309)</f>
        <v>2025</v>
      </c>
      <c r="C309" s="474" t="n">
        <f aca="false">+CURVELOAD!A314</f>
        <v>45931</v>
      </c>
      <c r="D309" s="479" t="n">
        <f aca="false">+IF($E$2&gt;0,$E$2,CURVELOAD!B314)</f>
        <v>0.071996661540053</v>
      </c>
      <c r="E309" s="480" t="n">
        <f aca="true">+IF(C309&lt;TODAY(),1,1/(1+D309/2)^((C310-TODAY())/182.625))</f>
        <v>0.993052804421018</v>
      </c>
      <c r="F309" s="481" t="n">
        <f aca="false">+CURVELOAD!C314+CURVELOAD!E314+CURVELOAD!F314</f>
        <v>0</v>
      </c>
      <c r="G309" s="478"/>
      <c r="H309" s="478"/>
      <c r="I309" s="478"/>
      <c r="J309" s="478"/>
    </row>
    <row r="310" customFormat="false" ht="12.75" hidden="false" customHeight="false" outlineLevel="0" collapsed="false">
      <c r="A310" s="0" t="n">
        <v>1</v>
      </c>
      <c r="B310" s="43" t="n">
        <f aca="false">+YEAR(C310)</f>
        <v>2025</v>
      </c>
      <c r="C310" s="474" t="n">
        <f aca="false">+CURVELOAD!A315</f>
        <v>45962</v>
      </c>
      <c r="D310" s="479" t="n">
        <f aca="false">+IF($E$2&gt;0,$E$2,CURVELOAD!B315)</f>
        <v>0.071992479736112</v>
      </c>
      <c r="E310" s="480" t="n">
        <f aca="true">+IF(C310&lt;TODAY(),1,1/(1+D310/2)^((C311-TODAY())/182.625))</f>
        <v>0.98730107712728</v>
      </c>
      <c r="F310" s="481" t="n">
        <f aca="false">+CURVELOAD!C315+CURVELOAD!E315+CURVELOAD!F315</f>
        <v>0</v>
      </c>
      <c r="G310" s="478"/>
      <c r="H310" s="478"/>
      <c r="I310" s="478"/>
      <c r="J310" s="478"/>
    </row>
    <row r="311" customFormat="false" ht="12.75" hidden="false" customHeight="false" outlineLevel="0" collapsed="false">
      <c r="A311" s="0" t="n">
        <v>1</v>
      </c>
      <c r="B311" s="43" t="n">
        <f aca="false">+YEAR(C311)</f>
        <v>2025</v>
      </c>
      <c r="C311" s="474" t="n">
        <f aca="false">+CURVELOAD!A316</f>
        <v>45992</v>
      </c>
      <c r="D311" s="482" t="n">
        <f aca="false">+IF($E$2&gt;0,$E$2,CURVELOAD!B316)</f>
        <v>0.071988432829078</v>
      </c>
      <c r="E311" s="483" t="n">
        <f aca="true">+IF(C311&lt;TODAY(),1,1/(1+D311/2)^((C312-TODAY())/182.625))</f>
        <v>0.981393235975785</v>
      </c>
      <c r="F311" s="484" t="n">
        <f aca="false">+CURVELOAD!C316+CURVELOAD!E316+CURVELOAD!F316</f>
        <v>0</v>
      </c>
      <c r="G311" s="478"/>
      <c r="H311" s="478"/>
      <c r="I311" s="478"/>
      <c r="J311" s="478"/>
    </row>
    <row r="312" customFormat="false" ht="12.75" hidden="false" customHeight="false" outlineLevel="0" collapsed="false">
      <c r="A312" s="0" t="n">
        <v>1</v>
      </c>
      <c r="B312" s="43" t="n">
        <f aca="false">+YEAR(C312)</f>
        <v>2026</v>
      </c>
      <c r="C312" s="474" t="n">
        <f aca="false">+CURVELOAD!A317</f>
        <v>46023</v>
      </c>
      <c r="D312" s="43"/>
      <c r="E312" s="43"/>
      <c r="F312" s="43"/>
      <c r="G312" s="43"/>
      <c r="H312" s="43"/>
      <c r="I312" s="43"/>
    </row>
    <row r="313" customFormat="false" ht="12.75" hidden="false" customHeight="false" outlineLevel="0" collapsed="false">
      <c r="C313" s="25"/>
    </row>
    <row r="314" customFormat="false" ht="12.75" hidden="false" customHeight="false" outlineLevel="0" collapsed="false">
      <c r="C314" s="25"/>
    </row>
    <row r="315" customFormat="false" ht="12.75" hidden="false" customHeight="false" outlineLevel="0" collapsed="false">
      <c r="C315" s="25"/>
    </row>
    <row r="316" customFormat="false" ht="12.75" hidden="false" customHeight="false" outlineLevel="0" collapsed="false">
      <c r="C316" s="25"/>
    </row>
    <row r="317" customFormat="false" ht="12.75" hidden="false" customHeight="false" outlineLevel="0" collapsed="false">
      <c r="C317" s="25"/>
    </row>
    <row r="318" customFormat="false" ht="12.75" hidden="false" customHeight="false" outlineLevel="0" collapsed="false">
      <c r="C318" s="2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4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7" activeCellId="0" sqref="A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2" min="2" style="0" width="17.7"/>
    <col collapsed="false" customWidth="true" hidden="false" outlineLevel="0" max="3" min="3" style="0" width="23.56"/>
    <col collapsed="false" customWidth="true" hidden="false" outlineLevel="0" max="4" min="4" style="0" width="18.99"/>
    <col collapsed="false" customWidth="true" hidden="false" outlineLevel="0" max="5" min="5" style="0" width="22.99"/>
    <col collapsed="false" customWidth="true" hidden="false" outlineLevel="0" max="6" min="6" style="0" width="17.85"/>
    <col collapsed="false" customWidth="true" hidden="false" outlineLevel="0" max="7" min="7" style="0" width="20.85"/>
    <col collapsed="false" customWidth="true" hidden="false" outlineLevel="0" max="22" min="8" style="0" width="7.28"/>
  </cols>
  <sheetData>
    <row r="1" customFormat="false" ht="33.75" hidden="false" customHeight="false" outlineLevel="0" collapsed="false">
      <c r="A1" s="1" t="s">
        <v>15</v>
      </c>
    </row>
    <row r="4" customFormat="false" ht="12.75" hidden="false" customHeight="false" outlineLevel="0" collapsed="false">
      <c r="A4" s="2" t="s">
        <v>16</v>
      </c>
      <c r="B4" s="3" t="s">
        <v>6</v>
      </c>
      <c r="C4" s="3" t="s">
        <v>7</v>
      </c>
      <c r="D4" s="3" t="s">
        <v>17</v>
      </c>
      <c r="E4" s="3"/>
      <c r="F4" s="3"/>
      <c r="G4" s="3"/>
      <c r="H4" s="4"/>
      <c r="I4" s="4"/>
      <c r="J4" s="4"/>
      <c r="K4" s="4"/>
      <c r="L4" s="4"/>
      <c r="M4" s="4"/>
      <c r="N4" s="5"/>
    </row>
    <row r="5" customFormat="false" ht="12.75" hidden="false" customHeight="false" outlineLevel="0" collapsed="false">
      <c r="A5" s="6"/>
      <c r="B5" s="7"/>
      <c r="C5" s="7"/>
      <c r="D5" s="7"/>
      <c r="E5" s="7"/>
      <c r="F5" s="7"/>
      <c r="G5" s="7"/>
      <c r="H5" s="8"/>
      <c r="I5" s="8"/>
      <c r="J5" s="8"/>
      <c r="K5" s="8"/>
      <c r="L5" s="8"/>
      <c r="M5" s="8"/>
      <c r="N5" s="9"/>
    </row>
    <row r="6" customFormat="false" ht="12.75" hidden="false" customHeight="false" outlineLevel="0" collapsed="false">
      <c r="A6" s="26"/>
      <c r="B6" s="27"/>
      <c r="C6" s="27"/>
      <c r="D6" s="28"/>
    </row>
    <row r="7" customFormat="false" ht="12.75" hidden="false" customHeight="false" outlineLevel="0" collapsed="false">
      <c r="A7" s="22" t="n">
        <f aca="false">+SHIPS!B26</f>
        <v>36708</v>
      </c>
      <c r="B7" s="23" t="n">
        <f aca="false">+IF('ELBA BOOK'!B18=0,0,((+PORTS!I12+PORTS!I320)/('ELBA BOOK'!$B18*PORTS!$I$9))+PORTS!I628)</f>
        <v>0</v>
      </c>
      <c r="C7" s="29" t="n">
        <f aca="false">+PORTS!J7</f>
        <v>0.3</v>
      </c>
      <c r="D7" s="23"/>
      <c r="E7" s="23"/>
      <c r="F7" s="23"/>
      <c r="G7" s="23"/>
    </row>
    <row r="8" customFormat="false" ht="12.75" hidden="false" customHeight="false" outlineLevel="0" collapsed="false">
      <c r="A8" s="22" t="n">
        <f aca="false">+SHIPS!B27</f>
        <v>36739</v>
      </c>
      <c r="B8" s="23" t="n">
        <f aca="false">+IF('ELBA BOOK'!B19=0,0,((+PORTS!I13+PORTS!I321)/('ELBA BOOK'!$B19*PORTS!$I$9))+PORTS!I629)</f>
        <v>0</v>
      </c>
      <c r="C8" s="23" t="n">
        <f aca="false">+C7*(1+PORTS!$J$8/12)</f>
        <v>0.3003125</v>
      </c>
      <c r="D8" s="23"/>
      <c r="E8" s="23"/>
      <c r="F8" s="23"/>
      <c r="G8" s="23"/>
    </row>
    <row r="9" customFormat="false" ht="12.75" hidden="false" customHeight="false" outlineLevel="0" collapsed="false">
      <c r="A9" s="22" t="n">
        <f aca="false">+SHIPS!B28</f>
        <v>36770</v>
      </c>
      <c r="B9" s="23" t="n">
        <f aca="false">+IF('ELBA BOOK'!B20=0,0,((+PORTS!I14+PORTS!I322)/('ELBA BOOK'!$B20*PORTS!$I$9))+PORTS!I630)</f>
        <v>0</v>
      </c>
      <c r="C9" s="23" t="n">
        <f aca="false">+C8*(1+PORTS!$J$8/12)</f>
        <v>0.300625325520833</v>
      </c>
      <c r="D9" s="23"/>
      <c r="E9" s="23"/>
      <c r="F9" s="23"/>
      <c r="G9" s="23"/>
    </row>
    <row r="10" customFormat="false" ht="12.75" hidden="false" customHeight="false" outlineLevel="0" collapsed="false">
      <c r="A10" s="22" t="n">
        <f aca="false">+SHIPS!B29</f>
        <v>36800</v>
      </c>
      <c r="B10" s="23" t="n">
        <f aca="false">+IF('ELBA BOOK'!B21=0,0,((+PORTS!I15+PORTS!I323)/('ELBA BOOK'!$B21*PORTS!$I$9))+PORTS!I631)</f>
        <v>0</v>
      </c>
      <c r="C10" s="23" t="n">
        <f aca="false">+C9*(1+PORTS!$J$8/12)</f>
        <v>0.300938476901584</v>
      </c>
      <c r="D10" s="23"/>
      <c r="E10" s="23"/>
      <c r="F10" s="23"/>
      <c r="G10" s="23"/>
    </row>
    <row r="11" customFormat="false" ht="12.75" hidden="false" customHeight="false" outlineLevel="0" collapsed="false">
      <c r="A11" s="22" t="n">
        <f aca="false">+SHIPS!B30</f>
        <v>36831</v>
      </c>
      <c r="B11" s="23" t="n">
        <f aca="false">+IF('ELBA BOOK'!B22=0,0,((+PORTS!I16+PORTS!I324)/('ELBA BOOK'!$B22*PORTS!$I$9))+PORTS!I632)</f>
        <v>0</v>
      </c>
      <c r="C11" s="23" t="n">
        <f aca="false">+C10*(1+PORTS!$J$8/12)</f>
        <v>0.30125195448169</v>
      </c>
      <c r="D11" s="23"/>
      <c r="E11" s="23"/>
      <c r="F11" s="23"/>
      <c r="G11" s="23"/>
    </row>
    <row r="12" customFormat="false" ht="12.75" hidden="false" customHeight="false" outlineLevel="0" collapsed="false">
      <c r="A12" s="22" t="n">
        <f aca="false">+SHIPS!B31</f>
        <v>36861</v>
      </c>
      <c r="B12" s="23" t="n">
        <f aca="false">+IF('ELBA BOOK'!B23=0,0,((+PORTS!I17+PORTS!I325)/('ELBA BOOK'!$B23*PORTS!$I$9))+PORTS!I633)</f>
        <v>0</v>
      </c>
      <c r="C12" s="23" t="n">
        <f aca="false">+C11*(1+PORTS!$J$8/12)</f>
        <v>0.301565758600942</v>
      </c>
      <c r="D12" s="23"/>
      <c r="E12" s="23"/>
      <c r="F12" s="23"/>
      <c r="G12" s="23"/>
    </row>
    <row r="13" customFormat="false" ht="12.75" hidden="false" customHeight="false" outlineLevel="0" collapsed="false">
      <c r="A13" s="24" t="n">
        <f aca="false">+SHIPS!B32</f>
        <v>36892</v>
      </c>
      <c r="B13" s="23" t="n">
        <f aca="false">+IF('ELBA BOOK'!B24=0,0,((+PORTS!I18+PORTS!I326)/('ELBA BOOK'!$B24*PORTS!$I$9))+PORTS!I634)</f>
        <v>0</v>
      </c>
      <c r="C13" s="23" t="n">
        <f aca="false">+C12*(1+PORTS!$J$8/12)</f>
        <v>0.301879889599484</v>
      </c>
      <c r="D13" s="23"/>
      <c r="E13" s="23"/>
      <c r="F13" s="23"/>
      <c r="G13" s="23"/>
    </row>
    <row r="14" customFormat="false" ht="12.75" hidden="false" customHeight="false" outlineLevel="0" collapsed="false">
      <c r="A14" s="22" t="n">
        <f aca="false">+SHIPS!B33</f>
        <v>36923</v>
      </c>
      <c r="B14" s="23" t="n">
        <f aca="false">+IF('ELBA BOOK'!B25=0,0,((+PORTS!I19+PORTS!I327)/('ELBA BOOK'!$B25*PORTS!$I$9))+PORTS!I635)</f>
        <v>0</v>
      </c>
      <c r="C14" s="23" t="n">
        <f aca="false">+C13*(1+PORTS!$J$8/12)</f>
        <v>0.302194347817817</v>
      </c>
      <c r="D14" s="23"/>
      <c r="E14" s="23"/>
      <c r="F14" s="23"/>
      <c r="G14" s="23"/>
    </row>
    <row r="15" customFormat="false" ht="12.75" hidden="false" customHeight="false" outlineLevel="0" collapsed="false">
      <c r="A15" s="22" t="n">
        <f aca="false">+SHIPS!B34</f>
        <v>36951</v>
      </c>
      <c r="B15" s="23" t="n">
        <f aca="false">+IF('ELBA BOOK'!B26=0,0,((+PORTS!I20+PORTS!I328)/('ELBA BOOK'!$B26*PORTS!$I$9))+PORTS!I636)</f>
        <v>0</v>
      </c>
      <c r="C15" s="23" t="n">
        <f aca="false">+C14*(1+PORTS!$J$8/12)</f>
        <v>0.302509133596794</v>
      </c>
      <c r="D15" s="23"/>
      <c r="E15" s="23"/>
      <c r="F15" s="23"/>
      <c r="G15" s="23"/>
    </row>
    <row r="16" customFormat="false" ht="12.75" hidden="false" customHeight="false" outlineLevel="0" collapsed="false">
      <c r="A16" s="22" t="n">
        <f aca="false">+SHIPS!B35</f>
        <v>36982</v>
      </c>
      <c r="B16" s="23" t="n">
        <f aca="false">+IF('ELBA BOOK'!B27=0,0,((+PORTS!I21+PORTS!I329)/('ELBA BOOK'!$B27*PORTS!$I$9))+PORTS!I637)</f>
        <v>0</v>
      </c>
      <c r="C16" s="23" t="n">
        <f aca="false">+C15*(1+PORTS!$J$8/12)</f>
        <v>0.302824247277624</v>
      </c>
      <c r="D16" s="23"/>
      <c r="E16" s="23"/>
      <c r="F16" s="23"/>
      <c r="G16" s="23"/>
    </row>
    <row r="17" customFormat="false" ht="12.75" hidden="false" customHeight="false" outlineLevel="0" collapsed="false">
      <c r="A17" s="22" t="n">
        <f aca="false">+SHIPS!B36</f>
        <v>37012</v>
      </c>
      <c r="B17" s="23" t="n">
        <f aca="false">+IF('ELBA BOOK'!B28=0,0,((+PORTS!I22+PORTS!I330)/('ELBA BOOK'!$B28*PORTS!$I$9))+PORTS!I638)</f>
        <v>0</v>
      </c>
      <c r="C17" s="23" t="n">
        <f aca="false">+C16*(1+PORTS!$J$8/12)</f>
        <v>0.303139689201871</v>
      </c>
      <c r="D17" s="23"/>
      <c r="E17" s="23"/>
      <c r="F17" s="23"/>
      <c r="G17" s="23"/>
    </row>
    <row r="18" customFormat="false" ht="12.75" hidden="false" customHeight="false" outlineLevel="0" collapsed="false">
      <c r="A18" s="22" t="n">
        <f aca="false">+SHIPS!B37</f>
        <v>37043</v>
      </c>
      <c r="B18" s="23" t="n">
        <f aca="false">+IF('ELBA BOOK'!B29=0,0,((+PORTS!I23+PORTS!I331)/('ELBA BOOK'!$B29*PORTS!$I$9))+PORTS!I639)</f>
        <v>0</v>
      </c>
      <c r="C18" s="23" t="n">
        <f aca="false">+C17*(1+PORTS!$J$8/12)</f>
        <v>0.303455459711457</v>
      </c>
      <c r="D18" s="23"/>
      <c r="E18" s="23"/>
      <c r="F18" s="23"/>
      <c r="G18" s="23"/>
    </row>
    <row r="19" customFormat="false" ht="12.75" hidden="false" customHeight="false" outlineLevel="0" collapsed="false">
      <c r="A19" s="22" t="n">
        <f aca="false">+SHIPS!B38</f>
        <v>37073</v>
      </c>
      <c r="B19" s="23" t="n">
        <f aca="false">+IF('ELBA BOOK'!B30=0,0,((+PORTS!I24+PORTS!I332)/('ELBA BOOK'!$B30*PORTS!$I$9))+PORTS!I640)</f>
        <v>0</v>
      </c>
      <c r="C19" s="23" t="n">
        <f aca="false">+C18*(1+PORTS!$J$8/12)</f>
        <v>0.303771559148656</v>
      </c>
      <c r="D19" s="23"/>
      <c r="E19" s="23"/>
      <c r="F19" s="23"/>
      <c r="G19" s="23"/>
    </row>
    <row r="20" customFormat="false" ht="12.75" hidden="false" customHeight="false" outlineLevel="0" collapsed="false">
      <c r="A20" s="22" t="n">
        <f aca="false">+SHIPS!B39</f>
        <v>37104</v>
      </c>
      <c r="B20" s="23" t="n">
        <f aca="false">+IF('ELBA BOOK'!B31=0,0,((+PORTS!I25+PORTS!I333)/('ELBA BOOK'!$B31*PORTS!$I$9))+PORTS!I641)</f>
        <v>0</v>
      </c>
      <c r="C20" s="23" t="n">
        <f aca="false">+C19*(1+PORTS!$J$8/12)</f>
        <v>0.304087987856103</v>
      </c>
      <c r="D20" s="23"/>
      <c r="E20" s="23"/>
      <c r="F20" s="23"/>
      <c r="G20" s="23"/>
    </row>
    <row r="21" customFormat="false" ht="12.75" hidden="false" customHeight="false" outlineLevel="0" collapsed="false">
      <c r="A21" s="22" t="n">
        <f aca="false">+SHIPS!B40</f>
        <v>37135</v>
      </c>
      <c r="B21" s="23" t="n">
        <f aca="false">+IF('ELBA BOOK'!B32=0,0,((+PORTS!I26+PORTS!I334)/('ELBA BOOK'!$B32*PORTS!$I$9))+PORTS!I642)</f>
        <v>0</v>
      </c>
      <c r="C21" s="23" t="n">
        <f aca="false">+C20*(1+PORTS!$J$8/12)</f>
        <v>0.304404746176786</v>
      </c>
      <c r="D21" s="23"/>
      <c r="E21" s="23"/>
      <c r="F21" s="23"/>
      <c r="G21" s="23"/>
    </row>
    <row r="22" customFormat="false" ht="12.75" hidden="false" customHeight="false" outlineLevel="0" collapsed="false">
      <c r="A22" s="22" t="n">
        <f aca="false">+SHIPS!B41</f>
        <v>37165</v>
      </c>
      <c r="B22" s="23" t="n">
        <f aca="false">+IF('ELBA BOOK'!B33=0,0,((+PORTS!I27+PORTS!I335)/('ELBA BOOK'!$B33*PORTS!$I$9))+PORTS!I643)</f>
        <v>0</v>
      </c>
      <c r="C22" s="23" t="n">
        <f aca="false">+C21*(1+PORTS!$J$8/12)</f>
        <v>0.304721834454053</v>
      </c>
      <c r="D22" s="23"/>
      <c r="E22" s="23"/>
      <c r="F22" s="23"/>
      <c r="G22" s="23"/>
    </row>
    <row r="23" customFormat="false" ht="12.75" hidden="false" customHeight="false" outlineLevel="0" collapsed="false">
      <c r="A23" s="22" t="n">
        <f aca="false">+SHIPS!B42</f>
        <v>37196</v>
      </c>
      <c r="B23" s="23" t="n">
        <f aca="false">+IF('ELBA BOOK'!B34=0,0,((+PORTS!I28+PORTS!I336)/('ELBA BOOK'!$B34*PORTS!$I$9))+PORTS!I644)</f>
        <v>0</v>
      </c>
      <c r="C23" s="23" t="n">
        <f aca="false">+C22*(1+PORTS!$J$8/12)</f>
        <v>0.30503925303161</v>
      </c>
      <c r="D23" s="23"/>
      <c r="E23" s="23"/>
      <c r="F23" s="23"/>
      <c r="G23" s="23"/>
    </row>
    <row r="24" customFormat="false" ht="12.75" hidden="false" customHeight="false" outlineLevel="0" collapsed="false">
      <c r="A24" s="22" t="n">
        <f aca="false">+SHIPS!B43</f>
        <v>37226</v>
      </c>
      <c r="B24" s="23" t="n">
        <f aca="false">+IF('ELBA BOOK'!B35=0,0,((+PORTS!I29+PORTS!I337)/('ELBA BOOK'!$B35*PORTS!$I$9))+PORTS!I645)</f>
        <v>0</v>
      </c>
      <c r="C24" s="23" t="n">
        <f aca="false">+C23*(1+PORTS!$J$8/12)</f>
        <v>0.305357002253518</v>
      </c>
      <c r="D24" s="23"/>
      <c r="E24" s="23"/>
      <c r="F24" s="23"/>
      <c r="G24" s="23"/>
    </row>
    <row r="25" customFormat="false" ht="12.75" hidden="false" customHeight="false" outlineLevel="0" collapsed="false">
      <c r="A25" s="24" t="n">
        <f aca="false">+SHIPS!B44</f>
        <v>37257</v>
      </c>
      <c r="B25" s="23" t="n">
        <f aca="false">+IF('ELBA BOOK'!B36=0,0,((+PORTS!I30+PORTS!I338)/('ELBA BOOK'!$B36*PORTS!$I$9))+PORTS!I646)</f>
        <v>0</v>
      </c>
      <c r="C25" s="23" t="n">
        <f aca="false">+C24*(1+PORTS!$J$8/12)</f>
        <v>0.305675082464198</v>
      </c>
      <c r="D25" s="23"/>
      <c r="E25" s="23"/>
      <c r="F25" s="23"/>
      <c r="G25" s="23"/>
    </row>
    <row r="26" customFormat="false" ht="12.75" hidden="false" customHeight="false" outlineLevel="0" collapsed="false">
      <c r="A26" s="22" t="n">
        <f aca="false">+SHIPS!B45</f>
        <v>37288</v>
      </c>
      <c r="B26" s="23" t="n">
        <f aca="false">+IF('ELBA BOOK'!B37=0,0,((+PORTS!I31+PORTS!I339)/('ELBA BOOK'!$B37*PORTS!$I$9))+PORTS!I647)</f>
        <v>0</v>
      </c>
      <c r="C26" s="23" t="n">
        <f aca="false">+C25*(1+PORTS!$J$8/12)</f>
        <v>0.305993494008432</v>
      </c>
      <c r="D26" s="23"/>
      <c r="E26" s="23"/>
      <c r="F26" s="23"/>
      <c r="G26" s="23"/>
    </row>
    <row r="27" customFormat="false" ht="12.75" hidden="false" customHeight="false" outlineLevel="0" collapsed="false">
      <c r="A27" s="22" t="n">
        <f aca="false">+SHIPS!B46</f>
        <v>37316</v>
      </c>
      <c r="B27" s="23" t="n">
        <f aca="false">+IF('ELBA BOOK'!B38=0,0,((+PORTS!I32+PORTS!I340)/('ELBA BOOK'!$B38*PORTS!$I$9))+PORTS!I648)</f>
        <v>0</v>
      </c>
      <c r="C27" s="23" t="n">
        <f aca="false">+C26*(1+PORTS!$J$8/12)</f>
        <v>0.306312237231357</v>
      </c>
      <c r="D27" s="23"/>
      <c r="E27" s="23"/>
      <c r="F27" s="23"/>
      <c r="G27" s="23"/>
    </row>
    <row r="28" customFormat="false" ht="12.75" hidden="false" customHeight="false" outlineLevel="0" collapsed="false">
      <c r="A28" s="22" t="n">
        <f aca="false">+SHIPS!B47</f>
        <v>37347</v>
      </c>
      <c r="B28" s="23" t="n">
        <f aca="false">+IF('ELBA BOOK'!B39=0,0,((+PORTS!I33+PORTS!I341)/('ELBA BOOK'!$B39*PORTS!$I$9))+PORTS!I649)</f>
        <v>0.211110341511177</v>
      </c>
      <c r="C28" s="23" t="n">
        <f aca="false">+C27*(1+PORTS!$J$8/12)</f>
        <v>0.306631312478473</v>
      </c>
      <c r="D28" s="23"/>
      <c r="E28" s="23"/>
      <c r="F28" s="23"/>
      <c r="G28" s="23"/>
    </row>
    <row r="29" customFormat="false" ht="12.75" hidden="false" customHeight="false" outlineLevel="0" collapsed="false">
      <c r="A29" s="22" t="n">
        <f aca="false">+SHIPS!B48</f>
        <v>37377</v>
      </c>
      <c r="B29" s="23" t="n">
        <f aca="false">+IF('ELBA BOOK'!B40=0,0,((+PORTS!I34+PORTS!I342)/('ELBA BOOK'!$B40*PORTS!$I$9))+PORTS!I650)</f>
        <v>0.205292779267131</v>
      </c>
      <c r="C29" s="23" t="n">
        <f aca="false">+C28*(1+PORTS!$J$8/12)</f>
        <v>0.306950720095638</v>
      </c>
      <c r="D29" s="23"/>
      <c r="E29" s="23"/>
      <c r="F29" s="23"/>
      <c r="G29" s="23"/>
    </row>
    <row r="30" customFormat="false" ht="12.75" hidden="false" customHeight="false" outlineLevel="0" collapsed="false">
      <c r="A30" s="22" t="n">
        <f aca="false">+SHIPS!B49</f>
        <v>37408</v>
      </c>
      <c r="B30" s="23" t="n">
        <f aca="false">+IF('ELBA BOOK'!B41=0,0,((+PORTS!I35+PORTS!I343)/('ELBA BOOK'!$B41*PORTS!$I$9))+PORTS!I651)</f>
        <v>0.211354650109039</v>
      </c>
      <c r="C30" s="23" t="n">
        <f aca="false">+C29*(1+PORTS!$J$8/12)</f>
        <v>0.307270460429071</v>
      </c>
      <c r="D30" s="23"/>
      <c r="E30" s="23"/>
      <c r="F30" s="23"/>
      <c r="G30" s="23"/>
    </row>
    <row r="31" customFormat="false" ht="12.75" hidden="false" customHeight="false" outlineLevel="0" collapsed="false">
      <c r="A31" s="22" t="n">
        <f aca="false">+SHIPS!B50</f>
        <v>37438</v>
      </c>
      <c r="B31" s="23" t="n">
        <f aca="false">+IF('ELBA BOOK'!B42=0,0,((+PORTS!I36+PORTS!I344)/('ELBA BOOK'!$B42*PORTS!$I$9))+PORTS!I652)</f>
        <v>0.205531275620967</v>
      </c>
      <c r="C31" s="23" t="n">
        <f aca="false">+C30*(1+PORTS!$J$8/12)</f>
        <v>0.307590533825352</v>
      </c>
      <c r="D31" s="23"/>
      <c r="E31" s="23"/>
      <c r="F31" s="23"/>
      <c r="G31" s="23"/>
    </row>
    <row r="32" customFormat="false" ht="12.75" hidden="false" customHeight="false" outlineLevel="0" collapsed="false">
      <c r="A32" s="22" t="n">
        <f aca="false">+SHIPS!B51</f>
        <v>37469</v>
      </c>
      <c r="B32" s="23" t="n">
        <f aca="false">+IF('ELBA BOOK'!B43=0,0,((+PORTS!I37+PORTS!I345)/('ELBA BOOK'!$B43*PORTS!$I$9))+PORTS!I653)</f>
        <v>0.205650710155493</v>
      </c>
      <c r="C32" s="23" t="n">
        <f aca="false">+C31*(1+PORTS!$J$8/12)</f>
        <v>0.30791094063142</v>
      </c>
      <c r="D32" s="23"/>
      <c r="E32" s="23"/>
      <c r="F32" s="23"/>
      <c r="G32" s="23"/>
    </row>
    <row r="33" customFormat="false" ht="12.75" hidden="false" customHeight="false" outlineLevel="0" collapsed="false">
      <c r="A33" s="22" t="n">
        <f aca="false">+SHIPS!B52</f>
        <v>37500</v>
      </c>
      <c r="B33" s="23" t="n">
        <f aca="false">+IF('ELBA BOOK'!B44=0,0,((+PORTS!I38+PORTS!I346)/('ELBA BOOK'!$B44*PORTS!$I$9))+PORTS!I654)</f>
        <v>0.211722068164964</v>
      </c>
      <c r="C33" s="23" t="n">
        <f aca="false">+C32*(1+PORTS!$J$8/12)</f>
        <v>0.308231681194577</v>
      </c>
      <c r="D33" s="23"/>
      <c r="E33" s="23"/>
      <c r="F33" s="23"/>
      <c r="G33" s="23"/>
    </row>
    <row r="34" customFormat="false" ht="12.75" hidden="false" customHeight="false" outlineLevel="0" collapsed="false">
      <c r="A34" s="22" t="n">
        <f aca="false">+SHIPS!B53</f>
        <v>37530</v>
      </c>
      <c r="B34" s="23" t="n">
        <f aca="false">+IF('ELBA BOOK'!B45=0,0,((+PORTS!I39+PORTS!I347)/('ELBA BOOK'!$B45*PORTS!$I$9))+PORTS!I655)</f>
        <v>0.205889952587059</v>
      </c>
      <c r="C34" s="23" t="n">
        <f aca="false">+C33*(1+PORTS!$J$8/12)</f>
        <v>0.308552755862488</v>
      </c>
      <c r="D34" s="23"/>
      <c r="E34" s="23"/>
      <c r="F34" s="23"/>
      <c r="G34" s="23"/>
    </row>
    <row r="35" customFormat="false" ht="12.75" hidden="false" customHeight="false" outlineLevel="0" collapsed="false">
      <c r="A35" s="22" t="n">
        <f aca="false">+SHIPS!B54</f>
        <v>37561</v>
      </c>
      <c r="B35" s="23" t="n">
        <f aca="false">+IF('ELBA BOOK'!B46=0,0,((+PORTS!I40+PORTS!I348)/('ELBA BOOK'!$B46*PORTS!$I$9))+PORTS!I656)</f>
        <v>0.211967651857122</v>
      </c>
      <c r="C35" s="23" t="n">
        <f aca="false">+C34*(1+PORTS!$J$8/12)</f>
        <v>0.308874164983178</v>
      </c>
      <c r="D35" s="23"/>
      <c r="E35" s="23"/>
      <c r="F35" s="23"/>
      <c r="G35" s="23"/>
    </row>
    <row r="36" customFormat="false" ht="12.75" hidden="false" customHeight="false" outlineLevel="0" collapsed="false">
      <c r="A36" s="22" t="n">
        <f aca="false">+SHIPS!B55</f>
        <v>37591</v>
      </c>
      <c r="B36" s="23" t="n">
        <f aca="false">+IF('ELBA BOOK'!B47=0,0,((+PORTS!I41+PORTS!I349)/('ELBA BOOK'!$B47*PORTS!$I$9))+PORTS!I657)</f>
        <v>0.206129693699953</v>
      </c>
      <c r="C36" s="23" t="n">
        <f aca="false">+C35*(1+PORTS!$J$8/12)</f>
        <v>0.309195908905036</v>
      </c>
      <c r="D36" s="23"/>
      <c r="E36" s="23"/>
      <c r="F36" s="23"/>
      <c r="G36" s="23"/>
    </row>
    <row r="37" customFormat="false" ht="12.75" hidden="false" customHeight="false" outlineLevel="0" collapsed="false">
      <c r="A37" s="24" t="n">
        <f aca="false">+SHIPS!B56</f>
        <v>37622</v>
      </c>
      <c r="B37" s="23" t="n">
        <f aca="false">+IF('ELBA BOOK'!B48=0,0,((+PORTS!I42+PORTS!I350)/('ELBA BOOK'!$B48*PORTS!$I$9))+PORTS!I658)</f>
        <v>0.206249751586644</v>
      </c>
      <c r="C37" s="23" t="n">
        <f aca="false">+C36*(1+PORTS!$J$8/12)</f>
        <v>0.309517987976812</v>
      </c>
      <c r="D37" s="23"/>
      <c r="E37" s="23"/>
      <c r="F37" s="23"/>
      <c r="G37" s="23"/>
    </row>
    <row r="38" customFormat="false" ht="12.75" hidden="false" customHeight="false" outlineLevel="0" collapsed="false">
      <c r="A38" s="22" t="n">
        <f aca="false">+SHIPS!B57</f>
        <v>37653</v>
      </c>
      <c r="B38" s="23" t="n">
        <f aca="false">+IF('ELBA BOOK'!B49=0,0,((+PORTS!I43+PORTS!I351)/('ELBA BOOK'!$B49*PORTS!$I$9))+PORTS!I659)</f>
        <v>0.225549747767258</v>
      </c>
      <c r="C38" s="23" t="n">
        <f aca="false">+C37*(1+PORTS!$J$8/12)</f>
        <v>0.309840402547621</v>
      </c>
      <c r="D38" s="23"/>
      <c r="E38" s="23"/>
      <c r="F38" s="23"/>
      <c r="G38" s="23"/>
    </row>
    <row r="39" customFormat="false" ht="12.75" hidden="false" customHeight="false" outlineLevel="0" collapsed="false">
      <c r="A39" s="22" t="n">
        <f aca="false">+SHIPS!B58</f>
        <v>37681</v>
      </c>
      <c r="B39" s="23" t="n">
        <f aca="false">+IF('ELBA BOOK'!B50=0,0,((+PORTS!I44+PORTS!I352)/('ELBA BOOK'!$B50*PORTS!$I$9))+PORTS!I660)</f>
        <v>0.206490242671194</v>
      </c>
      <c r="C39" s="23" t="n">
        <f aca="false">+C38*(1+PORTS!$J$8/12)</f>
        <v>0.310163152966941</v>
      </c>
      <c r="D39" s="23"/>
      <c r="E39" s="23"/>
      <c r="F39" s="23"/>
      <c r="G39" s="23"/>
    </row>
    <row r="40" customFormat="false" ht="12.75" hidden="false" customHeight="false" outlineLevel="0" collapsed="false">
      <c r="A40" s="22" t="n">
        <f aca="false">+SHIPS!B59</f>
        <v>37712</v>
      </c>
      <c r="B40" s="23" t="n">
        <f aca="false">+IF('ELBA BOOK'!B51=0,0,((+PORTS!I45+PORTS!I353)/('ELBA BOOK'!$B51*PORTS!$I$9))+PORTS!I661)</f>
        <v>0.212583852981068</v>
      </c>
      <c r="C40" s="23" t="n">
        <f aca="false">+C39*(1+PORTS!$J$8/12)</f>
        <v>0.310486239584615</v>
      </c>
      <c r="D40" s="23"/>
      <c r="E40" s="23"/>
      <c r="F40" s="23"/>
      <c r="G40" s="23"/>
    </row>
    <row r="41" customFormat="false" ht="12.75" hidden="false" customHeight="false" outlineLevel="0" collapsed="false">
      <c r="A41" s="22" t="n">
        <f aca="false">+SHIPS!B60</f>
        <v>37742</v>
      </c>
      <c r="B41" s="23" t="n">
        <f aca="false">+IF('ELBA BOOK'!B52=0,0,((+PORTS!I46+PORTS!I354)/('ELBA BOOK'!$B52*PORTS!$I$9))+PORTS!I662)</f>
        <v>0.206731235039786</v>
      </c>
      <c r="C41" s="23" t="n">
        <f aca="false">+C40*(1+PORTS!$J$8/12)</f>
        <v>0.310809662750849</v>
      </c>
      <c r="D41" s="23"/>
      <c r="E41" s="23"/>
      <c r="F41" s="23"/>
      <c r="G41" s="23"/>
    </row>
    <row r="42" customFormat="false" ht="12.75" hidden="false" customHeight="false" outlineLevel="0" collapsed="false">
      <c r="A42" s="22" t="n">
        <f aca="false">+SHIPS!B61</f>
        <v>37773</v>
      </c>
      <c r="B42" s="23" t="n">
        <f aca="false">+IF('ELBA BOOK'!B53=0,0,((+PORTS!I47+PORTS!I355)/('ELBA BOOK'!$B53*PORTS!$I$9))+PORTS!I663)</f>
        <v>0.212831232993356</v>
      </c>
      <c r="C42" s="23" t="n">
        <f aca="false">+C41*(1+PORTS!$J$8/12)</f>
        <v>0.311133422816215</v>
      </c>
      <c r="D42" s="23"/>
      <c r="E42" s="23"/>
      <c r="F42" s="23"/>
      <c r="G42" s="23"/>
    </row>
    <row r="43" customFormat="false" ht="12.75" hidden="false" customHeight="false" outlineLevel="0" collapsed="false">
      <c r="A43" s="22" t="n">
        <f aca="false">+SHIPS!B62</f>
        <v>37803</v>
      </c>
      <c r="B43" s="23" t="n">
        <f aca="false">+IF('ELBA BOOK'!B54=0,0,((+PORTS!I48+PORTS!I356)/('ELBA BOOK'!$B54*PORTS!$I$9))+PORTS!I664)</f>
        <v>0.206972729737306</v>
      </c>
      <c r="C43" s="23" t="n">
        <f aca="false">+C42*(1+PORTS!$J$8/12)</f>
        <v>0.311457520131648</v>
      </c>
      <c r="D43" s="23"/>
      <c r="E43" s="23"/>
      <c r="F43" s="23"/>
      <c r="G43" s="23"/>
    </row>
    <row r="44" customFormat="false" ht="12.75" hidden="false" customHeight="false" outlineLevel="0" collapsed="false">
      <c r="A44" s="22" t="n">
        <f aca="false">+SHIPS!B63</f>
        <v>37834</v>
      </c>
      <c r="B44" s="23" t="n">
        <f aca="false">+IF('ELBA BOOK'!B55=0,0,((+PORTS!I49+PORTS!I357)/('ELBA BOOK'!$B55*PORTS!$I$9))+PORTS!I665)</f>
        <v>0.207093665786536</v>
      </c>
      <c r="C44" s="23" t="n">
        <f aca="false">+C43*(1+PORTS!$J$8/12)</f>
        <v>0.311781955048452</v>
      </c>
      <c r="D44" s="23"/>
      <c r="E44" s="23"/>
      <c r="F44" s="23"/>
      <c r="G44" s="23"/>
    </row>
    <row r="45" customFormat="false" ht="12.75" hidden="false" customHeight="false" outlineLevel="0" collapsed="false">
      <c r="A45" s="22" t="n">
        <f aca="false">+SHIPS!B64</f>
        <v>37865</v>
      </c>
      <c r="B45" s="23" t="n">
        <f aca="false">+IF('ELBA BOOK'!B56=0,0,((+PORTS!I50+PORTS!I358)/('ELBA BOOK'!$B56*PORTS!$I$9))+PORTS!I666)</f>
        <v>0.213203270179048</v>
      </c>
      <c r="C45" s="23" t="n">
        <f aca="false">+C44*(1+PORTS!$J$8/12)</f>
        <v>0.312106727918294</v>
      </c>
      <c r="D45" s="23"/>
      <c r="E45" s="23"/>
      <c r="F45" s="23"/>
      <c r="G45" s="23"/>
    </row>
    <row r="46" customFormat="false" ht="12.75" hidden="false" customHeight="false" outlineLevel="0" collapsed="false">
      <c r="A46" s="22" t="n">
        <f aca="false">+SHIPS!B65</f>
        <v>37895</v>
      </c>
      <c r="B46" s="23" t="n">
        <f aca="false">+IF('ELBA BOOK'!B57=0,0,((+PORTS!I51+PORTS!I359)/('ELBA BOOK'!$B57*PORTS!$I$9))+PORTS!I667)</f>
        <v>0.207335915941374</v>
      </c>
      <c r="C46" s="23" t="n">
        <f aca="false">+C45*(1+PORTS!$J$8/12)</f>
        <v>0.312431839093209</v>
      </c>
      <c r="D46" s="23"/>
      <c r="E46" s="23"/>
      <c r="F46" s="23"/>
      <c r="G46" s="23"/>
    </row>
    <row r="47" customFormat="false" ht="12.75" hidden="false" customHeight="false" outlineLevel="0" collapsed="false">
      <c r="A47" s="22" t="n">
        <f aca="false">+SHIPS!B66</f>
        <v>37926</v>
      </c>
      <c r="B47" s="23" t="n">
        <f aca="false">+IF('ELBA BOOK'!B58=0,0,((+PORTS!I52+PORTS!I360)/('ELBA BOOK'!$B58*PORTS!$I$9))+PORTS!I668)</f>
        <v>0.213451941315941</v>
      </c>
      <c r="C47" s="23" t="n">
        <f aca="false">+C46*(1+PORTS!$J$8/12)</f>
        <v>0.312757288925598</v>
      </c>
      <c r="D47" s="23"/>
      <c r="E47" s="23"/>
      <c r="F47" s="23"/>
      <c r="G47" s="23"/>
    </row>
    <row r="48" customFormat="false" ht="12.75" hidden="false" customHeight="false" outlineLevel="0" collapsed="false">
      <c r="A48" s="22" t="n">
        <f aca="false">+SHIPS!B67</f>
        <v>37956</v>
      </c>
      <c r="B48" s="23" t="n">
        <f aca="false">+IF('ELBA BOOK'!B59=0,0,((+PORTS!I53+PORTS!I361)/('ELBA BOOK'!$B59*PORTS!$I$9))+PORTS!I669)</f>
        <v>0.207578671046893</v>
      </c>
      <c r="C48" s="23" t="n">
        <f aca="false">+C47*(1+PORTS!$J$8/12)</f>
        <v>0.313083077768229</v>
      </c>
      <c r="D48" s="23"/>
      <c r="E48" s="23"/>
      <c r="F48" s="23"/>
      <c r="G48" s="23"/>
    </row>
    <row r="49" customFormat="false" ht="12.75" hidden="false" customHeight="false" outlineLevel="0" collapsed="false">
      <c r="A49" s="24" t="n">
        <f aca="false">+SHIPS!B68</f>
        <v>37987</v>
      </c>
      <c r="B49" s="23" t="n">
        <f aca="false">+IF('ELBA BOOK'!B60=0,0,((+PORTS!I54+PORTS!I362)/('ELBA BOOK'!$B60*PORTS!$I$9))+PORTS!I670)</f>
        <v>0.207700238284988</v>
      </c>
      <c r="C49" s="23" t="n">
        <f aca="false">+C48*(1+PORTS!$J$8/12)</f>
        <v>0.313409205974237</v>
      </c>
      <c r="D49" s="23"/>
      <c r="E49" s="23"/>
      <c r="F49" s="23"/>
      <c r="G49" s="23"/>
    </row>
    <row r="50" customFormat="false" ht="12.75" hidden="false" customHeight="false" outlineLevel="0" collapsed="false">
      <c r="A50" s="22" t="n">
        <f aca="false">+SHIPS!B69</f>
        <v>38018</v>
      </c>
      <c r="B50" s="23" t="n">
        <f aca="false">+IF('ELBA BOOK'!B61=0,0,((+PORTS!I55+PORTS!I363)/('ELBA BOOK'!$B61*PORTS!$I$9))+PORTS!I671)</f>
        <v>0.220243976460635</v>
      </c>
      <c r="C50" s="23" t="n">
        <f aca="false">+C49*(1+PORTS!$J$8/12)</f>
        <v>0.313735673897127</v>
      </c>
      <c r="D50" s="23"/>
      <c r="E50" s="23"/>
      <c r="F50" s="23"/>
      <c r="G50" s="23"/>
    </row>
    <row r="51" customFormat="false" ht="12.75" hidden="false" customHeight="false" outlineLevel="0" collapsed="false">
      <c r="A51" s="22" t="n">
        <f aca="false">+SHIPS!B70</f>
        <v>38047</v>
      </c>
      <c r="B51" s="23" t="n">
        <f aca="false">+IF('ELBA BOOK'!B62=0,0,((+PORTS!I56+PORTS!I364)/('ELBA BOOK'!$B62*PORTS!$I$9))+PORTS!I672)</f>
        <v>0.207943752790704</v>
      </c>
      <c r="C51" s="23" t="n">
        <f aca="false">+C50*(1+PORTS!$J$8/12)</f>
        <v>0.31406248189077</v>
      </c>
      <c r="D51" s="23"/>
      <c r="E51" s="23"/>
      <c r="F51" s="23"/>
      <c r="G51" s="23"/>
    </row>
    <row r="52" customFormat="false" ht="12.75" hidden="false" customHeight="false" outlineLevel="0" collapsed="false">
      <c r="A52" s="22" t="n">
        <f aca="false">+SHIPS!B71</f>
        <v>38078</v>
      </c>
      <c r="B52" s="23" t="n">
        <f aca="false">+IF('ELBA BOOK'!B63=0,0,((+PORTS!I57+PORTS!I365)/('ELBA BOOK'!$B63*PORTS!$I$9))+PORTS!I673)</f>
        <v>0.21407588923651</v>
      </c>
      <c r="C52" s="23" t="n">
        <f aca="false">+C51*(1+PORTS!$J$8/12)</f>
        <v>0.314389630309406</v>
      </c>
      <c r="D52" s="23"/>
      <c r="E52" s="23"/>
      <c r="F52" s="23"/>
      <c r="G52" s="23"/>
    </row>
    <row r="53" customFormat="false" ht="12.75" hidden="false" customHeight="false" outlineLevel="0" collapsed="false">
      <c r="A53" s="22" t="n">
        <f aca="false">+SHIPS!B72</f>
        <v>38108</v>
      </c>
      <c r="B53" s="23" t="n">
        <f aca="false">+IF('ELBA BOOK'!B64=0,0,((+PORTS!I58+PORTS!I366)/('ELBA BOOK'!$B64*PORTS!$I$9))+PORTS!I674)</f>
        <v>0.208187774882538</v>
      </c>
      <c r="C53" s="23" t="n">
        <f aca="false">+C52*(1+PORTS!$J$8/12)</f>
        <v>0.314717119507645</v>
      </c>
      <c r="D53" s="23"/>
      <c r="E53" s="23"/>
      <c r="F53" s="23"/>
      <c r="G53" s="23"/>
    </row>
    <row r="54" customFormat="false" ht="12.75" hidden="false" customHeight="false" outlineLevel="0" collapsed="false">
      <c r="A54" s="22" t="n">
        <f aca="false">+SHIPS!B73</f>
        <v>38139</v>
      </c>
      <c r="B54" s="23" t="n">
        <f aca="false">+IF('ELBA BOOK'!B65=0,0,((+PORTS!I59+PORTS!I367)/('ELBA BOOK'!$B65*PORTS!$I$9))+PORTS!I675)</f>
        <v>0.214326379276625</v>
      </c>
      <c r="C54" s="23" t="n">
        <f aca="false">+C53*(1+PORTS!$J$8/12)</f>
        <v>0.315044949840465</v>
      </c>
      <c r="D54" s="23"/>
      <c r="E54" s="23"/>
      <c r="F54" s="23"/>
      <c r="G54" s="23"/>
    </row>
    <row r="55" customFormat="false" ht="12.75" hidden="false" customHeight="false" outlineLevel="0" collapsed="false">
      <c r="A55" s="22" t="n">
        <f aca="false">+SHIPS!B74</f>
        <v>38169</v>
      </c>
      <c r="B55" s="23" t="n">
        <f aca="false">+IF('ELBA BOOK'!B66=0,0,((+PORTS!I60+PORTS!I368)/('ELBA BOOK'!$B66*PORTS!$I$9))+PORTS!I676)</f>
        <v>0.208432305618511</v>
      </c>
      <c r="C55" s="23" t="n">
        <f aca="false">+C54*(1+PORTS!$J$8/12)</f>
        <v>0.315373121663216</v>
      </c>
      <c r="D55" s="23"/>
      <c r="E55" s="23"/>
      <c r="F55" s="23"/>
      <c r="G55" s="23"/>
    </row>
    <row r="56" customFormat="false" ht="12.75" hidden="false" customHeight="false" outlineLevel="0" collapsed="false">
      <c r="A56" s="22" t="n">
        <f aca="false">+SHIPS!B75</f>
        <v>38200</v>
      </c>
      <c r="B56" s="23" t="n">
        <f aca="false">+IF('ELBA BOOK'!B67=0,0,((+PORTS!I61+PORTS!I369)/('ELBA BOOK'!$B67*PORTS!$I$9))+PORTS!I677)</f>
        <v>0.208554762059284</v>
      </c>
      <c r="C56" s="23" t="n">
        <f aca="false">+C55*(1+PORTS!$J$8/12)</f>
        <v>0.315701635331615</v>
      </c>
      <c r="D56" s="23"/>
      <c r="E56" s="23"/>
      <c r="F56" s="23"/>
      <c r="G56" s="23"/>
    </row>
    <row r="57" customFormat="false" ht="12.75" hidden="false" customHeight="false" outlineLevel="0" collapsed="false">
      <c r="A57" s="22" t="n">
        <f aca="false">+SHIPS!B76</f>
        <v>38231</v>
      </c>
      <c r="B57" s="23" t="n">
        <f aca="false">+IF('ELBA BOOK'!B68=0,0,((+PORTS!I62+PORTS!I370)/('ELBA BOOK'!$B68*PORTS!$I$9))+PORTS!I678)</f>
        <v>0.214703093663155</v>
      </c>
      <c r="C57" s="23" t="n">
        <f aca="false">+C56*(1+PORTS!$J$8/12)</f>
        <v>0.316030491201752</v>
      </c>
      <c r="D57" s="23"/>
      <c r="E57" s="23"/>
      <c r="F57" s="23"/>
      <c r="G57" s="23"/>
    </row>
    <row r="58" customFormat="false" ht="12.75" hidden="false" customHeight="false" outlineLevel="0" collapsed="false">
      <c r="A58" s="22" t="n">
        <f aca="false">+SHIPS!B77</f>
        <v>38261</v>
      </c>
      <c r="B58" s="23" t="n">
        <f aca="false">+IF('ELBA BOOK'!B69=0,0,((+PORTS!I63+PORTS!I371)/('ELBA BOOK'!$B69*PORTS!$I$9))+PORTS!I679)</f>
        <v>0.208800057750081</v>
      </c>
      <c r="C58" s="23" t="n">
        <f aca="false">+C57*(1+PORTS!$J$8/12)</f>
        <v>0.316359689630087</v>
      </c>
      <c r="D58" s="23"/>
      <c r="E58" s="23"/>
      <c r="F58" s="23"/>
      <c r="G58" s="23"/>
    </row>
    <row r="59" customFormat="false" ht="12.75" hidden="false" customHeight="false" outlineLevel="0" collapsed="false">
      <c r="A59" s="22" t="n">
        <f aca="false">+SHIPS!B78</f>
        <v>38292</v>
      </c>
      <c r="B59" s="23" t="n">
        <f aca="false">+IF('ELBA BOOK'!B70=0,0,((+PORTS!I64+PORTS!I372)/('ELBA BOOK'!$B70*PORTS!$I$9))+PORTS!I680)</f>
        <v>0.21495489105972</v>
      </c>
      <c r="C59" s="23" t="n">
        <f aca="false">+C58*(1+PORTS!$J$8/12)</f>
        <v>0.316689230973452</v>
      </c>
      <c r="D59" s="23"/>
      <c r="E59" s="23"/>
      <c r="F59" s="23"/>
      <c r="G59" s="23"/>
    </row>
    <row r="60" customFormat="false" ht="12.75" hidden="false" customHeight="false" outlineLevel="0" collapsed="false">
      <c r="A60" s="22" t="n">
        <f aca="false">+SHIPS!B79</f>
        <v>38322</v>
      </c>
      <c r="B60" s="23" t="n">
        <f aca="false">+IF('ELBA BOOK'!B71=0,0,((+PORTS!I65+PORTS!I373)/('ELBA BOOK'!$B71*PORTS!$I$9))+PORTS!I681)</f>
        <v>0.209045864739731</v>
      </c>
      <c r="C60" s="23" t="n">
        <f aca="false">+C59*(1+PORTS!$J$8/12)</f>
        <v>0.317019115589049</v>
      </c>
      <c r="D60" s="23"/>
      <c r="E60" s="23"/>
      <c r="F60" s="23"/>
      <c r="G60" s="23"/>
    </row>
    <row r="61" customFormat="false" ht="12.75" hidden="false" customHeight="false" outlineLevel="0" collapsed="false">
      <c r="A61" s="24" t="n">
        <f aca="false">+SHIPS!B80</f>
        <v>38353</v>
      </c>
      <c r="B61" s="23" t="n">
        <f aca="false">+IF('ELBA BOOK'!B72=0,0,((+PORTS!I66+PORTS!I374)/('ELBA BOOK'!$B72*PORTS!$I$9))+PORTS!I682)</f>
        <v>0.209168960304589</v>
      </c>
      <c r="C61" s="23" t="n">
        <f aca="false">+C60*(1+PORTS!$J$8/12)</f>
        <v>0.317349343834454</v>
      </c>
      <c r="D61" s="23"/>
      <c r="E61" s="23"/>
      <c r="F61" s="23"/>
      <c r="G61" s="23"/>
    </row>
    <row r="62" customFormat="false" ht="12.75" hidden="false" customHeight="false" outlineLevel="0" collapsed="false">
      <c r="A62" s="22" t="n">
        <f aca="false">+SHIPS!B81</f>
        <v>38384</v>
      </c>
      <c r="B62" s="23" t="n">
        <f aca="false">+IF('ELBA BOOK'!B73=0,0,((+PORTS!I67+PORTS!I375)/('ELBA BOOK'!$B73*PORTS!$I$9))+PORTS!I683)</f>
        <v>0.228710929624006</v>
      </c>
      <c r="C62" s="23" t="n">
        <f aca="false">+C61*(1+PORTS!$J$8/12)</f>
        <v>0.317679916067615</v>
      </c>
      <c r="D62" s="23"/>
      <c r="E62" s="23"/>
      <c r="F62" s="23"/>
      <c r="G62" s="23"/>
    </row>
    <row r="63" customFormat="false" ht="12.75" hidden="false" customHeight="false" outlineLevel="0" collapsed="false">
      <c r="A63" s="22" t="n">
        <f aca="false">+SHIPS!B82</f>
        <v>38412</v>
      </c>
      <c r="B63" s="23" t="n">
        <f aca="false">+IF('ELBA BOOK'!B74=0,0,((+PORTS!I68+PORTS!I376)/('ELBA BOOK'!$B74*PORTS!$I$9))+PORTS!I684)</f>
        <v>0.209415536241511</v>
      </c>
      <c r="C63" s="23" t="n">
        <f aca="false">+C62*(1+PORTS!$J$8/12)</f>
        <v>0.318010832646852</v>
      </c>
      <c r="D63" s="23"/>
      <c r="E63" s="23"/>
      <c r="F63" s="23"/>
      <c r="G63" s="23"/>
    </row>
    <row r="64" customFormat="false" ht="12.75" hidden="false" customHeight="false" outlineLevel="0" collapsed="false">
      <c r="A64" s="22" t="n">
        <f aca="false">+SHIPS!B83</f>
        <v>38443</v>
      </c>
      <c r="B64" s="23" t="n">
        <f aca="false">+IF('ELBA BOOK'!B75=0,0,((+PORTS!I69+PORTS!I377)/('ELBA BOOK'!$B75*PORTS!$I$9))+PORTS!I685)</f>
        <v>0.215586683168582</v>
      </c>
      <c r="C64" s="23" t="n">
        <f aca="false">+C63*(1+PORTS!$J$8/12)</f>
        <v>0.31834209393086</v>
      </c>
      <c r="D64" s="23"/>
      <c r="E64" s="23"/>
      <c r="F64" s="23"/>
      <c r="G64" s="23"/>
    </row>
    <row r="65" customFormat="false" ht="12.75" hidden="false" customHeight="false" outlineLevel="0" collapsed="false">
      <c r="A65" s="22" t="n">
        <f aca="false">+SHIPS!B84</f>
        <v>38473</v>
      </c>
      <c r="B65" s="23" t="n">
        <f aca="false">+IF('ELBA BOOK'!B76=0,0,((+PORTS!I70+PORTS!I378)/('ELBA BOOK'!$B76*PORTS!$I$9))+PORTS!I686)</f>
        <v>0.209662626145855</v>
      </c>
      <c r="C65" s="23" t="n">
        <f aca="false">+C64*(1+PORTS!$J$8/12)</f>
        <v>0.318673700278704</v>
      </c>
      <c r="D65" s="23"/>
      <c r="E65" s="23"/>
      <c r="F65" s="23"/>
      <c r="G65" s="23"/>
    </row>
    <row r="66" customFormat="false" ht="12.75" hidden="false" customHeight="false" outlineLevel="0" collapsed="false">
      <c r="A66" s="22" t="n">
        <f aca="false">+SHIPS!B85</f>
        <v>38504</v>
      </c>
      <c r="B66" s="23" t="n">
        <f aca="false">+IF('ELBA BOOK'!B77=0,0,((+PORTS!I71+PORTS!I379)/('ELBA BOOK'!$B77*PORTS!$I$9))+PORTS!I687)</f>
        <v>0.215840322335372</v>
      </c>
      <c r="C66" s="23" t="n">
        <f aca="false">+C65*(1+PORTS!$J$8/12)</f>
        <v>0.319005652049828</v>
      </c>
      <c r="D66" s="23"/>
      <c r="E66" s="23"/>
      <c r="F66" s="23"/>
      <c r="G66" s="23"/>
    </row>
    <row r="67" customFormat="false" ht="12.75" hidden="false" customHeight="false" outlineLevel="0" collapsed="false">
      <c r="A67" s="22" t="n">
        <f aca="false">+SHIPS!B86</f>
        <v>38534</v>
      </c>
      <c r="B67" s="23" t="n">
        <f aca="false">+IF('ELBA BOOK'!B78=0,0,((+PORTS!I72+PORTS!I380)/('ELBA BOOK'!$B78*PORTS!$I$9))+PORTS!I688)</f>
        <v>0.209910231088942</v>
      </c>
      <c r="C67" s="23" t="n">
        <f aca="false">+C66*(1+PORTS!$J$8/12)</f>
        <v>0.319337949604046</v>
      </c>
      <c r="D67" s="23"/>
      <c r="E67" s="23"/>
      <c r="F67" s="23"/>
      <c r="G67" s="23"/>
    </row>
    <row r="68" customFormat="false" ht="12.75" hidden="false" customHeight="false" outlineLevel="0" collapsed="false">
      <c r="A68" s="22" t="n">
        <f aca="false">+SHIPS!B87</f>
        <v>38565</v>
      </c>
      <c r="B68" s="23" t="n">
        <f aca="false">+IF('ELBA BOOK'!B79=0,0,((+PORTS!I73+PORTS!I381)/('ELBA BOOK'!$B79*PORTS!$I$9))+PORTS!I689)</f>
        <v>0.210034227035414</v>
      </c>
      <c r="C68" s="23" t="n">
        <f aca="false">+C67*(1+PORTS!$J$8/12)</f>
        <v>0.31967059330155</v>
      </c>
      <c r="D68" s="23"/>
      <c r="E68" s="23"/>
      <c r="F68" s="23"/>
      <c r="G68" s="23"/>
    </row>
    <row r="69" customFormat="false" ht="12.75" hidden="false" customHeight="false" outlineLevel="0" collapsed="false">
      <c r="A69" s="22" t="n">
        <f aca="false">+SHIPS!B88</f>
        <v>38596</v>
      </c>
      <c r="B69" s="23" t="n">
        <f aca="false">+IF('ELBA BOOK'!B80=0,0,((+PORTS!I74+PORTS!I382)/('ELBA BOOK'!$B80*PORTS!$I$9))+PORTS!I690)</f>
        <v>0.216221772723872</v>
      </c>
      <c r="C69" s="23" t="n">
        <f aca="false">+C68*(1+PORTS!$J$8/12)</f>
        <v>0.320003583502906</v>
      </c>
      <c r="D69" s="23"/>
      <c r="E69" s="23"/>
      <c r="F69" s="23"/>
      <c r="G69" s="23"/>
    </row>
    <row r="70" customFormat="false" ht="12.75" hidden="false" customHeight="false" outlineLevel="0" collapsed="false">
      <c r="A70" s="22" t="n">
        <f aca="false">+SHIPS!B89</f>
        <v>38626</v>
      </c>
      <c r="B70" s="23" t="n">
        <f aca="false">+IF('ELBA BOOK'!B81=0,0,((+PORTS!I75+PORTS!I383)/('ELBA BOOK'!$B81*PORTS!$I$9))+PORTS!I691)</f>
        <v>0.210282606550234</v>
      </c>
      <c r="C70" s="23" t="n">
        <f aca="false">+C69*(1+PORTS!$J$8/12)</f>
        <v>0.320336920569055</v>
      </c>
      <c r="D70" s="23"/>
      <c r="E70" s="23"/>
      <c r="F70" s="23"/>
      <c r="G70" s="23"/>
    </row>
    <row r="71" customFormat="false" ht="12.75" hidden="false" customHeight="false" outlineLevel="0" collapsed="false">
      <c r="A71" s="22" t="n">
        <f aca="false">+SHIPS!B90</f>
        <v>38657</v>
      </c>
      <c r="B71" s="23" t="n">
        <f aca="false">+IF('ELBA BOOK'!B82=0,0,((+PORTS!I76+PORTS!I384)/('ELBA BOOK'!$B82*PORTS!$I$9))+PORTS!I692)</f>
        <v>0.216476735683019</v>
      </c>
      <c r="C71" s="23" t="n">
        <f aca="false">+C70*(1+PORTS!$J$8/12)</f>
        <v>0.320670604861315</v>
      </c>
      <c r="D71" s="23"/>
      <c r="E71" s="23"/>
      <c r="F71" s="23"/>
      <c r="G71" s="23"/>
    </row>
    <row r="72" customFormat="false" ht="12.75" hidden="false" customHeight="false" outlineLevel="0" collapsed="false">
      <c r="A72" s="22" t="n">
        <f aca="false">+SHIPS!B91</f>
        <v>38687</v>
      </c>
      <c r="B72" s="23" t="n">
        <f aca="false">+IF('ELBA BOOK'!B83=0,0,((+PORTS!I77+PORTS!I385)/('ELBA BOOK'!$B83*PORTS!$I$9))+PORTS!I693)</f>
        <v>0.210531503791885</v>
      </c>
      <c r="C72" s="23" t="n">
        <f aca="false">+C71*(1+PORTS!$J$8/12)</f>
        <v>0.321004636741378</v>
      </c>
      <c r="D72" s="23"/>
      <c r="E72" s="23"/>
      <c r="F72" s="23"/>
      <c r="G72" s="23"/>
    </row>
    <row r="73" customFormat="false" ht="12.75" hidden="false" customHeight="false" outlineLevel="0" collapsed="false">
      <c r="A73" s="24" t="n">
        <f aca="false">+SHIPS!B92</f>
        <v>38718</v>
      </c>
      <c r="B73" s="23" t="n">
        <f aca="false">+IF('ELBA BOOK'!B84=0,0,((+PORTS!I78+PORTS!I386)/('ELBA BOOK'!$B84*PORTS!$I$9))+PORTS!I694)</f>
        <v>0.210656146897422</v>
      </c>
      <c r="C73" s="23" t="n">
        <f aca="false">+C72*(1+PORTS!$J$8/12)</f>
        <v>0.321339016571317</v>
      </c>
      <c r="D73" s="23"/>
      <c r="E73" s="23"/>
      <c r="F73" s="23"/>
      <c r="G73" s="23"/>
    </row>
    <row r="74" customFormat="false" ht="12.75" hidden="false" customHeight="false" outlineLevel="0" collapsed="false">
      <c r="A74" s="22" t="n">
        <f aca="false">+SHIPS!B93</f>
        <v>38749</v>
      </c>
      <c r="B74" s="23" t="n">
        <f aca="false">+IF('ELBA BOOK'!B85=0,0,((+PORTS!I79+PORTS!I387)/('ELBA BOOK'!$B85*PORTS!$I$9))+PORTS!I695)</f>
        <v>0.230321389076928</v>
      </c>
      <c r="C74" s="23" t="n">
        <f aca="false">+C73*(1+PORTS!$J$8/12)</f>
        <v>0.321673744713579</v>
      </c>
      <c r="D74" s="23"/>
      <c r="E74" s="23"/>
      <c r="F74" s="23"/>
      <c r="G74" s="23"/>
    </row>
    <row r="75" customFormat="false" ht="12.75" hidden="false" customHeight="false" outlineLevel="0" collapsed="false">
      <c r="A75" s="22" t="n">
        <f aca="false">+SHIPS!B94</f>
        <v>38777</v>
      </c>
      <c r="B75" s="23" t="n">
        <f aca="false">+IF('ELBA BOOK'!B86=0,0,((+PORTS!I80+PORTS!I388)/('ELBA BOOK'!$B86*PORTS!$I$9))+PORTS!I696)</f>
        <v>0.210905822753448</v>
      </c>
      <c r="C75" s="23" t="n">
        <f aca="false">+C74*(1+PORTS!$J$8/12)</f>
        <v>0.322008821530989</v>
      </c>
      <c r="D75" s="23"/>
      <c r="E75" s="23"/>
      <c r="F75" s="23"/>
      <c r="G75" s="23"/>
    </row>
    <row r="76" customFormat="false" ht="12.75" hidden="false" customHeight="false" outlineLevel="0" collapsed="false">
      <c r="A76" s="22" t="n">
        <f aca="false">+SHIPS!B95</f>
        <v>38808</v>
      </c>
      <c r="B76" s="23" t="n">
        <f aca="false">+IF('ELBA BOOK'!B87=0,0,((+PORTS!I81+PORTS!I389)/('ELBA BOOK'!$B87*PORTS!$I$9))+PORTS!I697)</f>
        <v>0.217116470596242</v>
      </c>
      <c r="C76" s="23" t="n">
        <f aca="false">+C75*(1+PORTS!$J$8/12)</f>
        <v>0.32234424738675</v>
      </c>
      <c r="D76" s="23"/>
      <c r="E76" s="23"/>
      <c r="F76" s="23"/>
      <c r="G76" s="23"/>
    </row>
    <row r="77" customFormat="false" ht="12.75" hidden="false" customHeight="false" outlineLevel="0" collapsed="false">
      <c r="A77" s="22" t="n">
        <f aca="false">+SHIPS!B96</f>
        <v>38838</v>
      </c>
      <c r="B77" s="23" t="n">
        <f aca="false">+IF('ELBA BOOK'!B88=0,0,((+PORTS!I82+PORTS!I390)/('ELBA BOOK'!$B88*PORTS!$I$9))+PORTS!I698)</f>
        <v>0.211156019038422</v>
      </c>
      <c r="C77" s="23" t="n">
        <f aca="false">+C76*(1+PORTS!$J$8/12)</f>
        <v>0.322680022644445</v>
      </c>
      <c r="D77" s="23"/>
      <c r="E77" s="23"/>
      <c r="F77" s="23"/>
      <c r="G77" s="23"/>
    </row>
    <row r="78" customFormat="false" ht="12.75" hidden="false" customHeight="false" outlineLevel="0" collapsed="false">
      <c r="A78" s="22" t="n">
        <f aca="false">+SHIPS!B97</f>
        <v>38869</v>
      </c>
      <c r="B78" s="23" t="n">
        <f aca="false">+IF('ELBA BOOK'!B89=0,0,((+PORTS!I83+PORTS!I391)/('ELBA BOOK'!$B89*PORTS!$I$9))+PORTS!I699)</f>
        <v>0.217373298480099</v>
      </c>
      <c r="C78" s="23" t="n">
        <f aca="false">+C77*(1+PORTS!$J$8/12)</f>
        <v>0.323016147668033</v>
      </c>
      <c r="D78" s="23"/>
      <c r="E78" s="23"/>
      <c r="F78" s="23"/>
      <c r="G78" s="23"/>
    </row>
    <row r="79" customFormat="false" ht="12.75" hidden="false" customHeight="false" outlineLevel="0" collapsed="false">
      <c r="A79" s="22" t="n">
        <f aca="false">+SHIPS!B98</f>
        <v>38899</v>
      </c>
      <c r="B79" s="23" t="n">
        <f aca="false">+IF('ELBA BOOK'!B90=0,0,((+PORTS!I84+PORTS!I392)/('ELBA BOOK'!$B90*PORTS!$I$9))+PORTS!I700)</f>
        <v>0.211406736837137</v>
      </c>
      <c r="C79" s="23" t="n">
        <f aca="false">+C78*(1+PORTS!$J$8/12)</f>
        <v>0.323352622821854</v>
      </c>
      <c r="D79" s="23"/>
      <c r="E79" s="23"/>
      <c r="F79" s="23"/>
      <c r="G79" s="23"/>
    </row>
    <row r="80" customFormat="false" ht="12.75" hidden="false" customHeight="false" outlineLevel="0" collapsed="false">
      <c r="A80" s="22" t="n">
        <f aca="false">+SHIPS!B99</f>
        <v>38930</v>
      </c>
      <c r="B80" s="23" t="n">
        <f aca="false">+IF('ELBA BOOK'!B91=0,0,((+PORTS!I85+PORTS!I393)/('ELBA BOOK'!$B91*PORTS!$I$9))+PORTS!I701)</f>
        <v>0.211532291643763</v>
      </c>
      <c r="C80" s="23" t="n">
        <f aca="false">+C79*(1+PORTS!$J$8/12)</f>
        <v>0.323689448470626</v>
      </c>
      <c r="D80" s="23"/>
      <c r="E80" s="23"/>
      <c r="F80" s="23"/>
      <c r="G80" s="23"/>
    </row>
    <row r="81" customFormat="false" ht="12.75" hidden="false" customHeight="false" outlineLevel="0" collapsed="false">
      <c r="A81" s="22" t="n">
        <f aca="false">+SHIPS!B100</f>
        <v>38961</v>
      </c>
      <c r="B81" s="23" t="n">
        <f aca="false">+IF('ELBA BOOK'!B92=0,0,((+PORTS!I86+PORTS!I394)/('ELBA BOOK'!$B92*PORTS!$I$9))+PORTS!I702)</f>
        <v>0.21775954441094</v>
      </c>
      <c r="C81" s="23" t="n">
        <f aca="false">+C80*(1+PORTS!$J$8/12)</f>
        <v>0.32402662497945</v>
      </c>
      <c r="D81" s="23"/>
      <c r="E81" s="23"/>
      <c r="F81" s="23"/>
      <c r="G81" s="23"/>
    </row>
    <row r="82" customFormat="false" ht="12.75" hidden="false" customHeight="false" outlineLevel="0" collapsed="false">
      <c r="A82" s="22" t="n">
        <f aca="false">+SHIPS!B101</f>
        <v>38991</v>
      </c>
      <c r="B82" s="23" t="n">
        <f aca="false">+IF('ELBA BOOK'!B93=0,0,((+PORTS!I87+PORTS!I395)/('ELBA BOOK'!$B93*PORTS!$I$9))+PORTS!I703)</f>
        <v>0.211783793752021</v>
      </c>
      <c r="C82" s="23" t="n">
        <f aca="false">+C81*(1+PORTS!$J$8/12)</f>
        <v>0.324364152713804</v>
      </c>
      <c r="D82" s="23"/>
      <c r="E82" s="23"/>
      <c r="F82" s="23"/>
      <c r="G82" s="23"/>
    </row>
    <row r="83" customFormat="false" ht="12.75" hidden="false" customHeight="false" outlineLevel="0" collapsed="false">
      <c r="A83" s="22" t="n">
        <f aca="false">+SHIPS!B102</f>
        <v>39022</v>
      </c>
      <c r="B83" s="23" t="n">
        <f aca="false">+IF('ELBA BOOK'!B94=0,0,((+PORTS!I88+PORTS!I396)/('ELBA BOOK'!$B94*PORTS!$I$9))+PORTS!I704)</f>
        <v>0.218017712729691</v>
      </c>
      <c r="C83" s="23" t="n">
        <f aca="false">+C82*(1+PORTS!$J$8/12)</f>
        <v>0.324702032039547</v>
      </c>
      <c r="D83" s="23"/>
      <c r="E83" s="23"/>
      <c r="F83" s="23"/>
      <c r="G83" s="23"/>
    </row>
    <row r="84" customFormat="false" ht="12.75" hidden="false" customHeight="false" outlineLevel="0" collapsed="false">
      <c r="A84" s="22" t="n">
        <f aca="false">+SHIPS!B103</f>
        <v>39052</v>
      </c>
      <c r="B84" s="23" t="n">
        <f aca="false">+IF('ELBA BOOK'!B95=0,0,((+PORTS!I89+PORTS!I397)/('ELBA BOOK'!$B95*PORTS!$I$9))+PORTS!I705)</f>
        <v>0.212035820095902</v>
      </c>
      <c r="C84" s="23" t="n">
        <f aca="false">+C83*(1+PORTS!$J$8/12)</f>
        <v>0.325040263322922</v>
      </c>
      <c r="D84" s="23"/>
      <c r="E84" s="23"/>
      <c r="F84" s="23"/>
      <c r="G84" s="23"/>
    </row>
    <row r="85" customFormat="false" ht="12.75" hidden="false" customHeight="false" outlineLevel="0" collapsed="false">
      <c r="A85" s="24" t="n">
        <f aca="false">+SHIPS!B104</f>
        <v>39083</v>
      </c>
      <c r="B85" s="23" t="n">
        <f aca="false">+IF('ELBA BOOK'!B96=0,0,((+PORTS!I90+PORTS!I398)/('ELBA BOOK'!$B96*PORTS!$I$9))+PORTS!I706)</f>
        <v>0.212162030197589</v>
      </c>
      <c r="C85" s="23" t="n">
        <f aca="false">+C84*(1+PORTS!$J$8/12)</f>
        <v>0.32537884693055</v>
      </c>
      <c r="D85" s="23"/>
      <c r="E85" s="23"/>
      <c r="F85" s="23"/>
      <c r="G85" s="23"/>
    </row>
    <row r="86" customFormat="false" ht="12.75" hidden="false" customHeight="false" outlineLevel="0" collapsed="false">
      <c r="A86" s="22" t="n">
        <f aca="false">+SHIPS!B105</f>
        <v>39114</v>
      </c>
      <c r="B86" s="23" t="n">
        <f aca="false">+IF('ELBA BOOK'!B97=0,0,((+PORTS!I91+PORTS!I399)/('ELBA BOOK'!$B97*PORTS!$I$9))+PORTS!I707)</f>
        <v>0.231952095006794</v>
      </c>
      <c r="C86" s="23" t="n">
        <f aca="false">+C85*(1+PORTS!$J$8/12)</f>
        <v>0.325717783229436</v>
      </c>
      <c r="D86" s="23"/>
      <c r="E86" s="23"/>
      <c r="F86" s="23"/>
      <c r="G86" s="23"/>
    </row>
    <row r="87" customFormat="false" ht="12.75" hidden="false" customHeight="false" outlineLevel="0" collapsed="false">
      <c r="A87" s="22" t="n">
        <f aca="false">+SHIPS!B106</f>
        <v>39142</v>
      </c>
      <c r="B87" s="23" t="n">
        <f aca="false">+IF('ELBA BOOK'!B98=0,0,((+PORTS!I92+PORTS!I400)/('ELBA BOOK'!$B98*PORTS!$I$9))+PORTS!I708)</f>
        <v>0.212414844944478</v>
      </c>
      <c r="C87" s="23" t="n">
        <f aca="false">+C86*(1+PORTS!$J$8/12)</f>
        <v>0.326057072586966</v>
      </c>
      <c r="D87" s="23"/>
      <c r="E87" s="23"/>
      <c r="F87" s="23"/>
      <c r="G87" s="23"/>
    </row>
    <row r="88" customFormat="false" ht="12.75" hidden="false" customHeight="false" outlineLevel="0" collapsed="false">
      <c r="A88" s="22" t="n">
        <f aca="false">+SHIPS!B107</f>
        <v>39173</v>
      </c>
      <c r="B88" s="23" t="n">
        <f aca="false">+IF('ELBA BOOK'!B99=0,0,((+PORTS!I93+PORTS!I401)/('ELBA BOOK'!$B99*PORTS!$I$9))+PORTS!I709)</f>
        <v>0.218665490303129</v>
      </c>
      <c r="C88" s="23" t="n">
        <f aca="false">+C87*(1+PORTS!$J$8/12)</f>
        <v>0.326396715370911</v>
      </c>
      <c r="D88" s="23"/>
      <c r="E88" s="23"/>
      <c r="F88" s="23"/>
      <c r="G88" s="23"/>
    </row>
    <row r="89" customFormat="false" ht="12.75" hidden="false" customHeight="false" outlineLevel="0" collapsed="false">
      <c r="A89" s="22" t="n">
        <f aca="false">+SHIPS!B108</f>
        <v>39203</v>
      </c>
      <c r="B89" s="23" t="n">
        <f aca="false">+IF('ELBA BOOK'!B100=0,0,((+PORTS!I94+PORTS!I402)/('ELBA BOOK'!$B100*PORTS!$I$9))+PORTS!I710)</f>
        <v>0.212668186663077</v>
      </c>
      <c r="C89" s="23" t="n">
        <f aca="false">+C88*(1+PORTS!$J$8/12)</f>
        <v>0.326736711949422</v>
      </c>
      <c r="D89" s="23"/>
      <c r="E89" s="23"/>
      <c r="F89" s="23"/>
      <c r="G89" s="23"/>
    </row>
    <row r="90" customFormat="false" ht="12.75" hidden="false" customHeight="false" outlineLevel="0" collapsed="false">
      <c r="A90" s="22" t="n">
        <f aca="false">+SHIPS!B109</f>
        <v>39234</v>
      </c>
      <c r="B90" s="23" t="n">
        <f aca="false">+IF('ELBA BOOK'!B101=0,0,((+PORTS!I95+PORTS!I403)/('ELBA BOOK'!$B101*PORTS!$I$9))+PORTS!I711)</f>
        <v>0.21892554699217</v>
      </c>
      <c r="C90" s="23" t="n">
        <f aca="false">+C89*(1+PORTS!$J$8/12)</f>
        <v>0.327077062691036</v>
      </c>
      <c r="D90" s="23"/>
      <c r="E90" s="23"/>
      <c r="F90" s="23"/>
      <c r="G90" s="23"/>
    </row>
    <row r="91" customFormat="false" ht="12.75" hidden="false" customHeight="false" outlineLevel="0" collapsed="false">
      <c r="A91" s="22" t="n">
        <f aca="false">+SHIPS!B110</f>
        <v>39264</v>
      </c>
      <c r="B91" s="23" t="n">
        <f aca="false">+IF('ELBA BOOK'!B102=0,0,((+PORTS!I96+PORTS!I404)/('ELBA BOOK'!$B102*PORTS!$I$9))+PORTS!I712)</f>
        <v>0.212922056451817</v>
      </c>
      <c r="C91" s="23" t="n">
        <f aca="false">+C90*(1+PORTS!$J$8/12)</f>
        <v>0.327417767964673</v>
      </c>
      <c r="D91" s="23"/>
      <c r="E91" s="23"/>
      <c r="F91" s="23"/>
      <c r="G91" s="23"/>
    </row>
    <row r="92" customFormat="false" ht="12.75" hidden="false" customHeight="false" outlineLevel="0" collapsed="false">
      <c r="A92" s="22" t="n">
        <f aca="false">+SHIPS!B111</f>
        <v>39295</v>
      </c>
      <c r="B92" s="23" t="n">
        <f aca="false">+IF('ELBA BOOK'!B103=0,0,((+PORTS!I97+PORTS!I405)/('ELBA BOOK'!$B103*PORTS!$I$9))+PORTS!I713)</f>
        <v>0.213049189716375</v>
      </c>
      <c r="C92" s="23" t="n">
        <f aca="false">+C91*(1+PORTS!$J$8/12)</f>
        <v>0.327758828139636</v>
      </c>
      <c r="D92" s="23"/>
      <c r="E92" s="23"/>
      <c r="F92" s="23"/>
      <c r="G92" s="23"/>
    </row>
    <row r="93" customFormat="false" ht="12.75" hidden="false" customHeight="false" outlineLevel="0" collapsed="false">
      <c r="A93" s="22" t="n">
        <f aca="false">+SHIPS!B112</f>
        <v>39326</v>
      </c>
      <c r="B93" s="23" t="n">
        <f aca="false">+IF('ELBA BOOK'!B104=0,0,((+PORTS!I98+PORTS!I406)/('ELBA BOOK'!$B104*PORTS!$I$9))+PORTS!I714)</f>
        <v>0.219316648754258</v>
      </c>
      <c r="C93" s="23" t="n">
        <f aca="false">+C92*(1+PORTS!$J$8/12)</f>
        <v>0.328100243585615</v>
      </c>
      <c r="D93" s="23"/>
      <c r="E93" s="23"/>
      <c r="F93" s="23"/>
      <c r="G93" s="23"/>
    </row>
    <row r="94" customFormat="false" ht="12.75" hidden="false" customHeight="false" outlineLevel="0" collapsed="false">
      <c r="A94" s="22" t="n">
        <f aca="false">+SHIPS!B113</f>
        <v>39356</v>
      </c>
      <c r="B94" s="23" t="n">
        <f aca="false">+IF('ELBA BOOK'!B105=0,0,((+PORTS!I99+PORTS!I407)/('ELBA BOOK'!$B105*PORTS!$I$9))+PORTS!I715)</f>
        <v>0.213303853674891</v>
      </c>
      <c r="C94" s="23" t="n">
        <f aca="false">+C93*(1+PORTS!$J$8/12)</f>
        <v>0.328442014672683</v>
      </c>
      <c r="D94" s="23"/>
      <c r="E94" s="23"/>
      <c r="F94" s="23"/>
      <c r="G94" s="23"/>
    </row>
    <row r="95" customFormat="false" ht="12.75" hidden="false" customHeight="false" outlineLevel="0" collapsed="false">
      <c r="A95" s="22" t="n">
        <f aca="false">+SHIPS!B114</f>
        <v>39387</v>
      </c>
      <c r="B95" s="23" t="n">
        <f aca="false">+IF('ELBA BOOK'!B106=0,0,((+PORTS!I100+PORTS!I408)/('ELBA BOOK'!$B106*PORTS!$I$9))+PORTS!I716)</f>
        <v>0.219578062729957</v>
      </c>
      <c r="C95" s="23" t="n">
        <f aca="false">+C94*(1+PORTS!$J$8/12)</f>
        <v>0.3287841417713</v>
      </c>
      <c r="D95" s="23"/>
      <c r="E95" s="23"/>
      <c r="F95" s="23"/>
      <c r="G95" s="23"/>
    </row>
    <row r="96" customFormat="false" ht="12.75" hidden="false" customHeight="false" outlineLevel="0" collapsed="false">
      <c r="A96" s="22" t="n">
        <f aca="false">+SHIPS!B115</f>
        <v>39417</v>
      </c>
      <c r="B96" s="23" t="n">
        <f aca="false">+IF('ELBA BOOK'!B107=0,0,((+PORTS!I101+PORTS!I409)/('ELBA BOOK'!$B107*PORTS!$I$9))+PORTS!I717)</f>
        <v>0.213559048459648</v>
      </c>
      <c r="C96" s="23" t="n">
        <f aca="false">+C95*(1+PORTS!$J$8/12)</f>
        <v>0.329126625252312</v>
      </c>
      <c r="D96" s="23"/>
      <c r="E96" s="23"/>
      <c r="F96" s="23"/>
      <c r="G96" s="23"/>
    </row>
    <row r="97" customFormat="false" ht="12.75" hidden="false" customHeight="false" outlineLevel="0" collapsed="false">
      <c r="A97" s="24" t="n">
        <f aca="false">+SHIPS!B116</f>
        <v>39448</v>
      </c>
      <c r="B97" s="23" t="n">
        <f aca="false">+IF('ELBA BOOK'!B108=0,0,((+PORTS!I102+PORTS!I410)/('ELBA BOOK'!$B108*PORTS!$I$9))+PORTS!I718)</f>
        <v>0.213686845257548</v>
      </c>
      <c r="C97" s="23" t="n">
        <f aca="false">+C96*(1+PORTS!$J$8/12)</f>
        <v>0.32946946548695</v>
      </c>
      <c r="D97" s="23"/>
      <c r="E97" s="23"/>
      <c r="F97" s="23"/>
      <c r="G97" s="23"/>
    </row>
    <row r="98" customFormat="false" ht="12.75" hidden="false" customHeight="false" outlineLevel="0" collapsed="false">
      <c r="A98" s="22" t="n">
        <f aca="false">+SHIPS!B117</f>
        <v>39479</v>
      </c>
      <c r="B98" s="23" t="n">
        <f aca="false">+IF('ELBA BOOK'!B109=0,0,((+PORTS!I103+PORTS!I411)/('ELBA BOOK'!$B109*PORTS!$I$9))+PORTS!I719)</f>
        <v>0.226552217697305</v>
      </c>
      <c r="C98" s="23" t="n">
        <f aca="false">+C97*(1+PORTS!$J$8/12)</f>
        <v>0.329812662846832</v>
      </c>
      <c r="D98" s="23"/>
      <c r="E98" s="23"/>
      <c r="F98" s="23"/>
      <c r="G98" s="23"/>
    </row>
    <row r="99" customFormat="false" ht="12.75" hidden="false" customHeight="false" outlineLevel="0" collapsed="false">
      <c r="A99" s="22" t="n">
        <f aca="false">+SHIPS!B118</f>
        <v>39508</v>
      </c>
      <c r="B99" s="23" t="n">
        <f aca="false">+IF('ELBA BOOK'!B110=0,0,((+PORTS!I104+PORTS!I412)/('ELBA BOOK'!$B110*PORTS!$I$9))+PORTS!I720)</f>
        <v>0.213942838357008</v>
      </c>
      <c r="C99" s="23" t="n">
        <f aca="false">+C98*(1+PORTS!$J$8/12)</f>
        <v>0.330156217703964</v>
      </c>
      <c r="D99" s="23"/>
      <c r="E99" s="23"/>
      <c r="F99" s="23"/>
      <c r="G99" s="23"/>
    </row>
    <row r="100" customFormat="false" ht="12.75" hidden="false" customHeight="false" outlineLevel="0" collapsed="false">
      <c r="A100" s="22" t="n">
        <f aca="false">+SHIPS!B119</f>
        <v>39539</v>
      </c>
      <c r="B100" s="23" t="n">
        <f aca="false">+IF('ELBA BOOK'!B111=0,0,((+PORTS!I105+PORTS!I413)/('ELBA BOOK'!$B111*PORTS!$I$9))+PORTS!I721)</f>
        <v>0.22023398407484</v>
      </c>
      <c r="C100" s="23" t="n">
        <f aca="false">+C99*(1+PORTS!$J$8/12)</f>
        <v>0.330500130430739</v>
      </c>
      <c r="D100" s="23"/>
      <c r="E100" s="23"/>
      <c r="F100" s="23"/>
      <c r="G100" s="23"/>
    </row>
    <row r="101" customFormat="false" ht="12.75" hidden="false" customHeight="false" outlineLevel="0" collapsed="false">
      <c r="A101" s="22" t="n">
        <f aca="false">+SHIPS!B120</f>
        <v>39569</v>
      </c>
      <c r="B101" s="23" t="n">
        <f aca="false">+IF('ELBA BOOK'!B112=0,0,((+PORTS!I106+PORTS!I414)/('ELBA BOOK'!$B112*PORTS!$I$9))+PORTS!I722)</f>
        <v>0.214199365053196</v>
      </c>
      <c r="C101" s="23" t="n">
        <f aca="false">+C100*(1+PORTS!$J$8/12)</f>
        <v>0.330844401399938</v>
      </c>
      <c r="D101" s="23"/>
      <c r="E101" s="23"/>
      <c r="F101" s="23"/>
      <c r="G101" s="23"/>
    </row>
    <row r="102" customFormat="false" ht="12.75" hidden="false" customHeight="false" outlineLevel="0" collapsed="false">
      <c r="A102" s="22" t="n">
        <f aca="false">+SHIPS!B121</f>
        <v>39600</v>
      </c>
      <c r="B102" s="23" t="n">
        <f aca="false">+IF('ELBA BOOK'!B113=0,0,((+PORTS!I107+PORTS!I415)/('ELBA BOOK'!$B113*PORTS!$I$9))+PORTS!I723)</f>
        <v>0.220497310161163</v>
      </c>
      <c r="C102" s="23" t="n">
        <f aca="false">+C101*(1+PORTS!$J$8/12)</f>
        <v>0.331189030984729</v>
      </c>
      <c r="D102" s="23"/>
      <c r="E102" s="23"/>
      <c r="F102" s="23"/>
      <c r="G102" s="23"/>
    </row>
    <row r="103" customFormat="false" ht="12.75" hidden="false" customHeight="false" outlineLevel="0" collapsed="false">
      <c r="A103" s="22" t="n">
        <f aca="false">+SHIPS!B122</f>
        <v>39630</v>
      </c>
      <c r="B103" s="23" t="n">
        <f aca="false">+IF('ELBA BOOK'!B114=0,0,((+PORTS!I108+PORTS!I416)/('ELBA BOOK'!$B114*PORTS!$I$9))+PORTS!I724)</f>
        <v>0.214456426458351</v>
      </c>
      <c r="C103" s="23" t="n">
        <f aca="false">+C102*(1+PORTS!$J$8/12)</f>
        <v>0.331534019558672</v>
      </c>
      <c r="D103" s="23"/>
      <c r="E103" s="23"/>
      <c r="F103" s="23"/>
      <c r="G103" s="23"/>
    </row>
    <row r="104" customFormat="false" ht="12.75" hidden="false" customHeight="false" outlineLevel="0" collapsed="false">
      <c r="A104" s="22" t="n">
        <f aca="false">+SHIPS!B123</f>
        <v>39661</v>
      </c>
      <c r="B104" s="23" t="n">
        <f aca="false">+IF('ELBA BOOK'!B115=0,0,((+PORTS!I109+PORTS!I417)/('ELBA BOOK'!$B115*PORTS!$I$9))+PORTS!I725)</f>
        <v>0.214585158024999</v>
      </c>
      <c r="C104" s="23" t="n">
        <f aca="false">+C103*(1+PORTS!$J$8/12)</f>
        <v>0.331879367495712</v>
      </c>
      <c r="D104" s="23"/>
      <c r="E104" s="23"/>
      <c r="F104" s="23"/>
      <c r="G104" s="23"/>
    </row>
    <row r="105" customFormat="false" ht="12.75" hidden="false" customHeight="false" outlineLevel="0" collapsed="false">
      <c r="A105" s="22" t="n">
        <f aca="false">+SHIPS!B124</f>
        <v>39692</v>
      </c>
      <c r="B105" s="23" t="n">
        <f aca="false">+IF('ELBA BOOK'!B116=0,0,((+PORTS!I110+PORTS!I418)/('ELBA BOOK'!$B116*PORTS!$I$9))+PORTS!I726)</f>
        <v>0.220893328801347</v>
      </c>
      <c r="C105" s="23" t="n">
        <f aca="false">+C104*(1+PORTS!$J$8/12)</f>
        <v>0.332225075170187</v>
      </c>
      <c r="D105" s="23"/>
      <c r="E105" s="23"/>
      <c r="F105" s="23"/>
      <c r="G105" s="23"/>
    </row>
    <row r="106" customFormat="false" ht="12.75" hidden="false" customHeight="false" outlineLevel="0" collapsed="false">
      <c r="A106" s="22" t="n">
        <f aca="false">+SHIPS!B125</f>
        <v>39722</v>
      </c>
      <c r="B106" s="23" t="n">
        <f aca="false">+IF('ELBA BOOK'!B117=0,0,((+PORTS!I111+PORTS!I419)/('ELBA BOOK'!$B117*PORTS!$I$9))+PORTS!I727)</f>
        <v>0.214843023584123</v>
      </c>
      <c r="C106" s="23" t="n">
        <f aca="false">+C105*(1+PORTS!$J$8/12)</f>
        <v>0.332571142956822</v>
      </c>
      <c r="D106" s="23"/>
      <c r="E106" s="23"/>
      <c r="F106" s="23"/>
      <c r="G106" s="23"/>
    </row>
    <row r="107" customFormat="false" ht="12.75" hidden="false" customHeight="false" outlineLevel="0" collapsed="false">
      <c r="A107" s="22" t="n">
        <f aca="false">+SHIPS!B126</f>
        <v>39753</v>
      </c>
      <c r="B107" s="23" t="n">
        <f aca="false">+IF('ELBA BOOK'!B118=0,0,((+PORTS!I112+PORTS!I420)/('ELBA BOOK'!$B118*PORTS!$I$9))+PORTS!I728)</f>
        <v>0.221158029237952</v>
      </c>
      <c r="C107" s="23" t="n">
        <f aca="false">+C106*(1+PORTS!$J$8/12)</f>
        <v>0.332917571230736</v>
      </c>
      <c r="D107" s="23"/>
      <c r="E107" s="23"/>
      <c r="F107" s="23"/>
      <c r="G107" s="23"/>
    </row>
    <row r="108" customFormat="false" ht="12.75" hidden="false" customHeight="false" outlineLevel="0" collapsed="false">
      <c r="A108" s="22" t="n">
        <f aca="false">+SHIPS!B127</f>
        <v>39783</v>
      </c>
      <c r="B108" s="23" t="n">
        <f aca="false">+IF('ELBA BOOK'!B119=0,0,((+PORTS!I113+PORTS!I421)/('ELBA BOOK'!$B119*PORTS!$I$9))+PORTS!I729)</f>
        <v>0.215101426642964</v>
      </c>
      <c r="C108" s="23" t="n">
        <f aca="false">+C107*(1+PORTS!$J$8/12)</f>
        <v>0.333264360367434</v>
      </c>
      <c r="D108" s="23"/>
      <c r="E108" s="23"/>
      <c r="F108" s="23"/>
      <c r="G108" s="23"/>
    </row>
    <row r="109" customFormat="false" ht="12.75" hidden="false" customHeight="false" outlineLevel="0" collapsed="false">
      <c r="A109" s="24" t="n">
        <f aca="false">+SHIPS!B128</f>
        <v>39814</v>
      </c>
      <c r="B109" s="23" t="n">
        <f aca="false">+IF('ELBA BOOK'!B120=0,0,((+PORTS!I114+PORTS!I422)/('ELBA BOOK'!$B120*PORTS!$I$9))+PORTS!I730)</f>
        <v>0.215230830084804</v>
      </c>
      <c r="C109" s="23" t="n">
        <f aca="false">+C108*(1+PORTS!$J$8/12)</f>
        <v>0.333611510742817</v>
      </c>
      <c r="D109" s="23"/>
      <c r="E109" s="23"/>
      <c r="F109" s="23"/>
      <c r="G109" s="23"/>
    </row>
    <row r="110" customFormat="false" ht="12.75" hidden="false" customHeight="false" outlineLevel="0" collapsed="false">
      <c r="A110" s="22" t="n">
        <f aca="false">+SHIPS!B129</f>
        <v>39845</v>
      </c>
      <c r="B110" s="23" t="n">
        <f aca="false">+IF('ELBA BOOK'!B121=0,0,((+PORTS!I115+PORTS!I423)/('ELBA BOOK'!$B121*PORTS!$I$9))+PORTS!I731)</f>
        <v>0.235275267641153</v>
      </c>
      <c r="C110" s="23" t="n">
        <f aca="false">+C109*(1+PORTS!$J$8/12)</f>
        <v>0.333959022733174</v>
      </c>
      <c r="D110" s="23"/>
      <c r="E110" s="23"/>
      <c r="F110" s="23"/>
      <c r="G110" s="23"/>
    </row>
    <row r="111" customFormat="false" ht="12.75" hidden="false" customHeight="false" outlineLevel="0" collapsed="false">
      <c r="A111" s="22" t="n">
        <f aca="false">+SHIPS!B130</f>
        <v>39873</v>
      </c>
      <c r="B111" s="23" t="n">
        <f aca="false">+IF('ELBA BOOK'!B122=0,0,((+PORTS!I116+PORTS!I424)/('ELBA BOOK'!$B122*PORTS!$I$9))+PORTS!I732)</f>
        <v>0.215490041494653</v>
      </c>
      <c r="C111" s="23" t="n">
        <f aca="false">+C110*(1+PORTS!$J$8/12)</f>
        <v>0.334306896715188</v>
      </c>
      <c r="D111" s="23"/>
      <c r="E111" s="23"/>
      <c r="F111" s="23"/>
      <c r="G111" s="23"/>
    </row>
    <row r="112" customFormat="false" ht="12.75" hidden="false" customHeight="false" outlineLevel="0" collapsed="false">
      <c r="A112" s="22" t="n">
        <f aca="false">+SHIPS!B131</f>
        <v>39904</v>
      </c>
      <c r="B112" s="23" t="n">
        <f aca="false">+IF('ELBA BOOK'!B123=0,0,((+PORTS!I117+PORTS!I425)/('ELBA BOOK'!$B123*PORTS!$I$9))+PORTS!I733)</f>
        <v>0.221822196736665</v>
      </c>
      <c r="C112" s="23" t="n">
        <f aca="false">+C111*(1+PORTS!$J$8/12)</f>
        <v>0.334655133065933</v>
      </c>
      <c r="D112" s="23"/>
      <c r="E112" s="23"/>
      <c r="F112" s="23"/>
      <c r="G112" s="23"/>
    </row>
    <row r="113" customFormat="false" ht="12.75" hidden="false" customHeight="false" outlineLevel="0" collapsed="false">
      <c r="A113" s="22" t="n">
        <f aca="false">+SHIPS!B132</f>
        <v>39934</v>
      </c>
      <c r="B113" s="23" t="n">
        <f aca="false">+IF('ELBA BOOK'!B124=0,0,((+PORTS!I118+PORTS!I426)/('ELBA BOOK'!$B124*PORTS!$I$9))+PORTS!I734)</f>
        <v>0.215749793209533</v>
      </c>
      <c r="C113" s="23" t="n">
        <f aca="false">+C112*(1+PORTS!$J$8/12)</f>
        <v>0.335003732162877</v>
      </c>
      <c r="D113" s="23"/>
      <c r="E113" s="23"/>
      <c r="F113" s="23"/>
      <c r="G113" s="23"/>
    </row>
    <row r="114" customFormat="false" ht="12.75" hidden="false" customHeight="false" outlineLevel="0" collapsed="false">
      <c r="A114" s="22" t="n">
        <f aca="false">+SHIPS!B133</f>
        <v>39965</v>
      </c>
      <c r="B114" s="23" t="n">
        <f aca="false">+IF('ELBA BOOK'!B125=0,0,((+PORTS!I119+PORTS!I427)/('ELBA BOOK'!$B125*PORTS!$I$9))+PORTS!I735)</f>
        <v>0.222088833322687</v>
      </c>
      <c r="C114" s="23" t="n">
        <f aca="false">+C113*(1+PORTS!$J$8/12)</f>
        <v>0.33535269438388</v>
      </c>
      <c r="D114" s="23"/>
      <c r="E114" s="23"/>
      <c r="F114" s="23"/>
      <c r="G114" s="23"/>
    </row>
    <row r="115" customFormat="false" ht="12.75" hidden="false" customHeight="false" outlineLevel="0" collapsed="false">
      <c r="A115" s="22" t="n">
        <f aca="false">+SHIPS!B134</f>
        <v>39995</v>
      </c>
      <c r="B115" s="23" t="n">
        <f aca="false">+IF('ELBA BOOK'!B126=0,0,((+PORTS!I120+PORTS!I428)/('ELBA BOOK'!$B126*PORTS!$I$9))+PORTS!I736)</f>
        <v>0.216010086355669</v>
      </c>
      <c r="C115" s="23" t="n">
        <f aca="false">+C114*(1+PORTS!$J$8/12)</f>
        <v>0.335702020107196</v>
      </c>
      <c r="D115" s="23"/>
      <c r="E115" s="23"/>
      <c r="F115" s="23"/>
      <c r="G115" s="23"/>
    </row>
    <row r="116" customFormat="false" ht="12.75" hidden="false" customHeight="false" outlineLevel="0" collapsed="false">
      <c r="A116" s="22" t="n">
        <f aca="false">+SHIPS!B135</f>
        <v>40026</v>
      </c>
      <c r="B116" s="23" t="n">
        <f aca="false">+IF('ELBA BOOK'!B127=0,0,((+PORTS!I121+PORTS!I429)/('ELBA BOOK'!$B127*PORTS!$I$9))+PORTS!I737)</f>
        <v>0.216140436318043</v>
      </c>
      <c r="C116" s="23" t="n">
        <f aca="false">+C115*(1+PORTS!$J$8/12)</f>
        <v>0.336051709711474</v>
      </c>
      <c r="D116" s="23"/>
      <c r="E116" s="23"/>
      <c r="F116" s="23"/>
      <c r="G116" s="23"/>
    </row>
    <row r="117" customFormat="false" ht="12.75" hidden="false" customHeight="false" outlineLevel="0" collapsed="false">
      <c r="A117" s="22" t="n">
        <f aca="false">+SHIPS!B136</f>
        <v>40057</v>
      </c>
      <c r="B117" s="23" t="n">
        <f aca="false">+IF('ELBA BOOK'!B128=0,0,((+PORTS!I122+PORTS!I430)/('ELBA BOOK'!$B128*PORTS!$I$9))+PORTS!I738)</f>
        <v>0.22248983065529</v>
      </c>
      <c r="C117" s="23" t="n">
        <f aca="false">+C116*(1+PORTS!$J$8/12)</f>
        <v>0.336401763575757</v>
      </c>
      <c r="D117" s="23"/>
      <c r="E117" s="23"/>
      <c r="F117" s="23"/>
      <c r="G117" s="23"/>
    </row>
    <row r="118" customFormat="false" ht="12.75" hidden="false" customHeight="false" outlineLevel="0" collapsed="false">
      <c r="A118" s="22" t="n">
        <f aca="false">+SHIPS!B137</f>
        <v>40087</v>
      </c>
      <c r="B118" s="23" t="n">
        <f aca="false">+IF('ELBA BOOK'!B129=0,0,((+PORTS!I123+PORTS!I431)/('ELBA BOOK'!$B129*PORTS!$I$9))+PORTS!I739)</f>
        <v>0.216401543727863</v>
      </c>
      <c r="C118" s="23" t="n">
        <f aca="false">+C117*(1+PORTS!$J$8/12)</f>
        <v>0.336752182079482</v>
      </c>
      <c r="D118" s="23"/>
      <c r="E118" s="23"/>
      <c r="F118" s="23"/>
      <c r="G118" s="23"/>
    </row>
    <row r="119" customFormat="false" ht="12.75" hidden="false" customHeight="false" outlineLevel="0" collapsed="false">
      <c r="A119" s="22" t="n">
        <f aca="false">+SHIPS!B138</f>
        <v>40118</v>
      </c>
      <c r="B119" s="23" t="n">
        <f aca="false">+IF('ELBA BOOK'!B130=0,0,((+PORTS!I124+PORTS!I432)/('ELBA BOOK'!$B130*PORTS!$I$9))+PORTS!I740)</f>
        <v>0.222757858869739</v>
      </c>
      <c r="C119" s="23" t="n">
        <f aca="false">+C118*(1+PORTS!$J$8/12)</f>
        <v>0.337102965602481</v>
      </c>
      <c r="D119" s="23"/>
      <c r="E119" s="23"/>
      <c r="F119" s="23"/>
      <c r="G119" s="23"/>
    </row>
    <row r="120" customFormat="false" ht="12.75" hidden="false" customHeight="false" outlineLevel="0" collapsed="false">
      <c r="A120" s="22" t="n">
        <f aca="false">+SHIPS!B139</f>
        <v>40148</v>
      </c>
      <c r="B120" s="23" t="n">
        <f aca="false">+IF('ELBA BOOK'!B131=0,0,((+PORTS!I125+PORTS!I433)/('ELBA BOOK'!$B131*PORTS!$I$9))+PORTS!I741)</f>
        <v>0.216663195394773</v>
      </c>
      <c r="C120" s="23" t="n">
        <f aca="false">+C119*(1+PORTS!$J$8/12)</f>
        <v>0.337454114524984</v>
      </c>
      <c r="D120" s="23"/>
      <c r="E120" s="23"/>
      <c r="F120" s="23"/>
      <c r="G120" s="23"/>
    </row>
    <row r="121" customFormat="false" ht="12.75" hidden="false" customHeight="false" outlineLevel="0" collapsed="false">
      <c r="A121" s="24" t="n">
        <f aca="false">+SHIPS!B140</f>
        <v>40179</v>
      </c>
      <c r="B121" s="23" t="n">
        <f aca="false">+IF('ELBA BOOK'!B132=0,0,((+PORTS!I126+PORTS!I434)/('ELBA BOOK'!$B132*PORTS!$I$9))+PORTS!I742)</f>
        <v>0.216794225679063</v>
      </c>
      <c r="C121" s="23" t="n">
        <f aca="false">+C120*(1+PORTS!$J$8/12)</f>
        <v>0.337805629227614</v>
      </c>
      <c r="D121" s="23"/>
      <c r="E121" s="23"/>
      <c r="F121" s="23"/>
      <c r="G121" s="23"/>
    </row>
    <row r="122" customFormat="false" ht="12.75" hidden="false" customHeight="false" outlineLevel="0" collapsed="false">
      <c r="A122" s="22" t="n">
        <f aca="false">+SHIPS!B141</f>
        <v>40210</v>
      </c>
      <c r="B122" s="23" t="n">
        <f aca="false">+IF('ELBA BOOK'!B133=0,0,((+PORTS!I127+PORTS!I435)/('ELBA BOOK'!$B133*PORTS!$I$9))+PORTS!I743)</f>
        <v>0.236968253057753</v>
      </c>
      <c r="C122" s="23" t="n">
        <f aca="false">+C121*(1+PORTS!$J$8/12)</f>
        <v>0.338157510091393</v>
      </c>
      <c r="D122" s="23"/>
      <c r="E122" s="23"/>
      <c r="F122" s="23"/>
      <c r="G122" s="23"/>
    </row>
    <row r="123" customFormat="false" ht="12.75" hidden="false" customHeight="false" outlineLevel="0" collapsed="false">
      <c r="A123" s="22" t="n">
        <f aca="false">+SHIPS!B142</f>
        <v>40238</v>
      </c>
      <c r="B123" s="23" t="n">
        <f aca="false">+IF('ELBA BOOK'!B134=0,0,((+PORTS!I128+PORTS!I436)/('ELBA BOOK'!$B134*PORTS!$I$9))+PORTS!I744)</f>
        <v>0.217056695859459</v>
      </c>
      <c r="C123" s="23" t="n">
        <f aca="false">+C122*(1+PORTS!$J$8/12)</f>
        <v>0.338509757497738</v>
      </c>
      <c r="D123" s="23"/>
      <c r="E123" s="23"/>
      <c r="F123" s="23"/>
      <c r="G123" s="23"/>
    </row>
    <row r="124" customFormat="false" ht="12.75" hidden="false" customHeight="false" outlineLevel="0" collapsed="false">
      <c r="A124" s="22" t="n">
        <f aca="false">+SHIPS!B143</f>
        <v>40269</v>
      </c>
      <c r="B124" s="23" t="n">
        <f aca="false">+IF('ELBA BOOK'!B135=0,0,((+PORTS!I129+PORTS!I437)/('ELBA BOOK'!$B135*PORTS!$I$9))+PORTS!I745)</f>
        <v>0.223430376191806</v>
      </c>
      <c r="C124" s="23" t="n">
        <f aca="false">+C123*(1+PORTS!$J$8/12)</f>
        <v>0.338862371828465</v>
      </c>
      <c r="D124" s="23"/>
      <c r="E124" s="23"/>
      <c r="F124" s="23"/>
      <c r="G124" s="23"/>
    </row>
    <row r="125" customFormat="false" ht="12.75" hidden="false" customHeight="false" outlineLevel="0" collapsed="false">
      <c r="A125" s="22" t="n">
        <f aca="false">+SHIPS!B144</f>
        <v>40299</v>
      </c>
      <c r="B125" s="23" t="n">
        <f aca="false">+IF('ELBA BOOK'!B136=0,0,((+PORTS!I130+PORTS!I438)/('ELBA BOOK'!$B136*PORTS!$I$9))+PORTS!I746)</f>
        <v>0.217319713137529</v>
      </c>
      <c r="C125" s="23" t="n">
        <f aca="false">+C124*(1+PORTS!$J$8/12)</f>
        <v>0.339215353465786</v>
      </c>
      <c r="D125" s="23"/>
      <c r="E125" s="23"/>
      <c r="F125" s="23"/>
      <c r="G125" s="23"/>
    </row>
    <row r="126" customFormat="false" ht="12.75" hidden="false" customHeight="false" outlineLevel="0" collapsed="false">
      <c r="A126" s="22" t="n">
        <f aca="false">+SHIPS!B145</f>
        <v>40330</v>
      </c>
      <c r="B126" s="23" t="n">
        <f aca="false">+IF('ELBA BOOK'!B137=0,0,((+PORTS!I131+PORTS!I439)/('ELBA BOOK'!$B137*PORTS!$I$9))+PORTS!I747)</f>
        <v>0.223700364896679</v>
      </c>
      <c r="C126" s="23" t="n">
        <f aca="false">+C125*(1+PORTS!$J$8/12)</f>
        <v>0.339568702792313</v>
      </c>
      <c r="D126" s="23"/>
      <c r="E126" s="23"/>
      <c r="F126" s="23"/>
      <c r="G126" s="23"/>
    </row>
    <row r="127" customFormat="false" ht="12.75" hidden="false" customHeight="false" outlineLevel="0" collapsed="false">
      <c r="A127" s="22" t="n">
        <f aca="false">+SHIPS!B146</f>
        <v>40360</v>
      </c>
      <c r="B127" s="23" t="n">
        <f aca="false">+IF('ELBA BOOK'!B138=0,0,((+PORTS!I132+PORTS!I440)/('ELBA BOOK'!$B138*PORTS!$I$9))+PORTS!I748)</f>
        <v>0.217583278653653</v>
      </c>
      <c r="C127" s="23" t="n">
        <f aca="false">+C126*(1+PORTS!$J$8/12)</f>
        <v>0.339922420191055</v>
      </c>
      <c r="D127" s="23"/>
      <c r="E127" s="23"/>
      <c r="F127" s="23"/>
      <c r="G127" s="23"/>
    </row>
    <row r="128" customFormat="false" ht="12.75" hidden="false" customHeight="false" outlineLevel="0" collapsed="false">
      <c r="A128" s="22" t="n">
        <f aca="false">+SHIPS!B147</f>
        <v>40391</v>
      </c>
      <c r="B128" s="23" t="n">
        <f aca="false">+IF('ELBA BOOK'!B139=0,0,((+PORTS!I133+PORTS!I441)/('ELBA BOOK'!$B139*PORTS!$I$9))+PORTS!I749)</f>
        <v>0.217715267358004</v>
      </c>
      <c r="C128" s="23" t="n">
        <f aca="false">+C127*(1+PORTS!$J$8/12)</f>
        <v>0.340276506045421</v>
      </c>
      <c r="D128" s="23"/>
      <c r="E128" s="23"/>
      <c r="F128" s="23"/>
      <c r="G128" s="23"/>
    </row>
    <row r="129" customFormat="false" ht="12.75" hidden="false" customHeight="false" outlineLevel="0" collapsed="false">
      <c r="A129" s="22" t="n">
        <f aca="false">+SHIPS!B148</f>
        <v>40422</v>
      </c>
      <c r="B129" s="23" t="n">
        <f aca="false">+IF('ELBA BOOK'!B140=0,0,((+PORTS!I134+PORTS!I442)/('ELBA BOOK'!$B140*PORTS!$I$9))+PORTS!I750)</f>
        <v>0.224106403513144</v>
      </c>
      <c r="C129" s="23" t="n">
        <f aca="false">+C128*(1+PORTS!$J$8/12)</f>
        <v>0.340630960739218</v>
      </c>
      <c r="D129" s="23"/>
      <c r="E129" s="23"/>
      <c r="F129" s="23"/>
      <c r="G129" s="23"/>
    </row>
    <row r="130" customFormat="false" ht="12.75" hidden="false" customHeight="false" outlineLevel="0" collapsed="false">
      <c r="A130" s="22" t="n">
        <f aca="false">+SHIPS!B149</f>
        <v>40452</v>
      </c>
      <c r="B130" s="23" t="n">
        <f aca="false">+IF('ELBA BOOK'!B141=0,0,((+PORTS!I135+PORTS!I443)/('ELBA BOOK'!$B141*PORTS!$I$9))+PORTS!I751)</f>
        <v>0.217979657374625</v>
      </c>
      <c r="C130" s="23" t="n">
        <f aca="false">+C129*(1+PORTS!$J$8/12)</f>
        <v>0.340985784656655</v>
      </c>
      <c r="D130" s="23"/>
      <c r="E130" s="23"/>
      <c r="F130" s="23"/>
      <c r="G130" s="23"/>
    </row>
    <row r="131" customFormat="false" ht="12.75" hidden="false" customHeight="false" outlineLevel="0" collapsed="false">
      <c r="A131" s="22" t="n">
        <f aca="false">+SHIPS!B150</f>
        <v>40483</v>
      </c>
      <c r="B131" s="23" t="n">
        <f aca="false">+IF('ELBA BOOK'!B142=0,0,((+PORTS!I136+PORTS!I444)/('ELBA BOOK'!$B142*PORTS!$I$9))+PORTS!I752)</f>
        <v>0.224377801341807</v>
      </c>
      <c r="C131" s="23" t="n">
        <f aca="false">+C130*(1+PORTS!$J$8/12)</f>
        <v>0.341340978182339</v>
      </c>
      <c r="D131" s="23"/>
      <c r="E131" s="23"/>
      <c r="F131" s="23"/>
      <c r="G131" s="23"/>
    </row>
    <row r="132" customFormat="false" ht="12.75" hidden="false" customHeight="false" outlineLevel="0" collapsed="false">
      <c r="A132" s="22" t="n">
        <f aca="false">+SHIPS!B151</f>
        <v>40513</v>
      </c>
      <c r="B132" s="23" t="n">
        <f aca="false">+IF('ELBA BOOK'!B143=0,0,((+PORTS!I137+PORTS!I445)/('ELBA BOOK'!$B143*PORTS!$I$9))+PORTS!I753)</f>
        <v>0.218244598490662</v>
      </c>
      <c r="C132" s="23" t="n">
        <f aca="false">+C131*(1+PORTS!$J$8/12)</f>
        <v>0.341696541701278</v>
      </c>
      <c r="D132" s="23"/>
      <c r="E132" s="23"/>
      <c r="F132" s="23"/>
      <c r="G132" s="23"/>
    </row>
    <row r="133" customFormat="false" ht="12.75" hidden="false" customHeight="false" outlineLevel="0" collapsed="false">
      <c r="A133" s="22" t="n">
        <f aca="false">+SHIPS!B152</f>
        <v>40544</v>
      </c>
      <c r="B133" s="23" t="n">
        <f aca="false">+IF('ELBA BOOK'!B144=0,0,((+PORTS!I138+PORTS!I446)/('ELBA BOOK'!$B144*PORTS!$I$9))+PORTS!I754)</f>
        <v>0.218377276069844</v>
      </c>
      <c r="C133" s="23" t="n">
        <f aca="false">+C132*(1+PORTS!$J$8/12)</f>
        <v>0.342052475598884</v>
      </c>
      <c r="D133" s="23"/>
      <c r="E133" s="23"/>
      <c r="F133" s="23"/>
      <c r="G133" s="23"/>
    </row>
    <row r="134" customFormat="false" ht="12.75" hidden="false" customHeight="false" outlineLevel="0" collapsed="false">
      <c r="A134" s="22" t="n">
        <f aca="false">+SHIPS!B153</f>
        <v>40575</v>
      </c>
      <c r="B134" s="23" t="n">
        <f aca="false">+IF('ELBA BOOK'!B145=0,0,((+PORTS!I139+PORTS!I447)/('ELBA BOOK'!$B145*PORTS!$I$9))+PORTS!I755)</f>
        <v>0.238682522456474</v>
      </c>
      <c r="C134" s="23" t="n">
        <f aca="false">+C133*(1+PORTS!$J$8/12)</f>
        <v>0.342408780260966</v>
      </c>
      <c r="D134" s="23"/>
      <c r="E134" s="23"/>
      <c r="F134" s="23"/>
      <c r="G134" s="23"/>
    </row>
    <row r="135" customFormat="false" ht="12.75" hidden="false" customHeight="false" outlineLevel="0" collapsed="false">
      <c r="A135" s="22" t="n">
        <f aca="false">+SHIPS!B154</f>
        <v>40603</v>
      </c>
      <c r="B135" s="23" t="n">
        <f aca="false">+IF('ELBA BOOK'!B146=0,0,((+PORTS!I140+PORTS!I448)/('ELBA BOOK'!$B146*PORTS!$I$9))+PORTS!I756)</f>
        <v>0.218643045989606</v>
      </c>
      <c r="C135" s="23" t="n">
        <f aca="false">+C134*(1+PORTS!$J$8/12)</f>
        <v>0.342765456073738</v>
      </c>
      <c r="D135" s="23"/>
      <c r="E135" s="23"/>
      <c r="F135" s="23"/>
      <c r="G135" s="23"/>
    </row>
    <row r="136" customFormat="false" ht="12.75" hidden="false" customHeight="false" outlineLevel="0" collapsed="false">
      <c r="A136" s="22" t="n">
        <f aca="false">+SHIPS!B155</f>
        <v>40634</v>
      </c>
      <c r="B136" s="23" t="n">
        <f aca="false">+IF('ELBA BOOK'!B147=0,0,((+PORTS!I141+PORTS!I449)/('ELBA BOOK'!$B147*PORTS!$I$9))+PORTS!I757)</f>
        <v>0.225058773460069</v>
      </c>
      <c r="C136" s="23" t="n">
        <f aca="false">+C135*(1+PORTS!$J$8/12)</f>
        <v>0.343122503423815</v>
      </c>
      <c r="D136" s="23"/>
      <c r="E136" s="23"/>
      <c r="F136" s="23"/>
      <c r="G136" s="23"/>
    </row>
    <row r="137" customFormat="false" ht="12.75" hidden="false" customHeight="false" outlineLevel="0" collapsed="false">
      <c r="A137" s="22" t="n">
        <f aca="false">+SHIPS!B156</f>
        <v>40664</v>
      </c>
      <c r="B137" s="23" t="n">
        <f aca="false">+IF('ELBA BOOK'!B148=0,0,((+PORTS!I142+PORTS!I450)/('ELBA BOOK'!$B148*PORTS!$I$9))+PORTS!I758)</f>
        <v>0.218909369885081</v>
      </c>
      <c r="C137" s="23" t="n">
        <f aca="false">+C136*(1+PORTS!$J$8/12)</f>
        <v>0.343479922698215</v>
      </c>
      <c r="D137" s="23"/>
      <c r="E137" s="23"/>
      <c r="F137" s="23"/>
      <c r="G137" s="23"/>
    </row>
    <row r="138" customFormat="false" ht="12.75" hidden="false" customHeight="false" outlineLevel="0" collapsed="false">
      <c r="A138" s="22" t="n">
        <f aca="false">+SHIPS!B157</f>
        <v>40695</v>
      </c>
      <c r="B138" s="23" t="n">
        <f aca="false">+IF('ELBA BOOK'!B149=0,0,((+PORTS!I143+PORTS!I451)/('ELBA BOOK'!$B149*PORTS!$I$9))+PORTS!I759)</f>
        <v>0.225332156426176</v>
      </c>
      <c r="C138" s="23" t="n">
        <f aca="false">+C137*(1+PORTS!$J$8/12)</f>
        <v>0.343837714284358</v>
      </c>
      <c r="D138" s="23"/>
      <c r="E138" s="23"/>
      <c r="F138" s="23"/>
      <c r="G138" s="23"/>
    </row>
    <row r="139" customFormat="false" ht="12.75" hidden="false" customHeight="false" outlineLevel="0" collapsed="false">
      <c r="A139" s="22" t="n">
        <f aca="false">+SHIPS!B158</f>
        <v>40725</v>
      </c>
      <c r="B139" s="23" t="n">
        <f aca="false">+IF('ELBA BOOK'!B150=0,0,((+PORTS!I144+PORTS!I452)/('ELBA BOOK'!$B150*PORTS!$I$9))+PORTS!I760)</f>
        <v>0.219176248910984</v>
      </c>
      <c r="C139" s="23" t="n">
        <f aca="false">+C138*(1+PORTS!$J$8/12)</f>
        <v>0.344195878570071</v>
      </c>
      <c r="D139" s="23"/>
      <c r="E139" s="23"/>
      <c r="F139" s="23"/>
      <c r="G139" s="23"/>
    </row>
    <row r="140" customFormat="false" ht="12.75" hidden="false" customHeight="false" outlineLevel="0" collapsed="false">
      <c r="A140" s="22" t="n">
        <f aca="false">+SHIPS!B159</f>
        <v>40756</v>
      </c>
      <c r="B140" s="23" t="n">
        <f aca="false">+IF('ELBA BOOK'!B151=0,0,((+PORTS!I145+PORTS!I453)/('ELBA BOOK'!$B151*PORTS!$I$9))+PORTS!I761)</f>
        <v>0.219309896959353</v>
      </c>
      <c r="C140" s="23" t="n">
        <f aca="false">+C139*(1+PORTS!$J$8/12)</f>
        <v>0.344554415943582</v>
      </c>
      <c r="D140" s="23"/>
      <c r="E140" s="23"/>
      <c r="F140" s="23"/>
      <c r="G140" s="23"/>
    </row>
    <row r="141" customFormat="false" ht="12.75" hidden="false" customHeight="false" outlineLevel="0" collapsed="false">
      <c r="A141" s="22" t="n">
        <f aca="false">+SHIPS!B160</f>
        <v>40787</v>
      </c>
      <c r="B141" s="23" t="n">
        <f aca="false">+IF('ELBA BOOK'!B152=0,0,((+PORTS!I146+PORTS!I454)/('ELBA BOOK'!$B152*PORTS!$I$9))+PORTS!I762)</f>
        <v>0.225743299704835</v>
      </c>
      <c r="C141" s="23" t="n">
        <f aca="false">+C140*(1+PORTS!$J$8/12)</f>
        <v>0.344913326793523</v>
      </c>
      <c r="D141" s="23"/>
      <c r="E141" s="23"/>
      <c r="F141" s="23"/>
      <c r="G141" s="23"/>
    </row>
    <row r="142" customFormat="false" ht="12.75" hidden="false" customHeight="false" outlineLevel="0" collapsed="false">
      <c r="A142" s="22" t="n">
        <f aca="false">+SHIPS!B161</f>
        <v>40817</v>
      </c>
      <c r="B142" s="23" t="n">
        <f aca="false">+IF('ELBA BOOK'!B153=0,0,((+PORTS!I147+PORTS!I455)/('ELBA BOOK'!$B153*PORTS!$I$9))+PORTS!I763)</f>
        <v>0.219577610851261</v>
      </c>
      <c r="C142" s="23" t="n">
        <f aca="false">+C141*(1+PORTS!$J$8/12)</f>
        <v>0.345272611508933</v>
      </c>
      <c r="D142" s="23"/>
      <c r="E142" s="23"/>
      <c r="F142" s="23"/>
      <c r="G142" s="23"/>
    </row>
    <row r="143" customFormat="false" ht="12.75" hidden="false" customHeight="false" outlineLevel="0" collapsed="false">
      <c r="A143" s="22" t="n">
        <f aca="false">+SHIPS!B162</f>
        <v>40848</v>
      </c>
      <c r="B143" s="23" t="n">
        <f aca="false">+IF('ELBA BOOK'!B154=0,0,((+PORTS!I148+PORTS!I456)/('ELBA BOOK'!$B154*PORTS!$I$9))+PORTS!I764)</f>
        <v>0.226018109510044</v>
      </c>
      <c r="C143" s="23" t="n">
        <f aca="false">+C142*(1+PORTS!$J$8/12)</f>
        <v>0.345632270479255</v>
      </c>
      <c r="D143" s="23"/>
      <c r="E143" s="23"/>
      <c r="F143" s="23"/>
      <c r="G143" s="23"/>
    </row>
    <row r="144" customFormat="false" ht="12.75" hidden="false" customHeight="false" outlineLevel="0" collapsed="false">
      <c r="A144" s="22" t="n">
        <f aca="false">+SHIPS!B163</f>
        <v>40878</v>
      </c>
      <c r="B144" s="23" t="n">
        <f aca="false">+IF('ELBA BOOK'!B155=0,0,((+PORTS!I149+PORTS!I457)/('ELBA BOOK'!$B155*PORTS!$I$9))+PORTS!I765)</f>
        <v>0.219845882770931</v>
      </c>
      <c r="C144" s="23" t="n">
        <f aca="false">+C143*(1+PORTS!$J$8/12)</f>
        <v>0.345992304094337</v>
      </c>
      <c r="D144" s="23"/>
      <c r="E144" s="23"/>
      <c r="F144" s="23"/>
      <c r="G144" s="23"/>
    </row>
    <row r="145" customFormat="false" ht="12.75" hidden="false" customHeight="false" outlineLevel="0" collapsed="false">
      <c r="A145" s="22" t="n">
        <f aca="false">+SHIPS!B164</f>
        <v>40909</v>
      </c>
      <c r="B145" s="23" t="n">
        <f aca="false">+IF('ELBA BOOK'!B156=0,0,((+PORTS!I150+PORTS!I458)/('ELBA BOOK'!$B156*PORTS!$I$9))+PORTS!I766)</f>
        <v>0.219980228354571</v>
      </c>
      <c r="C145" s="23" t="n">
        <f aca="false">+C144*(1+PORTS!$J$8/12)</f>
        <v>0.346352712744435</v>
      </c>
      <c r="D145" s="23"/>
      <c r="E145" s="23"/>
      <c r="F145" s="23"/>
      <c r="G145" s="23"/>
    </row>
    <row r="146" customFormat="false" ht="12.75" hidden="false" customHeight="false" outlineLevel="0" collapsed="false">
      <c r="A146" s="22" t="n">
        <f aca="false">+SHIPS!B165</f>
        <v>40940</v>
      </c>
      <c r="B146" s="23" t="n">
        <f aca="false">+IF('ELBA BOOK'!B157=0,0,((+PORTS!I151+PORTS!I459)/('ELBA BOOK'!$B157*PORTS!$I$9))+PORTS!I767)</f>
        <v>0.233183716800682</v>
      </c>
      <c r="C146" s="23" t="n">
        <f aca="false">+C145*(1+PORTS!$J$8/12)</f>
        <v>0.346713496820211</v>
      </c>
      <c r="D146" s="23"/>
      <c r="E146" s="23"/>
      <c r="F146" s="23"/>
      <c r="G146" s="23"/>
    </row>
    <row r="147" customFormat="false" ht="12.75" hidden="false" customHeight="false" outlineLevel="0" collapsed="false">
      <c r="A147" s="22" t="n">
        <f aca="false">+SHIPS!B166</f>
        <v>40969</v>
      </c>
      <c r="B147" s="23" t="n">
        <f aca="false">+IF('ELBA BOOK'!B158=0,0,((+PORTS!I152+PORTS!I460)/('ELBA BOOK'!$B158*PORTS!$I$9))+PORTS!I768)</f>
        <v>0.220249339497575</v>
      </c>
      <c r="C147" s="23" t="n">
        <f aca="false">+C146*(1+PORTS!$J$8/12)</f>
        <v>0.347074656712732</v>
      </c>
      <c r="D147" s="23"/>
      <c r="E147" s="23"/>
      <c r="F147" s="23"/>
      <c r="G147" s="23"/>
    </row>
    <row r="148" customFormat="false" ht="12.75" hidden="false" customHeight="false" outlineLevel="0" collapsed="false">
      <c r="A148" s="22" t="n">
        <f aca="false">+SHIPS!B167</f>
        <v>41000</v>
      </c>
      <c r="B148" s="23" t="n">
        <f aca="false">+IF('ELBA BOOK'!B159=0,0,((+PORTS!I153+PORTS!I461)/('ELBA BOOK'!$B159*PORTS!$I$9))+PORTS!I769)</f>
        <v>0.226707642717048</v>
      </c>
      <c r="C148" s="23" t="n">
        <f aca="false">+C147*(1+PORTS!$J$8/12)</f>
        <v>0.347436192813474</v>
      </c>
      <c r="D148" s="23"/>
      <c r="E148" s="23"/>
      <c r="F148" s="23"/>
      <c r="G148" s="23"/>
    </row>
    <row r="149" customFormat="false" ht="12.75" hidden="false" customHeight="false" outlineLevel="0" collapsed="false">
      <c r="A149" s="22" t="n">
        <f aca="false">+SHIPS!B168</f>
        <v>41030</v>
      </c>
      <c r="B149" s="23" t="n">
        <f aca="false">+IF('ELBA BOOK'!B160=0,0,((+PORTS!I154+PORTS!I462)/('ELBA BOOK'!$B160*PORTS!$I$9))+PORTS!I770)</f>
        <v>0.220519011580797</v>
      </c>
      <c r="C149" s="23" t="n">
        <f aca="false">+C148*(1+PORTS!$J$8/12)</f>
        <v>0.347798105514322</v>
      </c>
      <c r="D149" s="23"/>
      <c r="E149" s="23"/>
      <c r="F149" s="23"/>
      <c r="G149" s="23"/>
    </row>
    <row r="150" customFormat="false" ht="12.75" hidden="false" customHeight="false" outlineLevel="0" collapsed="false">
      <c r="A150" s="22" t="n">
        <f aca="false">+SHIPS!B169</f>
        <v>41061</v>
      </c>
      <c r="B150" s="23" t="n">
        <f aca="false">+IF('ELBA BOOK'!B161=0,0,((+PORTS!I155+PORTS!I463)/('ELBA BOOK'!$B161*PORTS!$I$9))+PORTS!I771)</f>
        <v>0.226984462616578</v>
      </c>
      <c r="C150" s="23" t="n">
        <f aca="false">+C149*(1+PORTS!$J$8/12)</f>
        <v>0.348160395207566</v>
      </c>
      <c r="D150" s="23"/>
      <c r="E150" s="23"/>
      <c r="F150" s="23"/>
      <c r="G150" s="23"/>
    </row>
    <row r="151" customFormat="false" ht="12.75" hidden="false" customHeight="false" outlineLevel="0" collapsed="false">
      <c r="A151" s="22" t="n">
        <f aca="false">+SHIPS!B170</f>
        <v>41091</v>
      </c>
      <c r="B151" s="23" t="n">
        <f aca="false">+IF('ELBA BOOK'!B162=0,0,((+PORTS!I156+PORTS!I464)/('ELBA BOOK'!$B162*PORTS!$I$9))+PORTS!I772)</f>
        <v>0.220789245773473</v>
      </c>
      <c r="C151" s="23" t="n">
        <f aca="false">+C150*(1+PORTS!$J$8/12)</f>
        <v>0.348523062285907</v>
      </c>
      <c r="D151" s="23"/>
      <c r="E151" s="23"/>
      <c r="F151" s="23"/>
      <c r="G151" s="23"/>
    </row>
    <row r="152" customFormat="false" ht="12.75" hidden="false" customHeight="false" outlineLevel="0" collapsed="false">
      <c r="A152" s="22" t="n">
        <f aca="false">+SHIPS!B171</f>
        <v>41122</v>
      </c>
      <c r="B152" s="23" t="n">
        <f aca="false">+IF('ELBA BOOK'!B163=0,0,((+PORTS!I157+PORTS!I465)/('ELBA BOOK'!$B163*PORTS!$I$9))+PORTS!I773)</f>
        <v>0.220924574026907</v>
      </c>
      <c r="C152" s="23" t="n">
        <f aca="false">+C151*(1+PORTS!$J$8/12)</f>
        <v>0.348886107142455</v>
      </c>
      <c r="D152" s="23"/>
      <c r="E152" s="23"/>
      <c r="F152" s="23"/>
      <c r="G152" s="23"/>
    </row>
    <row r="153" customFormat="false" ht="12.75" hidden="false" customHeight="false" outlineLevel="0" collapsed="false">
      <c r="A153" s="22" t="n">
        <f aca="false">+SHIPS!B172</f>
        <v>41153</v>
      </c>
      <c r="B153" s="23" t="n">
        <f aca="false">+IF('ELBA BOOK'!B164=0,0,((+PORTS!I158+PORTS!I466)/('ELBA BOOK'!$B164*PORTS!$I$9))+PORTS!I774)</f>
        <v>0.227400774732551</v>
      </c>
      <c r="C153" s="23" t="n">
        <f aca="false">+C152*(1+PORTS!$J$8/12)</f>
        <v>0.349249530170728</v>
      </c>
      <c r="D153" s="23"/>
      <c r="E153" s="23"/>
      <c r="F153" s="23"/>
      <c r="G153" s="23"/>
    </row>
    <row r="154" customFormat="false" ht="12.75" hidden="false" customHeight="false" outlineLevel="0" collapsed="false">
      <c r="A154" s="22" t="n">
        <f aca="false">+SHIPS!B173</f>
        <v>41183</v>
      </c>
      <c r="B154" s="23" t="n">
        <f aca="false">+IF('ELBA BOOK'!B165=0,0,((+PORTS!I159+PORTS!I467)/('ELBA BOOK'!$B165*PORTS!$I$9))+PORTS!I775)</f>
        <v>0.221195653581409</v>
      </c>
      <c r="C154" s="23" t="n">
        <f aca="false">+C153*(1+PORTS!$J$8/12)</f>
        <v>0.349613331764656</v>
      </c>
      <c r="D154" s="23"/>
      <c r="E154" s="23"/>
      <c r="F154" s="23"/>
      <c r="G154" s="23"/>
    </row>
    <row r="155" customFormat="false" ht="12.75" hidden="false" customHeight="false" outlineLevel="0" collapsed="false">
      <c r="A155" s="22" t="n">
        <f aca="false">+SHIPS!B174</f>
        <v>41214</v>
      </c>
      <c r="B155" s="23" t="n">
        <f aca="false">+IF('ELBA BOOK'!B166=0,0,((+PORTS!I160+PORTS!I468)/('ELBA BOOK'!$B166*PORTS!$I$9))+PORTS!I776)</f>
        <v>0.227679039409209</v>
      </c>
      <c r="C155" s="23" t="n">
        <f aca="false">+C154*(1+PORTS!$J$8/12)</f>
        <v>0.349977512318578</v>
      </c>
      <c r="D155" s="23"/>
      <c r="E155" s="23"/>
      <c r="F155" s="23"/>
      <c r="G155" s="23"/>
    </row>
    <row r="156" customFormat="false" ht="12.75" hidden="false" customHeight="false" outlineLevel="0" collapsed="false">
      <c r="A156" s="22" t="n">
        <f aca="false">+SHIPS!B175</f>
        <v>41244</v>
      </c>
      <c r="B156" s="23" t="n">
        <f aca="false">+IF('ELBA BOOK'!B167=0,0,((+PORTS!I161+PORTS!I469)/('ELBA BOOK'!$B167*PORTS!$I$9))+PORTS!I777)</f>
        <v>0.221467298179123</v>
      </c>
      <c r="C156" s="23" t="n">
        <f aca="false">+C155*(1+PORTS!$J$8/12)</f>
        <v>0.350342072227243</v>
      </c>
      <c r="D156" s="23"/>
      <c r="E156" s="23"/>
      <c r="F156" s="23"/>
      <c r="G156" s="23"/>
    </row>
    <row r="157" customFormat="false" ht="12.75" hidden="false" customHeight="false" outlineLevel="0" collapsed="false">
      <c r="A157" s="22" t="n">
        <f aca="false">+SHIPS!B176</f>
        <v>41275</v>
      </c>
      <c r="B157" s="23" t="n">
        <f aca="false">+IF('ELBA BOOK'!B168=0,0,((+PORTS!I162+PORTS!I470)/('ELBA BOOK'!$B168*PORTS!$I$9))+PORTS!I778)</f>
        <v>0.221603332737147</v>
      </c>
      <c r="C157" s="23" t="n">
        <f aca="false">+C156*(1+PORTS!$J$8/12)</f>
        <v>0.350707011885813</v>
      </c>
      <c r="D157" s="23"/>
      <c r="E157" s="23"/>
      <c r="F157" s="23"/>
      <c r="G157" s="23"/>
    </row>
    <row r="158" customFormat="false" ht="12.75" hidden="false" customHeight="false" outlineLevel="0" collapsed="false">
      <c r="A158" s="22" t="n">
        <f aca="false">+SHIPS!B177</f>
        <v>41306</v>
      </c>
      <c r="B158" s="23" t="n">
        <f aca="false">+IF('ELBA BOOK'!B169=0,0,((+PORTS!I163+PORTS!I471)/('ELBA BOOK'!$B169*PORTS!$I$9))+PORTS!I779)</f>
        <v>0.242175986881553</v>
      </c>
      <c r="C158" s="23" t="n">
        <f aca="false">+C157*(1+PORTS!$J$8/12)</f>
        <v>0.35107233168986</v>
      </c>
      <c r="D158" s="23"/>
      <c r="E158" s="23"/>
      <c r="F158" s="23"/>
      <c r="G158" s="23"/>
    </row>
    <row r="159" customFormat="false" ht="12.75" hidden="false" customHeight="false" outlineLevel="0" collapsed="false">
      <c r="A159" s="22" t="n">
        <f aca="false">+SHIPS!B178</f>
        <v>41334</v>
      </c>
      <c r="B159" s="23" t="n">
        <f aca="false">+IF('ELBA BOOK'!B170=0,0,((+PORTS!I164+PORTS!I472)/('ELBA BOOK'!$B170*PORTS!$I$9))+PORTS!I780)</f>
        <v>0.221875827108795</v>
      </c>
      <c r="C159" s="23" t="n">
        <f aca="false">+C158*(1+PORTS!$J$8/12)</f>
        <v>0.351438032035371</v>
      </c>
      <c r="D159" s="23"/>
      <c r="E159" s="23"/>
      <c r="F159" s="23"/>
      <c r="G159" s="23"/>
    </row>
    <row r="160" customFormat="false" ht="12.75" hidden="false" customHeight="false" outlineLevel="0" collapsed="false">
      <c r="A160" s="22" t="n">
        <f aca="false">+SHIPS!B179</f>
        <v>41365</v>
      </c>
      <c r="B160" s="23" t="n">
        <f aca="false">+IF('ELBA BOOK'!B171=0,0,((+PORTS!I165+PORTS!I473)/('ELBA BOOK'!$B171*PORTS!$I$9))+PORTS!I781)</f>
        <v>0.228377241333797</v>
      </c>
      <c r="C160" s="23" t="n">
        <f aca="false">+C159*(1+PORTS!$J$8/12)</f>
        <v>0.351804113318741</v>
      </c>
      <c r="D160" s="23"/>
      <c r="E160" s="23"/>
      <c r="F160" s="23"/>
      <c r="G160" s="23"/>
    </row>
    <row r="161" customFormat="false" ht="12.75" hidden="false" customHeight="false" outlineLevel="0" collapsed="false">
      <c r="A161" s="22" t="n">
        <f aca="false">+SHIPS!B180</f>
        <v>41395</v>
      </c>
      <c r="B161" s="23" t="n">
        <f aca="false">+IF('ELBA BOOK'!B172=0,0,((+PORTS!I166+PORTS!I474)/('ELBA BOOK'!$B172*PORTS!$I$9))+PORTS!I782)</f>
        <v>0.222148889472726</v>
      </c>
      <c r="C161" s="23" t="n">
        <f aca="false">+C160*(1+PORTS!$J$8/12)</f>
        <v>0.352170575936781</v>
      </c>
      <c r="D161" s="23"/>
      <c r="E161" s="23"/>
      <c r="F161" s="23"/>
      <c r="G161" s="23"/>
    </row>
    <row r="162" customFormat="false" ht="12.75" hidden="false" customHeight="false" outlineLevel="0" collapsed="false">
      <c r="A162" s="22" t="n">
        <f aca="false">+SHIPS!B181</f>
        <v>41426</v>
      </c>
      <c r="B162" s="23" t="n">
        <f aca="false">+IF('ELBA BOOK'!B173=0,0,((+PORTS!I167+PORTS!I475)/('ELBA BOOK'!$B173*PORTS!$I$9))+PORTS!I783)</f>
        <v>0.228657541375409</v>
      </c>
      <c r="C162" s="23" t="n">
        <f aca="false">+C161*(1+PORTS!$J$8/12)</f>
        <v>0.352537420286715</v>
      </c>
      <c r="D162" s="23"/>
      <c r="E162" s="23"/>
      <c r="F162" s="23"/>
      <c r="G162" s="23"/>
    </row>
    <row r="163" customFormat="false" ht="12.75" hidden="false" customHeight="false" outlineLevel="0" collapsed="false">
      <c r="A163" s="22" t="n">
        <f aca="false">+SHIPS!B182</f>
        <v>41456</v>
      </c>
      <c r="B163" s="23" t="n">
        <f aca="false">+IF('ELBA BOOK'!B174=0,0,((+PORTS!I168+PORTS!I476)/('ELBA BOOK'!$B174*PORTS!$I$9))+PORTS!I784)</f>
        <v>0.222422521012874</v>
      </c>
      <c r="C163" s="23" t="n">
        <f aca="false">+C162*(1+PORTS!$J$8/12)</f>
        <v>0.352904646766181</v>
      </c>
      <c r="D163" s="23"/>
      <c r="E163" s="23"/>
      <c r="F163" s="23"/>
      <c r="G163" s="23"/>
    </row>
    <row r="164" customFormat="false" ht="12.75" hidden="false" customHeight="false" outlineLevel="0" collapsed="false">
      <c r="A164" s="22" t="n">
        <f aca="false">+SHIPS!B183</f>
        <v>41487</v>
      </c>
      <c r="B164" s="23" t="n">
        <f aca="false">+IF('ELBA BOOK'!B175=0,0,((+PORTS!I169+PORTS!I477)/('ELBA BOOK'!$B175*PORTS!$I$9))+PORTS!I785)</f>
        <v>0.222559550594683</v>
      </c>
      <c r="C164" s="23" t="n">
        <f aca="false">+C163*(1+PORTS!$J$8/12)</f>
        <v>0.353272255773229</v>
      </c>
      <c r="D164" s="23"/>
      <c r="E164" s="23"/>
      <c r="F164" s="23"/>
      <c r="G164" s="23"/>
    </row>
    <row r="165" customFormat="false" ht="12.75" hidden="false" customHeight="false" outlineLevel="0" collapsed="false">
      <c r="A165" s="22" t="n">
        <f aca="false">+SHIPS!B184</f>
        <v>41518</v>
      </c>
      <c r="B165" s="23" t="n">
        <f aca="false">+IF('ELBA BOOK'!B176=0,0,((+PORTS!I170+PORTS!I478)/('ELBA BOOK'!$B176*PORTS!$I$9))+PORTS!I786)</f>
        <v>0.229079087310614</v>
      </c>
      <c r="C165" s="23" t="n">
        <f aca="false">+C164*(1+PORTS!$J$8/12)</f>
        <v>0.353640247706326</v>
      </c>
      <c r="D165" s="23"/>
      <c r="E165" s="23"/>
      <c r="F165" s="23"/>
      <c r="G165" s="23"/>
    </row>
    <row r="166" customFormat="false" ht="12.75" hidden="false" customHeight="false" outlineLevel="0" collapsed="false">
      <c r="A166" s="22" t="n">
        <f aca="false">+SHIPS!B185</f>
        <v>41548</v>
      </c>
      <c r="B166" s="23" t="n">
        <f aca="false">+IF('ELBA BOOK'!B177=0,0,((+PORTS!I171+PORTS!I479)/('ELBA BOOK'!$B177*PORTS!$I$9))+PORTS!I787)</f>
        <v>0.22283403812443</v>
      </c>
      <c r="C166" s="23" t="n">
        <f aca="false">+C165*(1+PORTS!$J$8/12)</f>
        <v>0.354008622964353</v>
      </c>
      <c r="D166" s="23"/>
      <c r="E166" s="23"/>
      <c r="F166" s="23"/>
      <c r="G166" s="23"/>
    </row>
    <row r="167" customFormat="false" ht="12.75" hidden="false" customHeight="false" outlineLevel="0" collapsed="false">
      <c r="A167" s="22" t="n">
        <f aca="false">+SHIPS!B186</f>
        <v>41579</v>
      </c>
      <c r="B167" s="23" t="n">
        <f aca="false">+IF('ELBA BOOK'!B178=0,0,((+PORTS!I172+PORTS!I480)/('ELBA BOOK'!$B178*PORTS!$I$9))+PORTS!I788)</f>
        <v>0.229360850292896</v>
      </c>
      <c r="C167" s="23" t="n">
        <f aca="false">+C166*(1+PORTS!$J$8/12)</f>
        <v>0.354377381946608</v>
      </c>
      <c r="D167" s="23"/>
      <c r="E167" s="23"/>
      <c r="F167" s="23"/>
      <c r="G167" s="23"/>
    </row>
    <row r="168" customFormat="false" ht="12.75" hidden="false" customHeight="false" outlineLevel="0" collapsed="false">
      <c r="A168" s="22" t="n">
        <f aca="false">+SHIPS!B187</f>
        <v>41609</v>
      </c>
      <c r="B168" s="23" t="n">
        <f aca="false">+IF('ELBA BOOK'!B179=0,0,((+PORTS!I173+PORTS!I481)/('ELBA BOOK'!$B179*PORTS!$I$9))+PORTS!I789)</f>
        <v>0.223109097801036</v>
      </c>
      <c r="C168" s="23" t="n">
        <f aca="false">+C167*(1+PORTS!$J$8/12)</f>
        <v>0.354746525052802</v>
      </c>
      <c r="D168" s="23"/>
      <c r="E168" s="23"/>
      <c r="F168" s="23"/>
      <c r="G168" s="23"/>
    </row>
    <row r="169" customFormat="false" ht="12.75" hidden="false" customHeight="false" outlineLevel="0" collapsed="false">
      <c r="A169" s="22" t="n">
        <f aca="false">+SHIPS!B188</f>
        <v>41640</v>
      </c>
      <c r="B169" s="23" t="n">
        <f aca="false">+IF('ELBA BOOK'!B180=0,0,((+PORTS!I174+PORTS!I482)/('ELBA BOOK'!$B180*PORTS!$I$9))+PORTS!I790)</f>
        <v>0.223246842567</v>
      </c>
      <c r="C169" s="23" t="n">
        <f aca="false">+C168*(1+PORTS!$J$8/12)</f>
        <v>0.355116052683065</v>
      </c>
      <c r="D169" s="23"/>
      <c r="E169" s="23"/>
      <c r="F169" s="23"/>
      <c r="G169" s="23"/>
    </row>
    <row r="170" customFormat="false" ht="12.75" hidden="false" customHeight="false" outlineLevel="0" collapsed="false">
      <c r="A170" s="22" t="n">
        <f aca="false">+SHIPS!B189</f>
        <v>41671</v>
      </c>
      <c r="B170" s="23" t="n">
        <f aca="false">+IF('ELBA BOOK'!B181=0,0,((+PORTS!I175+PORTS!I483)/('ELBA BOOK'!$B181*PORTS!$I$9))+PORTS!I791)</f>
        <v>0.243955727200764</v>
      </c>
      <c r="C170" s="23" t="n">
        <f aca="false">+C169*(1+PORTS!$J$8/12)</f>
        <v>0.355485965237944</v>
      </c>
      <c r="D170" s="23"/>
      <c r="E170" s="23"/>
      <c r="F170" s="23"/>
      <c r="G170" s="23"/>
    </row>
    <row r="171" customFormat="false" ht="12.75" hidden="false" customHeight="false" outlineLevel="0" collapsed="false">
      <c r="A171" s="22" t="n">
        <f aca="false">+SHIPS!B190</f>
        <v>41699</v>
      </c>
      <c r="B171" s="23" t="n">
        <f aca="false">+IF('ELBA BOOK'!B182=0,0,((+PORTS!I176+PORTS!I484)/('ELBA BOOK'!$B182*PORTS!$I$9))+PORTS!I792)</f>
        <v>0.223522762700782</v>
      </c>
      <c r="C171" s="23" t="n">
        <f aca="false">+C170*(1+PORTS!$J$8/12)</f>
        <v>0.3558562631184</v>
      </c>
      <c r="D171" s="23"/>
      <c r="E171" s="23"/>
      <c r="F171" s="23"/>
      <c r="G171" s="23"/>
    </row>
    <row r="172" customFormat="false" ht="12.75" hidden="false" customHeight="false" outlineLevel="0" collapsed="false">
      <c r="A172" s="22" t="n">
        <f aca="false">+SHIPS!B191</f>
        <v>41730</v>
      </c>
      <c r="B172" s="23" t="n">
        <f aca="false">+IF('ELBA BOOK'!B183=0,0,((+PORTS!I177+PORTS!I485)/('ELBA BOOK'!$B183*PORTS!$I$9))+PORTS!I793)</f>
        <v>0.230067829917005</v>
      </c>
      <c r="C172" s="23" t="n">
        <f aca="false">+C171*(1+PORTS!$J$8/12)</f>
        <v>0.356226946725815</v>
      </c>
      <c r="D172" s="23"/>
      <c r="E172" s="23"/>
      <c r="F172" s="23"/>
      <c r="G172" s="23"/>
    </row>
    <row r="173" customFormat="false" ht="12.75" hidden="false" customHeight="false" outlineLevel="0" collapsed="false">
      <c r="A173" s="22" t="n">
        <f aca="false">+SHIPS!B192</f>
        <v>41760</v>
      </c>
      <c r="B173" s="23" t="n">
        <f aca="false">+IF('ELBA BOOK'!B184=0,0,((+PORTS!I178+PORTS!I486)/('ELBA BOOK'!$B184*PORTS!$I$9))+PORTS!I794)</f>
        <v>0.22379925796757</v>
      </c>
      <c r="C173" s="23" t="n">
        <f aca="false">+C172*(1+PORTS!$J$8/12)</f>
        <v>0.356598016461987</v>
      </c>
      <c r="D173" s="23"/>
      <c r="E173" s="23"/>
      <c r="F173" s="23"/>
      <c r="G173" s="23"/>
    </row>
    <row r="174" customFormat="false" ht="12.75" hidden="false" customHeight="false" outlineLevel="0" collapsed="false">
      <c r="A174" s="22" t="n">
        <f aca="false">+SHIPS!B193</f>
        <v>41791</v>
      </c>
      <c r="B174" s="23" t="n">
        <f aca="false">+IF('ELBA BOOK'!B185=0,0,((+PORTS!I179+PORTS!I487)/('ELBA BOOK'!$B185*PORTS!$I$9))+PORTS!I795)</f>
        <v>0.230351653852571</v>
      </c>
      <c r="C174" s="23" t="n">
        <f aca="false">+C173*(1+PORTS!$J$8/12)</f>
        <v>0.356969472729135</v>
      </c>
      <c r="D174" s="23"/>
      <c r="E174" s="23"/>
      <c r="F174" s="23"/>
      <c r="G174" s="23"/>
    </row>
    <row r="175" customFormat="false" ht="12.75" hidden="false" customHeight="false" outlineLevel="0" collapsed="false">
      <c r="A175" s="22" t="n">
        <f aca="false">+SHIPS!B194</f>
        <v>41821</v>
      </c>
      <c r="B175" s="23" t="n">
        <f aca="false">+IF('ELBA BOOK'!B186=0,0,((+PORTS!I180+PORTS!I488)/('ELBA BOOK'!$B186*PORTS!$I$9))+PORTS!I796)</f>
        <v>0.224076329566179</v>
      </c>
      <c r="C175" s="23" t="n">
        <f aca="false">+C174*(1+PORTS!$J$8/12)</f>
        <v>0.357341315929895</v>
      </c>
      <c r="D175" s="23"/>
      <c r="E175" s="23"/>
      <c r="F175" s="23"/>
      <c r="G175" s="23"/>
    </row>
    <row r="176" customFormat="false" ht="12.75" hidden="false" customHeight="false" outlineLevel="0" collapsed="false">
      <c r="A176" s="22" t="n">
        <f aca="false">+SHIPS!B195</f>
        <v>41852</v>
      </c>
      <c r="B176" s="23" t="n">
        <f aca="false">+IF('ELBA BOOK'!B187=0,0,((+PORTS!I181+PORTS!I489)/('ELBA BOOK'!$B187*PORTS!$I$9))+PORTS!I797)</f>
        <v>0.224215081865231</v>
      </c>
      <c r="C176" s="23" t="n">
        <f aca="false">+C175*(1+PORTS!$J$8/12)</f>
        <v>0.357713546467322</v>
      </c>
      <c r="D176" s="23"/>
      <c r="E176" s="23"/>
      <c r="F176" s="23"/>
      <c r="G176" s="23"/>
    </row>
    <row r="177" customFormat="false" ht="12.75" hidden="false" customHeight="false" outlineLevel="0" collapsed="false">
      <c r="A177" s="22" t="n">
        <f aca="false">+SHIPS!B196</f>
        <v>41883</v>
      </c>
      <c r="B177" s="23" t="n">
        <f aca="false">+IF('ELBA BOOK'!B188=0,0,((+PORTS!I182+PORTS!I490)/('ELBA BOOK'!$B188*PORTS!$I$9))+PORTS!I798)</f>
        <v>0.230778499405872</v>
      </c>
      <c r="C177" s="23" t="n">
        <f aca="false">+C176*(1+PORTS!$J$8/12)</f>
        <v>0.358086164744892</v>
      </c>
      <c r="D177" s="23"/>
      <c r="E177" s="23"/>
      <c r="F177" s="23"/>
      <c r="G177" s="23"/>
    </row>
    <row r="178" customFormat="false" ht="12.75" hidden="false" customHeight="false" outlineLevel="0" collapsed="false">
      <c r="A178" s="22" t="n">
        <f aca="false">+SHIPS!B197</f>
        <v>41913</v>
      </c>
      <c r="B178" s="23" t="n">
        <f aca="false">+IF('ELBA BOOK'!B189=0,0,((+PORTS!I183+PORTS!I491)/('ELBA BOOK'!$B189*PORTS!$I$9))+PORTS!I799)</f>
        <v>0.224493020214826</v>
      </c>
      <c r="C178" s="23" t="n">
        <f aca="false">+C177*(1+PORTS!$J$8/12)</f>
        <v>0.358459171166501</v>
      </c>
      <c r="D178" s="23"/>
      <c r="E178" s="23"/>
      <c r="F178" s="23"/>
      <c r="G178" s="23"/>
    </row>
    <row r="179" customFormat="false" ht="12.75" hidden="false" customHeight="false" outlineLevel="0" collapsed="false">
      <c r="A179" s="22" t="n">
        <f aca="false">+SHIPS!B198</f>
        <v>41944</v>
      </c>
      <c r="B179" s="23" t="n">
        <f aca="false">+IF('ELBA BOOK'!B190=0,0,((+PORTS!I184+PORTS!I492)/('ELBA BOOK'!$B190*PORTS!$I$9))+PORTS!I800)</f>
        <v>0.231063804673998</v>
      </c>
      <c r="C179" s="23" t="n">
        <f aca="false">+C178*(1+PORTS!$J$8/12)</f>
        <v>0.358832566136466</v>
      </c>
      <c r="D179" s="23"/>
      <c r="E179" s="23"/>
      <c r="F179" s="23"/>
      <c r="G179" s="23"/>
    </row>
    <row r="180" customFormat="false" ht="12.75" hidden="false" customHeight="false" outlineLevel="0" collapsed="false">
      <c r="A180" s="22" t="n">
        <f aca="false">+SHIPS!B199</f>
        <v>41974</v>
      </c>
      <c r="B180" s="23" t="n">
        <f aca="false">+IF('ELBA BOOK'!B191=0,0,((+PORTS!I185+PORTS!I493)/('ELBA BOOK'!$B191*PORTS!$I$9))+PORTS!I801)</f>
        <v>0.224771537904231</v>
      </c>
      <c r="C180" s="23" t="n">
        <f aca="false">+C179*(1+PORTS!$J$8/12)</f>
        <v>0.359206350059525</v>
      </c>
      <c r="D180" s="23"/>
      <c r="E180" s="23"/>
      <c r="F180" s="23"/>
      <c r="G180" s="23"/>
    </row>
    <row r="181" customFormat="false" ht="12.75" hidden="false" customHeight="false" outlineLevel="0" collapsed="false">
      <c r="A181" s="22" t="n">
        <f aca="false">+SHIPS!B200</f>
        <v>42005</v>
      </c>
      <c r="B181" s="23" t="n">
        <f aca="false">+IF('ELBA BOOK'!B192=0,0,((+PORTS!I186+PORTS!I494)/('ELBA BOOK'!$B192*PORTS!$I$9))+PORTS!I802)</f>
        <v>0.224911014378635</v>
      </c>
      <c r="C181" s="23" t="n">
        <f aca="false">+C180*(1+PORTS!$J$8/12)</f>
        <v>0.359580523340837</v>
      </c>
      <c r="D181" s="23"/>
      <c r="E181" s="23"/>
      <c r="F181" s="23"/>
      <c r="G181" s="23"/>
    </row>
    <row r="182" customFormat="false" ht="12.75" hidden="false" customHeight="false" outlineLevel="0" collapsed="false">
      <c r="A182" s="22" t="n">
        <f aca="false">+SHIPS!B201</f>
        <v>42036</v>
      </c>
      <c r="B182" s="23" t="n">
        <f aca="false">+IF('ELBA BOOK'!B193=0,0,((+PORTS!I187+PORTS!I495)/('ELBA BOOK'!$B193*PORTS!$I$9))+PORTS!I803)</f>
        <v>0.245757842172919</v>
      </c>
      <c r="C182" s="23" t="n">
        <f aca="false">+C181*(1+PORTS!$J$8/12)</f>
        <v>0.359955086385984</v>
      </c>
      <c r="D182" s="23"/>
      <c r="E182" s="23"/>
      <c r="F182" s="23"/>
      <c r="G182" s="23"/>
    </row>
    <row r="183" customFormat="false" ht="12.75" hidden="false" customHeight="false" outlineLevel="0" collapsed="false">
      <c r="A183" s="22" t="n">
        <f aca="false">+SHIPS!B202</f>
        <v>42064</v>
      </c>
      <c r="B183" s="23" t="n">
        <f aca="false">+IF('ELBA BOOK'!B194=0,0,((+PORTS!I188+PORTS!I496)/('ELBA BOOK'!$B194*PORTS!$I$9))+PORTS!I804)</f>
        <v>0.225190403342767</v>
      </c>
      <c r="C183" s="23" t="n">
        <f aca="false">+C182*(1+PORTS!$J$8/12)</f>
        <v>0.360330039600969</v>
      </c>
      <c r="D183" s="23"/>
      <c r="E183" s="23"/>
      <c r="F183" s="23"/>
      <c r="G183" s="23"/>
    </row>
    <row r="184" customFormat="false" ht="12.75" hidden="false" customHeight="false" outlineLevel="0" collapsed="false">
      <c r="A184" s="22" t="n">
        <f aca="false">+SHIPS!B203</f>
        <v>42095</v>
      </c>
      <c r="B184" s="23" t="n">
        <f aca="false">+IF('ELBA BOOK'!B195=0,0,((+PORTS!I189+PORTS!I497)/('ELBA BOOK'!$B195*PORTS!$I$9))+PORTS!I805)</f>
        <v>0.231779672349672</v>
      </c>
      <c r="C184" s="23" t="n">
        <f aca="false">+C183*(1+PORTS!$J$8/12)</f>
        <v>0.36070538339222</v>
      </c>
      <c r="D184" s="23"/>
      <c r="E184" s="23"/>
      <c r="F184" s="23"/>
      <c r="G184" s="23"/>
    </row>
    <row r="185" customFormat="false" ht="12.75" hidden="false" customHeight="false" outlineLevel="0" collapsed="false">
      <c r="A185" s="22" t="n">
        <f aca="false">+SHIPS!B204</f>
        <v>42125</v>
      </c>
      <c r="B185" s="23" t="n">
        <f aca="false">+IF('ELBA BOOK'!B196=0,0,((+PORTS!I190+PORTS!I498)/('ELBA BOOK'!$B196*PORTS!$I$9))+PORTS!I806)</f>
        <v>0.225470374670398</v>
      </c>
      <c r="C185" s="23" t="n">
        <f aca="false">+C184*(1+PORTS!$J$8/12)</f>
        <v>0.361081118166587</v>
      </c>
      <c r="D185" s="23"/>
      <c r="E185" s="23"/>
      <c r="F185" s="23"/>
      <c r="G185" s="23"/>
    </row>
    <row r="186" customFormat="false" ht="12.75" hidden="false" customHeight="false" outlineLevel="0" collapsed="false">
      <c r="A186" s="22" t="n">
        <f aca="false">+SHIPS!B205</f>
        <v>42156</v>
      </c>
      <c r="B186" s="23" t="n">
        <f aca="false">+IF('ELBA BOOK'!B197=0,0,((+PORTS!I191+PORTS!I499)/('ELBA BOOK'!$B197*PORTS!$I$9))+PORTS!I807)</f>
        <v>0.232067064481107</v>
      </c>
      <c r="C186" s="23" t="n">
        <f aca="false">+C185*(1+PORTS!$J$8/12)</f>
        <v>0.361457244331344</v>
      </c>
      <c r="D186" s="23"/>
      <c r="E186" s="23"/>
      <c r="F186" s="23"/>
      <c r="G186" s="23"/>
    </row>
    <row r="187" customFormat="false" ht="12.75" hidden="false" customHeight="false" outlineLevel="0" collapsed="false">
      <c r="A187" s="22" t="n">
        <f aca="false">+SHIPS!B206</f>
        <v>42186</v>
      </c>
      <c r="B187" s="23" t="n">
        <f aca="false">+IF('ELBA BOOK'!B198=0,0,((+PORTS!I192+PORTS!I500)/('ELBA BOOK'!$B198*PORTS!$I$9))+PORTS!I808)</f>
        <v>0.225750929575416</v>
      </c>
      <c r="C187" s="23" t="n">
        <f aca="false">+C186*(1+PORTS!$J$8/12)</f>
        <v>0.361833762294189</v>
      </c>
      <c r="D187" s="23"/>
      <c r="E187" s="23"/>
      <c r="F187" s="23"/>
      <c r="G187" s="23"/>
    </row>
    <row r="188" customFormat="false" ht="12.75" hidden="false" customHeight="false" outlineLevel="0" collapsed="false">
      <c r="A188" s="22" t="n">
        <f aca="false">+SHIPS!B207</f>
        <v>42217</v>
      </c>
      <c r="B188" s="23" t="n">
        <f aca="false">+IF('ELBA BOOK'!B199=0,0,((+PORTS!I193+PORTS!I501)/('ELBA BOOK'!$B199*PORTS!$I$9))+PORTS!I809)</f>
        <v>0.225891426249478</v>
      </c>
      <c r="C188" s="23" t="n">
        <f aca="false">+C187*(1+PORTS!$J$8/12)</f>
        <v>0.362210672463245</v>
      </c>
      <c r="D188" s="23"/>
      <c r="E188" s="23"/>
      <c r="F188" s="23"/>
      <c r="G188" s="23"/>
    </row>
    <row r="189" customFormat="false" ht="12.75" hidden="false" customHeight="false" outlineLevel="0" collapsed="false">
      <c r="A189" s="22" t="n">
        <f aca="false">+SHIPS!B208</f>
        <v>42248</v>
      </c>
      <c r="B189" s="23" t="n">
        <f aca="false">+IF('ELBA BOOK'!B200=0,0,((+PORTS!I194+PORTS!I502)/('ELBA BOOK'!$B200*PORTS!$I$9))+PORTS!I810)</f>
        <v>0.23249927627858</v>
      </c>
      <c r="C189" s="23" t="n">
        <f aca="false">+C188*(1+PORTS!$J$8/12)</f>
        <v>0.362587975247061</v>
      </c>
      <c r="D189" s="23"/>
      <c r="E189" s="23"/>
      <c r="F189" s="23"/>
      <c r="G189" s="23"/>
    </row>
    <row r="190" customFormat="false" ht="12.75" hidden="false" customHeight="false" outlineLevel="0" collapsed="false">
      <c r="A190" s="22" t="n">
        <f aca="false">+SHIPS!B209</f>
        <v>42278</v>
      </c>
      <c r="B190" s="23" t="n">
        <f aca="false">+IF('ELBA BOOK'!B201=0,0,((+PORTS!I195+PORTS!I503)/('ELBA BOOK'!$B201*PORTS!$I$9))+PORTS!I811)</f>
        <v>0.226172858802156</v>
      </c>
      <c r="C190" s="23" t="n">
        <f aca="false">+C189*(1+PORTS!$J$8/12)</f>
        <v>0.36296567105461</v>
      </c>
      <c r="D190" s="23"/>
      <c r="E190" s="23"/>
      <c r="F190" s="23"/>
      <c r="G190" s="23"/>
    </row>
    <row r="191" customFormat="false" ht="12.75" hidden="false" customHeight="false" outlineLevel="0" collapsed="false">
      <c r="A191" s="22" t="n">
        <f aca="false">+SHIPS!B210</f>
        <v>42309</v>
      </c>
      <c r="B191" s="23" t="n">
        <f aca="false">+IF('ELBA BOOK'!B202=0,0,((+PORTS!I196+PORTS!I504)/('ELBA BOOK'!$B202*PORTS!$I$9))+PORTS!I812)</f>
        <v>0.232788168365687</v>
      </c>
      <c r="C191" s="23" t="n">
        <f aca="false">+C190*(1+PORTS!$J$8/12)</f>
        <v>0.363343760295292</v>
      </c>
      <c r="D191" s="23"/>
      <c r="E191" s="23"/>
      <c r="F191" s="23"/>
      <c r="G191" s="23"/>
    </row>
    <row r="192" customFormat="false" ht="12.75" hidden="false" customHeight="false" outlineLevel="0" collapsed="false">
      <c r="A192" s="22" t="n">
        <f aca="false">+SHIPS!B211</f>
        <v>42339</v>
      </c>
      <c r="B192" s="23" t="n">
        <f aca="false">+IF('ELBA BOOK'!B203=0,0,((+PORTS!I197+PORTS!I505)/('ELBA BOOK'!$B203*PORTS!$I$9))+PORTS!I813)</f>
        <v>0.226454877978026</v>
      </c>
      <c r="C192" s="23" t="n">
        <f aca="false">+C191*(1+PORTS!$J$8/12)</f>
        <v>0.363722243378933</v>
      </c>
      <c r="D192" s="23"/>
      <c r="E192" s="23"/>
      <c r="F192" s="23"/>
      <c r="G192" s="23"/>
    </row>
    <row r="193" customFormat="false" ht="12.75" hidden="false" customHeight="false" outlineLevel="0" collapsed="false">
      <c r="A193" s="22" t="n">
        <f aca="false">+SHIPS!B212</f>
        <v>42370</v>
      </c>
      <c r="B193" s="23" t="n">
        <f aca="false">+IF('ELBA BOOK'!B204=0,0,((+PORTS!I198+PORTS!I506)/('ELBA BOOK'!$B204*PORTS!$I$9))+PORTS!I814)</f>
        <v>0.226596107931674</v>
      </c>
      <c r="C193" s="23" t="n">
        <f aca="false">+C192*(1+PORTS!$J$8/12)</f>
        <v>0.364101120715786</v>
      </c>
      <c r="D193" s="23"/>
      <c r="E193" s="23"/>
      <c r="F193" s="23"/>
      <c r="G193" s="23"/>
    </row>
    <row r="194" customFormat="false" ht="12.75" hidden="false" customHeight="false" outlineLevel="0" collapsed="false">
      <c r="A194" s="22" t="n">
        <f aca="false">+SHIPS!B213</f>
        <v>42401</v>
      </c>
      <c r="B194" s="23" t="n">
        <f aca="false">+IF('ELBA BOOK'!B205=0,0,((+PORTS!I199+PORTS!I507)/('ELBA BOOK'!$B205*PORTS!$I$9))+PORTS!I815)</f>
        <v>0.240155038712478</v>
      </c>
      <c r="C194" s="23" t="n">
        <f aca="false">+C193*(1+PORTS!$J$8/12)</f>
        <v>0.364480392716532</v>
      </c>
      <c r="D194" s="23"/>
      <c r="E194" s="23"/>
      <c r="F194" s="23"/>
      <c r="G194" s="23"/>
    </row>
    <row r="195" customFormat="false" ht="12.75" hidden="false" customHeight="false" outlineLevel="0" collapsed="false">
      <c r="A195" s="22" t="n">
        <f aca="false">+SHIPS!B214</f>
        <v>42430</v>
      </c>
      <c r="B195" s="23" t="n">
        <f aca="false">+IF('ELBA BOOK'!B206=0,0,((+PORTS!I200+PORTS!I508)/('ELBA BOOK'!$B206*PORTS!$I$9))+PORTS!I816)</f>
        <v>0.226879009335819</v>
      </c>
      <c r="C195" s="23" t="n">
        <f aca="false">+C194*(1+PORTS!$J$8/12)</f>
        <v>0.364860059792278</v>
      </c>
      <c r="D195" s="23"/>
      <c r="E195" s="23"/>
      <c r="F195" s="23"/>
      <c r="G195" s="23"/>
    </row>
    <row r="196" customFormat="false" ht="12.75" hidden="false" customHeight="false" outlineLevel="0" collapsed="false">
      <c r="A196" s="22" t="n">
        <f aca="false">+SHIPS!B215</f>
        <v>42461</v>
      </c>
      <c r="B196" s="23" t="n">
        <f aca="false">+IF('ELBA BOOK'!B207=0,0,((+PORTS!I201+PORTS!I509)/('ELBA BOOK'!$B207*PORTS!$I$9))+PORTS!I817)</f>
        <v>0.233513035832298</v>
      </c>
      <c r="C196" s="23" t="n">
        <f aca="false">+C195*(1+PORTS!$J$8/12)</f>
        <v>0.365240122354562</v>
      </c>
      <c r="D196" s="23"/>
      <c r="E196" s="23"/>
      <c r="F196" s="23"/>
      <c r="G196" s="23"/>
    </row>
    <row r="197" customFormat="false" ht="12.75" hidden="false" customHeight="false" outlineLevel="0" collapsed="false">
      <c r="A197" s="22" t="n">
        <f aca="false">+SHIPS!B216</f>
        <v>42491</v>
      </c>
      <c r="B197" s="23" t="n">
        <f aca="false">+IF('ELBA BOOK'!B208=0,0,((+PORTS!I202+PORTS!I510)/('ELBA BOOK'!$B208*PORTS!$I$9))+PORTS!I818)</f>
        <v>0.227162500424856</v>
      </c>
      <c r="C197" s="23" t="n">
        <f aca="false">+C196*(1+PORTS!$J$8/12)</f>
        <v>0.365620580815348</v>
      </c>
      <c r="D197" s="23"/>
      <c r="E197" s="23"/>
      <c r="F197" s="23"/>
      <c r="G197" s="23"/>
    </row>
    <row r="198" customFormat="false" ht="12.75" hidden="false" customHeight="false" outlineLevel="0" collapsed="false">
      <c r="A198" s="22" t="n">
        <f aca="false">+SHIPS!B217</f>
        <v>42522</v>
      </c>
      <c r="B198" s="23" t="n">
        <f aca="false">+IF('ELBA BOOK'!B209=0,0,((+PORTS!I203+PORTS!I511)/('ELBA BOOK'!$B209*PORTS!$I$9))+PORTS!I819)</f>
        <v>0.233804041018476</v>
      </c>
      <c r="C198" s="23" t="n">
        <f aca="false">+C197*(1+PORTS!$J$8/12)</f>
        <v>0.36600143558703</v>
      </c>
      <c r="D198" s="23"/>
      <c r="E198" s="23"/>
      <c r="F198" s="23"/>
      <c r="G198" s="23"/>
    </row>
    <row r="199" customFormat="false" ht="12.75" hidden="false" customHeight="false" outlineLevel="0" collapsed="false">
      <c r="A199" s="22" t="n">
        <f aca="false">+SHIPS!B218</f>
        <v>42552</v>
      </c>
      <c r="B199" s="23" t="n">
        <f aca="false">+IF('ELBA BOOK'!B210=0,0,((+PORTS!I204+PORTS!I512)/('ELBA BOOK'!$B210*PORTS!$I$9))+PORTS!I820)</f>
        <v>0.227446582427937</v>
      </c>
      <c r="C199" s="23" t="n">
        <f aca="false">+C198*(1+PORTS!$J$8/12)</f>
        <v>0.366382687082434</v>
      </c>
      <c r="D199" s="23"/>
      <c r="E199" s="23"/>
      <c r="F199" s="23"/>
      <c r="G199" s="23"/>
    </row>
    <row r="200" customFormat="false" ht="12.75" hidden="false" customHeight="false" outlineLevel="0" collapsed="false">
      <c r="A200" s="22" t="n">
        <f aca="false">+SHIPS!B219</f>
        <v>42583</v>
      </c>
      <c r="B200" s="23" t="n">
        <f aca="false">+IF('ELBA BOOK'!B211=0,0,((+PORTS!I205+PORTS!I513)/('ELBA BOOK'!$B211*PORTS!$I$9))+PORTS!I821)</f>
        <v>0.227588845407053</v>
      </c>
      <c r="C200" s="23" t="n">
        <f aca="false">+C199*(1+PORTS!$J$8/12)</f>
        <v>0.366764335714811</v>
      </c>
      <c r="D200" s="23"/>
      <c r="E200" s="23"/>
      <c r="F200" s="23"/>
      <c r="G200" s="23"/>
    </row>
    <row r="201" customFormat="false" ht="12.75" hidden="false" customHeight="false" outlineLevel="0" collapsed="false">
      <c r="A201" s="22" t="n">
        <f aca="false">+SHIPS!B220</f>
        <v>42614</v>
      </c>
      <c r="B201" s="23" t="n">
        <f aca="false">+IF('ELBA BOOK'!B212=0,0,((+PORTS!I206+PORTS!I514)/('ELBA BOOK'!$B212*PORTS!$I$9))+PORTS!I822)</f>
        <v>0.234241686523811</v>
      </c>
      <c r="C201" s="23" t="n">
        <f aca="false">+C200*(1+PORTS!$J$8/12)</f>
        <v>0.367146381897847</v>
      </c>
      <c r="D201" s="23"/>
      <c r="E201" s="23"/>
      <c r="F201" s="23"/>
      <c r="G201" s="23"/>
    </row>
    <row r="202" customFormat="false" ht="12.75" hidden="false" customHeight="false" outlineLevel="0" collapsed="false">
      <c r="A202" s="22" t="n">
        <f aca="false">+SHIPS!B221</f>
        <v>42644</v>
      </c>
      <c r="B202" s="23" t="n">
        <f aca="false">+IF('ELBA BOOK'!B213=0,0,((+PORTS!I207+PORTS!I515)/('ELBA BOOK'!$B213*PORTS!$I$9))+PORTS!I823)</f>
        <v>0.227873816091461</v>
      </c>
      <c r="C202" s="23" t="n">
        <f aca="false">+C201*(1+PORTS!$J$8/12)</f>
        <v>0.367528826045657</v>
      </c>
      <c r="D202" s="23"/>
      <c r="E202" s="23"/>
      <c r="F202" s="23"/>
      <c r="G202" s="23"/>
    </row>
    <row r="203" customFormat="false" ht="12.75" hidden="false" customHeight="false" outlineLevel="0" collapsed="false">
      <c r="A203" s="22" t="n">
        <f aca="false">+SHIPS!B222</f>
        <v>42675</v>
      </c>
      <c r="B203" s="23" t="n">
        <f aca="false">+IF('ELBA BOOK'!B214=0,0,((+PORTS!I208+PORTS!I516)/('ELBA BOOK'!$B214*PORTS!$I$9))+PORTS!I824)</f>
        <v>0.234534210522899</v>
      </c>
      <c r="C203" s="23" t="n">
        <f aca="false">+C202*(1+PORTS!$J$8/12)</f>
        <v>0.367911668572788</v>
      </c>
      <c r="D203" s="23"/>
      <c r="E203" s="23"/>
      <c r="F203" s="23"/>
      <c r="G203" s="23"/>
    </row>
    <row r="204" customFormat="false" ht="12.75" hidden="false" customHeight="false" outlineLevel="0" collapsed="false">
      <c r="A204" s="22" t="n">
        <f aca="false">+SHIPS!B223</f>
        <v>42705</v>
      </c>
      <c r="B204" s="23" t="n">
        <f aca="false">+IF('ELBA BOOK'!B215=0,0,((+PORTS!I209+PORTS!I517)/('ELBA BOOK'!$B215*PORTS!$I$9))+PORTS!I825)</f>
        <v>0.228159380774007</v>
      </c>
      <c r="C204" s="23" t="n">
        <f aca="false">+C203*(1+PORTS!$J$8/12)</f>
        <v>0.368294909894218</v>
      </c>
      <c r="D204" s="23"/>
      <c r="E204" s="23"/>
      <c r="F204" s="23"/>
      <c r="G204" s="23"/>
    </row>
    <row r="205" customFormat="false" ht="12.75" hidden="false" customHeight="false" outlineLevel="0" collapsed="false">
      <c r="A205" s="22" t="n">
        <f aca="false">+SHIPS!B224</f>
        <v>42736</v>
      </c>
      <c r="B205" s="23" t="n">
        <f aca="false">+IF('ELBA BOOK'!B216=0,0,((+PORTS!I210+PORTS!I518)/('ELBA BOOK'!$B216*PORTS!$I$9))+PORTS!I826)</f>
        <v>0.228302386251401</v>
      </c>
      <c r="C205" s="23" t="n">
        <f aca="false">+C204*(1+PORTS!$J$8/12)</f>
        <v>0.368678550425358</v>
      </c>
      <c r="D205" s="23"/>
      <c r="E205" s="23"/>
      <c r="F205" s="23"/>
      <c r="G205" s="23"/>
    </row>
    <row r="206" customFormat="false" ht="12.75" hidden="false" customHeight="false" outlineLevel="0" collapsed="false">
      <c r="A206" s="22" t="n">
        <f aca="false">+SHIPS!B225</f>
        <v>42767</v>
      </c>
      <c r="B206" s="23" t="n">
        <f aca="false">+IF('ELBA BOOK'!B217=0,0,((+PORTS!I211+PORTS!I519)/('ELBA BOOK'!$B217*PORTS!$I$9))+PORTS!I827)</f>
        <v>0.249430324776774</v>
      </c>
      <c r="C206" s="23" t="n">
        <f aca="false">+C205*(1+PORTS!$J$8/12)</f>
        <v>0.369062590582051</v>
      </c>
      <c r="D206" s="23"/>
      <c r="E206" s="23"/>
      <c r="F206" s="23"/>
      <c r="G206" s="23"/>
    </row>
    <row r="207" customFormat="false" ht="12.75" hidden="false" customHeight="false" outlineLevel="0" collapsed="false">
      <c r="A207" s="22" t="n">
        <f aca="false">+SHIPS!B226</f>
        <v>42795</v>
      </c>
      <c r="B207" s="23" t="n">
        <f aca="false">+IF('ELBA BOOK'!B218=0,0,((+PORTS!I212+PORTS!I520)/('ELBA BOOK'!$B218*PORTS!$I$9))+PORTS!I828)</f>
        <v>0.228588844253475</v>
      </c>
      <c r="C207" s="23" t="n">
        <f aca="false">+C206*(1+PORTS!$J$8/12)</f>
        <v>0.369447030780574</v>
      </c>
      <c r="D207" s="23"/>
      <c r="E207" s="23"/>
      <c r="F207" s="23"/>
      <c r="G207" s="23"/>
    </row>
    <row r="208" customFormat="false" ht="12.75" hidden="false" customHeight="false" outlineLevel="0" collapsed="false">
      <c r="A208" s="22" t="n">
        <f aca="false">+SHIPS!B227</f>
        <v>42826</v>
      </c>
      <c r="B208" s="23" t="n">
        <f aca="false">+IF('ELBA BOOK'!B219=0,0,((+PORTS!I213+PORTS!I521)/('ELBA BOOK'!$B219*PORTS!$I$9))+PORTS!I829)</f>
        <v>0.235268190924595</v>
      </c>
      <c r="C208" s="23" t="n">
        <f aca="false">+C207*(1+PORTS!$J$8/12)</f>
        <v>0.369831871437637</v>
      </c>
      <c r="D208" s="23"/>
      <c r="E208" s="23"/>
      <c r="F208" s="23"/>
      <c r="G208" s="23"/>
    </row>
    <row r="209" customFormat="false" ht="12.75" hidden="false" customHeight="false" outlineLevel="0" collapsed="false">
      <c r="A209" s="22" t="n">
        <f aca="false">+SHIPS!B228</f>
        <v>42856</v>
      </c>
      <c r="B209" s="23" t="n">
        <f aca="false">+IF('ELBA BOOK'!B220=0,0,((+PORTS!I214+PORTS!I522)/('ELBA BOOK'!$B220*PORTS!$I$9))+PORTS!I830)</f>
        <v>0.228875899353881</v>
      </c>
      <c r="C209" s="23" t="n">
        <f aca="false">+C208*(1+PORTS!$J$8/12)</f>
        <v>0.370217112970385</v>
      </c>
      <c r="D209" s="23"/>
      <c r="E209" s="23"/>
      <c r="F209" s="23"/>
      <c r="G209" s="23"/>
    </row>
    <row r="210" customFormat="false" ht="12.75" hidden="false" customHeight="false" outlineLevel="0" collapsed="false">
      <c r="A210" s="22" t="n">
        <f aca="false">+SHIPS!B229</f>
        <v>42887</v>
      </c>
      <c r="B210" s="23" t="n">
        <f aca="false">+IF('ELBA BOOK'!B221=0,0,((+PORTS!I215+PORTS!I523)/('ELBA BOOK'!$B221*PORTS!$I$9))+PORTS!I831)</f>
        <v>0.235562854588346</v>
      </c>
      <c r="C210" s="23" t="n">
        <f aca="false">+C209*(1+PORTS!$J$8/12)</f>
        <v>0.370602755796395</v>
      </c>
      <c r="D210" s="23"/>
      <c r="E210" s="23"/>
      <c r="F210" s="23"/>
      <c r="G210" s="23"/>
    </row>
    <row r="211" customFormat="false" ht="12.75" hidden="false" customHeight="false" outlineLevel="0" collapsed="false">
      <c r="A211" s="22" t="n">
        <f aca="false">+SHIPS!B230</f>
        <v>42917</v>
      </c>
      <c r="B211" s="23" t="n">
        <f aca="false">+IF('ELBA BOOK'!B222=0,0,((+PORTS!I216+PORTS!I524)/('ELBA BOOK'!$B222*PORTS!$I$9))+PORTS!I832)</f>
        <v>0.229163552797221</v>
      </c>
      <c r="C211" s="23" t="n">
        <f aca="false">+C210*(1+PORTS!$J$8/12)</f>
        <v>0.370988800333683</v>
      </c>
      <c r="D211" s="23"/>
      <c r="E211" s="23"/>
      <c r="F211" s="23"/>
      <c r="G211" s="23"/>
    </row>
    <row r="212" customFormat="false" ht="12.75" hidden="false" customHeight="false" outlineLevel="0" collapsed="false">
      <c r="A212" s="22" t="n">
        <f aca="false">+SHIPS!B231</f>
        <v>42948</v>
      </c>
      <c r="B212" s="23" t="n">
        <f aca="false">+IF('ELBA BOOK'!B223=0,0,((+PORTS!I217+PORTS!I525)/('ELBA BOOK'!$B223*PORTS!$I$9))+PORTS!I833)</f>
        <v>0.229307604287138</v>
      </c>
      <c r="C212" s="23" t="n">
        <f aca="false">+C211*(1+PORTS!$J$8/12)</f>
        <v>0.371375247000698</v>
      </c>
      <c r="D212" s="23"/>
      <c r="E212" s="23"/>
      <c r="F212" s="23"/>
      <c r="G212" s="23"/>
    </row>
    <row r="213" customFormat="false" ht="12.75" hidden="false" customHeight="false" outlineLevel="0" collapsed="false">
      <c r="A213" s="22" t="n">
        <f aca="false">+SHIPS!B232</f>
        <v>42979</v>
      </c>
      <c r="B213" s="23" t="n">
        <f aca="false">+IF('ELBA BOOK'!B224=0,0,((+PORTS!I218+PORTS!I526)/('ELBA BOOK'!$B224*PORTS!$I$9))+PORTS!I834)</f>
        <v>0.23600600211338</v>
      </c>
      <c r="C213" s="23" t="n">
        <f aca="false">+C212*(1+PORTS!$J$8/12)</f>
        <v>0.371762096216323</v>
      </c>
      <c r="D213" s="23"/>
      <c r="E213" s="23"/>
      <c r="F213" s="23"/>
      <c r="G213" s="23"/>
    </row>
    <row r="214" customFormat="false" ht="12.75" hidden="false" customHeight="false" outlineLevel="0" collapsed="false">
      <c r="A214" s="22" t="n">
        <f aca="false">+SHIPS!B233</f>
        <v>43009</v>
      </c>
      <c r="B214" s="23" t="n">
        <f aca="false">+IF('ELBA BOOK'!B225=0,0,((+PORTS!I219+PORTS!I527)/('ELBA BOOK'!$B225*PORTS!$I$9))+PORTS!I835)</f>
        <v>0.229596157584185</v>
      </c>
      <c r="C214" s="23" t="n">
        <f aca="false">+C213*(1+PORTS!$J$8/12)</f>
        <v>0.372149348399882</v>
      </c>
      <c r="D214" s="23"/>
      <c r="E214" s="23"/>
      <c r="F214" s="23"/>
      <c r="G214" s="23"/>
    </row>
    <row r="215" customFormat="false" ht="12.75" hidden="false" customHeight="false" outlineLevel="0" collapsed="false">
      <c r="A215" s="22" t="n">
        <f aca="false">+SHIPS!B234</f>
        <v>43040</v>
      </c>
      <c r="B215" s="23" t="n">
        <f aca="false">+IF('ELBA BOOK'!B226=0,0,((+PORTS!I220+PORTS!I528)/('ELBA BOOK'!$B226*PORTS!$I$9))+PORTS!I836)</f>
        <v>0.236302203684351</v>
      </c>
      <c r="C215" s="23" t="n">
        <f aca="false">+C214*(1+PORTS!$J$8/12)</f>
        <v>0.372537003971132</v>
      </c>
      <c r="D215" s="23"/>
      <c r="E215" s="23"/>
      <c r="F215" s="23"/>
      <c r="G215" s="23"/>
    </row>
    <row r="216" customFormat="false" ht="12.75" hidden="false" customHeight="false" outlineLevel="0" collapsed="false">
      <c r="A216" s="22" t="n">
        <f aca="false">+SHIPS!B235</f>
        <v>43070</v>
      </c>
      <c r="B216" s="23" t="n">
        <f aca="false">+IF('ELBA BOOK'!B227=0,0,((+PORTS!I221+PORTS!I529)/('ELBA BOOK'!$B227*PORTS!$I$9))+PORTS!I837)</f>
        <v>0.229885312347035</v>
      </c>
      <c r="C216" s="23" t="n">
        <f aca="false">+C215*(1+PORTS!$J$8/12)</f>
        <v>0.372925063350268</v>
      </c>
      <c r="D216" s="23"/>
      <c r="E216" s="23"/>
      <c r="F216" s="23"/>
      <c r="G216" s="23"/>
    </row>
    <row r="217" customFormat="false" ht="12.75" hidden="false" customHeight="false" outlineLevel="0" collapsed="false">
      <c r="A217" s="22" t="n">
        <f aca="false">+SHIPS!B236</f>
        <v>43101</v>
      </c>
      <c r="B217" s="23" t="n">
        <f aca="false">+IF('ELBA BOOK'!B228=0,0,((+PORTS!I222+PORTS!I530)/('ELBA BOOK'!$B228*PORTS!$I$9))+PORTS!I838)</f>
        <v>0.230030115669817</v>
      </c>
      <c r="C217" s="23" t="n">
        <f aca="false">+C216*(1+PORTS!$J$8/12)</f>
        <v>0.373313526957925</v>
      </c>
      <c r="D217" s="23"/>
      <c r="E217" s="23"/>
      <c r="F217" s="23"/>
      <c r="G217" s="23"/>
    </row>
    <row r="218" customFormat="false" ht="12.75" hidden="false" customHeight="false" outlineLevel="0" collapsed="false">
      <c r="A218" s="22" t="n">
        <f aca="false">+SHIPS!B237</f>
        <v>43132</v>
      </c>
      <c r="B218" s="23" t="n">
        <f aca="false">+IF('ELBA BOOK'!B229=0,0,((+PORTS!I223+PORTS!I531)/('ELBA BOOK'!$B229*PORTS!$I$9))+PORTS!I839)</f>
        <v>0.251301265644173</v>
      </c>
      <c r="C218" s="23" t="n">
        <f aca="false">+C217*(1+PORTS!$J$8/12)</f>
        <v>0.373702395215173</v>
      </c>
      <c r="D218" s="23"/>
      <c r="E218" s="23"/>
      <c r="F218" s="23"/>
      <c r="G218" s="23"/>
    </row>
    <row r="219" customFormat="false" ht="12.75" hidden="false" customHeight="false" outlineLevel="0" collapsed="false">
      <c r="A219" s="22" t="n">
        <f aca="false">+SHIPS!B238</f>
        <v>43160</v>
      </c>
      <c r="B219" s="23" t="n">
        <f aca="false">+IF('ELBA BOOK'!B230=0,0,((+PORTS!I224+PORTS!I532)/('ELBA BOOK'!$B230*PORTS!$I$9))+PORTS!I840)</f>
        <v>0.230320174982886</v>
      </c>
      <c r="C219" s="23" t="n">
        <f aca="false">+C218*(1+PORTS!$J$8/12)</f>
        <v>0.374091668543522</v>
      </c>
      <c r="D219" s="23"/>
      <c r="E219" s="23"/>
      <c r="F219" s="23"/>
      <c r="G219" s="23"/>
    </row>
    <row r="220" customFormat="false" ht="12.75" hidden="false" customHeight="false" outlineLevel="0" collapsed="false">
      <c r="A220" s="22" t="n">
        <f aca="false">+SHIPS!B239</f>
        <v>43191</v>
      </c>
      <c r="B220" s="23" t="n">
        <f aca="false">+IF('ELBA BOOK'!B231=0,0,((+PORTS!I225+PORTS!I533)/('ELBA BOOK'!$B231*PORTS!$I$9))+PORTS!I841)</f>
        <v>0.237045411587709</v>
      </c>
      <c r="C220" s="23" t="n">
        <f aca="false">+C219*(1+PORTS!$J$8/12)</f>
        <v>0.374481347364921</v>
      </c>
      <c r="D220" s="23"/>
      <c r="E220" s="23"/>
      <c r="F220" s="23"/>
      <c r="G220" s="23"/>
    </row>
    <row r="221" customFormat="false" ht="12.75" hidden="false" customHeight="false" outlineLevel="0" collapsed="false">
      <c r="A221" s="22" t="n">
        <f aca="false">+SHIPS!B240</f>
        <v>43221</v>
      </c>
      <c r="B221" s="23" t="n">
        <f aca="false">+IF('ELBA BOOK'!B232=0,0,((+PORTS!I226+PORTS!I534)/('ELBA BOOK'!$B232*PORTS!$I$9))+PORTS!I842)</f>
        <v>0.230610838900926</v>
      </c>
      <c r="C221" s="23" t="n">
        <f aca="false">+C220*(1+PORTS!$J$8/12)</f>
        <v>0.37487143210176</v>
      </c>
      <c r="D221" s="23"/>
      <c r="E221" s="23"/>
      <c r="F221" s="23"/>
      <c r="G221" s="23"/>
    </row>
    <row r="222" customFormat="false" ht="12.75" hidden="false" customHeight="false" outlineLevel="0" collapsed="false">
      <c r="A222" s="22" t="n">
        <f aca="false">+SHIPS!B241</f>
        <v>43252</v>
      </c>
      <c r="B222" s="23" t="n">
        <f aca="false">+IF('ELBA BOOK'!B233=0,0,((+PORTS!I227+PORTS!I535)/('ELBA BOOK'!$B233*PORTS!$I$9))+PORTS!I843)</f>
        <v>0.237343779722917</v>
      </c>
      <c r="C222" s="23" t="n">
        <f aca="false">+C221*(1+PORTS!$J$8/12)</f>
        <v>0.375261923176866</v>
      </c>
      <c r="D222" s="23"/>
      <c r="E222" s="23"/>
      <c r="F222" s="23"/>
      <c r="G222" s="23"/>
    </row>
    <row r="223" customFormat="false" ht="12.75" hidden="false" customHeight="false" outlineLevel="0" collapsed="false">
      <c r="A223" s="22" t="n">
        <f aca="false">+SHIPS!B242</f>
        <v>43282</v>
      </c>
      <c r="B223" s="23" t="n">
        <f aca="false">+IF('ELBA BOOK'!B234=0,0,((+PORTS!I228+PORTS!I536)/('ELBA BOOK'!$B234*PORTS!$I$9))+PORTS!I844)</f>
        <v>0.230902108684185</v>
      </c>
      <c r="C223" s="23" t="n">
        <f aca="false">+C222*(1+PORTS!$J$8/12)</f>
        <v>0.375652821013508</v>
      </c>
      <c r="D223" s="23"/>
      <c r="E223" s="23"/>
      <c r="F223" s="23"/>
      <c r="G223" s="23"/>
    </row>
    <row r="224" customFormat="false" ht="12.75" hidden="false" customHeight="false" outlineLevel="0" collapsed="false">
      <c r="A224" s="22" t="n">
        <f aca="false">+SHIPS!B243</f>
        <v>43313</v>
      </c>
      <c r="B224" s="23" t="n">
        <f aca="false">+IF('ELBA BOOK'!B235=0,0,((+PORTS!I229+PORTS!I537)/('ELBA BOOK'!$B235*PORTS!$I$9))+PORTS!I845)</f>
        <v>0.231047971169818</v>
      </c>
      <c r="C224" s="23" t="n">
        <f aca="false">+C223*(1+PORTS!$J$8/12)</f>
        <v>0.376044126035397</v>
      </c>
      <c r="D224" s="23"/>
      <c r="E224" s="23"/>
      <c r="F224" s="23"/>
      <c r="G224" s="23"/>
    </row>
    <row r="225" customFormat="false" ht="12.75" hidden="false" customHeight="false" outlineLevel="0" collapsed="false">
      <c r="A225" s="22" t="n">
        <f aca="false">+SHIPS!B244</f>
        <v>43344</v>
      </c>
      <c r="B225" s="23" t="n">
        <f aca="false">+IF('ELBA BOOK'!B236=0,0,((+PORTS!I230+PORTS!I538)/('ELBA BOOK'!$B236*PORTS!$I$9))+PORTS!I846)</f>
        <v>0.237792498438291</v>
      </c>
      <c r="C225" s="23" t="n">
        <f aca="false">+C224*(1+PORTS!$J$8/12)</f>
        <v>0.376435838666684</v>
      </c>
      <c r="D225" s="23"/>
      <c r="E225" s="23"/>
      <c r="F225" s="23"/>
      <c r="G225" s="23"/>
    </row>
    <row r="226" customFormat="false" ht="12.75" hidden="false" customHeight="false" outlineLevel="0" collapsed="false">
      <c r="A226" s="22" t="n">
        <f aca="false">+SHIPS!B245</f>
        <v>43374</v>
      </c>
      <c r="B226" s="23" t="n">
        <f aca="false">+IF('ELBA BOOK'!B237=0,0,((+PORTS!I231+PORTS!I539)/('ELBA BOOK'!$B237*PORTS!$I$9))+PORTS!I847)</f>
        <v>0.231340152119623</v>
      </c>
      <c r="C226" s="23" t="n">
        <f aca="false">+C225*(1+PORTS!$J$8/12)</f>
        <v>0.376827959331962</v>
      </c>
      <c r="D226" s="23"/>
      <c r="E226" s="23"/>
      <c r="F226" s="23"/>
      <c r="G226" s="23"/>
    </row>
    <row r="227" customFormat="false" ht="12.75" hidden="false" customHeight="false" outlineLevel="0" collapsed="false">
      <c r="A227" s="22" t="n">
        <f aca="false">+SHIPS!B246</f>
        <v>43405</v>
      </c>
      <c r="B227" s="23" t="n">
        <f aca="false">+IF('ELBA BOOK'!B238=0,0,((+PORTS!I232+PORTS!I540)/('ELBA BOOK'!$B238*PORTS!$I$9))+PORTS!I848)</f>
        <v>0.238092423815079</v>
      </c>
      <c r="C227" s="23" t="n">
        <f aca="false">+C226*(1+PORTS!$J$8/12)</f>
        <v>0.377220488456266</v>
      </c>
      <c r="D227" s="23"/>
      <c r="E227" s="23"/>
      <c r="F227" s="23"/>
      <c r="G227" s="23"/>
    </row>
    <row r="228" customFormat="false" ht="12.75" hidden="false" customHeight="false" outlineLevel="0" collapsed="false">
      <c r="A228" s="22" t="n">
        <f aca="false">+SHIPS!B247</f>
        <v>43435</v>
      </c>
      <c r="B228" s="23" t="n">
        <f aca="false">+IF('ELBA BOOK'!B239=0,0,((+PORTS!I233+PORTS!I541)/('ELBA BOOK'!$B239*PORTS!$I$9))+PORTS!I849)</f>
        <v>0.231632942096777</v>
      </c>
      <c r="C228" s="23" t="n">
        <f aca="false">+C227*(1+PORTS!$J$8/12)</f>
        <v>0.377613426465075</v>
      </c>
      <c r="D228" s="23"/>
      <c r="E228" s="23"/>
      <c r="F228" s="23"/>
      <c r="G228" s="23"/>
    </row>
    <row r="229" customFormat="false" ht="12.75" hidden="false" customHeight="false" outlineLevel="0" collapsed="false">
      <c r="A229" s="22" t="n">
        <f aca="false">+SHIPS!B248</f>
        <v>43466</v>
      </c>
      <c r="B229" s="23" t="n">
        <f aca="false">+IF('ELBA BOOK'!B240=0,0,((+PORTS!I234+PORTS!I542)/('ELBA BOOK'!$B240*PORTS!$I$9))+PORTS!I850)</f>
        <v>0.231779565867215</v>
      </c>
      <c r="C229" s="23" t="n">
        <f aca="false">+C228*(1+PORTS!$J$8/12)</f>
        <v>0.378006773784309</v>
      </c>
      <c r="D229" s="23"/>
      <c r="E229" s="23"/>
      <c r="F229" s="23"/>
      <c r="G229" s="23"/>
    </row>
    <row r="230" customFormat="false" ht="12.75" hidden="false" customHeight="false" outlineLevel="0" collapsed="false">
      <c r="A230" s="22" t="n">
        <f aca="false">+SHIPS!B249</f>
        <v>43497</v>
      </c>
      <c r="B230" s="23" t="n">
        <f aca="false">+IF('ELBA BOOK'!B241=0,0,((+PORTS!I235+PORTS!I543)/('ELBA BOOK'!$B241*PORTS!$I$9))+PORTS!I851)</f>
        <v>0.253195727725388</v>
      </c>
      <c r="C230" s="23" t="n">
        <f aca="false">+C229*(1+PORTS!$J$8/12)</f>
        <v>0.378400530840334</v>
      </c>
      <c r="D230" s="23"/>
      <c r="E230" s="23"/>
      <c r="F230" s="23"/>
      <c r="G230" s="23"/>
    </row>
    <row r="231" customFormat="false" ht="12.75" hidden="false" customHeight="false" outlineLevel="0" collapsed="false">
      <c r="A231" s="22" t="n">
        <f aca="false">+SHIPS!B250</f>
        <v>43525</v>
      </c>
      <c r="B231" s="23" t="n">
        <f aca="false">+IF('ELBA BOOK'!B242=0,0,((+PORTS!I236+PORTS!I544)/('ELBA BOOK'!$B242*PORTS!$I$9))+PORTS!I852)</f>
        <v>0.232073271766471</v>
      </c>
      <c r="C231" s="23" t="n">
        <f aca="false">+C230*(1+PORTS!$J$8/12)</f>
        <v>0.37879469805996</v>
      </c>
      <c r="D231" s="23"/>
      <c r="E231" s="23"/>
      <c r="F231" s="23"/>
      <c r="G231" s="23"/>
    </row>
    <row r="232" customFormat="false" ht="12.75" hidden="false" customHeight="false" outlineLevel="0" collapsed="false">
      <c r="A232" s="22" t="n">
        <f aca="false">+SHIPS!B251</f>
        <v>43556</v>
      </c>
      <c r="B232" s="23" t="n">
        <f aca="false">+IF('ELBA BOOK'!B243=0,0,((+PORTS!I237+PORTS!I545)/('ELBA BOOK'!$B243*PORTS!$I$9))+PORTS!I853)</f>
        <v>0</v>
      </c>
      <c r="C232" s="23" t="n">
        <f aca="false">+C231*(1+PORTS!$J$8/12)</f>
        <v>0.379189275870439</v>
      </c>
      <c r="D232" s="23"/>
      <c r="E232" s="23"/>
      <c r="F232" s="23"/>
      <c r="G232" s="23"/>
    </row>
    <row r="233" customFormat="false" ht="12.75" hidden="false" customHeight="false" outlineLevel="0" collapsed="false">
      <c r="A233" s="22" t="n">
        <f aca="false">+SHIPS!B252</f>
        <v>43586</v>
      </c>
      <c r="B233" s="23" t="n">
        <f aca="false">+IF('ELBA BOOK'!B244=0,0,((+PORTS!I238+PORTS!I546)/('ELBA BOOK'!$B244*PORTS!$I$9))+PORTS!I854)</f>
        <v>0</v>
      </c>
      <c r="C233" s="23" t="n">
        <f aca="false">+C232*(1+PORTS!$J$8/12)</f>
        <v>0.37958426469947</v>
      </c>
      <c r="D233" s="23"/>
      <c r="E233" s="23"/>
      <c r="F233" s="23"/>
      <c r="G233" s="23"/>
    </row>
    <row r="234" customFormat="false" ht="12.75" hidden="false" customHeight="false" outlineLevel="0" collapsed="false">
      <c r="A234" s="22" t="n">
        <f aca="false">+SHIPS!B253</f>
        <v>43617</v>
      </c>
      <c r="B234" s="23" t="n">
        <f aca="false">+IF('ELBA BOOK'!B245=0,0,((+PORTS!I239+PORTS!I547)/('ELBA BOOK'!$B245*PORTS!$I$9))+PORTS!I855)</f>
        <v>0</v>
      </c>
      <c r="C234" s="23" t="n">
        <f aca="false">+C233*(1+PORTS!$J$8/12)</f>
        <v>0.379979664975199</v>
      </c>
      <c r="D234" s="23"/>
      <c r="E234" s="23"/>
      <c r="F234" s="23"/>
      <c r="G234" s="23"/>
    </row>
    <row r="235" customFormat="false" ht="12.75" hidden="false" customHeight="false" outlineLevel="0" collapsed="false">
      <c r="A235" s="22" t="n">
        <f aca="false">+SHIPS!B254</f>
        <v>43647</v>
      </c>
      <c r="B235" s="23" t="n">
        <f aca="false">+IF('ELBA BOOK'!B246=0,0,((+PORTS!I240+PORTS!I548)/('ELBA BOOK'!$B246*PORTS!$I$9))+PORTS!I856)</f>
        <v>0</v>
      </c>
      <c r="C235" s="23" t="n">
        <f aca="false">+C234*(1+PORTS!$J$8/12)</f>
        <v>0.380375477126215</v>
      </c>
      <c r="D235" s="23"/>
      <c r="E235" s="23"/>
      <c r="F235" s="23"/>
      <c r="G235" s="23"/>
    </row>
    <row r="236" customFormat="false" ht="12.75" hidden="false" customHeight="false" outlineLevel="0" collapsed="false">
      <c r="A236" s="22" t="n">
        <f aca="false">+SHIPS!B255</f>
        <v>43678</v>
      </c>
      <c r="B236" s="23" t="n">
        <f aca="false">+IF('ELBA BOOK'!B247=0,0,((+PORTS!I241+PORTS!I549)/('ELBA BOOK'!$B247*PORTS!$I$9))+PORTS!I857)</f>
        <v>0</v>
      </c>
      <c r="C236" s="23" t="n">
        <f aca="false">+C235*(1+PORTS!$J$8/12)</f>
        <v>0.380771701581554</v>
      </c>
      <c r="D236" s="23"/>
      <c r="E236" s="23"/>
      <c r="F236" s="23"/>
      <c r="G236" s="23"/>
    </row>
    <row r="237" customFormat="false" ht="12.75" hidden="false" customHeight="false" outlineLevel="0" collapsed="false">
      <c r="A237" s="22" t="n">
        <f aca="false">+SHIPS!B256</f>
        <v>43709</v>
      </c>
      <c r="B237" s="23" t="n">
        <f aca="false">+IF('ELBA BOOK'!B248=0,0,((+PORTS!I242+PORTS!I550)/('ELBA BOOK'!$B248*PORTS!$I$9))+PORTS!I858)</f>
        <v>0</v>
      </c>
      <c r="C237" s="23" t="n">
        <f aca="false">+C236*(1+PORTS!$J$8/12)</f>
        <v>0.381168338770702</v>
      </c>
      <c r="D237" s="23"/>
      <c r="E237" s="23"/>
      <c r="F237" s="23"/>
      <c r="G237" s="23"/>
    </row>
    <row r="238" customFormat="false" ht="12.75" hidden="false" customHeight="false" outlineLevel="0" collapsed="false">
      <c r="A238" s="22" t="n">
        <f aca="false">+SHIPS!B257</f>
        <v>43739</v>
      </c>
      <c r="B238" s="23" t="n">
        <f aca="false">+IF('ELBA BOOK'!B249=0,0,((+PORTS!I243+PORTS!I551)/('ELBA BOOK'!$B249*PORTS!$I$9))+PORTS!I859)</f>
        <v>0</v>
      </c>
      <c r="C238" s="23" t="n">
        <f aca="false">+C237*(1+PORTS!$J$8/12)</f>
        <v>0.381565389123588</v>
      </c>
      <c r="D238" s="23"/>
      <c r="E238" s="23"/>
      <c r="F238" s="23"/>
      <c r="G238" s="23"/>
    </row>
    <row r="239" customFormat="false" ht="12.75" hidden="false" customHeight="false" outlineLevel="0" collapsed="false">
      <c r="A239" s="22" t="n">
        <f aca="false">+SHIPS!B258</f>
        <v>43770</v>
      </c>
      <c r="B239" s="23" t="n">
        <f aca="false">+IF('ELBA BOOK'!B250=0,0,((+PORTS!I244+PORTS!I552)/('ELBA BOOK'!$B250*PORTS!$I$9))+PORTS!I860)</f>
        <v>0</v>
      </c>
      <c r="C239" s="23" t="n">
        <f aca="false">+C238*(1+PORTS!$J$8/12)</f>
        <v>0.381962853070592</v>
      </c>
      <c r="D239" s="23"/>
      <c r="E239" s="23"/>
      <c r="F239" s="23"/>
      <c r="G239" s="23"/>
    </row>
    <row r="240" customFormat="false" ht="12.75" hidden="false" customHeight="false" outlineLevel="0" collapsed="false">
      <c r="A240" s="22" t="n">
        <f aca="false">+SHIPS!B259</f>
        <v>43800</v>
      </c>
      <c r="B240" s="23" t="n">
        <f aca="false">+IF('ELBA BOOK'!B251=0,0,((+PORTS!I245+PORTS!I553)/('ELBA BOOK'!$B251*PORTS!$I$9))+PORTS!I861)</f>
        <v>0</v>
      </c>
      <c r="C240" s="23" t="n">
        <f aca="false">+C239*(1+PORTS!$J$8/12)</f>
        <v>0.38236073104254</v>
      </c>
      <c r="D240" s="23"/>
      <c r="E240" s="23"/>
      <c r="F240" s="23"/>
      <c r="G240" s="23"/>
    </row>
    <row r="241" customFormat="false" ht="12.75" hidden="false" customHeight="false" outlineLevel="0" collapsed="false">
      <c r="A241" s="22" t="n">
        <f aca="false">+SHIPS!B260</f>
        <v>43831</v>
      </c>
      <c r="B241" s="23" t="n">
        <f aca="false">+IF('ELBA BOOK'!B252=0,0,((+PORTS!I246+PORTS!I554)/('ELBA BOOK'!$B252*PORTS!$I$9))+PORTS!I862)</f>
        <v>0</v>
      </c>
      <c r="C241" s="23" t="n">
        <f aca="false">+C240*(1+PORTS!$J$8/12)</f>
        <v>0.38275902347071</v>
      </c>
      <c r="D241" s="23"/>
      <c r="E241" s="23"/>
      <c r="F241" s="23"/>
      <c r="G241" s="23"/>
    </row>
    <row r="242" customFormat="false" ht="12.75" hidden="false" customHeight="false" outlineLevel="0" collapsed="false">
      <c r="A242" s="22" t="n">
        <f aca="false">+SHIPS!B261</f>
        <v>43862</v>
      </c>
      <c r="B242" s="23" t="n">
        <f aca="false">+IF('ELBA BOOK'!B253=0,0,((+PORTS!I247+PORTS!I555)/('ELBA BOOK'!$B253*PORTS!$I$9))+PORTS!I863)</f>
        <v>0</v>
      </c>
      <c r="C242" s="23" t="n">
        <f aca="false">+C241*(1+PORTS!$J$8/12)</f>
        <v>0.383157730786825</v>
      </c>
      <c r="D242" s="23"/>
      <c r="E242" s="23"/>
      <c r="F242" s="23"/>
      <c r="G242" s="23"/>
    </row>
    <row r="243" customFormat="false" ht="12.75" hidden="false" customHeight="false" outlineLevel="0" collapsed="false">
      <c r="A243" s="22" t="n">
        <f aca="false">+SHIPS!B262</f>
        <v>43891</v>
      </c>
      <c r="B243" s="23" t="n">
        <f aca="false">+IF('ELBA BOOK'!B254=0,0,((+PORTS!I248+PORTS!I556)/('ELBA BOOK'!$B254*PORTS!$I$9))+PORTS!I864)</f>
        <v>0</v>
      </c>
      <c r="C243" s="23" t="n">
        <f aca="false">+C242*(1+PORTS!$J$8/12)</f>
        <v>0.383556853423061</v>
      </c>
      <c r="D243" s="23"/>
      <c r="E243" s="23"/>
      <c r="F243" s="23"/>
      <c r="G243" s="23"/>
    </row>
    <row r="244" customFormat="false" ht="12.75" hidden="false" customHeight="false" outlineLevel="0" collapsed="false">
      <c r="A244" s="22" t="n">
        <f aca="false">+SHIPS!B263</f>
        <v>43922</v>
      </c>
      <c r="B244" s="23" t="n">
        <f aca="false">+IF('ELBA BOOK'!B255=0,0,((+PORTS!I249+PORTS!I557)/('ELBA BOOK'!$B255*PORTS!$I$9))+PORTS!I865)</f>
        <v>0</v>
      </c>
      <c r="C244" s="23" t="n">
        <f aca="false">+C243*(1+PORTS!$J$8/12)</f>
        <v>0.383956391812043</v>
      </c>
      <c r="D244" s="23"/>
      <c r="E244" s="23"/>
      <c r="F244" s="23"/>
      <c r="G244" s="23"/>
    </row>
    <row r="245" customFormat="false" ht="12.75" hidden="false" customHeight="false" outlineLevel="0" collapsed="false">
      <c r="A245" s="22" t="n">
        <f aca="false">+SHIPS!B264</f>
        <v>43952</v>
      </c>
      <c r="B245" s="23" t="n">
        <f aca="false">+IF('ELBA BOOK'!B256=0,0,((+PORTS!I250+PORTS!I558)/('ELBA BOOK'!$B256*PORTS!$I$9))+PORTS!I866)</f>
        <v>0</v>
      </c>
      <c r="C245" s="23" t="n">
        <f aca="false">+C244*(1+PORTS!$J$8/12)</f>
        <v>0.384356346386848</v>
      </c>
      <c r="D245" s="23"/>
      <c r="E245" s="23"/>
      <c r="F245" s="23"/>
      <c r="G245" s="23"/>
    </row>
    <row r="246" customFormat="false" ht="12.75" hidden="false" customHeight="false" outlineLevel="0" collapsed="false">
      <c r="A246" s="22" t="n">
        <f aca="false">+SHIPS!B265</f>
        <v>43983</v>
      </c>
      <c r="B246" s="23" t="n">
        <f aca="false">+IF('ELBA BOOK'!B257=0,0,((+PORTS!I251+PORTS!I559)/('ELBA BOOK'!$B257*PORTS!$I$9))+PORTS!I867)</f>
        <v>0</v>
      </c>
      <c r="C246" s="23" t="n">
        <f aca="false">+C245*(1+PORTS!$J$8/12)</f>
        <v>0.384756717581001</v>
      </c>
      <c r="D246" s="23"/>
      <c r="E246" s="23"/>
      <c r="F246" s="23"/>
      <c r="G246" s="23"/>
    </row>
    <row r="247" customFormat="false" ht="12.75" hidden="false" customHeight="false" outlineLevel="0" collapsed="false">
      <c r="A247" s="22" t="n">
        <f aca="false">+SHIPS!B266</f>
        <v>44013</v>
      </c>
      <c r="B247" s="23" t="n">
        <f aca="false">+IF('ELBA BOOK'!B258=0,0,((+PORTS!I252+PORTS!I560)/('ELBA BOOK'!$B258*PORTS!$I$9))+PORTS!I868)</f>
        <v>0</v>
      </c>
      <c r="C247" s="23" t="n">
        <f aca="false">+C246*(1+PORTS!$J$8/12)</f>
        <v>0.385157505828481</v>
      </c>
      <c r="D247" s="23"/>
      <c r="E247" s="23"/>
      <c r="F247" s="23"/>
      <c r="G247" s="23"/>
    </row>
    <row r="248" customFormat="false" ht="12.75" hidden="false" customHeight="false" outlineLevel="0" collapsed="false">
      <c r="A248" s="22" t="n">
        <f aca="false">+SHIPS!B267</f>
        <v>44044</v>
      </c>
      <c r="B248" s="23" t="n">
        <f aca="false">+IF('ELBA BOOK'!B259=0,0,((+PORTS!I253+PORTS!I561)/('ELBA BOOK'!$B259*PORTS!$I$9))+PORTS!I869)</f>
        <v>0</v>
      </c>
      <c r="C248" s="23" t="n">
        <f aca="false">+C247*(1+PORTS!$J$8/12)</f>
        <v>0.385558711563719</v>
      </c>
      <c r="D248" s="23"/>
      <c r="E248" s="23"/>
      <c r="F248" s="23"/>
      <c r="G248" s="23"/>
    </row>
    <row r="249" customFormat="false" ht="12.75" hidden="false" customHeight="false" outlineLevel="0" collapsed="false">
      <c r="A249" s="22" t="n">
        <f aca="false">+SHIPS!B268</f>
        <v>44075</v>
      </c>
      <c r="B249" s="23" t="n">
        <f aca="false">+IF('ELBA BOOK'!B260=0,0,((+PORTS!I254+PORTS!I562)/('ELBA BOOK'!$B260*PORTS!$I$9))+PORTS!I870)</f>
        <v>0</v>
      </c>
      <c r="C249" s="23" t="n">
        <f aca="false">+C248*(1+PORTS!$J$8/12)</f>
        <v>0.385960335221598</v>
      </c>
      <c r="D249" s="23"/>
      <c r="E249" s="23"/>
      <c r="F249" s="23"/>
      <c r="G249" s="23"/>
    </row>
    <row r="250" customFormat="false" ht="12.75" hidden="false" customHeight="false" outlineLevel="0" collapsed="false">
      <c r="A250" s="22" t="n">
        <f aca="false">+SHIPS!B269</f>
        <v>44105</v>
      </c>
      <c r="B250" s="23" t="n">
        <f aca="false">+IF('ELBA BOOK'!B261=0,0,((+PORTS!I255+PORTS!I563)/('ELBA BOOK'!$B261*PORTS!$I$9))+PORTS!I871)</f>
        <v>0</v>
      </c>
      <c r="C250" s="23" t="n">
        <f aca="false">+C249*(1+PORTS!$J$8/12)</f>
        <v>0.386362377237453</v>
      </c>
      <c r="D250" s="23"/>
      <c r="E250" s="23"/>
      <c r="F250" s="23"/>
      <c r="G250" s="23"/>
    </row>
    <row r="251" customFormat="false" ht="12.75" hidden="false" customHeight="false" outlineLevel="0" collapsed="false">
      <c r="A251" s="22" t="n">
        <f aca="false">+SHIPS!B270</f>
        <v>44136</v>
      </c>
      <c r="B251" s="23" t="n">
        <f aca="false">+IF('ELBA BOOK'!B262=0,0,((+PORTS!I256+PORTS!I564)/('ELBA BOOK'!$B262*PORTS!$I$9))+PORTS!I872)</f>
        <v>0</v>
      </c>
      <c r="C251" s="23" t="n">
        <f aca="false">+C250*(1+PORTS!$J$8/12)</f>
        <v>0.386764838047076</v>
      </c>
      <c r="D251" s="23"/>
      <c r="E251" s="23"/>
      <c r="F251" s="23"/>
      <c r="G251" s="23"/>
    </row>
    <row r="252" customFormat="false" ht="12.75" hidden="false" customHeight="false" outlineLevel="0" collapsed="false">
      <c r="A252" s="22" t="n">
        <f aca="false">+SHIPS!B271</f>
        <v>44166</v>
      </c>
      <c r="B252" s="23" t="n">
        <f aca="false">+IF('ELBA BOOK'!B263=0,0,((+PORTS!I257+PORTS!I565)/('ELBA BOOK'!$B263*PORTS!$I$9))+PORTS!I873)</f>
        <v>0</v>
      </c>
      <c r="C252" s="23" t="n">
        <f aca="false">+C251*(1+PORTS!$J$8/12)</f>
        <v>0.387167718086708</v>
      </c>
      <c r="D252" s="23"/>
      <c r="E252" s="23"/>
      <c r="F252" s="23"/>
      <c r="G252" s="23"/>
    </row>
    <row r="253" customFormat="false" ht="12.75" hidden="false" customHeight="false" outlineLevel="0" collapsed="false">
      <c r="A253" s="22" t="n">
        <f aca="false">+SHIPS!B272</f>
        <v>44197</v>
      </c>
      <c r="B253" s="23" t="n">
        <f aca="false">+IF('ELBA BOOK'!B264=0,0,((+PORTS!I258+PORTS!I566)/('ELBA BOOK'!$B264*PORTS!$I$9))+PORTS!I874)</f>
        <v>0</v>
      </c>
      <c r="C253" s="23" t="n">
        <f aca="false">+C252*(1+PORTS!$J$8/12)</f>
        <v>0.387571017793048</v>
      </c>
      <c r="D253" s="23"/>
      <c r="E253" s="23"/>
      <c r="F253" s="23"/>
      <c r="G253" s="23"/>
    </row>
    <row r="254" customFormat="false" ht="12.75" hidden="false" customHeight="false" outlineLevel="0" collapsed="false">
      <c r="A254" s="22" t="n">
        <f aca="false">+SHIPS!B273</f>
        <v>44228</v>
      </c>
      <c r="B254" s="23" t="n">
        <f aca="false">+IF('ELBA BOOK'!B265=0,0,((+PORTS!I259+PORTS!I567)/('ELBA BOOK'!$B265*PORTS!$I$9))+PORTS!I875)</f>
        <v>0</v>
      </c>
      <c r="C254" s="23" t="n">
        <f aca="false">+C253*(1+PORTS!$J$8/12)</f>
        <v>0.387974737603249</v>
      </c>
      <c r="D254" s="23"/>
      <c r="E254" s="23"/>
      <c r="F254" s="23"/>
      <c r="G254" s="23"/>
    </row>
    <row r="255" customFormat="false" ht="12.75" hidden="false" customHeight="false" outlineLevel="0" collapsed="false">
      <c r="A255" s="22" t="n">
        <f aca="false">+SHIPS!B274</f>
        <v>44256</v>
      </c>
      <c r="B255" s="23" t="n">
        <f aca="false">+IF('ELBA BOOK'!B266=0,0,((+PORTS!I260+PORTS!I568)/('ELBA BOOK'!$B266*PORTS!$I$9))+PORTS!I876)</f>
        <v>0</v>
      </c>
      <c r="C255" s="23" t="n">
        <f aca="false">+C254*(1+PORTS!$J$8/12)</f>
        <v>0.388378877954919</v>
      </c>
      <c r="D255" s="23"/>
      <c r="E255" s="23"/>
      <c r="F255" s="23"/>
      <c r="G255" s="23"/>
    </row>
    <row r="256" customFormat="false" ht="12.75" hidden="false" customHeight="false" outlineLevel="0" collapsed="false">
      <c r="A256" s="22" t="n">
        <f aca="false">+SHIPS!B275</f>
        <v>44287</v>
      </c>
      <c r="B256" s="23" t="n">
        <f aca="false">+IF('ELBA BOOK'!B267=0,0,((+PORTS!I261+PORTS!I569)/('ELBA BOOK'!$B267*PORTS!$I$9))+PORTS!I877)</f>
        <v>0</v>
      </c>
      <c r="C256" s="23" t="n">
        <f aca="false">+C255*(1+PORTS!$J$8/12)</f>
        <v>0.388783439286122</v>
      </c>
      <c r="D256" s="23"/>
      <c r="E256" s="23"/>
      <c r="F256" s="23"/>
      <c r="G256" s="23"/>
    </row>
    <row r="257" customFormat="false" ht="12.75" hidden="false" customHeight="false" outlineLevel="0" collapsed="false">
      <c r="A257" s="22" t="n">
        <f aca="false">+SHIPS!B276</f>
        <v>44317</v>
      </c>
      <c r="B257" s="23" t="n">
        <f aca="false">+IF('ELBA BOOK'!B268=0,0,((+PORTS!I262+PORTS!I570)/('ELBA BOOK'!$B268*PORTS!$I$9))+PORTS!I878)</f>
        <v>0</v>
      </c>
      <c r="C257" s="23" t="n">
        <f aca="false">+C256*(1+PORTS!$J$8/12)</f>
        <v>0.389188422035379</v>
      </c>
      <c r="D257" s="23"/>
      <c r="E257" s="23"/>
      <c r="F257" s="23"/>
      <c r="G257" s="23"/>
    </row>
    <row r="258" customFormat="false" ht="12.75" hidden="false" customHeight="false" outlineLevel="0" collapsed="false">
      <c r="A258" s="22" t="n">
        <f aca="false">+SHIPS!B277</f>
        <v>44348</v>
      </c>
      <c r="B258" s="23" t="n">
        <f aca="false">+IF('ELBA BOOK'!B269=0,0,((+PORTS!I263+PORTS!I571)/('ELBA BOOK'!$B269*PORTS!$I$9))+PORTS!I879)</f>
        <v>0</v>
      </c>
      <c r="C258" s="23" t="n">
        <f aca="false">+C257*(1+PORTS!$J$8/12)</f>
        <v>0.389593826641666</v>
      </c>
      <c r="D258" s="23"/>
      <c r="E258" s="23"/>
      <c r="F258" s="23"/>
      <c r="G258" s="23"/>
    </row>
    <row r="259" customFormat="false" ht="12.75" hidden="false" customHeight="false" outlineLevel="0" collapsed="false">
      <c r="A259" s="22" t="n">
        <f aca="false">+SHIPS!B278</f>
        <v>44378</v>
      </c>
      <c r="B259" s="23" t="n">
        <f aca="false">+IF('ELBA BOOK'!B270=0,0,((+PORTS!I264+PORTS!I572)/('ELBA BOOK'!$B270*PORTS!$I$9))+PORTS!I880)</f>
        <v>0</v>
      </c>
      <c r="C259" s="23" t="n">
        <f aca="false">+C258*(1+PORTS!$J$8/12)</f>
        <v>0.389999653544417</v>
      </c>
      <c r="D259" s="23"/>
      <c r="E259" s="23"/>
      <c r="F259" s="23"/>
      <c r="G259" s="23"/>
    </row>
    <row r="260" customFormat="false" ht="12.75" hidden="false" customHeight="false" outlineLevel="0" collapsed="false">
      <c r="A260" s="22" t="n">
        <f aca="false">+SHIPS!B279</f>
        <v>44409</v>
      </c>
      <c r="B260" s="23" t="n">
        <f aca="false">+IF('ELBA BOOK'!B271=0,0,((+PORTS!I265+PORTS!I573)/('ELBA BOOK'!$B271*PORTS!$I$9))+PORTS!I881)</f>
        <v>0</v>
      </c>
      <c r="C260" s="23" t="n">
        <f aca="false">+C259*(1+PORTS!$J$8/12)</f>
        <v>0.390405903183526</v>
      </c>
      <c r="D260" s="23"/>
      <c r="E260" s="23"/>
      <c r="F260" s="23"/>
      <c r="G260" s="23"/>
    </row>
    <row r="261" customFormat="false" ht="12.75" hidden="false" customHeight="false" outlineLevel="0" collapsed="false">
      <c r="A261" s="22" t="n">
        <f aca="false">+SHIPS!B280</f>
        <v>44440</v>
      </c>
      <c r="B261" s="23" t="n">
        <f aca="false">+IF('ELBA BOOK'!B272=0,0,((+PORTS!I266+PORTS!I574)/('ELBA BOOK'!$B272*PORTS!$I$9))+PORTS!I882)</f>
        <v>0</v>
      </c>
      <c r="C261" s="23" t="n">
        <f aca="false">+C260*(1+PORTS!$J$8/12)</f>
        <v>0.390812575999342</v>
      </c>
      <c r="D261" s="23"/>
      <c r="E261" s="23"/>
      <c r="F261" s="23"/>
      <c r="G261" s="23"/>
    </row>
    <row r="262" customFormat="false" ht="12.75" hidden="false" customHeight="false" outlineLevel="0" collapsed="false">
      <c r="A262" s="22" t="n">
        <f aca="false">+SHIPS!B281</f>
        <v>44470</v>
      </c>
      <c r="B262" s="23" t="n">
        <f aca="false">+IF('ELBA BOOK'!B273=0,0,((+PORTS!I267+PORTS!I575)/('ELBA BOOK'!$B273*PORTS!$I$9))+PORTS!I883)</f>
        <v>0</v>
      </c>
      <c r="C262" s="23" t="n">
        <f aca="false">+C261*(1+PORTS!$J$8/12)</f>
        <v>0.391219672432675</v>
      </c>
      <c r="D262" s="23"/>
      <c r="E262" s="23"/>
      <c r="F262" s="23"/>
      <c r="G262" s="23"/>
    </row>
    <row r="263" customFormat="false" ht="12.75" hidden="false" customHeight="false" outlineLevel="0" collapsed="false">
      <c r="A263" s="22" t="n">
        <f aca="false">+SHIPS!B282</f>
        <v>44501</v>
      </c>
      <c r="B263" s="23" t="n">
        <f aca="false">+IF('ELBA BOOK'!B274=0,0,((+PORTS!I268+PORTS!I576)/('ELBA BOOK'!$B274*PORTS!$I$9))+PORTS!I884)</f>
        <v>0</v>
      </c>
      <c r="C263" s="23" t="n">
        <f aca="false">+C262*(1+PORTS!$J$8/12)</f>
        <v>0.391627192924792</v>
      </c>
      <c r="D263" s="23"/>
      <c r="E263" s="23"/>
      <c r="F263" s="23"/>
      <c r="G263" s="23"/>
    </row>
    <row r="264" customFormat="false" ht="12.75" hidden="false" customHeight="false" outlineLevel="0" collapsed="false">
      <c r="A264" s="22" t="n">
        <f aca="false">+SHIPS!B283</f>
        <v>44531</v>
      </c>
      <c r="B264" s="23" t="n">
        <f aca="false">+IF('ELBA BOOK'!B275=0,0,((+PORTS!I269+PORTS!I577)/('ELBA BOOK'!$B275*PORTS!$I$9))+PORTS!I885)</f>
        <v>0</v>
      </c>
      <c r="C264" s="23" t="n">
        <f aca="false">+C263*(1+PORTS!$J$8/12)</f>
        <v>0.392035137917422</v>
      </c>
      <c r="D264" s="23"/>
      <c r="E264" s="23"/>
      <c r="F264" s="23"/>
      <c r="G264" s="23"/>
    </row>
    <row r="265" customFormat="false" ht="12.75" hidden="false" customHeight="false" outlineLevel="0" collapsed="false">
      <c r="A265" s="22" t="n">
        <f aca="false">+SHIPS!B284</f>
        <v>44562</v>
      </c>
      <c r="B265" s="23" t="n">
        <f aca="false">+IF('ELBA BOOK'!B276=0,0,((+PORTS!I270+PORTS!I578)/('ELBA BOOK'!$B276*PORTS!$I$9))+PORTS!I886)</f>
        <v>0</v>
      </c>
      <c r="C265" s="23" t="n">
        <f aca="false">+C264*(1+PORTS!$J$8/12)</f>
        <v>0.392443507852753</v>
      </c>
      <c r="D265" s="23"/>
      <c r="E265" s="23"/>
      <c r="F265" s="23"/>
      <c r="G265" s="23"/>
    </row>
    <row r="266" customFormat="false" ht="12.75" hidden="false" customHeight="false" outlineLevel="0" collapsed="false">
      <c r="A266" s="22" t="n">
        <f aca="false">+SHIPS!B285</f>
        <v>44593</v>
      </c>
      <c r="B266" s="23" t="n">
        <f aca="false">+IF('ELBA BOOK'!B277=0,0,((+PORTS!I271+PORTS!I579)/('ELBA BOOK'!$B277*PORTS!$I$9))+PORTS!I887)</f>
        <v>0</v>
      </c>
      <c r="C266" s="23" t="n">
        <f aca="false">+C265*(1+PORTS!$J$8/12)</f>
        <v>0.392852303173433</v>
      </c>
      <c r="D266" s="23"/>
      <c r="E266" s="23"/>
      <c r="F266" s="23"/>
      <c r="G266" s="23"/>
    </row>
    <row r="267" customFormat="false" ht="12.75" hidden="false" customHeight="false" outlineLevel="0" collapsed="false">
      <c r="A267" s="22" t="n">
        <f aca="false">+SHIPS!B286</f>
        <v>44621</v>
      </c>
      <c r="B267" s="23" t="n">
        <f aca="false">+IF('ELBA BOOK'!B278=0,0,((+PORTS!I272+PORTS!I580)/('ELBA BOOK'!$B278*PORTS!$I$9))+PORTS!I888)</f>
        <v>0</v>
      </c>
      <c r="C267" s="23" t="n">
        <f aca="false">+C266*(1+PORTS!$J$8/12)</f>
        <v>0.393261524322572</v>
      </c>
      <c r="D267" s="23"/>
      <c r="E267" s="23"/>
      <c r="F267" s="23"/>
      <c r="G267" s="23"/>
    </row>
    <row r="268" customFormat="false" ht="12.75" hidden="false" customHeight="false" outlineLevel="0" collapsed="false">
      <c r="A268" s="22" t="n">
        <f aca="false">+SHIPS!B287</f>
        <v>44652</v>
      </c>
      <c r="B268" s="23" t="n">
        <f aca="false">+IF('ELBA BOOK'!B279=0,0,((+PORTS!I273+PORTS!I581)/('ELBA BOOK'!$B279*PORTS!$I$9))+PORTS!I889)</f>
        <v>0</v>
      </c>
      <c r="C268" s="23" t="n">
        <f aca="false">+C267*(1+PORTS!$J$8/12)</f>
        <v>0.393671171743741</v>
      </c>
      <c r="D268" s="23"/>
      <c r="E268" s="23"/>
      <c r="F268" s="23"/>
      <c r="G268" s="23"/>
    </row>
    <row r="269" customFormat="false" ht="12.75" hidden="false" customHeight="false" outlineLevel="0" collapsed="false">
      <c r="A269" s="22" t="n">
        <f aca="false">+SHIPS!B288</f>
        <v>44682</v>
      </c>
      <c r="B269" s="23" t="n">
        <f aca="false">+IF('ELBA BOOK'!B280=0,0,((+PORTS!I274+PORTS!I582)/('ELBA BOOK'!$B280*PORTS!$I$9))+PORTS!I890)</f>
        <v>0</v>
      </c>
      <c r="C269" s="23" t="n">
        <f aca="false">+C268*(1+PORTS!$J$8/12)</f>
        <v>0.394081245880974</v>
      </c>
      <c r="D269" s="23"/>
      <c r="E269" s="23"/>
      <c r="F269" s="23"/>
      <c r="G269" s="23"/>
    </row>
    <row r="270" customFormat="false" ht="12.75" hidden="false" customHeight="false" outlineLevel="0" collapsed="false">
      <c r="A270" s="22" t="n">
        <f aca="false">+SHIPS!B289</f>
        <v>44713</v>
      </c>
      <c r="B270" s="23" t="n">
        <f aca="false">+IF('ELBA BOOK'!B281=0,0,((+PORTS!I275+PORTS!I583)/('ELBA BOOK'!$B281*PORTS!$I$9))+PORTS!I891)</f>
        <v>0</v>
      </c>
      <c r="C270" s="23" t="n">
        <f aca="false">+C269*(1+PORTS!$J$8/12)</f>
        <v>0.394491747178767</v>
      </c>
      <c r="D270" s="23"/>
      <c r="E270" s="23"/>
      <c r="F270" s="23"/>
      <c r="G270" s="23"/>
    </row>
    <row r="271" customFormat="false" ht="12.75" hidden="false" customHeight="false" outlineLevel="0" collapsed="false">
      <c r="A271" s="22" t="n">
        <f aca="false">+SHIPS!B290</f>
        <v>44743</v>
      </c>
      <c r="B271" s="23" t="n">
        <f aca="false">+IF('ELBA BOOK'!B282=0,0,((+PORTS!I276+PORTS!I584)/('ELBA BOOK'!$B282*PORTS!$I$9))+PORTS!I892)</f>
        <v>0</v>
      </c>
      <c r="C271" s="23" t="n">
        <f aca="false">+C270*(1+PORTS!$J$8/12)</f>
        <v>0.394902676082078</v>
      </c>
      <c r="D271" s="23"/>
      <c r="E271" s="23"/>
      <c r="F271" s="23"/>
      <c r="G271" s="23"/>
    </row>
    <row r="272" customFormat="false" ht="12.75" hidden="false" customHeight="false" outlineLevel="0" collapsed="false">
      <c r="A272" s="22" t="n">
        <f aca="false">+SHIPS!B291</f>
        <v>44774</v>
      </c>
      <c r="B272" s="23" t="n">
        <f aca="false">+IF('ELBA BOOK'!B283=0,0,((+PORTS!I277+PORTS!I585)/('ELBA BOOK'!$B283*PORTS!$I$9))+PORTS!I893)</f>
        <v>0</v>
      </c>
      <c r="C272" s="23" t="n">
        <f aca="false">+C271*(1+PORTS!$J$8/12)</f>
        <v>0.39531403303633</v>
      </c>
      <c r="D272" s="23"/>
      <c r="E272" s="23"/>
      <c r="F272" s="23"/>
      <c r="G272" s="23"/>
    </row>
    <row r="273" customFormat="false" ht="12.75" hidden="false" customHeight="false" outlineLevel="0" collapsed="false">
      <c r="A273" s="22" t="n">
        <f aca="false">+SHIPS!B292</f>
        <v>44805</v>
      </c>
      <c r="B273" s="23" t="n">
        <f aca="false">+IF('ELBA BOOK'!B284=0,0,((+PORTS!I278+PORTS!I586)/('ELBA BOOK'!$B284*PORTS!$I$9))+PORTS!I894)</f>
        <v>0</v>
      </c>
      <c r="C273" s="23" t="n">
        <f aca="false">+C272*(1+PORTS!$J$8/12)</f>
        <v>0.39572581848741</v>
      </c>
      <c r="D273" s="23"/>
      <c r="E273" s="23"/>
      <c r="F273" s="23"/>
      <c r="G273" s="23"/>
    </row>
    <row r="274" customFormat="false" ht="12.75" hidden="false" customHeight="false" outlineLevel="0" collapsed="false">
      <c r="A274" s="22" t="n">
        <f aca="false">+SHIPS!B293</f>
        <v>44835</v>
      </c>
      <c r="B274" s="23" t="n">
        <f aca="false">+IF('ELBA BOOK'!B285=0,0,((+PORTS!I279+PORTS!I587)/('ELBA BOOK'!$B285*PORTS!$I$9))+PORTS!I895)</f>
        <v>0</v>
      </c>
      <c r="C274" s="23" t="n">
        <f aca="false">+C273*(1+PORTS!$J$8/12)</f>
        <v>0.396138032881667</v>
      </c>
      <c r="D274" s="23"/>
      <c r="E274" s="23"/>
      <c r="F274" s="23"/>
      <c r="G274" s="23"/>
    </row>
    <row r="275" customFormat="false" ht="12.75" hidden="false" customHeight="false" outlineLevel="0" collapsed="false">
      <c r="A275" s="22" t="n">
        <f aca="false">+SHIPS!B294</f>
        <v>44866</v>
      </c>
      <c r="B275" s="23" t="n">
        <f aca="false">+IF('ELBA BOOK'!B286=0,0,((+PORTS!I280+PORTS!I588)/('ELBA BOOK'!$B286*PORTS!$I$9))+PORTS!I896)</f>
        <v>0</v>
      </c>
      <c r="C275" s="23" t="n">
        <f aca="false">+C274*(1+PORTS!$J$8/12)</f>
        <v>0.396550676665919</v>
      </c>
      <c r="D275" s="23"/>
      <c r="E275" s="23"/>
      <c r="F275" s="23"/>
      <c r="G275" s="23"/>
    </row>
    <row r="276" customFormat="false" ht="12.75" hidden="false" customHeight="false" outlineLevel="0" collapsed="false">
      <c r="A276" s="22" t="n">
        <f aca="false">+SHIPS!B295</f>
        <v>44896</v>
      </c>
      <c r="B276" s="23" t="n">
        <f aca="false">+IF('ELBA BOOK'!B287=0,0,((+PORTS!I281+PORTS!I589)/('ELBA BOOK'!$B287*PORTS!$I$9))+PORTS!I897)</f>
        <v>0</v>
      </c>
      <c r="C276" s="23" t="n">
        <f aca="false">+C275*(1+PORTS!$J$8/12)</f>
        <v>0.396963750287446</v>
      </c>
      <c r="D276" s="23"/>
      <c r="E276" s="23"/>
      <c r="F276" s="23"/>
      <c r="G276" s="23"/>
    </row>
    <row r="277" customFormat="false" ht="12.75" hidden="false" customHeight="false" outlineLevel="0" collapsed="false">
      <c r="A277" s="22" t="n">
        <f aca="false">+SHIPS!B296</f>
        <v>44927</v>
      </c>
      <c r="B277" s="23" t="n">
        <f aca="false">+IF('ELBA BOOK'!B288=0,0,((+PORTS!I282+PORTS!I590)/('ELBA BOOK'!$B288*PORTS!$I$9))+PORTS!I898)</f>
        <v>0</v>
      </c>
      <c r="C277" s="23" t="n">
        <f aca="false">+C276*(1+PORTS!$J$8/12)</f>
        <v>0.397377254193995</v>
      </c>
      <c r="D277" s="23"/>
      <c r="E277" s="23"/>
      <c r="F277" s="23"/>
      <c r="G277" s="23"/>
    </row>
    <row r="278" customFormat="false" ht="12.75" hidden="false" customHeight="false" outlineLevel="0" collapsed="false">
      <c r="A278" s="22" t="n">
        <f aca="false">+SHIPS!B297</f>
        <v>44958</v>
      </c>
      <c r="B278" s="23" t="n">
        <f aca="false">+IF('ELBA BOOK'!B289=0,0,((+PORTS!I283+PORTS!I591)/('ELBA BOOK'!$B289*PORTS!$I$9))+PORTS!I899)</f>
        <v>0</v>
      </c>
      <c r="C278" s="23" t="n">
        <f aca="false">+C277*(1+PORTS!$J$8/12)</f>
        <v>0.397791188833781</v>
      </c>
      <c r="D278" s="23"/>
      <c r="E278" s="23"/>
      <c r="F278" s="23"/>
      <c r="G278" s="23"/>
    </row>
    <row r="279" customFormat="false" ht="12.75" hidden="false" customHeight="false" outlineLevel="0" collapsed="false">
      <c r="A279" s="22" t="n">
        <f aca="false">+SHIPS!B298</f>
        <v>44986</v>
      </c>
      <c r="B279" s="23" t="n">
        <f aca="false">+IF('ELBA BOOK'!B290=0,0,((+PORTS!I284+PORTS!I592)/('ELBA BOOK'!$B290*PORTS!$I$9))+PORTS!I900)</f>
        <v>0</v>
      </c>
      <c r="C279" s="23" t="n">
        <f aca="false">+C278*(1+PORTS!$J$8/12)</f>
        <v>0.398205554655483</v>
      </c>
      <c r="D279" s="23"/>
      <c r="E279" s="23"/>
      <c r="F279" s="23"/>
      <c r="G279" s="23"/>
    </row>
    <row r="280" customFormat="false" ht="12.75" hidden="false" customHeight="false" outlineLevel="0" collapsed="false">
      <c r="A280" s="22" t="n">
        <f aca="false">+SHIPS!B299</f>
        <v>45017</v>
      </c>
      <c r="B280" s="23" t="n">
        <f aca="false">+IF('ELBA BOOK'!B291=0,0,((+PORTS!I285+PORTS!I593)/('ELBA BOOK'!$B291*PORTS!$I$9))+PORTS!I901)</f>
        <v>0</v>
      </c>
      <c r="C280" s="23" t="n">
        <f aca="false">+C279*(1+PORTS!$J$8/12)</f>
        <v>0.398620352108249</v>
      </c>
      <c r="D280" s="23"/>
      <c r="E280" s="23"/>
      <c r="F280" s="23"/>
      <c r="G280" s="23"/>
    </row>
    <row r="281" customFormat="false" ht="12.75" hidden="false" customHeight="false" outlineLevel="0" collapsed="false">
      <c r="A281" s="22" t="n">
        <f aca="false">+SHIPS!B300</f>
        <v>45047</v>
      </c>
      <c r="B281" s="23" t="n">
        <f aca="false">+IF('ELBA BOOK'!B292=0,0,((+PORTS!I286+PORTS!I594)/('ELBA BOOK'!$B292*PORTS!$I$9))+PORTS!I902)</f>
        <v>0</v>
      </c>
      <c r="C281" s="23" t="n">
        <f aca="false">+C280*(1+PORTS!$J$8/12)</f>
        <v>0.399035581641695</v>
      </c>
      <c r="D281" s="23"/>
      <c r="E281" s="23"/>
      <c r="F281" s="23"/>
      <c r="G281" s="23"/>
    </row>
    <row r="282" customFormat="false" ht="12.75" hidden="false" customHeight="false" outlineLevel="0" collapsed="false">
      <c r="A282" s="22" t="n">
        <f aca="false">+SHIPS!B301</f>
        <v>45078</v>
      </c>
      <c r="B282" s="23" t="n">
        <f aca="false">+IF('ELBA BOOK'!B293=0,0,((+PORTS!I287+PORTS!I595)/('ELBA BOOK'!$B293*PORTS!$I$9))+PORTS!I903)</f>
        <v>0</v>
      </c>
      <c r="C282" s="23" t="n">
        <f aca="false">+C281*(1+PORTS!$J$8/12)</f>
        <v>0.399451243705905</v>
      </c>
      <c r="D282" s="23"/>
      <c r="E282" s="23"/>
      <c r="F282" s="23"/>
      <c r="G282" s="23"/>
    </row>
    <row r="283" customFormat="false" ht="12.75" hidden="false" customHeight="false" outlineLevel="0" collapsed="false">
      <c r="A283" s="22" t="n">
        <f aca="false">+SHIPS!B302</f>
        <v>45108</v>
      </c>
      <c r="B283" s="23" t="n">
        <f aca="false">+IF('ELBA BOOK'!B294=0,0,((+PORTS!I288+PORTS!I596)/('ELBA BOOK'!$B294*PORTS!$I$9))+PORTS!I904)</f>
        <v>0</v>
      </c>
      <c r="C283" s="23" t="n">
        <f aca="false">+C282*(1+PORTS!$J$8/12)</f>
        <v>0.399867338751432</v>
      </c>
      <c r="D283" s="23"/>
      <c r="E283" s="23"/>
      <c r="F283" s="23"/>
      <c r="G283" s="23"/>
    </row>
    <row r="284" customFormat="false" ht="12.75" hidden="false" customHeight="false" outlineLevel="0" collapsed="false">
      <c r="A284" s="22" t="n">
        <f aca="false">+SHIPS!B303</f>
        <v>45139</v>
      </c>
      <c r="B284" s="23" t="n">
        <f aca="false">+IF('ELBA BOOK'!B295=0,0,((+PORTS!I289+PORTS!I597)/('ELBA BOOK'!$B295*PORTS!$I$9))+PORTS!I905)</f>
        <v>0</v>
      </c>
      <c r="C284" s="23" t="n">
        <f aca="false">+C283*(1+PORTS!$J$8/12)</f>
        <v>0.400283867229298</v>
      </c>
      <c r="D284" s="23"/>
      <c r="E284" s="23"/>
      <c r="F284" s="23"/>
      <c r="G284" s="23"/>
    </row>
    <row r="285" customFormat="false" ht="12.75" hidden="false" customHeight="false" outlineLevel="0" collapsed="false">
      <c r="A285" s="22" t="n">
        <f aca="false">+SHIPS!B304</f>
        <v>45170</v>
      </c>
      <c r="B285" s="23" t="n">
        <f aca="false">+IF('ELBA BOOK'!B296=0,0,((+PORTS!I290+PORTS!I598)/('ELBA BOOK'!$B296*PORTS!$I$9))+PORTS!I906)</f>
        <v>0</v>
      </c>
      <c r="C285" s="23" t="n">
        <f aca="false">+C284*(1+PORTS!$J$8/12)</f>
        <v>0.400700829590995</v>
      </c>
      <c r="D285" s="23"/>
      <c r="E285" s="23"/>
      <c r="F285" s="23"/>
      <c r="G285" s="23"/>
    </row>
    <row r="286" customFormat="false" ht="12.75" hidden="false" customHeight="false" outlineLevel="0" collapsed="false">
      <c r="A286" s="22" t="n">
        <f aca="false">+SHIPS!B305</f>
        <v>45200</v>
      </c>
      <c r="B286" s="23" t="n">
        <f aca="false">+IF('ELBA BOOK'!B297=0,0,((+PORTS!I291+PORTS!I599)/('ELBA BOOK'!$B297*PORTS!$I$9))+PORTS!I907)</f>
        <v>0</v>
      </c>
      <c r="C286" s="23" t="n">
        <f aca="false">+C285*(1+PORTS!$J$8/12)</f>
        <v>0.401118226288486</v>
      </c>
      <c r="D286" s="23"/>
      <c r="E286" s="23"/>
      <c r="F286" s="23"/>
      <c r="G286" s="23"/>
    </row>
    <row r="287" customFormat="false" ht="12.75" hidden="false" customHeight="false" outlineLevel="0" collapsed="false">
      <c r="A287" s="22" t="n">
        <f aca="false">+SHIPS!B306</f>
        <v>45231</v>
      </c>
      <c r="B287" s="23" t="n">
        <f aca="false">+IF('ELBA BOOK'!B298=0,0,((+PORTS!I292+PORTS!I600)/('ELBA BOOK'!$B298*PORTS!$I$9))+PORTS!I908)</f>
        <v>0</v>
      </c>
      <c r="C287" s="23" t="n">
        <f aca="false">+C286*(1+PORTS!$J$8/12)</f>
        <v>0.401536057774203</v>
      </c>
      <c r="D287" s="23"/>
      <c r="E287" s="23"/>
      <c r="F287" s="23"/>
      <c r="G287" s="23"/>
    </row>
    <row r="288" customFormat="false" ht="12.75" hidden="false" customHeight="false" outlineLevel="0" collapsed="false">
      <c r="A288" s="22" t="n">
        <f aca="false">+SHIPS!B307</f>
        <v>45261</v>
      </c>
      <c r="B288" s="23" t="n">
        <f aca="false">+IF('ELBA BOOK'!B299=0,0,((+PORTS!I293+PORTS!I601)/('ELBA BOOK'!$B299*PORTS!$I$9))+PORTS!I909)</f>
        <v>0</v>
      </c>
      <c r="C288" s="23" t="n">
        <f aca="false">+C287*(1+PORTS!$J$8/12)</f>
        <v>0.401954324501051</v>
      </c>
      <c r="D288" s="23"/>
      <c r="E288" s="23"/>
      <c r="F288" s="23"/>
      <c r="G288" s="23"/>
    </row>
    <row r="289" customFormat="false" ht="12.75" hidden="false" customHeight="false" outlineLevel="0" collapsed="false">
      <c r="A289" s="22" t="n">
        <f aca="false">+SHIPS!B308</f>
        <v>45292</v>
      </c>
      <c r="B289" s="23" t="n">
        <f aca="false">+IF('ELBA BOOK'!B300=0,0,((+PORTS!I294+PORTS!I602)/('ELBA BOOK'!$B300*PORTS!$I$9))+PORTS!I910)</f>
        <v>0</v>
      </c>
      <c r="C289" s="23" t="n">
        <f aca="false">+C288*(1+PORTS!$J$8/12)</f>
        <v>0.402373026922406</v>
      </c>
      <c r="D289" s="23"/>
      <c r="E289" s="23"/>
      <c r="F289" s="23"/>
      <c r="G289" s="23"/>
    </row>
    <row r="290" customFormat="false" ht="12.75" hidden="false" customHeight="false" outlineLevel="0" collapsed="false">
      <c r="A290" s="22" t="n">
        <f aca="false">+SHIPS!B309</f>
        <v>45323</v>
      </c>
      <c r="B290" s="23" t="n">
        <f aca="false">+IF('ELBA BOOK'!B301=0,0,((+PORTS!I295+PORTS!I603)/('ELBA BOOK'!$B301*PORTS!$I$9))+PORTS!I911)</f>
        <v>0</v>
      </c>
      <c r="C290" s="23" t="n">
        <f aca="false">+C289*(1+PORTS!$J$8/12)</f>
        <v>0.402792165492117</v>
      </c>
      <c r="D290" s="23"/>
      <c r="E290" s="23"/>
      <c r="F290" s="23"/>
      <c r="G290" s="23"/>
    </row>
    <row r="291" customFormat="false" ht="12.75" hidden="false" customHeight="false" outlineLevel="0" collapsed="false">
      <c r="A291" s="22" t="n">
        <f aca="false">+SHIPS!B310</f>
        <v>45352</v>
      </c>
      <c r="B291" s="23" t="n">
        <f aca="false">+IF('ELBA BOOK'!B302=0,0,((+PORTS!I296+PORTS!I604)/('ELBA BOOK'!$B302*PORTS!$I$9))+PORTS!I912)</f>
        <v>0</v>
      </c>
      <c r="C291" s="23" t="n">
        <f aca="false">+C290*(1+PORTS!$J$8/12)</f>
        <v>0.403211740664505</v>
      </c>
      <c r="D291" s="23"/>
      <c r="E291" s="23"/>
      <c r="F291" s="23"/>
      <c r="G291" s="23"/>
    </row>
    <row r="292" customFormat="false" ht="12.75" hidden="false" customHeight="false" outlineLevel="0" collapsed="false">
      <c r="A292" s="22" t="n">
        <f aca="false">+SHIPS!B311</f>
        <v>45383</v>
      </c>
      <c r="B292" s="23" t="n">
        <f aca="false">+IF('ELBA BOOK'!B303=0,0,((+PORTS!I297+PORTS!I605)/('ELBA BOOK'!$B303*PORTS!$I$9))+PORTS!I913)</f>
        <v>0</v>
      </c>
      <c r="C292" s="23" t="n">
        <f aca="false">+C291*(1+PORTS!$J$8/12)</f>
        <v>0.403631752894363</v>
      </c>
      <c r="D292" s="23"/>
      <c r="E292" s="23"/>
      <c r="F292" s="23"/>
      <c r="G292" s="23"/>
    </row>
    <row r="293" customFormat="false" ht="12.75" hidden="false" customHeight="false" outlineLevel="0" collapsed="false">
      <c r="A293" s="22" t="n">
        <f aca="false">+SHIPS!B312</f>
        <v>45413</v>
      </c>
      <c r="B293" s="23" t="n">
        <f aca="false">+IF('ELBA BOOK'!B304=0,0,((+PORTS!I298+PORTS!I606)/('ELBA BOOK'!$B304*PORTS!$I$9))+PORTS!I914)</f>
        <v>0</v>
      </c>
      <c r="C293" s="23" t="n">
        <f aca="false">+C292*(1+PORTS!$J$8/12)</f>
        <v>0.404052202636962</v>
      </c>
      <c r="D293" s="23"/>
      <c r="E293" s="23"/>
      <c r="F293" s="23"/>
      <c r="G293" s="23"/>
    </row>
    <row r="294" customFormat="false" ht="12.75" hidden="false" customHeight="false" outlineLevel="0" collapsed="false">
      <c r="A294" s="22" t="n">
        <f aca="false">+SHIPS!B313</f>
        <v>45444</v>
      </c>
      <c r="B294" s="23" t="n">
        <f aca="false">+IF('ELBA BOOK'!B305=0,0,((+PORTS!I299+PORTS!I607)/('ELBA BOOK'!$B305*PORTS!$I$9))+PORTS!I915)</f>
        <v>0</v>
      </c>
      <c r="C294" s="23" t="n">
        <f aca="false">+C293*(1+PORTS!$J$8/12)</f>
        <v>0.404473090348042</v>
      </c>
      <c r="D294" s="23"/>
      <c r="E294" s="23"/>
      <c r="F294" s="23"/>
      <c r="G294" s="23"/>
    </row>
    <row r="295" customFormat="false" ht="12.75" hidden="false" customHeight="false" outlineLevel="0" collapsed="false">
      <c r="A295" s="22" t="n">
        <f aca="false">+SHIPS!B314</f>
        <v>45474</v>
      </c>
      <c r="B295" s="23" t="n">
        <f aca="false">+IF('ELBA BOOK'!B306=0,0,((+PORTS!I300+PORTS!I608)/('ELBA BOOK'!$B306*PORTS!$I$9))+PORTS!I916)</f>
        <v>0</v>
      </c>
      <c r="C295" s="23" t="n">
        <f aca="false">+C294*(1+PORTS!$J$8/12)</f>
        <v>0.404894416483821</v>
      </c>
      <c r="D295" s="23"/>
      <c r="E295" s="23"/>
      <c r="F295" s="23"/>
      <c r="G295" s="23"/>
    </row>
    <row r="296" customFormat="false" ht="12.75" hidden="false" customHeight="false" outlineLevel="0" collapsed="false">
      <c r="A296" s="22" t="n">
        <f aca="false">+SHIPS!B315</f>
        <v>45505</v>
      </c>
      <c r="B296" s="23" t="n">
        <f aca="false">+IF('ELBA BOOK'!B307=0,0,((+PORTS!I301+PORTS!I609)/('ELBA BOOK'!$B307*PORTS!$I$9))+PORTS!I917)</f>
        <v>0</v>
      </c>
      <c r="C296" s="23" t="n">
        <f aca="false">+C295*(1+PORTS!$J$8/12)</f>
        <v>0.405316181500991</v>
      </c>
      <c r="D296" s="23"/>
      <c r="E296" s="23"/>
      <c r="F296" s="23"/>
      <c r="G296" s="23"/>
    </row>
    <row r="297" customFormat="false" ht="12.75" hidden="false" customHeight="false" outlineLevel="0" collapsed="false">
      <c r="A297" s="22" t="n">
        <f aca="false">+SHIPS!B316</f>
        <v>45536</v>
      </c>
      <c r="B297" s="23" t="n">
        <f aca="false">+IF('ELBA BOOK'!B308=0,0,((+PORTS!I302+PORTS!I610)/('ELBA BOOK'!$B308*PORTS!$I$9))+PORTS!I918)</f>
        <v>0</v>
      </c>
      <c r="C297" s="23" t="n">
        <f aca="false">+C296*(1+PORTS!$J$8/12)</f>
        <v>0.405738385856722</v>
      </c>
      <c r="D297" s="23"/>
      <c r="E297" s="23"/>
      <c r="F297" s="23"/>
      <c r="G297" s="23"/>
    </row>
    <row r="298" customFormat="false" ht="12.75" hidden="false" customHeight="false" outlineLevel="0" collapsed="false">
      <c r="A298" s="22" t="n">
        <f aca="false">+SHIPS!B317</f>
        <v>45566</v>
      </c>
      <c r="B298" s="23" t="n">
        <f aca="false">+IF('ELBA BOOK'!B309=0,0,((+PORTS!I303+PORTS!I611)/('ELBA BOOK'!$B309*PORTS!$I$9))+PORTS!I919)</f>
        <v>0</v>
      </c>
      <c r="C298" s="23" t="n">
        <f aca="false">+C297*(1+PORTS!$J$8/12)</f>
        <v>0.406161030008656</v>
      </c>
      <c r="D298" s="23"/>
      <c r="E298" s="23"/>
      <c r="F298" s="23"/>
      <c r="G298" s="23"/>
    </row>
    <row r="299" customFormat="false" ht="12.75" hidden="false" customHeight="false" outlineLevel="0" collapsed="false">
      <c r="A299" s="22" t="n">
        <f aca="false">+SHIPS!B318</f>
        <v>45597</v>
      </c>
      <c r="B299" s="23" t="n">
        <f aca="false">+IF('ELBA BOOK'!B310=0,0,((+PORTS!I304+PORTS!I612)/('ELBA BOOK'!$B310*PORTS!$I$9))+PORTS!I920)</f>
        <v>0</v>
      </c>
      <c r="C299" s="23" t="n">
        <f aca="false">+C298*(1+PORTS!$J$8/12)</f>
        <v>0.406584114414915</v>
      </c>
      <c r="D299" s="23"/>
      <c r="E299" s="23"/>
      <c r="F299" s="23"/>
      <c r="G299" s="23"/>
    </row>
    <row r="300" customFormat="false" ht="12.75" hidden="false" customHeight="false" outlineLevel="0" collapsed="false">
      <c r="A300" s="22" t="n">
        <f aca="false">+SHIPS!B319</f>
        <v>45627</v>
      </c>
      <c r="B300" s="23" t="n">
        <f aca="false">+IF('ELBA BOOK'!B311=0,0,((+PORTS!I305+PORTS!I613)/('ELBA BOOK'!$B311*PORTS!$I$9))+PORTS!I921)</f>
        <v>0</v>
      </c>
      <c r="C300" s="23" t="n">
        <f aca="false">+C299*(1+PORTS!$J$8/12)</f>
        <v>0.407007639534097</v>
      </c>
      <c r="D300" s="23"/>
      <c r="E300" s="23"/>
      <c r="F300" s="23"/>
      <c r="G300" s="23"/>
    </row>
    <row r="301" customFormat="false" ht="12.75" hidden="false" customHeight="false" outlineLevel="0" collapsed="false">
      <c r="A301" s="22" t="n">
        <f aca="false">+SHIPS!B320</f>
        <v>45658</v>
      </c>
      <c r="B301" s="23" t="n">
        <f aca="false">+IF('ELBA BOOK'!B312=0,0,((+PORTS!I306+PORTS!I614)/('ELBA BOOK'!$B312*PORTS!$I$9))+PORTS!I922)</f>
        <v>0</v>
      </c>
      <c r="C301" s="23" t="n">
        <f aca="false">+C300*(1+PORTS!$J$8/12)</f>
        <v>0.407431605825278</v>
      </c>
      <c r="D301" s="23"/>
      <c r="E301" s="23"/>
      <c r="F301" s="23"/>
      <c r="G301" s="23"/>
    </row>
    <row r="302" customFormat="false" ht="12.75" hidden="false" customHeight="false" outlineLevel="0" collapsed="false">
      <c r="A302" s="22" t="n">
        <f aca="false">+SHIPS!B321</f>
        <v>45689</v>
      </c>
      <c r="B302" s="23" t="n">
        <f aca="false">+IF('ELBA BOOK'!B313=0,0,((+PORTS!I307+PORTS!I615)/('ELBA BOOK'!$B313*PORTS!$I$9))+PORTS!I923)</f>
        <v>0</v>
      </c>
      <c r="C302" s="23" t="n">
        <f aca="false">+C301*(1+PORTS!$J$8/12)</f>
        <v>0.407856013748013</v>
      </c>
      <c r="D302" s="23"/>
      <c r="E302" s="23"/>
      <c r="F302" s="23"/>
      <c r="G302" s="23"/>
    </row>
    <row r="303" customFormat="false" ht="12.75" hidden="false" customHeight="false" outlineLevel="0" collapsed="false">
      <c r="A303" s="22" t="n">
        <f aca="false">+SHIPS!B322</f>
        <v>45717</v>
      </c>
      <c r="B303" s="23" t="n">
        <f aca="false">+IF('ELBA BOOK'!B314=0,0,((+PORTS!I308+PORTS!I616)/('ELBA BOOK'!$B314*PORTS!$I$9))+PORTS!I924)</f>
        <v>0</v>
      </c>
      <c r="C303" s="23" t="n">
        <f aca="false">+C302*(1+PORTS!$J$8/12)</f>
        <v>0.408280863762334</v>
      </c>
      <c r="D303" s="23"/>
      <c r="E303" s="23"/>
      <c r="F303" s="23"/>
      <c r="G303" s="23"/>
    </row>
    <row r="304" customFormat="false" ht="12.75" hidden="false" customHeight="false" outlineLevel="0" collapsed="false">
      <c r="A304" s="22" t="n">
        <f aca="false">+SHIPS!B323</f>
        <v>45748</v>
      </c>
      <c r="B304" s="23" t="n">
        <f aca="false">+IF('ELBA BOOK'!B315=0,0,((+PORTS!I309+PORTS!I617)/('ELBA BOOK'!$B315*PORTS!$I$9))+PORTS!I925)</f>
        <v>0</v>
      </c>
      <c r="C304" s="23" t="n">
        <f aca="false">+C303*(1+PORTS!$J$8/12)</f>
        <v>0.408706156328753</v>
      </c>
      <c r="D304" s="23"/>
      <c r="E304" s="23"/>
      <c r="F304" s="23"/>
      <c r="G304" s="23"/>
    </row>
    <row r="305" customFormat="false" ht="12.75" hidden="false" customHeight="false" outlineLevel="0" collapsed="false">
      <c r="A305" s="22" t="n">
        <f aca="false">+SHIPS!B324</f>
        <v>45778</v>
      </c>
      <c r="B305" s="23" t="n">
        <f aca="false">+IF('ELBA BOOK'!B316=0,0,((+PORTS!I310+PORTS!I618)/('ELBA BOOK'!$B316*PORTS!$I$9))+PORTS!I926)</f>
        <v>0</v>
      </c>
      <c r="C305" s="23" t="n">
        <f aca="false">+C304*(1+PORTS!$J$8/12)</f>
        <v>0.409131891908262</v>
      </c>
      <c r="D305" s="23"/>
      <c r="E305" s="23"/>
      <c r="F305" s="23"/>
      <c r="G305" s="23"/>
    </row>
    <row r="306" customFormat="false" ht="12.75" hidden="false" customHeight="false" outlineLevel="0" collapsed="false">
      <c r="A306" s="22" t="n">
        <f aca="false">+SHIPS!B325</f>
        <v>45809</v>
      </c>
      <c r="B306" s="23" t="n">
        <f aca="false">+IF('ELBA BOOK'!B317=0,0,((+PORTS!I311+PORTS!I619)/('ELBA BOOK'!$B317*PORTS!$I$9))+PORTS!I927)</f>
        <v>0</v>
      </c>
      <c r="C306" s="23" t="n">
        <f aca="false">+C305*(1+PORTS!$J$8/12)</f>
        <v>0.409558070962333</v>
      </c>
      <c r="D306" s="23"/>
      <c r="E306" s="23"/>
      <c r="F306" s="23"/>
      <c r="G306" s="23"/>
    </row>
    <row r="307" customFormat="false" ht="12.75" hidden="false" customHeight="false" outlineLevel="0" collapsed="false">
      <c r="A307" s="22" t="n">
        <f aca="false">+SHIPS!B326</f>
        <v>45839</v>
      </c>
      <c r="B307" s="23" t="n">
        <f aca="false">+IF('ELBA BOOK'!B318=0,0,((+PORTS!I312+PORTS!I620)/('ELBA BOOK'!$B318*PORTS!$I$9))+PORTS!I928)</f>
        <v>0</v>
      </c>
      <c r="C307" s="23" t="n">
        <f aca="false">+C306*(1+PORTS!$J$8/12)</f>
        <v>0.409984693952919</v>
      </c>
      <c r="D307" s="23"/>
      <c r="E307" s="23"/>
      <c r="F307" s="23"/>
      <c r="G307" s="23"/>
    </row>
    <row r="308" customFormat="false" ht="12.75" hidden="false" customHeight="false" outlineLevel="0" collapsed="false">
      <c r="A308" s="22" t="n">
        <f aca="false">+SHIPS!B327</f>
        <v>45870</v>
      </c>
      <c r="B308" s="23" t="n">
        <f aca="false">+IF('ELBA BOOK'!B319=0,0,((+PORTS!I313+PORTS!I621)/('ELBA BOOK'!$B319*PORTS!$I$9))+PORTS!I929)</f>
        <v>0</v>
      </c>
      <c r="C308" s="23" t="n">
        <f aca="false">+C307*(1+PORTS!$J$8/12)</f>
        <v>0.410411761342453</v>
      </c>
      <c r="D308" s="23"/>
      <c r="E308" s="23"/>
      <c r="F308" s="23"/>
      <c r="G308" s="23"/>
    </row>
    <row r="309" customFormat="false" ht="12.75" hidden="false" customHeight="false" outlineLevel="0" collapsed="false">
      <c r="A309" s="22" t="n">
        <f aca="false">+SHIPS!B328</f>
        <v>45901</v>
      </c>
      <c r="B309" s="23" t="n">
        <f aca="false">+IF('ELBA BOOK'!B320=0,0,((+PORTS!I314+PORTS!I622)/('ELBA BOOK'!$B320*PORTS!$I$9))+PORTS!I930)</f>
        <v>0</v>
      </c>
      <c r="C309" s="23" t="n">
        <f aca="false">+C308*(1+PORTS!$J$8/12)</f>
        <v>0.410839273593851</v>
      </c>
      <c r="D309" s="23"/>
      <c r="E309" s="23"/>
      <c r="F309" s="23"/>
      <c r="G309" s="23"/>
    </row>
    <row r="310" customFormat="false" ht="12.75" hidden="false" customHeight="false" outlineLevel="0" collapsed="false">
      <c r="A310" s="22" t="n">
        <f aca="false">+SHIPS!B329</f>
        <v>45931</v>
      </c>
      <c r="B310" s="23" t="n">
        <f aca="false">+IF('ELBA BOOK'!B321=0,0,((+PORTS!I315+PORTS!I623)/('ELBA BOOK'!$B321*PORTS!$I$9))+PORTS!I931)</f>
        <v>0</v>
      </c>
      <c r="C310" s="23" t="n">
        <f aca="false">+C309*(1+PORTS!$J$8/12)</f>
        <v>0.411267231170511</v>
      </c>
      <c r="D310" s="23"/>
      <c r="E310" s="23"/>
      <c r="F310" s="23"/>
      <c r="G310" s="23"/>
    </row>
    <row r="311" customFormat="false" ht="12.75" hidden="false" customHeight="false" outlineLevel="0" collapsed="false">
      <c r="A311" s="22" t="n">
        <f aca="false">+SHIPS!B330</f>
        <v>45962</v>
      </c>
      <c r="B311" s="23" t="n">
        <f aca="false">+IF('ELBA BOOK'!B322=0,0,((+PORTS!I316+PORTS!I624)/('ELBA BOOK'!$B322*PORTS!$I$9))+PORTS!I932)</f>
        <v>0</v>
      </c>
      <c r="C311" s="23" t="n">
        <f aca="false">+C310*(1+PORTS!$J$8/12)</f>
        <v>0.411695634536314</v>
      </c>
      <c r="D311" s="23"/>
      <c r="E311" s="23"/>
      <c r="F311" s="23"/>
      <c r="G311" s="23"/>
    </row>
    <row r="312" customFormat="false" ht="12.75" hidden="false" customHeight="false" outlineLevel="0" collapsed="false">
      <c r="A312" s="22" t="n">
        <f aca="false">+SHIPS!B331</f>
        <v>45992</v>
      </c>
      <c r="B312" s="23" t="n">
        <f aca="false">+IF('ELBA BOOK'!B323=0,0,((+PORTS!I317+PORTS!I625)/('ELBA BOOK'!$B323*PORTS!$I$9))+PORTS!I933)</f>
        <v>0</v>
      </c>
      <c r="C312" s="23" t="n">
        <f aca="false">+C311*(1+PORTS!$J$8/12)</f>
        <v>0.412124484155623</v>
      </c>
      <c r="D312" s="23"/>
      <c r="E312" s="23"/>
      <c r="F312" s="23"/>
      <c r="G312" s="23"/>
    </row>
    <row r="313" customFormat="false" ht="12.75" hidden="false" customHeight="false" outlineLevel="0" collapsed="false">
      <c r="A313" s="24" t="n">
        <f aca="false">+SHIPS!B332</f>
        <v>46023</v>
      </c>
      <c r="B313" s="23" t="n">
        <f aca="false">+IF('ELBA BOOK'!B324=0,0,((+PORTS!I318+PORTS!I626)/('ELBA BOOK'!$B324*PORTS!$I$9))+PORTS!I934)</f>
        <v>0</v>
      </c>
      <c r="C313" s="23" t="n">
        <f aca="false">+C312*(1+PORTS!$J$8/12)</f>
        <v>0.412553780493285</v>
      </c>
      <c r="D313" s="23"/>
      <c r="E313" s="23"/>
      <c r="F313" s="23"/>
      <c r="G313" s="23"/>
    </row>
    <row r="314" customFormat="false" ht="12.75" hidden="false" customHeight="false" outlineLevel="0" collapsed="false">
      <c r="A314" s="25"/>
    </row>
    <row r="315" customFormat="false" ht="12.75" hidden="false" customHeight="false" outlineLevel="0" collapsed="false">
      <c r="A315" s="25"/>
    </row>
    <row r="316" customFormat="false" ht="12.75" hidden="false" customHeight="false" outlineLevel="0" collapsed="false">
      <c r="A316" s="25"/>
    </row>
    <row r="317" customFormat="false" ht="12.75" hidden="false" customHeight="false" outlineLevel="0" collapsed="false">
      <c r="A317" s="25"/>
    </row>
    <row r="318" customFormat="false" ht="12.75" hidden="false" customHeight="false" outlineLevel="0" collapsed="false">
      <c r="A318" s="25"/>
    </row>
    <row r="319" customFormat="false" ht="12.75" hidden="false" customHeight="false" outlineLevel="0" collapsed="false">
      <c r="A319" s="25"/>
    </row>
    <row r="320" customFormat="false" ht="12.75" hidden="false" customHeight="false" outlineLevel="0" collapsed="false">
      <c r="A320" s="25"/>
    </row>
    <row r="321" customFormat="false" ht="12.75" hidden="false" customHeight="false" outlineLevel="0" collapsed="false">
      <c r="A321" s="25"/>
    </row>
    <row r="322" customFormat="false" ht="12.75" hidden="false" customHeight="false" outlineLevel="0" collapsed="false">
      <c r="A322" s="25"/>
    </row>
    <row r="323" customFormat="false" ht="12.75" hidden="false" customHeight="false" outlineLevel="0" collapsed="false">
      <c r="A323" s="25"/>
    </row>
    <row r="324" customFormat="false" ht="12.75" hidden="false" customHeight="false" outlineLevel="0" collapsed="false">
      <c r="A324" s="25"/>
    </row>
    <row r="325" customFormat="false" ht="12.75" hidden="false" customHeight="false" outlineLevel="0" collapsed="false">
      <c r="A325" s="25"/>
    </row>
    <row r="326" customFormat="false" ht="12.75" hidden="false" customHeight="false" outlineLevel="0" collapsed="false">
      <c r="A326" s="25"/>
    </row>
    <row r="327" customFormat="false" ht="12.75" hidden="false" customHeight="false" outlineLevel="0" collapsed="false">
      <c r="A327" s="25"/>
    </row>
    <row r="328" customFormat="false" ht="12.75" hidden="false" customHeight="false" outlineLevel="0" collapsed="false">
      <c r="A328" s="25"/>
    </row>
    <row r="329" customFormat="false" ht="12.75" hidden="false" customHeight="false" outlineLevel="0" collapsed="false">
      <c r="A329" s="25"/>
    </row>
    <row r="330" customFormat="false" ht="12.75" hidden="false" customHeight="false" outlineLevel="0" collapsed="false">
      <c r="A330" s="25"/>
    </row>
    <row r="331" customFormat="false" ht="12.75" hidden="false" customHeight="false" outlineLevel="0" collapsed="false">
      <c r="A331" s="25"/>
    </row>
    <row r="332" customFormat="false" ht="12.75" hidden="false" customHeight="false" outlineLevel="0" collapsed="false">
      <c r="A332" s="25"/>
    </row>
    <row r="333" customFormat="false" ht="12.75" hidden="false" customHeight="false" outlineLevel="0" collapsed="false">
      <c r="A333" s="25"/>
    </row>
    <row r="334" customFormat="false" ht="12.75" hidden="false" customHeight="false" outlineLevel="0" collapsed="false">
      <c r="A334" s="25"/>
    </row>
    <row r="335" customFormat="false" ht="12.75" hidden="false" customHeight="false" outlineLevel="0" collapsed="false">
      <c r="A335" s="25"/>
    </row>
    <row r="336" customFormat="false" ht="12.75" hidden="false" customHeight="false" outlineLevel="0" collapsed="false">
      <c r="A336" s="25"/>
    </row>
    <row r="337" customFormat="false" ht="12.75" hidden="false" customHeight="false" outlineLevel="0" collapsed="false">
      <c r="A337" s="25"/>
    </row>
    <row r="338" customFormat="false" ht="12.75" hidden="false" customHeight="false" outlineLevel="0" collapsed="false">
      <c r="A338" s="25"/>
    </row>
    <row r="339" customFormat="false" ht="12.75" hidden="false" customHeight="false" outlineLevel="0" collapsed="false">
      <c r="A339" s="25"/>
    </row>
    <row r="340" customFormat="false" ht="12.75" hidden="false" customHeight="false" outlineLevel="0" collapsed="false">
      <c r="A340" s="25"/>
    </row>
    <row r="341" customFormat="false" ht="12.75" hidden="false" customHeight="false" outlineLevel="0" collapsed="false">
      <c r="A341" s="25"/>
    </row>
    <row r="342" customFormat="false" ht="12.75" hidden="false" customHeight="false" outlineLevel="0" collapsed="false">
      <c r="A342" s="25"/>
    </row>
    <row r="343" customFormat="false" ht="12.75" hidden="false" customHeight="false" outlineLevel="0" collapsed="false">
      <c r="A343" s="2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933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F15" activeCellId="0" sqref="F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56"/>
    <col collapsed="false" customWidth="true" hidden="false" outlineLevel="0" max="7" min="2" style="0" width="11.85"/>
    <col collapsed="false" customWidth="true" hidden="false" outlineLevel="0" max="8" min="8" style="0" width="29.99"/>
    <col collapsed="false" customWidth="true" hidden="false" outlineLevel="0" max="12" min="9" style="0" width="17.56"/>
    <col collapsed="false" customWidth="true" hidden="false" outlineLevel="0" max="13" min="13" style="0" width="14.85"/>
    <col collapsed="false" customWidth="true" hidden="false" outlineLevel="0" max="14" min="14" style="0" width="11.85"/>
  </cols>
  <sheetData>
    <row r="1" customFormat="false" ht="12.75" hidden="false" customHeight="false" outlineLevel="0" collapsed="false">
      <c r="A1" s="30" t="s">
        <v>18</v>
      </c>
      <c r="B1" s="30"/>
      <c r="C1" s="30"/>
      <c r="D1" s="30"/>
      <c r="E1" s="30"/>
      <c r="F1" s="30"/>
      <c r="H1" s="30" t="s">
        <v>19</v>
      </c>
      <c r="I1" s="30"/>
      <c r="J1" s="30"/>
      <c r="K1" s="30"/>
      <c r="L1" s="30"/>
      <c r="M1" s="30"/>
      <c r="N1" s="30"/>
    </row>
    <row r="2" customFormat="false" ht="12.75" hidden="false" customHeight="false" outlineLevel="0" collapsed="false">
      <c r="A2" s="31"/>
      <c r="B2" s="31"/>
      <c r="C2" s="31"/>
      <c r="D2" s="31"/>
      <c r="E2" s="31"/>
      <c r="F2" s="31"/>
      <c r="H2" s="32"/>
      <c r="I2" s="33"/>
      <c r="J2" s="34"/>
      <c r="K2" s="34"/>
      <c r="L2" s="34"/>
      <c r="M2" s="34"/>
      <c r="N2" s="35"/>
    </row>
    <row r="3" customFormat="false" ht="12.75" hidden="false" customHeight="false" outlineLevel="0" collapsed="false">
      <c r="H3" s="36"/>
      <c r="I3" s="37"/>
      <c r="J3" s="38"/>
      <c r="K3" s="38"/>
      <c r="L3" s="38"/>
      <c r="M3" s="38"/>
      <c r="N3" s="39"/>
    </row>
    <row r="4" customFormat="false" ht="12.75" hidden="false" customHeight="false" outlineLevel="0" collapsed="false">
      <c r="A4" s="40" t="s">
        <v>20</v>
      </c>
      <c r="B4" s="41" t="str">
        <f aca="false">+IF(SHIPS!C$5="","",SHIPS!C$5)</f>
        <v>HG</v>
      </c>
      <c r="C4" s="15" t="str">
        <f aca="false">+IF(SHIPS!D$5="","",SHIPS!D$5)</f>
        <v>EXMAR</v>
      </c>
      <c r="D4" s="15" t="str">
        <f aca="false">+IF(SHIPS!E$5="","",SHIPS!E$5)</f>
        <v/>
      </c>
      <c r="E4" s="15" t="str">
        <f aca="false">+IF(SHIPS!F$5="","",SHIPS!F$5)</f>
        <v/>
      </c>
      <c r="F4" s="42" t="str">
        <f aca="false">+IF(SHIPS!G$5="","",SHIPS!G$5)</f>
        <v/>
      </c>
      <c r="G4" s="43"/>
      <c r="H4" s="44" t="s">
        <v>20</v>
      </c>
      <c r="I4" s="45" t="s">
        <v>6</v>
      </c>
      <c r="J4" s="46" t="s">
        <v>7</v>
      </c>
      <c r="K4" s="46" t="s">
        <v>21</v>
      </c>
      <c r="L4" s="46" t="s">
        <v>22</v>
      </c>
      <c r="M4" s="46" t="s">
        <v>17</v>
      </c>
      <c r="N4" s="47"/>
    </row>
    <row r="5" customFormat="false" ht="12.75" hidden="false" customHeight="false" outlineLevel="0" collapsed="false">
      <c r="A5" s="48" t="s">
        <v>4</v>
      </c>
      <c r="B5" s="49" t="n">
        <v>150000</v>
      </c>
      <c r="C5" s="50" t="n">
        <v>156000</v>
      </c>
      <c r="D5" s="51"/>
      <c r="E5" s="51"/>
      <c r="F5" s="51"/>
      <c r="G5" s="43"/>
      <c r="H5" s="52" t="s">
        <v>23</v>
      </c>
      <c r="I5" s="53" t="n">
        <f aca="false">58000000/0.922</f>
        <v>62906724.5119306</v>
      </c>
      <c r="J5" s="54"/>
      <c r="K5" s="55"/>
      <c r="L5" s="55"/>
      <c r="M5" s="53"/>
      <c r="N5" s="56"/>
    </row>
    <row r="6" customFormat="false" ht="12.75" hidden="false" customHeight="false" outlineLevel="0" collapsed="false">
      <c r="A6" s="57" t="s">
        <v>6</v>
      </c>
      <c r="B6" s="49" t="n">
        <v>35000</v>
      </c>
      <c r="C6" s="50" t="n">
        <v>41000</v>
      </c>
      <c r="D6" s="51"/>
      <c r="E6" s="51"/>
      <c r="F6" s="51"/>
      <c r="G6" s="43"/>
      <c r="H6" s="58" t="s">
        <v>24</v>
      </c>
      <c r="I6" s="59" t="n">
        <v>0.025</v>
      </c>
      <c r="J6" s="60"/>
      <c r="K6" s="61"/>
      <c r="L6" s="61"/>
      <c r="M6" s="62"/>
      <c r="N6" s="63"/>
    </row>
    <row r="7" customFormat="false" ht="12.75" hidden="false" customHeight="false" outlineLevel="0" collapsed="false">
      <c r="A7" s="48" t="s">
        <v>2</v>
      </c>
      <c r="B7" s="49" t="n">
        <v>40000</v>
      </c>
      <c r="C7" s="50" t="n">
        <v>46000</v>
      </c>
      <c r="D7" s="51"/>
      <c r="E7" s="51"/>
      <c r="F7" s="51"/>
      <c r="G7" s="43"/>
      <c r="H7" s="58" t="s">
        <v>25</v>
      </c>
      <c r="I7" s="59" t="n">
        <v>0.0266</v>
      </c>
      <c r="J7" s="64" t="n">
        <v>0.3</v>
      </c>
      <c r="K7" s="61"/>
      <c r="L7" s="61"/>
      <c r="M7" s="62"/>
      <c r="N7" s="63"/>
    </row>
    <row r="8" customFormat="false" ht="12.75" hidden="false" customHeight="false" outlineLevel="0" collapsed="false">
      <c r="A8" s="48" t="s">
        <v>7</v>
      </c>
      <c r="B8" s="49" t="n">
        <v>40000</v>
      </c>
      <c r="C8" s="50" t="n">
        <v>46000</v>
      </c>
      <c r="D8" s="51"/>
      <c r="E8" s="51"/>
      <c r="F8" s="51"/>
      <c r="G8" s="43"/>
      <c r="H8" s="58" t="s">
        <v>26</v>
      </c>
      <c r="I8" s="59" t="n">
        <v>0.0125</v>
      </c>
      <c r="J8" s="59" t="n">
        <v>0.0125</v>
      </c>
      <c r="K8" s="61"/>
      <c r="L8" s="61"/>
      <c r="M8" s="62"/>
      <c r="N8" s="63"/>
    </row>
    <row r="9" customFormat="false" ht="12.75" hidden="false" customHeight="false" outlineLevel="0" collapsed="false">
      <c r="A9" s="48" t="s">
        <v>3</v>
      </c>
      <c r="B9" s="49" t="n">
        <v>40000</v>
      </c>
      <c r="C9" s="50" t="n">
        <v>46000</v>
      </c>
      <c r="D9" s="51"/>
      <c r="E9" s="51"/>
      <c r="F9" s="51"/>
      <c r="G9" s="43"/>
      <c r="H9" s="58" t="s">
        <v>27</v>
      </c>
      <c r="I9" s="59" t="n">
        <v>1</v>
      </c>
      <c r="J9" s="59" t="n">
        <v>1</v>
      </c>
      <c r="K9" s="61"/>
      <c r="L9" s="61"/>
      <c r="M9" s="62"/>
      <c r="N9" s="63"/>
    </row>
    <row r="10" customFormat="false" ht="12.75" hidden="false" customHeight="false" outlineLevel="0" collapsed="false">
      <c r="A10" s="65" t="s">
        <v>9</v>
      </c>
      <c r="B10" s="66" t="n">
        <v>440000</v>
      </c>
      <c r="C10" s="67" t="n">
        <f aca="false">403846+121154</f>
        <v>525000</v>
      </c>
      <c r="D10" s="67"/>
      <c r="E10" s="67"/>
      <c r="F10" s="67"/>
      <c r="G10" s="43"/>
      <c r="H10" s="68"/>
      <c r="I10" s="69"/>
      <c r="J10" s="70"/>
      <c r="K10" s="71"/>
      <c r="L10" s="71"/>
      <c r="M10" s="69"/>
      <c r="N10" s="72"/>
    </row>
    <row r="11" customFormat="false" ht="12.75" hidden="false" customHeight="false" outlineLevel="0" collapsed="false">
      <c r="A11" s="57" t="s">
        <v>28</v>
      </c>
      <c r="B11" s="49" t="n">
        <v>50000</v>
      </c>
      <c r="C11" s="50" t="n">
        <v>65000</v>
      </c>
      <c r="D11" s="67"/>
      <c r="E11" s="67"/>
      <c r="F11" s="67"/>
      <c r="G11" s="43"/>
      <c r="H11" s="73" t="s">
        <v>29</v>
      </c>
      <c r="I11" s="74" t="str">
        <f aca="false">+I4</f>
        <v>ELBA</v>
      </c>
      <c r="J11" s="75" t="str">
        <f aca="false">+J4</f>
        <v>LAKE CHARLES</v>
      </c>
      <c r="K11" s="76" t="str">
        <f aca="false">+K4</f>
        <v>CABOT</v>
      </c>
      <c r="L11" s="76" t="str">
        <f aca="false">+L4</f>
        <v>COVE POINT</v>
      </c>
      <c r="M11" s="74" t="str">
        <f aca="false">+M4</f>
        <v>BARCELONA</v>
      </c>
      <c r="N11" s="77" t="n">
        <f aca="false">+N4</f>
        <v>0</v>
      </c>
    </row>
    <row r="12" customFormat="false" ht="12.75" hidden="false" customHeight="false" outlineLevel="0" collapsed="false">
      <c r="B12" s="49"/>
      <c r="C12" s="50"/>
      <c r="D12" s="43"/>
      <c r="E12" s="43"/>
      <c r="F12" s="43"/>
      <c r="G12" s="43"/>
      <c r="H12" s="78" t="n">
        <f aca="false">+SHIPS!B26</f>
        <v>36708</v>
      </c>
      <c r="I12" s="53" t="n">
        <v>0</v>
      </c>
      <c r="J12" s="79"/>
      <c r="K12" s="80"/>
      <c r="L12" s="80"/>
      <c r="M12" s="81"/>
      <c r="N12" s="82"/>
    </row>
    <row r="13" customFormat="false" ht="12.75" hidden="false" customHeight="false" outlineLevel="0" collapsed="false">
      <c r="B13" s="49"/>
      <c r="C13" s="50"/>
      <c r="D13" s="43"/>
      <c r="E13" s="43"/>
      <c r="F13" s="43"/>
      <c r="G13" s="43"/>
      <c r="H13" s="83" t="n">
        <f aca="false">+SHIPS!B27</f>
        <v>36739</v>
      </c>
      <c r="I13" s="62" t="n">
        <v>0</v>
      </c>
      <c r="J13" s="84"/>
      <c r="K13" s="85"/>
      <c r="L13" s="85"/>
      <c r="M13" s="86"/>
      <c r="N13" s="87"/>
    </row>
    <row r="14" customFormat="false" ht="12.75" hidden="false" customHeight="false" outlineLevel="0" collapsed="false">
      <c r="B14" s="66"/>
      <c r="C14" s="50"/>
      <c r="D14" s="43"/>
      <c r="E14" s="43"/>
      <c r="F14" s="43"/>
      <c r="G14" s="43"/>
      <c r="H14" s="83" t="n">
        <f aca="false">+SHIPS!B28</f>
        <v>36770</v>
      </c>
      <c r="I14" s="62" t="n">
        <v>0</v>
      </c>
      <c r="J14" s="84"/>
      <c r="K14" s="85"/>
      <c r="L14" s="85"/>
      <c r="M14" s="86"/>
      <c r="N14" s="87"/>
    </row>
    <row r="15" customFormat="false" ht="12.75" hidden="false" customHeight="false" outlineLevel="0" collapsed="false">
      <c r="A15" s="88"/>
      <c r="B15" s="49"/>
      <c r="C15" s="50"/>
      <c r="D15" s="89"/>
      <c r="E15" s="89"/>
      <c r="F15" s="89"/>
      <c r="G15" s="90"/>
      <c r="H15" s="83" t="n">
        <f aca="false">+SHIPS!B29</f>
        <v>36800</v>
      </c>
      <c r="I15" s="62" t="n">
        <v>0</v>
      </c>
      <c r="J15" s="91"/>
      <c r="K15" s="92"/>
      <c r="L15" s="92"/>
      <c r="M15" s="89"/>
      <c r="N15" s="93"/>
    </row>
    <row r="16" customFormat="false" ht="12.75" hidden="false" customHeight="false" outlineLevel="0" collapsed="false">
      <c r="A16" s="88"/>
      <c r="B16" s="49"/>
      <c r="C16" s="50"/>
      <c r="D16" s="94"/>
      <c r="E16" s="94"/>
      <c r="F16" s="94"/>
      <c r="G16" s="90"/>
      <c r="H16" s="83" t="n">
        <f aca="false">+SHIPS!B30</f>
        <v>36831</v>
      </c>
      <c r="I16" s="62" t="n">
        <v>0</v>
      </c>
      <c r="J16" s="95"/>
      <c r="K16" s="96"/>
      <c r="L16" s="96"/>
      <c r="M16" s="94"/>
      <c r="N16" s="97"/>
    </row>
    <row r="17" customFormat="false" ht="12.75" hidden="false" customHeight="false" outlineLevel="0" collapsed="false">
      <c r="A17" s="88"/>
      <c r="B17" s="49"/>
      <c r="C17" s="50"/>
      <c r="D17" s="94"/>
      <c r="E17" s="94"/>
      <c r="F17" s="94"/>
      <c r="G17" s="98"/>
      <c r="H17" s="83" t="n">
        <f aca="false">+SHIPS!B31</f>
        <v>36861</v>
      </c>
      <c r="I17" s="62" t="n">
        <v>0</v>
      </c>
      <c r="J17" s="95"/>
      <c r="K17" s="96"/>
      <c r="L17" s="96"/>
      <c r="M17" s="94"/>
      <c r="N17" s="97"/>
    </row>
    <row r="18" customFormat="false" ht="12.75" hidden="false" customHeight="false" outlineLevel="0" collapsed="false">
      <c r="A18" s="98"/>
      <c r="B18" s="49"/>
      <c r="C18" s="50"/>
      <c r="D18" s="98"/>
      <c r="E18" s="99"/>
      <c r="F18" s="98"/>
      <c r="G18" s="98"/>
      <c r="H18" s="83" t="n">
        <f aca="false">+SHIPS!B32</f>
        <v>36892</v>
      </c>
      <c r="I18" s="62" t="n">
        <v>0</v>
      </c>
      <c r="J18" s="100"/>
      <c r="K18" s="101"/>
      <c r="L18" s="101"/>
      <c r="M18" s="99"/>
      <c r="N18" s="102"/>
    </row>
    <row r="19" customFormat="false" ht="12.75" hidden="false" customHeight="false" outlineLevel="0" collapsed="false">
      <c r="A19" s="98"/>
      <c r="B19" s="49"/>
      <c r="C19" s="50"/>
      <c r="D19" s="98"/>
      <c r="E19" s="98"/>
      <c r="F19" s="98"/>
      <c r="G19" s="98"/>
      <c r="H19" s="83" t="n">
        <f aca="false">+SHIPS!B33</f>
        <v>36923</v>
      </c>
      <c r="I19" s="62" t="n">
        <v>0</v>
      </c>
      <c r="J19" s="100"/>
      <c r="K19" s="101"/>
      <c r="L19" s="101"/>
      <c r="M19" s="98"/>
      <c r="N19" s="102"/>
    </row>
    <row r="20" customFormat="false" ht="12.75" hidden="false" customHeight="false" outlineLevel="0" collapsed="false">
      <c r="A20" s="98"/>
      <c r="B20" s="49"/>
      <c r="C20" s="50"/>
      <c r="D20" s="98"/>
      <c r="E20" s="98"/>
      <c r="F20" s="98"/>
      <c r="G20" s="98"/>
      <c r="H20" s="83" t="n">
        <f aca="false">+SHIPS!B34</f>
        <v>36951</v>
      </c>
      <c r="I20" s="62" t="n">
        <v>0</v>
      </c>
      <c r="J20" s="100"/>
      <c r="K20" s="101"/>
      <c r="L20" s="101"/>
      <c r="M20" s="98"/>
      <c r="N20" s="102"/>
    </row>
    <row r="21" customFormat="false" ht="12.75" hidden="false" customHeight="false" outlineLevel="0" collapsed="false">
      <c r="A21" s="98"/>
      <c r="B21" s="49"/>
      <c r="C21" s="50"/>
      <c r="D21" s="98"/>
      <c r="E21" s="98"/>
      <c r="F21" s="98"/>
      <c r="G21" s="98"/>
      <c r="H21" s="83" t="n">
        <f aca="false">+SHIPS!B35</f>
        <v>36982</v>
      </c>
      <c r="I21" s="62" t="n">
        <v>0</v>
      </c>
      <c r="J21" s="100"/>
      <c r="K21" s="101"/>
      <c r="L21" s="101"/>
      <c r="M21" s="98"/>
      <c r="N21" s="102"/>
    </row>
    <row r="22" customFormat="false" ht="12.75" hidden="false" customHeight="false" outlineLevel="0" collapsed="false">
      <c r="A22" s="98"/>
      <c r="B22" s="49"/>
      <c r="C22" s="50"/>
      <c r="D22" s="98"/>
      <c r="E22" s="98"/>
      <c r="F22" s="98"/>
      <c r="G22" s="98"/>
      <c r="H22" s="83" t="n">
        <f aca="false">+SHIPS!B36</f>
        <v>37012</v>
      </c>
      <c r="I22" s="62" t="n">
        <v>0</v>
      </c>
      <c r="J22" s="100"/>
      <c r="K22" s="101"/>
      <c r="L22" s="101"/>
      <c r="M22" s="98"/>
      <c r="N22" s="102"/>
    </row>
    <row r="23" customFormat="false" ht="12.75" hidden="false" customHeight="false" outlineLevel="0" collapsed="false">
      <c r="A23" s="98"/>
      <c r="B23" s="49"/>
      <c r="C23" s="50"/>
      <c r="D23" s="98"/>
      <c r="E23" s="98"/>
      <c r="F23" s="98"/>
      <c r="G23" s="98"/>
      <c r="H23" s="83" t="n">
        <f aca="false">+SHIPS!B37</f>
        <v>37043</v>
      </c>
      <c r="I23" s="62" t="n">
        <v>0</v>
      </c>
      <c r="J23" s="100"/>
      <c r="K23" s="101"/>
      <c r="L23" s="101"/>
      <c r="M23" s="98"/>
      <c r="N23" s="102"/>
    </row>
    <row r="24" customFormat="false" ht="12.75" hidden="false" customHeight="false" outlineLevel="0" collapsed="false">
      <c r="A24" s="98"/>
      <c r="B24" s="49"/>
      <c r="C24" s="50"/>
      <c r="D24" s="98"/>
      <c r="E24" s="98"/>
      <c r="F24" s="98"/>
      <c r="G24" s="98"/>
      <c r="H24" s="83" t="n">
        <f aca="false">+SHIPS!B38</f>
        <v>37073</v>
      </c>
      <c r="I24" s="62" t="n">
        <v>0</v>
      </c>
      <c r="J24" s="100"/>
      <c r="K24" s="101"/>
      <c r="L24" s="101"/>
      <c r="M24" s="98"/>
      <c r="N24" s="102"/>
    </row>
    <row r="25" customFormat="false" ht="12.75" hidden="false" customHeight="false" outlineLevel="0" collapsed="false">
      <c r="B25" s="49"/>
      <c r="C25" s="50"/>
      <c r="H25" s="83" t="n">
        <f aca="false">+SHIPS!B39</f>
        <v>37104</v>
      </c>
      <c r="I25" s="62" t="n">
        <v>0</v>
      </c>
      <c r="J25" s="103"/>
      <c r="K25" s="104"/>
      <c r="L25" s="104"/>
      <c r="M25" s="105"/>
      <c r="N25" s="106"/>
    </row>
    <row r="26" customFormat="false" ht="12.75" hidden="false" customHeight="false" outlineLevel="0" collapsed="false">
      <c r="B26" s="49"/>
      <c r="C26" s="50"/>
      <c r="H26" s="83" t="n">
        <f aca="false">+SHIPS!B40</f>
        <v>37135</v>
      </c>
      <c r="I26" s="62" t="n">
        <v>0</v>
      </c>
      <c r="J26" s="103"/>
      <c r="K26" s="104"/>
      <c r="L26" s="104"/>
      <c r="M26" s="105"/>
      <c r="N26" s="106"/>
    </row>
    <row r="27" customFormat="false" ht="12.75" hidden="false" customHeight="false" outlineLevel="0" collapsed="false">
      <c r="B27" s="49"/>
      <c r="C27" s="50"/>
      <c r="H27" s="83" t="n">
        <f aca="false">+SHIPS!B41</f>
        <v>37165</v>
      </c>
      <c r="I27" s="62" t="n">
        <v>0</v>
      </c>
      <c r="J27" s="103"/>
      <c r="K27" s="104"/>
      <c r="L27" s="104"/>
      <c r="M27" s="105"/>
      <c r="N27" s="106"/>
    </row>
    <row r="28" customFormat="false" ht="12.75" hidden="false" customHeight="false" outlineLevel="0" collapsed="false">
      <c r="B28" s="49"/>
      <c r="C28" s="50"/>
      <c r="H28" s="83" t="n">
        <f aca="false">+SHIPS!B42</f>
        <v>37196</v>
      </c>
      <c r="I28" s="62" t="n">
        <v>0</v>
      </c>
      <c r="J28" s="103"/>
      <c r="K28" s="104"/>
      <c r="L28" s="104"/>
      <c r="M28" s="105"/>
      <c r="N28" s="106"/>
    </row>
    <row r="29" customFormat="false" ht="12.75" hidden="false" customHeight="false" outlineLevel="0" collapsed="false">
      <c r="B29" s="49"/>
      <c r="C29" s="50"/>
      <c r="H29" s="83" t="n">
        <f aca="false">+SHIPS!B43</f>
        <v>37226</v>
      </c>
      <c r="I29" s="62" t="n">
        <v>0</v>
      </c>
      <c r="J29" s="103"/>
      <c r="K29" s="104"/>
      <c r="L29" s="104"/>
      <c r="M29" s="105"/>
      <c r="N29" s="106"/>
    </row>
    <row r="30" customFormat="false" ht="12.75" hidden="false" customHeight="false" outlineLevel="0" collapsed="false">
      <c r="B30" s="49"/>
      <c r="C30" s="50"/>
      <c r="H30" s="83" t="n">
        <f aca="false">+SHIPS!B44</f>
        <v>37257</v>
      </c>
      <c r="I30" s="62" t="n">
        <v>0</v>
      </c>
      <c r="J30" s="103"/>
      <c r="K30" s="104"/>
      <c r="L30" s="104"/>
      <c r="M30" s="105"/>
      <c r="N30" s="106"/>
    </row>
    <row r="31" customFormat="false" ht="12.75" hidden="false" customHeight="false" outlineLevel="0" collapsed="false">
      <c r="B31" s="49"/>
      <c r="C31" s="50"/>
      <c r="H31" s="83" t="n">
        <f aca="false">+SHIPS!B45</f>
        <v>37288</v>
      </c>
      <c r="I31" s="62" t="n">
        <v>0</v>
      </c>
      <c r="J31" s="103"/>
      <c r="K31" s="104"/>
      <c r="L31" s="104"/>
      <c r="M31" s="105"/>
      <c r="N31" s="106"/>
    </row>
    <row r="32" customFormat="false" ht="12.75" hidden="false" customHeight="false" outlineLevel="0" collapsed="false">
      <c r="B32" s="49"/>
      <c r="C32" s="50"/>
      <c r="H32" s="83" t="n">
        <f aca="false">+SHIPS!B46</f>
        <v>37316</v>
      </c>
      <c r="I32" s="62" t="n">
        <v>0</v>
      </c>
      <c r="J32" s="103"/>
      <c r="K32" s="104"/>
      <c r="L32" s="104"/>
      <c r="M32" s="105"/>
      <c r="N32" s="106"/>
    </row>
    <row r="33" customFormat="false" ht="12.75" hidden="false" customHeight="false" outlineLevel="0" collapsed="false">
      <c r="B33" s="49"/>
      <c r="C33" s="50"/>
      <c r="H33" s="83" t="n">
        <f aca="false">+SHIPS!B47</f>
        <v>37347</v>
      </c>
      <c r="I33" s="62" t="n">
        <f aca="false">5822238.8509/12</f>
        <v>485186.570908333</v>
      </c>
      <c r="J33" s="103"/>
      <c r="K33" s="104"/>
      <c r="L33" s="104"/>
      <c r="M33" s="105"/>
      <c r="N33" s="106"/>
    </row>
    <row r="34" customFormat="false" ht="12.75" hidden="false" customHeight="false" outlineLevel="0" collapsed="false">
      <c r="B34" s="49"/>
      <c r="C34" s="50"/>
      <c r="H34" s="83" t="n">
        <f aca="false">+SHIPS!B48</f>
        <v>37377</v>
      </c>
      <c r="I34" s="62" t="n">
        <f aca="false">+I33</f>
        <v>485186.570908333</v>
      </c>
      <c r="J34" s="103"/>
      <c r="K34" s="104"/>
      <c r="L34" s="104"/>
      <c r="M34" s="105"/>
      <c r="N34" s="106"/>
    </row>
    <row r="35" customFormat="false" ht="12.75" hidden="false" customHeight="false" outlineLevel="0" collapsed="false">
      <c r="B35" s="49"/>
      <c r="C35" s="50"/>
      <c r="H35" s="83" t="n">
        <f aca="false">+SHIPS!B49</f>
        <v>37408</v>
      </c>
      <c r="I35" s="62" t="n">
        <f aca="false">+I34</f>
        <v>485186.570908333</v>
      </c>
      <c r="J35" s="103"/>
      <c r="K35" s="104"/>
      <c r="L35" s="104"/>
      <c r="M35" s="105"/>
      <c r="N35" s="106"/>
    </row>
    <row r="36" customFormat="false" ht="12.75" hidden="false" customHeight="false" outlineLevel="0" collapsed="false">
      <c r="B36" s="49"/>
      <c r="C36" s="50"/>
      <c r="H36" s="83" t="n">
        <f aca="false">+SHIPS!B50</f>
        <v>37438</v>
      </c>
      <c r="I36" s="62" t="n">
        <f aca="false">+I35</f>
        <v>485186.570908333</v>
      </c>
      <c r="J36" s="103"/>
      <c r="K36" s="104"/>
      <c r="L36" s="104"/>
      <c r="M36" s="105"/>
      <c r="N36" s="106"/>
    </row>
    <row r="37" customFormat="false" ht="12.75" hidden="false" customHeight="false" outlineLevel="0" collapsed="false">
      <c r="B37" s="49"/>
      <c r="C37" s="50"/>
      <c r="H37" s="83" t="n">
        <f aca="false">+SHIPS!B51</f>
        <v>37469</v>
      </c>
      <c r="I37" s="62" t="n">
        <f aca="false">+I36</f>
        <v>485186.570908333</v>
      </c>
      <c r="J37" s="103"/>
      <c r="K37" s="104"/>
      <c r="L37" s="104"/>
      <c r="M37" s="105"/>
      <c r="N37" s="106"/>
    </row>
    <row r="38" customFormat="false" ht="12.75" hidden="false" customHeight="false" outlineLevel="0" collapsed="false">
      <c r="B38" s="49"/>
      <c r="C38" s="50"/>
      <c r="H38" s="83" t="n">
        <f aca="false">+SHIPS!B52</f>
        <v>37500</v>
      </c>
      <c r="I38" s="62" t="n">
        <f aca="false">+I37</f>
        <v>485186.570908333</v>
      </c>
      <c r="J38" s="103"/>
      <c r="K38" s="104"/>
      <c r="L38" s="104"/>
      <c r="M38" s="105"/>
      <c r="N38" s="106"/>
    </row>
    <row r="39" customFormat="false" ht="12.75" hidden="false" customHeight="false" outlineLevel="0" collapsed="false">
      <c r="B39" s="49"/>
      <c r="C39" s="50"/>
      <c r="H39" s="83" t="n">
        <f aca="false">+SHIPS!B53</f>
        <v>37530</v>
      </c>
      <c r="I39" s="62" t="n">
        <f aca="false">+I38</f>
        <v>485186.570908333</v>
      </c>
      <c r="J39" s="103"/>
      <c r="K39" s="104"/>
      <c r="L39" s="104"/>
      <c r="M39" s="105"/>
      <c r="N39" s="106"/>
    </row>
    <row r="40" customFormat="false" ht="12.75" hidden="false" customHeight="false" outlineLevel="0" collapsed="false">
      <c r="B40" s="49"/>
      <c r="C40" s="50"/>
      <c r="H40" s="83" t="n">
        <f aca="false">+SHIPS!B54</f>
        <v>37561</v>
      </c>
      <c r="I40" s="62" t="n">
        <f aca="false">+I39</f>
        <v>485186.570908333</v>
      </c>
      <c r="J40" s="103"/>
      <c r="K40" s="104"/>
      <c r="L40" s="104"/>
      <c r="M40" s="105"/>
      <c r="N40" s="106"/>
    </row>
    <row r="41" customFormat="false" ht="12.75" hidden="false" customHeight="false" outlineLevel="0" collapsed="false">
      <c r="B41" s="49"/>
      <c r="C41" s="50"/>
      <c r="H41" s="83" t="n">
        <f aca="false">+SHIPS!B55</f>
        <v>37591</v>
      </c>
      <c r="I41" s="62" t="n">
        <f aca="false">+I40</f>
        <v>485186.570908333</v>
      </c>
      <c r="J41" s="103"/>
      <c r="K41" s="104"/>
      <c r="L41" s="104"/>
      <c r="M41" s="105"/>
      <c r="N41" s="106"/>
    </row>
    <row r="42" customFormat="false" ht="12.75" hidden="false" customHeight="false" outlineLevel="0" collapsed="false">
      <c r="B42" s="49"/>
      <c r="C42" s="50"/>
      <c r="H42" s="83" t="n">
        <f aca="false">+SHIPS!B56</f>
        <v>37622</v>
      </c>
      <c r="I42" s="62" t="n">
        <f aca="false">+I41</f>
        <v>485186.570908333</v>
      </c>
      <c r="J42" s="103"/>
      <c r="K42" s="104"/>
      <c r="L42" s="104"/>
      <c r="M42" s="105"/>
      <c r="N42" s="106"/>
    </row>
    <row r="43" customFormat="false" ht="12.75" hidden="false" customHeight="false" outlineLevel="0" collapsed="false">
      <c r="B43" s="49"/>
      <c r="C43" s="50"/>
      <c r="H43" s="83" t="n">
        <f aca="false">+SHIPS!B57</f>
        <v>37653</v>
      </c>
      <c r="I43" s="62" t="n">
        <f aca="false">+I42</f>
        <v>485186.570908333</v>
      </c>
      <c r="J43" s="103"/>
      <c r="K43" s="104"/>
      <c r="L43" s="104"/>
      <c r="M43" s="105"/>
      <c r="N43" s="106"/>
    </row>
    <row r="44" customFormat="false" ht="12.75" hidden="false" customHeight="false" outlineLevel="0" collapsed="false">
      <c r="B44" s="49"/>
      <c r="C44" s="50"/>
      <c r="H44" s="83" t="n">
        <f aca="false">+SHIPS!B58</f>
        <v>37681</v>
      </c>
      <c r="I44" s="62" t="n">
        <f aca="false">+I43</f>
        <v>485186.570908333</v>
      </c>
      <c r="J44" s="103"/>
      <c r="K44" s="104"/>
      <c r="L44" s="104"/>
      <c r="M44" s="105"/>
      <c r="N44" s="106"/>
    </row>
    <row r="45" customFormat="false" ht="12.75" hidden="false" customHeight="false" outlineLevel="0" collapsed="false">
      <c r="B45" s="49"/>
      <c r="C45" s="50"/>
      <c r="H45" s="83" t="n">
        <f aca="false">+SHIPS!B59</f>
        <v>37712</v>
      </c>
      <c r="I45" s="62" t="n">
        <f aca="false">+I44</f>
        <v>485186.570908333</v>
      </c>
      <c r="J45" s="103"/>
      <c r="K45" s="104"/>
      <c r="L45" s="104"/>
      <c r="M45" s="105"/>
      <c r="N45" s="106"/>
    </row>
    <row r="46" customFormat="false" ht="12.75" hidden="false" customHeight="false" outlineLevel="0" collapsed="false">
      <c r="B46" s="49"/>
      <c r="C46" s="50"/>
      <c r="H46" s="83" t="n">
        <f aca="false">+SHIPS!B60</f>
        <v>37742</v>
      </c>
      <c r="I46" s="62" t="n">
        <f aca="false">+I45</f>
        <v>485186.570908333</v>
      </c>
      <c r="J46" s="103"/>
      <c r="K46" s="104"/>
      <c r="L46" s="104"/>
      <c r="M46" s="105"/>
      <c r="N46" s="106"/>
    </row>
    <row r="47" customFormat="false" ht="12.75" hidden="false" customHeight="false" outlineLevel="0" collapsed="false">
      <c r="B47" s="49"/>
      <c r="C47" s="50"/>
      <c r="H47" s="83" t="n">
        <f aca="false">+SHIPS!B61</f>
        <v>37773</v>
      </c>
      <c r="I47" s="62" t="n">
        <f aca="false">+I46</f>
        <v>485186.570908333</v>
      </c>
      <c r="J47" s="103"/>
      <c r="K47" s="104"/>
      <c r="L47" s="104"/>
      <c r="M47" s="105"/>
      <c r="N47" s="106"/>
    </row>
    <row r="48" customFormat="false" ht="12.75" hidden="false" customHeight="false" outlineLevel="0" collapsed="false">
      <c r="B48" s="49"/>
      <c r="C48" s="50"/>
      <c r="H48" s="83" t="n">
        <f aca="false">+SHIPS!B62</f>
        <v>37803</v>
      </c>
      <c r="I48" s="62" t="n">
        <f aca="false">+I47</f>
        <v>485186.570908333</v>
      </c>
      <c r="J48" s="103"/>
      <c r="K48" s="104"/>
      <c r="L48" s="104"/>
      <c r="M48" s="105"/>
      <c r="N48" s="106"/>
    </row>
    <row r="49" customFormat="false" ht="12.75" hidden="false" customHeight="false" outlineLevel="0" collapsed="false">
      <c r="B49" s="49"/>
      <c r="C49" s="50"/>
      <c r="H49" s="83" t="n">
        <f aca="false">+SHIPS!B63</f>
        <v>37834</v>
      </c>
      <c r="I49" s="62" t="n">
        <f aca="false">+I48</f>
        <v>485186.570908333</v>
      </c>
      <c r="J49" s="103"/>
      <c r="K49" s="104"/>
      <c r="L49" s="104"/>
      <c r="M49" s="105"/>
      <c r="N49" s="106"/>
    </row>
    <row r="50" customFormat="false" ht="12.75" hidden="false" customHeight="false" outlineLevel="0" collapsed="false">
      <c r="B50" s="49"/>
      <c r="C50" s="50"/>
      <c r="H50" s="83" t="n">
        <f aca="false">+SHIPS!B64</f>
        <v>37865</v>
      </c>
      <c r="I50" s="62" t="n">
        <f aca="false">+I49</f>
        <v>485186.570908333</v>
      </c>
      <c r="J50" s="103"/>
      <c r="K50" s="104"/>
      <c r="L50" s="104"/>
      <c r="M50" s="105"/>
      <c r="N50" s="106"/>
    </row>
    <row r="51" customFormat="false" ht="12.75" hidden="false" customHeight="false" outlineLevel="0" collapsed="false">
      <c r="B51" s="49"/>
      <c r="C51" s="50"/>
      <c r="H51" s="83" t="n">
        <f aca="false">+SHIPS!B65</f>
        <v>37895</v>
      </c>
      <c r="I51" s="62" t="n">
        <f aca="false">+I50</f>
        <v>485186.570908333</v>
      </c>
      <c r="J51" s="103"/>
      <c r="K51" s="104"/>
      <c r="L51" s="104"/>
      <c r="M51" s="105"/>
      <c r="N51" s="106"/>
    </row>
    <row r="52" customFormat="false" ht="12.75" hidden="false" customHeight="false" outlineLevel="0" collapsed="false">
      <c r="B52" s="49"/>
      <c r="C52" s="50"/>
      <c r="H52" s="83" t="n">
        <f aca="false">+SHIPS!B66</f>
        <v>37926</v>
      </c>
      <c r="I52" s="62" t="n">
        <f aca="false">+I51</f>
        <v>485186.570908333</v>
      </c>
      <c r="J52" s="103"/>
      <c r="K52" s="104"/>
      <c r="L52" s="104"/>
      <c r="M52" s="105"/>
      <c r="N52" s="106"/>
    </row>
    <row r="53" customFormat="false" ht="12.75" hidden="false" customHeight="false" outlineLevel="0" collapsed="false">
      <c r="B53" s="49"/>
      <c r="C53" s="50"/>
      <c r="H53" s="83" t="n">
        <f aca="false">+SHIPS!B67</f>
        <v>37956</v>
      </c>
      <c r="I53" s="62" t="n">
        <f aca="false">+I52</f>
        <v>485186.570908333</v>
      </c>
      <c r="J53" s="103"/>
      <c r="K53" s="104"/>
      <c r="L53" s="104"/>
      <c r="M53" s="105"/>
      <c r="N53" s="106"/>
    </row>
    <row r="54" customFormat="false" ht="12.75" hidden="false" customHeight="false" outlineLevel="0" collapsed="false">
      <c r="B54" s="49"/>
      <c r="C54" s="50"/>
      <c r="H54" s="83" t="n">
        <f aca="false">+SHIPS!B68</f>
        <v>37987</v>
      </c>
      <c r="I54" s="62" t="n">
        <f aca="false">+I53</f>
        <v>485186.570908333</v>
      </c>
      <c r="J54" s="103"/>
      <c r="K54" s="104"/>
      <c r="L54" s="104"/>
      <c r="M54" s="105"/>
      <c r="N54" s="106"/>
    </row>
    <row r="55" customFormat="false" ht="12.75" hidden="false" customHeight="false" outlineLevel="0" collapsed="false">
      <c r="B55" s="49"/>
      <c r="C55" s="50"/>
      <c r="H55" s="83" t="n">
        <f aca="false">+SHIPS!B69</f>
        <v>38018</v>
      </c>
      <c r="I55" s="62" t="n">
        <f aca="false">+I54</f>
        <v>485186.570908333</v>
      </c>
      <c r="J55" s="103"/>
      <c r="K55" s="104"/>
      <c r="L55" s="104"/>
      <c r="M55" s="105"/>
      <c r="N55" s="106"/>
    </row>
    <row r="56" customFormat="false" ht="12.75" hidden="false" customHeight="false" outlineLevel="0" collapsed="false">
      <c r="B56" s="49"/>
      <c r="C56" s="50"/>
      <c r="H56" s="83" t="n">
        <f aca="false">+SHIPS!B70</f>
        <v>38047</v>
      </c>
      <c r="I56" s="62" t="n">
        <f aca="false">+I55</f>
        <v>485186.570908333</v>
      </c>
      <c r="J56" s="103"/>
      <c r="K56" s="104"/>
      <c r="L56" s="104"/>
      <c r="M56" s="105"/>
      <c r="N56" s="106"/>
    </row>
    <row r="57" customFormat="false" ht="12.75" hidden="false" customHeight="false" outlineLevel="0" collapsed="false">
      <c r="B57" s="49"/>
      <c r="C57" s="50"/>
      <c r="H57" s="83" t="n">
        <f aca="false">+SHIPS!B71</f>
        <v>38078</v>
      </c>
      <c r="I57" s="62" t="n">
        <f aca="false">+I56</f>
        <v>485186.570908333</v>
      </c>
      <c r="J57" s="103"/>
      <c r="K57" s="104"/>
      <c r="L57" s="104"/>
      <c r="M57" s="105"/>
      <c r="N57" s="106"/>
    </row>
    <row r="58" customFormat="false" ht="12.75" hidden="false" customHeight="false" outlineLevel="0" collapsed="false">
      <c r="B58" s="49"/>
      <c r="C58" s="50"/>
      <c r="H58" s="83" t="n">
        <f aca="false">+SHIPS!B72</f>
        <v>38108</v>
      </c>
      <c r="I58" s="62" t="n">
        <f aca="false">+I57</f>
        <v>485186.570908333</v>
      </c>
      <c r="J58" s="103"/>
      <c r="K58" s="104"/>
      <c r="L58" s="104"/>
      <c r="M58" s="105"/>
      <c r="N58" s="106"/>
    </row>
    <row r="59" customFormat="false" ht="12.75" hidden="false" customHeight="false" outlineLevel="0" collapsed="false">
      <c r="B59" s="49"/>
      <c r="C59" s="50"/>
      <c r="H59" s="83" t="n">
        <f aca="false">+SHIPS!B73</f>
        <v>38139</v>
      </c>
      <c r="I59" s="62" t="n">
        <f aca="false">+I58</f>
        <v>485186.570908333</v>
      </c>
      <c r="J59" s="103"/>
      <c r="K59" s="104"/>
      <c r="L59" s="104"/>
      <c r="M59" s="105"/>
      <c r="N59" s="106"/>
    </row>
    <row r="60" customFormat="false" ht="12.75" hidden="false" customHeight="false" outlineLevel="0" collapsed="false">
      <c r="B60" s="49"/>
      <c r="C60" s="50"/>
      <c r="H60" s="83" t="n">
        <f aca="false">+SHIPS!B74</f>
        <v>38169</v>
      </c>
      <c r="I60" s="62" t="n">
        <f aca="false">+I59</f>
        <v>485186.570908333</v>
      </c>
      <c r="J60" s="103"/>
      <c r="K60" s="104"/>
      <c r="L60" s="104"/>
      <c r="M60" s="105"/>
      <c r="N60" s="106"/>
    </row>
    <row r="61" customFormat="false" ht="12.75" hidden="false" customHeight="false" outlineLevel="0" collapsed="false">
      <c r="B61" s="49"/>
      <c r="C61" s="50"/>
      <c r="H61" s="83" t="n">
        <f aca="false">+SHIPS!B75</f>
        <v>38200</v>
      </c>
      <c r="I61" s="62" t="n">
        <f aca="false">+I60</f>
        <v>485186.570908333</v>
      </c>
      <c r="J61" s="103"/>
      <c r="K61" s="104"/>
      <c r="L61" s="104"/>
      <c r="M61" s="105"/>
      <c r="N61" s="106"/>
    </row>
    <row r="62" customFormat="false" ht="12.75" hidden="false" customHeight="false" outlineLevel="0" collapsed="false">
      <c r="B62" s="49"/>
      <c r="C62" s="50"/>
      <c r="H62" s="83" t="n">
        <f aca="false">+SHIPS!B76</f>
        <v>38231</v>
      </c>
      <c r="I62" s="62" t="n">
        <f aca="false">+I61</f>
        <v>485186.570908333</v>
      </c>
      <c r="J62" s="103"/>
      <c r="K62" s="104"/>
      <c r="L62" s="104"/>
      <c r="M62" s="105"/>
      <c r="N62" s="106"/>
    </row>
    <row r="63" customFormat="false" ht="12.75" hidden="false" customHeight="false" outlineLevel="0" collapsed="false">
      <c r="B63" s="49"/>
      <c r="C63" s="50"/>
      <c r="H63" s="83" t="n">
        <f aca="false">+SHIPS!B77</f>
        <v>38261</v>
      </c>
      <c r="I63" s="62" t="n">
        <f aca="false">+I62</f>
        <v>485186.570908333</v>
      </c>
      <c r="J63" s="103"/>
      <c r="K63" s="104"/>
      <c r="L63" s="104"/>
      <c r="M63" s="105"/>
      <c r="N63" s="106"/>
    </row>
    <row r="64" customFormat="false" ht="12.75" hidden="false" customHeight="false" outlineLevel="0" collapsed="false">
      <c r="B64" s="49"/>
      <c r="C64" s="50"/>
      <c r="H64" s="83" t="n">
        <f aca="false">+SHIPS!B78</f>
        <v>38292</v>
      </c>
      <c r="I64" s="62" t="n">
        <f aca="false">+I63</f>
        <v>485186.570908333</v>
      </c>
      <c r="J64" s="103"/>
      <c r="K64" s="104"/>
      <c r="L64" s="104"/>
      <c r="M64" s="105"/>
      <c r="N64" s="106"/>
    </row>
    <row r="65" customFormat="false" ht="12.75" hidden="false" customHeight="false" outlineLevel="0" collapsed="false">
      <c r="B65" s="49"/>
      <c r="C65" s="50"/>
      <c r="H65" s="83" t="n">
        <f aca="false">+SHIPS!B79</f>
        <v>38322</v>
      </c>
      <c r="I65" s="62" t="n">
        <f aca="false">+I64</f>
        <v>485186.570908333</v>
      </c>
      <c r="J65" s="103"/>
      <c r="K65" s="104"/>
      <c r="L65" s="104"/>
      <c r="M65" s="105"/>
      <c r="N65" s="106"/>
    </row>
    <row r="66" customFormat="false" ht="12.75" hidden="false" customHeight="false" outlineLevel="0" collapsed="false">
      <c r="B66" s="49"/>
      <c r="C66" s="50"/>
      <c r="H66" s="83" t="n">
        <f aca="false">+SHIPS!B80</f>
        <v>38353</v>
      </c>
      <c r="I66" s="62" t="n">
        <f aca="false">+I65</f>
        <v>485186.570908333</v>
      </c>
      <c r="J66" s="103"/>
      <c r="K66" s="104"/>
      <c r="L66" s="104"/>
      <c r="M66" s="105"/>
      <c r="N66" s="106"/>
    </row>
    <row r="67" customFormat="false" ht="12.75" hidden="false" customHeight="false" outlineLevel="0" collapsed="false">
      <c r="B67" s="49"/>
      <c r="C67" s="50"/>
      <c r="H67" s="83" t="n">
        <f aca="false">+SHIPS!B81</f>
        <v>38384</v>
      </c>
      <c r="I67" s="62" t="n">
        <f aca="false">+I66</f>
        <v>485186.570908333</v>
      </c>
      <c r="J67" s="103"/>
      <c r="K67" s="104"/>
      <c r="L67" s="104"/>
      <c r="M67" s="105"/>
      <c r="N67" s="106"/>
    </row>
    <row r="68" customFormat="false" ht="12.75" hidden="false" customHeight="false" outlineLevel="0" collapsed="false">
      <c r="B68" s="49"/>
      <c r="C68" s="50"/>
      <c r="H68" s="83" t="n">
        <f aca="false">+SHIPS!B82</f>
        <v>38412</v>
      </c>
      <c r="I68" s="62" t="n">
        <f aca="false">+I67</f>
        <v>485186.570908333</v>
      </c>
      <c r="J68" s="103"/>
      <c r="K68" s="104"/>
      <c r="L68" s="104"/>
      <c r="M68" s="105"/>
      <c r="N68" s="106"/>
    </row>
    <row r="69" customFormat="false" ht="12.75" hidden="false" customHeight="false" outlineLevel="0" collapsed="false">
      <c r="B69" s="49"/>
      <c r="C69" s="50"/>
      <c r="H69" s="83" t="n">
        <f aca="false">+SHIPS!B83</f>
        <v>38443</v>
      </c>
      <c r="I69" s="62" t="n">
        <f aca="false">+I68</f>
        <v>485186.570908333</v>
      </c>
      <c r="J69" s="103"/>
      <c r="K69" s="104"/>
      <c r="L69" s="104"/>
      <c r="M69" s="105"/>
      <c r="N69" s="106"/>
    </row>
    <row r="70" customFormat="false" ht="12.75" hidden="false" customHeight="false" outlineLevel="0" collapsed="false">
      <c r="B70" s="49"/>
      <c r="C70" s="50"/>
      <c r="H70" s="83" t="n">
        <f aca="false">+SHIPS!B84</f>
        <v>38473</v>
      </c>
      <c r="I70" s="62" t="n">
        <f aca="false">+I69</f>
        <v>485186.570908333</v>
      </c>
      <c r="J70" s="103"/>
      <c r="K70" s="104"/>
      <c r="L70" s="104"/>
      <c r="M70" s="105"/>
      <c r="N70" s="106"/>
    </row>
    <row r="71" customFormat="false" ht="12.75" hidden="false" customHeight="false" outlineLevel="0" collapsed="false">
      <c r="B71" s="49"/>
      <c r="C71" s="50"/>
      <c r="H71" s="83" t="n">
        <f aca="false">+SHIPS!B85</f>
        <v>38504</v>
      </c>
      <c r="I71" s="62" t="n">
        <f aca="false">+I70</f>
        <v>485186.570908333</v>
      </c>
      <c r="J71" s="103"/>
      <c r="K71" s="104"/>
      <c r="L71" s="104"/>
      <c r="M71" s="105"/>
      <c r="N71" s="106"/>
    </row>
    <row r="72" customFormat="false" ht="12.75" hidden="false" customHeight="false" outlineLevel="0" collapsed="false">
      <c r="B72" s="49"/>
      <c r="C72" s="50"/>
      <c r="H72" s="83" t="n">
        <f aca="false">+SHIPS!B86</f>
        <v>38534</v>
      </c>
      <c r="I72" s="62" t="n">
        <f aca="false">+I71</f>
        <v>485186.570908333</v>
      </c>
      <c r="J72" s="103"/>
      <c r="K72" s="104"/>
      <c r="L72" s="104"/>
      <c r="M72" s="105"/>
      <c r="N72" s="106"/>
    </row>
    <row r="73" customFormat="false" ht="12.75" hidden="false" customHeight="false" outlineLevel="0" collapsed="false">
      <c r="B73" s="49"/>
      <c r="C73" s="50"/>
      <c r="H73" s="83" t="n">
        <f aca="false">+SHIPS!B87</f>
        <v>38565</v>
      </c>
      <c r="I73" s="62" t="n">
        <f aca="false">+I72</f>
        <v>485186.570908333</v>
      </c>
      <c r="J73" s="103"/>
      <c r="K73" s="104"/>
      <c r="L73" s="104"/>
      <c r="M73" s="105"/>
      <c r="N73" s="106"/>
    </row>
    <row r="74" customFormat="false" ht="12.75" hidden="false" customHeight="false" outlineLevel="0" collapsed="false">
      <c r="B74" s="49"/>
      <c r="C74" s="50"/>
      <c r="H74" s="83" t="n">
        <f aca="false">+SHIPS!B88</f>
        <v>38596</v>
      </c>
      <c r="I74" s="62" t="n">
        <f aca="false">+I73</f>
        <v>485186.570908333</v>
      </c>
      <c r="J74" s="103"/>
      <c r="K74" s="104"/>
      <c r="L74" s="104"/>
      <c r="M74" s="105"/>
      <c r="N74" s="106"/>
    </row>
    <row r="75" customFormat="false" ht="12.75" hidden="false" customHeight="false" outlineLevel="0" collapsed="false">
      <c r="B75" s="49"/>
      <c r="C75" s="50"/>
      <c r="H75" s="83" t="n">
        <f aca="false">+SHIPS!B89</f>
        <v>38626</v>
      </c>
      <c r="I75" s="62" t="n">
        <f aca="false">+I74</f>
        <v>485186.570908333</v>
      </c>
      <c r="J75" s="103"/>
      <c r="K75" s="104"/>
      <c r="L75" s="104"/>
      <c r="M75" s="105"/>
      <c r="N75" s="106"/>
    </row>
    <row r="76" customFormat="false" ht="12.75" hidden="false" customHeight="false" outlineLevel="0" collapsed="false">
      <c r="B76" s="49"/>
      <c r="C76" s="50"/>
      <c r="H76" s="83" t="n">
        <f aca="false">+SHIPS!B90</f>
        <v>38657</v>
      </c>
      <c r="I76" s="62" t="n">
        <f aca="false">+I75</f>
        <v>485186.570908333</v>
      </c>
      <c r="J76" s="103"/>
      <c r="K76" s="104"/>
      <c r="L76" s="104"/>
      <c r="M76" s="105"/>
      <c r="N76" s="106"/>
    </row>
    <row r="77" customFormat="false" ht="12.75" hidden="false" customHeight="false" outlineLevel="0" collapsed="false">
      <c r="B77" s="49"/>
      <c r="C77" s="50"/>
      <c r="H77" s="83" t="n">
        <f aca="false">+SHIPS!B91</f>
        <v>38687</v>
      </c>
      <c r="I77" s="62" t="n">
        <f aca="false">+I76</f>
        <v>485186.570908333</v>
      </c>
      <c r="J77" s="103"/>
      <c r="K77" s="104"/>
      <c r="L77" s="104"/>
      <c r="M77" s="105"/>
      <c r="N77" s="106"/>
    </row>
    <row r="78" customFormat="false" ht="12.75" hidden="false" customHeight="false" outlineLevel="0" collapsed="false">
      <c r="B78" s="49"/>
      <c r="C78" s="50"/>
      <c r="H78" s="83" t="n">
        <f aca="false">+SHIPS!B92</f>
        <v>38718</v>
      </c>
      <c r="I78" s="62" t="n">
        <f aca="false">+I77</f>
        <v>485186.570908333</v>
      </c>
      <c r="J78" s="103"/>
      <c r="K78" s="104"/>
      <c r="L78" s="104"/>
      <c r="M78" s="105"/>
      <c r="N78" s="106"/>
    </row>
    <row r="79" customFormat="false" ht="12.75" hidden="false" customHeight="false" outlineLevel="0" collapsed="false">
      <c r="B79" s="49"/>
      <c r="C79" s="50"/>
      <c r="H79" s="83" t="n">
        <f aca="false">+SHIPS!B93</f>
        <v>38749</v>
      </c>
      <c r="I79" s="62" t="n">
        <f aca="false">+I78</f>
        <v>485186.570908333</v>
      </c>
      <c r="J79" s="103"/>
      <c r="K79" s="104"/>
      <c r="L79" s="104"/>
      <c r="M79" s="105"/>
      <c r="N79" s="106"/>
    </row>
    <row r="80" customFormat="false" ht="12.75" hidden="false" customHeight="false" outlineLevel="0" collapsed="false">
      <c r="B80" s="49"/>
      <c r="C80" s="50"/>
      <c r="H80" s="83" t="n">
        <f aca="false">+SHIPS!B94</f>
        <v>38777</v>
      </c>
      <c r="I80" s="62" t="n">
        <f aca="false">+I79</f>
        <v>485186.570908333</v>
      </c>
      <c r="J80" s="103"/>
      <c r="K80" s="104"/>
      <c r="L80" s="104"/>
      <c r="M80" s="105"/>
      <c r="N80" s="106"/>
    </row>
    <row r="81" customFormat="false" ht="12.75" hidden="false" customHeight="false" outlineLevel="0" collapsed="false">
      <c r="B81" s="49"/>
      <c r="C81" s="50"/>
      <c r="H81" s="83" t="n">
        <f aca="false">+SHIPS!B95</f>
        <v>38808</v>
      </c>
      <c r="I81" s="62" t="n">
        <f aca="false">+I80</f>
        <v>485186.570908333</v>
      </c>
      <c r="J81" s="103"/>
      <c r="K81" s="104"/>
      <c r="L81" s="104"/>
      <c r="M81" s="105"/>
      <c r="N81" s="106"/>
    </row>
    <row r="82" customFormat="false" ht="12.75" hidden="false" customHeight="false" outlineLevel="0" collapsed="false">
      <c r="B82" s="49"/>
      <c r="C82" s="50"/>
      <c r="H82" s="83" t="n">
        <f aca="false">+SHIPS!B96</f>
        <v>38838</v>
      </c>
      <c r="I82" s="62" t="n">
        <f aca="false">+I81</f>
        <v>485186.570908333</v>
      </c>
      <c r="J82" s="103"/>
      <c r="K82" s="104"/>
      <c r="L82" s="104"/>
      <c r="M82" s="105"/>
      <c r="N82" s="106"/>
    </row>
    <row r="83" customFormat="false" ht="12.75" hidden="false" customHeight="false" outlineLevel="0" collapsed="false">
      <c r="B83" s="49"/>
      <c r="C83" s="50"/>
      <c r="H83" s="83" t="n">
        <f aca="false">+SHIPS!B97</f>
        <v>38869</v>
      </c>
      <c r="I83" s="62" t="n">
        <f aca="false">+I82</f>
        <v>485186.570908333</v>
      </c>
      <c r="J83" s="103"/>
      <c r="K83" s="104"/>
      <c r="L83" s="104"/>
      <c r="M83" s="105"/>
      <c r="N83" s="106"/>
    </row>
    <row r="84" customFormat="false" ht="12.75" hidden="false" customHeight="false" outlineLevel="0" collapsed="false">
      <c r="B84" s="49"/>
      <c r="C84" s="50"/>
      <c r="H84" s="83" t="n">
        <f aca="false">+SHIPS!B98</f>
        <v>38899</v>
      </c>
      <c r="I84" s="62" t="n">
        <f aca="false">+I83</f>
        <v>485186.570908333</v>
      </c>
      <c r="J84" s="103"/>
      <c r="K84" s="104"/>
      <c r="L84" s="104"/>
      <c r="M84" s="105"/>
      <c r="N84" s="106"/>
    </row>
    <row r="85" customFormat="false" ht="12.75" hidden="false" customHeight="false" outlineLevel="0" collapsed="false">
      <c r="B85" s="49"/>
      <c r="C85" s="50"/>
      <c r="H85" s="83" t="n">
        <f aca="false">+SHIPS!B99</f>
        <v>38930</v>
      </c>
      <c r="I85" s="62" t="n">
        <f aca="false">+I84</f>
        <v>485186.570908333</v>
      </c>
      <c r="J85" s="103"/>
      <c r="K85" s="104"/>
      <c r="L85" s="104"/>
      <c r="M85" s="105"/>
      <c r="N85" s="106"/>
    </row>
    <row r="86" customFormat="false" ht="12.75" hidden="false" customHeight="false" outlineLevel="0" collapsed="false">
      <c r="B86" s="49"/>
      <c r="C86" s="50"/>
      <c r="H86" s="83" t="n">
        <f aca="false">+SHIPS!B100</f>
        <v>38961</v>
      </c>
      <c r="I86" s="62" t="n">
        <f aca="false">+I85</f>
        <v>485186.570908333</v>
      </c>
      <c r="J86" s="103"/>
      <c r="K86" s="104"/>
      <c r="L86" s="104"/>
      <c r="M86" s="105"/>
      <c r="N86" s="106"/>
    </row>
    <row r="87" customFormat="false" ht="12.75" hidden="false" customHeight="false" outlineLevel="0" collapsed="false">
      <c r="B87" s="49"/>
      <c r="C87" s="50"/>
      <c r="H87" s="83" t="n">
        <f aca="false">+SHIPS!B101</f>
        <v>38991</v>
      </c>
      <c r="I87" s="62" t="n">
        <f aca="false">+I86</f>
        <v>485186.570908333</v>
      </c>
      <c r="J87" s="103"/>
      <c r="K87" s="104"/>
      <c r="L87" s="104"/>
      <c r="M87" s="105"/>
      <c r="N87" s="106"/>
    </row>
    <row r="88" customFormat="false" ht="12.75" hidden="false" customHeight="false" outlineLevel="0" collapsed="false">
      <c r="B88" s="49"/>
      <c r="C88" s="50"/>
      <c r="H88" s="83" t="n">
        <f aca="false">+SHIPS!B102</f>
        <v>39022</v>
      </c>
      <c r="I88" s="62" t="n">
        <f aca="false">+I87</f>
        <v>485186.570908333</v>
      </c>
      <c r="J88" s="103"/>
      <c r="K88" s="104"/>
      <c r="L88" s="104"/>
      <c r="M88" s="105"/>
      <c r="N88" s="106"/>
    </row>
    <row r="89" customFormat="false" ht="12.75" hidden="false" customHeight="false" outlineLevel="0" collapsed="false">
      <c r="B89" s="49"/>
      <c r="C89" s="50"/>
      <c r="H89" s="83" t="n">
        <f aca="false">+SHIPS!B103</f>
        <v>39052</v>
      </c>
      <c r="I89" s="62" t="n">
        <f aca="false">+I88</f>
        <v>485186.570908333</v>
      </c>
      <c r="J89" s="103"/>
      <c r="K89" s="104"/>
      <c r="L89" s="104"/>
      <c r="M89" s="105"/>
      <c r="N89" s="106"/>
    </row>
    <row r="90" customFormat="false" ht="12.75" hidden="false" customHeight="false" outlineLevel="0" collapsed="false">
      <c r="B90" s="49"/>
      <c r="C90" s="50"/>
      <c r="H90" s="83" t="n">
        <f aca="false">+SHIPS!B104</f>
        <v>39083</v>
      </c>
      <c r="I90" s="62" t="n">
        <f aca="false">+I89</f>
        <v>485186.570908333</v>
      </c>
      <c r="J90" s="103"/>
      <c r="K90" s="104"/>
      <c r="L90" s="104"/>
      <c r="M90" s="105"/>
      <c r="N90" s="106"/>
    </row>
    <row r="91" customFormat="false" ht="12.75" hidden="false" customHeight="false" outlineLevel="0" collapsed="false">
      <c r="B91" s="49"/>
      <c r="C91" s="50"/>
      <c r="H91" s="83" t="n">
        <f aca="false">+SHIPS!B105</f>
        <v>39114</v>
      </c>
      <c r="I91" s="62" t="n">
        <f aca="false">+I90</f>
        <v>485186.570908333</v>
      </c>
      <c r="J91" s="103"/>
      <c r="K91" s="104"/>
      <c r="L91" s="104"/>
      <c r="M91" s="105"/>
      <c r="N91" s="106"/>
    </row>
    <row r="92" customFormat="false" ht="12.75" hidden="false" customHeight="false" outlineLevel="0" collapsed="false">
      <c r="B92" s="49"/>
      <c r="C92" s="50"/>
      <c r="H92" s="83" t="n">
        <f aca="false">+SHIPS!B106</f>
        <v>39142</v>
      </c>
      <c r="I92" s="62" t="n">
        <f aca="false">+I91</f>
        <v>485186.570908333</v>
      </c>
      <c r="J92" s="103"/>
      <c r="K92" s="104"/>
      <c r="L92" s="104"/>
      <c r="M92" s="105"/>
      <c r="N92" s="106"/>
    </row>
    <row r="93" customFormat="false" ht="12.75" hidden="false" customHeight="false" outlineLevel="0" collapsed="false">
      <c r="B93" s="49"/>
      <c r="C93" s="50"/>
      <c r="H93" s="83" t="n">
        <f aca="false">+SHIPS!B107</f>
        <v>39173</v>
      </c>
      <c r="I93" s="62" t="n">
        <f aca="false">+I92</f>
        <v>485186.570908333</v>
      </c>
      <c r="J93" s="103"/>
      <c r="K93" s="104"/>
      <c r="L93" s="104"/>
      <c r="M93" s="105"/>
      <c r="N93" s="106"/>
    </row>
    <row r="94" customFormat="false" ht="12.75" hidden="false" customHeight="false" outlineLevel="0" collapsed="false">
      <c r="B94" s="49"/>
      <c r="C94" s="50"/>
      <c r="H94" s="83" t="n">
        <f aca="false">+SHIPS!B108</f>
        <v>39203</v>
      </c>
      <c r="I94" s="62" t="n">
        <f aca="false">+I93</f>
        <v>485186.570908333</v>
      </c>
      <c r="J94" s="103"/>
      <c r="K94" s="104"/>
      <c r="L94" s="104"/>
      <c r="M94" s="105"/>
      <c r="N94" s="106"/>
    </row>
    <row r="95" customFormat="false" ht="12.75" hidden="false" customHeight="false" outlineLevel="0" collapsed="false">
      <c r="B95" s="49"/>
      <c r="C95" s="50"/>
      <c r="H95" s="83" t="n">
        <f aca="false">+SHIPS!B109</f>
        <v>39234</v>
      </c>
      <c r="I95" s="62" t="n">
        <f aca="false">+I94</f>
        <v>485186.570908333</v>
      </c>
      <c r="J95" s="103"/>
      <c r="K95" s="104"/>
      <c r="L95" s="104"/>
      <c r="M95" s="105"/>
      <c r="N95" s="106"/>
    </row>
    <row r="96" customFormat="false" ht="12.75" hidden="false" customHeight="false" outlineLevel="0" collapsed="false">
      <c r="B96" s="49"/>
      <c r="C96" s="50"/>
      <c r="H96" s="83" t="n">
        <f aca="false">+SHIPS!B110</f>
        <v>39264</v>
      </c>
      <c r="I96" s="62" t="n">
        <f aca="false">+I95</f>
        <v>485186.570908333</v>
      </c>
      <c r="J96" s="103"/>
      <c r="K96" s="104"/>
      <c r="L96" s="104"/>
      <c r="M96" s="105"/>
      <c r="N96" s="106"/>
    </row>
    <row r="97" customFormat="false" ht="12.75" hidden="false" customHeight="false" outlineLevel="0" collapsed="false">
      <c r="B97" s="49"/>
      <c r="C97" s="50"/>
      <c r="H97" s="83" t="n">
        <f aca="false">+SHIPS!B111</f>
        <v>39295</v>
      </c>
      <c r="I97" s="62" t="n">
        <f aca="false">+I96</f>
        <v>485186.570908333</v>
      </c>
      <c r="J97" s="103"/>
      <c r="K97" s="104"/>
      <c r="L97" s="104"/>
      <c r="M97" s="105"/>
      <c r="N97" s="106"/>
    </row>
    <row r="98" customFormat="false" ht="12.75" hidden="false" customHeight="false" outlineLevel="0" collapsed="false">
      <c r="B98" s="49"/>
      <c r="C98" s="50"/>
      <c r="H98" s="83" t="n">
        <f aca="false">+SHIPS!B112</f>
        <v>39326</v>
      </c>
      <c r="I98" s="62" t="n">
        <f aca="false">+I97</f>
        <v>485186.570908333</v>
      </c>
      <c r="J98" s="103"/>
      <c r="K98" s="104"/>
      <c r="L98" s="104"/>
      <c r="M98" s="105"/>
      <c r="N98" s="106"/>
    </row>
    <row r="99" customFormat="false" ht="12.75" hidden="false" customHeight="false" outlineLevel="0" collapsed="false">
      <c r="B99" s="49"/>
      <c r="C99" s="50"/>
      <c r="H99" s="83" t="n">
        <f aca="false">+SHIPS!B113</f>
        <v>39356</v>
      </c>
      <c r="I99" s="62" t="n">
        <f aca="false">+I98</f>
        <v>485186.570908333</v>
      </c>
      <c r="J99" s="103"/>
      <c r="K99" s="104"/>
      <c r="L99" s="104"/>
      <c r="M99" s="105"/>
      <c r="N99" s="106"/>
    </row>
    <row r="100" customFormat="false" ht="12.75" hidden="false" customHeight="false" outlineLevel="0" collapsed="false">
      <c r="B100" s="49"/>
      <c r="C100" s="50"/>
      <c r="H100" s="83" t="n">
        <f aca="false">+SHIPS!B114</f>
        <v>39387</v>
      </c>
      <c r="I100" s="62" t="n">
        <f aca="false">+I99</f>
        <v>485186.570908333</v>
      </c>
      <c r="J100" s="103"/>
      <c r="K100" s="104"/>
      <c r="L100" s="104"/>
      <c r="M100" s="105"/>
      <c r="N100" s="106"/>
    </row>
    <row r="101" customFormat="false" ht="12.75" hidden="false" customHeight="false" outlineLevel="0" collapsed="false">
      <c r="B101" s="49"/>
      <c r="C101" s="50"/>
      <c r="H101" s="83" t="n">
        <f aca="false">+SHIPS!B115</f>
        <v>39417</v>
      </c>
      <c r="I101" s="62" t="n">
        <f aca="false">+I100</f>
        <v>485186.570908333</v>
      </c>
      <c r="J101" s="103"/>
      <c r="K101" s="104"/>
      <c r="L101" s="104"/>
      <c r="M101" s="105"/>
      <c r="N101" s="106"/>
    </row>
    <row r="102" customFormat="false" ht="12.75" hidden="false" customHeight="false" outlineLevel="0" collapsed="false">
      <c r="B102" s="49"/>
      <c r="C102" s="50"/>
      <c r="H102" s="83" t="n">
        <f aca="false">+SHIPS!B116</f>
        <v>39448</v>
      </c>
      <c r="I102" s="62" t="n">
        <f aca="false">+I101</f>
        <v>485186.570908333</v>
      </c>
      <c r="J102" s="103"/>
      <c r="K102" s="104"/>
      <c r="L102" s="104"/>
      <c r="M102" s="105"/>
      <c r="N102" s="106"/>
    </row>
    <row r="103" customFormat="false" ht="12.75" hidden="false" customHeight="false" outlineLevel="0" collapsed="false">
      <c r="B103" s="49"/>
      <c r="C103" s="50"/>
      <c r="H103" s="83" t="n">
        <f aca="false">+SHIPS!B117</f>
        <v>39479</v>
      </c>
      <c r="I103" s="62" t="n">
        <f aca="false">+I102</f>
        <v>485186.570908333</v>
      </c>
      <c r="J103" s="103"/>
      <c r="K103" s="104"/>
      <c r="L103" s="104"/>
      <c r="M103" s="105"/>
      <c r="N103" s="106"/>
    </row>
    <row r="104" customFormat="false" ht="12.75" hidden="false" customHeight="false" outlineLevel="0" collapsed="false">
      <c r="B104" s="49"/>
      <c r="C104" s="50"/>
      <c r="H104" s="83" t="n">
        <f aca="false">+SHIPS!B118</f>
        <v>39508</v>
      </c>
      <c r="I104" s="62" t="n">
        <f aca="false">+I103</f>
        <v>485186.570908333</v>
      </c>
      <c r="J104" s="103"/>
      <c r="K104" s="104"/>
      <c r="L104" s="104"/>
      <c r="M104" s="105"/>
      <c r="N104" s="106"/>
    </row>
    <row r="105" customFormat="false" ht="12.75" hidden="false" customHeight="false" outlineLevel="0" collapsed="false">
      <c r="B105" s="49"/>
      <c r="C105" s="50"/>
      <c r="H105" s="83" t="n">
        <f aca="false">+SHIPS!B119</f>
        <v>39539</v>
      </c>
      <c r="I105" s="62" t="n">
        <f aca="false">+I104</f>
        <v>485186.570908333</v>
      </c>
      <c r="J105" s="103"/>
      <c r="K105" s="104"/>
      <c r="L105" s="104"/>
      <c r="M105" s="105"/>
      <c r="N105" s="106"/>
    </row>
    <row r="106" customFormat="false" ht="12.75" hidden="false" customHeight="false" outlineLevel="0" collapsed="false">
      <c r="B106" s="49"/>
      <c r="C106" s="50"/>
      <c r="H106" s="83" t="n">
        <f aca="false">+SHIPS!B120</f>
        <v>39569</v>
      </c>
      <c r="I106" s="62" t="n">
        <f aca="false">+I105</f>
        <v>485186.570908333</v>
      </c>
      <c r="J106" s="103"/>
      <c r="K106" s="104"/>
      <c r="L106" s="104"/>
      <c r="M106" s="105"/>
      <c r="N106" s="106"/>
    </row>
    <row r="107" customFormat="false" ht="12.75" hidden="false" customHeight="false" outlineLevel="0" collapsed="false">
      <c r="B107" s="49"/>
      <c r="C107" s="50"/>
      <c r="H107" s="83" t="n">
        <f aca="false">+SHIPS!B121</f>
        <v>39600</v>
      </c>
      <c r="I107" s="62" t="n">
        <f aca="false">+I106</f>
        <v>485186.570908333</v>
      </c>
      <c r="J107" s="103"/>
      <c r="K107" s="104"/>
      <c r="L107" s="104"/>
      <c r="M107" s="105"/>
      <c r="N107" s="106"/>
    </row>
    <row r="108" customFormat="false" ht="12.75" hidden="false" customHeight="false" outlineLevel="0" collapsed="false">
      <c r="B108" s="49"/>
      <c r="C108" s="50"/>
      <c r="H108" s="83" t="n">
        <f aca="false">+SHIPS!B122</f>
        <v>39630</v>
      </c>
      <c r="I108" s="62" t="n">
        <f aca="false">+I107</f>
        <v>485186.570908333</v>
      </c>
      <c r="J108" s="103"/>
      <c r="K108" s="104"/>
      <c r="L108" s="104"/>
      <c r="M108" s="105"/>
      <c r="N108" s="106"/>
    </row>
    <row r="109" customFormat="false" ht="12.75" hidden="false" customHeight="false" outlineLevel="0" collapsed="false">
      <c r="B109" s="49"/>
      <c r="C109" s="50"/>
      <c r="H109" s="83" t="n">
        <f aca="false">+SHIPS!B123</f>
        <v>39661</v>
      </c>
      <c r="I109" s="62" t="n">
        <f aca="false">+I108</f>
        <v>485186.570908333</v>
      </c>
      <c r="J109" s="103"/>
      <c r="K109" s="104"/>
      <c r="L109" s="104"/>
      <c r="M109" s="105"/>
      <c r="N109" s="106"/>
    </row>
    <row r="110" customFormat="false" ht="12.75" hidden="false" customHeight="false" outlineLevel="0" collapsed="false">
      <c r="B110" s="49"/>
      <c r="C110" s="50"/>
      <c r="H110" s="83" t="n">
        <f aca="false">+SHIPS!B124</f>
        <v>39692</v>
      </c>
      <c r="I110" s="62" t="n">
        <f aca="false">+I109</f>
        <v>485186.570908333</v>
      </c>
      <c r="J110" s="103"/>
      <c r="K110" s="104"/>
      <c r="L110" s="104"/>
      <c r="M110" s="105"/>
      <c r="N110" s="106"/>
    </row>
    <row r="111" customFormat="false" ht="12.75" hidden="false" customHeight="false" outlineLevel="0" collapsed="false">
      <c r="B111" s="49"/>
      <c r="C111" s="50"/>
      <c r="H111" s="83" t="n">
        <f aca="false">+SHIPS!B125</f>
        <v>39722</v>
      </c>
      <c r="I111" s="62" t="n">
        <f aca="false">+I110</f>
        <v>485186.570908333</v>
      </c>
      <c r="J111" s="103"/>
      <c r="K111" s="104"/>
      <c r="L111" s="104"/>
      <c r="M111" s="105"/>
      <c r="N111" s="106"/>
    </row>
    <row r="112" customFormat="false" ht="12.75" hidden="false" customHeight="false" outlineLevel="0" collapsed="false">
      <c r="B112" s="49"/>
      <c r="C112" s="50"/>
      <c r="H112" s="83" t="n">
        <f aca="false">+SHIPS!B126</f>
        <v>39753</v>
      </c>
      <c r="I112" s="62" t="n">
        <f aca="false">+I111</f>
        <v>485186.570908333</v>
      </c>
      <c r="J112" s="103"/>
      <c r="K112" s="104"/>
      <c r="L112" s="104"/>
      <c r="M112" s="105"/>
      <c r="N112" s="106"/>
    </row>
    <row r="113" customFormat="false" ht="12.75" hidden="false" customHeight="false" outlineLevel="0" collapsed="false">
      <c r="B113" s="49"/>
      <c r="C113" s="50"/>
      <c r="H113" s="83" t="n">
        <f aca="false">+SHIPS!B127</f>
        <v>39783</v>
      </c>
      <c r="I113" s="62" t="n">
        <f aca="false">+I112</f>
        <v>485186.570908333</v>
      </c>
      <c r="J113" s="103"/>
      <c r="K113" s="104"/>
      <c r="L113" s="104"/>
      <c r="M113" s="105"/>
      <c r="N113" s="106"/>
    </row>
    <row r="114" customFormat="false" ht="12.75" hidden="false" customHeight="false" outlineLevel="0" collapsed="false">
      <c r="B114" s="49"/>
      <c r="C114" s="50"/>
      <c r="H114" s="83" t="n">
        <f aca="false">+SHIPS!B128</f>
        <v>39814</v>
      </c>
      <c r="I114" s="62" t="n">
        <f aca="false">+I113</f>
        <v>485186.570908333</v>
      </c>
      <c r="J114" s="103"/>
      <c r="K114" s="104"/>
      <c r="L114" s="104"/>
      <c r="M114" s="105"/>
      <c r="N114" s="106"/>
    </row>
    <row r="115" customFormat="false" ht="12.75" hidden="false" customHeight="false" outlineLevel="0" collapsed="false">
      <c r="B115" s="49"/>
      <c r="C115" s="50"/>
      <c r="H115" s="83" t="n">
        <f aca="false">+SHIPS!B129</f>
        <v>39845</v>
      </c>
      <c r="I115" s="62" t="n">
        <f aca="false">+I114</f>
        <v>485186.570908333</v>
      </c>
      <c r="J115" s="103"/>
      <c r="K115" s="104"/>
      <c r="L115" s="104"/>
      <c r="M115" s="105"/>
      <c r="N115" s="106"/>
    </row>
    <row r="116" customFormat="false" ht="12.75" hidden="false" customHeight="false" outlineLevel="0" collapsed="false">
      <c r="B116" s="49"/>
      <c r="C116" s="50"/>
      <c r="H116" s="83" t="n">
        <f aca="false">+SHIPS!B130</f>
        <v>39873</v>
      </c>
      <c r="I116" s="62" t="n">
        <f aca="false">+I115</f>
        <v>485186.570908333</v>
      </c>
      <c r="J116" s="103"/>
      <c r="K116" s="104"/>
      <c r="L116" s="104"/>
      <c r="M116" s="105"/>
      <c r="N116" s="106"/>
    </row>
    <row r="117" customFormat="false" ht="12.75" hidden="false" customHeight="false" outlineLevel="0" collapsed="false">
      <c r="B117" s="49"/>
      <c r="C117" s="50"/>
      <c r="H117" s="83" t="n">
        <f aca="false">+SHIPS!B131</f>
        <v>39904</v>
      </c>
      <c r="I117" s="62" t="n">
        <f aca="false">+I116</f>
        <v>485186.570908333</v>
      </c>
      <c r="J117" s="103"/>
      <c r="K117" s="104"/>
      <c r="L117" s="104"/>
      <c r="M117" s="105"/>
      <c r="N117" s="106"/>
    </row>
    <row r="118" customFormat="false" ht="12.75" hidden="false" customHeight="false" outlineLevel="0" collapsed="false">
      <c r="B118" s="49"/>
      <c r="C118" s="50"/>
      <c r="H118" s="83" t="n">
        <f aca="false">+SHIPS!B132</f>
        <v>39934</v>
      </c>
      <c r="I118" s="62" t="n">
        <f aca="false">+I117</f>
        <v>485186.570908333</v>
      </c>
      <c r="J118" s="103"/>
      <c r="K118" s="104"/>
      <c r="L118" s="104"/>
      <c r="M118" s="105"/>
      <c r="N118" s="106"/>
    </row>
    <row r="119" customFormat="false" ht="12.75" hidden="false" customHeight="false" outlineLevel="0" collapsed="false">
      <c r="C119" s="50"/>
      <c r="H119" s="83" t="n">
        <f aca="false">+SHIPS!B133</f>
        <v>39965</v>
      </c>
      <c r="I119" s="62" t="n">
        <f aca="false">+I118</f>
        <v>485186.570908333</v>
      </c>
      <c r="J119" s="103"/>
      <c r="K119" s="104"/>
      <c r="L119" s="104"/>
      <c r="M119" s="105"/>
      <c r="N119" s="106"/>
    </row>
    <row r="120" customFormat="false" ht="12.75" hidden="false" customHeight="false" outlineLevel="0" collapsed="false">
      <c r="C120" s="50"/>
      <c r="H120" s="83" t="n">
        <f aca="false">+SHIPS!B134</f>
        <v>39995</v>
      </c>
      <c r="I120" s="62" t="n">
        <f aca="false">+I119</f>
        <v>485186.570908333</v>
      </c>
      <c r="J120" s="103"/>
      <c r="K120" s="104"/>
      <c r="L120" s="104"/>
      <c r="M120" s="105"/>
      <c r="N120" s="106"/>
    </row>
    <row r="121" customFormat="false" ht="12.75" hidden="false" customHeight="false" outlineLevel="0" collapsed="false">
      <c r="C121" s="50"/>
      <c r="H121" s="83" t="n">
        <f aca="false">+SHIPS!B135</f>
        <v>40026</v>
      </c>
      <c r="I121" s="62" t="n">
        <f aca="false">+I120</f>
        <v>485186.570908333</v>
      </c>
      <c r="J121" s="103"/>
      <c r="K121" s="104"/>
      <c r="L121" s="104"/>
      <c r="M121" s="105"/>
      <c r="N121" s="106"/>
    </row>
    <row r="122" customFormat="false" ht="12.75" hidden="false" customHeight="false" outlineLevel="0" collapsed="false">
      <c r="C122" s="50"/>
      <c r="H122" s="83" t="n">
        <f aca="false">+SHIPS!B136</f>
        <v>40057</v>
      </c>
      <c r="I122" s="62" t="n">
        <f aca="false">+I121</f>
        <v>485186.570908333</v>
      </c>
      <c r="J122" s="103"/>
      <c r="K122" s="104"/>
      <c r="L122" s="104"/>
      <c r="M122" s="105"/>
      <c r="N122" s="106"/>
    </row>
    <row r="123" customFormat="false" ht="12.75" hidden="false" customHeight="false" outlineLevel="0" collapsed="false">
      <c r="C123" s="50"/>
      <c r="H123" s="83" t="n">
        <f aca="false">+SHIPS!B137</f>
        <v>40087</v>
      </c>
      <c r="I123" s="62" t="n">
        <f aca="false">+I122</f>
        <v>485186.570908333</v>
      </c>
      <c r="J123" s="103"/>
      <c r="K123" s="104"/>
      <c r="L123" s="104"/>
      <c r="M123" s="105"/>
      <c r="N123" s="106"/>
    </row>
    <row r="124" customFormat="false" ht="12.75" hidden="false" customHeight="false" outlineLevel="0" collapsed="false">
      <c r="C124" s="50"/>
      <c r="H124" s="83" t="n">
        <f aca="false">+SHIPS!B138</f>
        <v>40118</v>
      </c>
      <c r="I124" s="62" t="n">
        <f aca="false">+I123</f>
        <v>485186.570908333</v>
      </c>
      <c r="J124" s="103"/>
      <c r="K124" s="104"/>
      <c r="L124" s="104"/>
      <c r="M124" s="105"/>
      <c r="N124" s="106"/>
    </row>
    <row r="125" customFormat="false" ht="12.75" hidden="false" customHeight="false" outlineLevel="0" collapsed="false">
      <c r="C125" s="50"/>
      <c r="H125" s="83" t="n">
        <f aca="false">+SHIPS!B139</f>
        <v>40148</v>
      </c>
      <c r="I125" s="62" t="n">
        <f aca="false">+I124</f>
        <v>485186.570908333</v>
      </c>
      <c r="J125" s="103"/>
      <c r="K125" s="104"/>
      <c r="L125" s="104"/>
      <c r="M125" s="105"/>
      <c r="N125" s="106"/>
    </row>
    <row r="126" customFormat="false" ht="12.75" hidden="false" customHeight="false" outlineLevel="0" collapsed="false">
      <c r="C126" s="50"/>
      <c r="H126" s="83" t="n">
        <f aca="false">+SHIPS!B140</f>
        <v>40179</v>
      </c>
      <c r="I126" s="62" t="n">
        <f aca="false">+I125</f>
        <v>485186.570908333</v>
      </c>
      <c r="J126" s="103"/>
      <c r="K126" s="104"/>
      <c r="L126" s="104"/>
      <c r="M126" s="105"/>
      <c r="N126" s="106"/>
    </row>
    <row r="127" customFormat="false" ht="12.75" hidden="false" customHeight="false" outlineLevel="0" collapsed="false">
      <c r="C127" s="50"/>
      <c r="H127" s="83" t="n">
        <f aca="false">+SHIPS!B141</f>
        <v>40210</v>
      </c>
      <c r="I127" s="62" t="n">
        <f aca="false">+I126</f>
        <v>485186.570908333</v>
      </c>
      <c r="J127" s="103"/>
      <c r="K127" s="104"/>
      <c r="L127" s="104"/>
      <c r="M127" s="105"/>
      <c r="N127" s="106"/>
    </row>
    <row r="128" customFormat="false" ht="12.75" hidden="false" customHeight="false" outlineLevel="0" collapsed="false">
      <c r="C128" s="50"/>
      <c r="H128" s="83" t="n">
        <f aca="false">+SHIPS!B142</f>
        <v>40238</v>
      </c>
      <c r="I128" s="62" t="n">
        <f aca="false">+I127</f>
        <v>485186.570908333</v>
      </c>
      <c r="J128" s="103"/>
      <c r="K128" s="104"/>
      <c r="L128" s="104"/>
      <c r="M128" s="105"/>
      <c r="N128" s="106"/>
    </row>
    <row r="129" customFormat="false" ht="12.75" hidden="false" customHeight="false" outlineLevel="0" collapsed="false">
      <c r="C129" s="50"/>
      <c r="H129" s="83" t="n">
        <f aca="false">+SHIPS!B143</f>
        <v>40269</v>
      </c>
      <c r="I129" s="62" t="n">
        <f aca="false">+I128</f>
        <v>485186.570908333</v>
      </c>
      <c r="J129" s="103"/>
      <c r="K129" s="104"/>
      <c r="L129" s="104"/>
      <c r="M129" s="105"/>
      <c r="N129" s="106"/>
    </row>
    <row r="130" customFormat="false" ht="12.75" hidden="false" customHeight="false" outlineLevel="0" collapsed="false">
      <c r="C130" s="50"/>
      <c r="H130" s="83" t="n">
        <f aca="false">+SHIPS!B144</f>
        <v>40299</v>
      </c>
      <c r="I130" s="62" t="n">
        <f aca="false">+I129</f>
        <v>485186.570908333</v>
      </c>
      <c r="J130" s="103"/>
      <c r="K130" s="104"/>
      <c r="L130" s="104"/>
      <c r="M130" s="105"/>
      <c r="N130" s="106"/>
    </row>
    <row r="131" customFormat="false" ht="12.75" hidden="false" customHeight="false" outlineLevel="0" collapsed="false">
      <c r="C131" s="50"/>
      <c r="H131" s="83" t="n">
        <f aca="false">+SHIPS!B145</f>
        <v>40330</v>
      </c>
      <c r="I131" s="62" t="n">
        <f aca="false">+I130</f>
        <v>485186.570908333</v>
      </c>
      <c r="J131" s="103"/>
      <c r="K131" s="104"/>
      <c r="L131" s="104"/>
      <c r="M131" s="105"/>
      <c r="N131" s="106"/>
    </row>
    <row r="132" customFormat="false" ht="12.75" hidden="false" customHeight="false" outlineLevel="0" collapsed="false">
      <c r="C132" s="50"/>
      <c r="H132" s="83" t="n">
        <f aca="false">+SHIPS!B146</f>
        <v>40360</v>
      </c>
      <c r="I132" s="62" t="n">
        <f aca="false">+I131</f>
        <v>485186.570908333</v>
      </c>
      <c r="J132" s="103"/>
      <c r="K132" s="104"/>
      <c r="L132" s="104"/>
      <c r="M132" s="105"/>
      <c r="N132" s="106"/>
    </row>
    <row r="133" customFormat="false" ht="12.75" hidden="false" customHeight="false" outlineLevel="0" collapsed="false">
      <c r="C133" s="50"/>
      <c r="H133" s="83" t="n">
        <f aca="false">+SHIPS!B147</f>
        <v>40391</v>
      </c>
      <c r="I133" s="62" t="n">
        <f aca="false">+I132</f>
        <v>485186.570908333</v>
      </c>
      <c r="J133" s="103"/>
      <c r="K133" s="104"/>
      <c r="L133" s="104"/>
      <c r="M133" s="105"/>
      <c r="N133" s="106"/>
    </row>
    <row r="134" customFormat="false" ht="12.75" hidden="false" customHeight="false" outlineLevel="0" collapsed="false">
      <c r="C134" s="50"/>
      <c r="H134" s="83" t="n">
        <f aca="false">+SHIPS!B148</f>
        <v>40422</v>
      </c>
      <c r="I134" s="62" t="n">
        <f aca="false">+I133</f>
        <v>485186.570908333</v>
      </c>
      <c r="J134" s="103"/>
      <c r="K134" s="104"/>
      <c r="L134" s="104"/>
      <c r="M134" s="105"/>
      <c r="N134" s="106"/>
    </row>
    <row r="135" customFormat="false" ht="12.75" hidden="false" customHeight="false" outlineLevel="0" collapsed="false">
      <c r="C135" s="50"/>
      <c r="H135" s="83" t="n">
        <f aca="false">+SHIPS!B149</f>
        <v>40452</v>
      </c>
      <c r="I135" s="62" t="n">
        <f aca="false">+I134</f>
        <v>485186.570908333</v>
      </c>
      <c r="J135" s="103"/>
      <c r="K135" s="104"/>
      <c r="L135" s="104"/>
      <c r="M135" s="105"/>
      <c r="N135" s="106"/>
    </row>
    <row r="136" customFormat="false" ht="12.75" hidden="false" customHeight="false" outlineLevel="0" collapsed="false">
      <c r="C136" s="50"/>
      <c r="H136" s="83" t="n">
        <f aca="false">+SHIPS!B150</f>
        <v>40483</v>
      </c>
      <c r="I136" s="62" t="n">
        <f aca="false">+I135</f>
        <v>485186.570908333</v>
      </c>
      <c r="J136" s="103"/>
      <c r="K136" s="104"/>
      <c r="L136" s="104"/>
      <c r="M136" s="105"/>
      <c r="N136" s="106"/>
    </row>
    <row r="137" customFormat="false" ht="12.75" hidden="false" customHeight="false" outlineLevel="0" collapsed="false">
      <c r="C137" s="50"/>
      <c r="H137" s="83" t="n">
        <f aca="false">+SHIPS!B151</f>
        <v>40513</v>
      </c>
      <c r="I137" s="62" t="n">
        <f aca="false">+I136</f>
        <v>485186.570908333</v>
      </c>
      <c r="J137" s="103"/>
      <c r="K137" s="104"/>
      <c r="L137" s="104"/>
      <c r="M137" s="105"/>
      <c r="N137" s="106"/>
    </row>
    <row r="138" customFormat="false" ht="12.75" hidden="false" customHeight="false" outlineLevel="0" collapsed="false">
      <c r="C138" s="50"/>
      <c r="H138" s="83" t="n">
        <f aca="false">+SHIPS!B152</f>
        <v>40544</v>
      </c>
      <c r="I138" s="62" t="n">
        <f aca="false">+I137</f>
        <v>485186.570908333</v>
      </c>
      <c r="J138" s="103"/>
      <c r="K138" s="104"/>
      <c r="L138" s="104"/>
      <c r="M138" s="105"/>
      <c r="N138" s="106"/>
    </row>
    <row r="139" customFormat="false" ht="12.75" hidden="false" customHeight="false" outlineLevel="0" collapsed="false">
      <c r="C139" s="50"/>
      <c r="H139" s="83" t="n">
        <f aca="false">+SHIPS!B153</f>
        <v>40575</v>
      </c>
      <c r="I139" s="62" t="n">
        <f aca="false">+I138</f>
        <v>485186.570908333</v>
      </c>
      <c r="J139" s="103"/>
      <c r="K139" s="104"/>
      <c r="L139" s="104"/>
      <c r="M139" s="105"/>
      <c r="N139" s="106"/>
    </row>
    <row r="140" customFormat="false" ht="12.75" hidden="false" customHeight="false" outlineLevel="0" collapsed="false">
      <c r="C140" s="50"/>
      <c r="H140" s="83" t="n">
        <f aca="false">+SHIPS!B154</f>
        <v>40603</v>
      </c>
      <c r="I140" s="62" t="n">
        <f aca="false">+I139</f>
        <v>485186.570908333</v>
      </c>
      <c r="J140" s="103"/>
      <c r="K140" s="104"/>
      <c r="L140" s="104"/>
      <c r="M140" s="105"/>
      <c r="N140" s="106"/>
    </row>
    <row r="141" customFormat="false" ht="12.75" hidden="false" customHeight="false" outlineLevel="0" collapsed="false">
      <c r="C141" s="50"/>
      <c r="H141" s="83" t="n">
        <f aca="false">+SHIPS!B155</f>
        <v>40634</v>
      </c>
      <c r="I141" s="62" t="n">
        <f aca="false">+I140</f>
        <v>485186.570908333</v>
      </c>
      <c r="J141" s="103"/>
      <c r="K141" s="104"/>
      <c r="L141" s="104"/>
      <c r="M141" s="105"/>
      <c r="N141" s="106"/>
    </row>
    <row r="142" customFormat="false" ht="12.75" hidden="false" customHeight="false" outlineLevel="0" collapsed="false">
      <c r="C142" s="50"/>
      <c r="H142" s="83" t="n">
        <f aca="false">+SHIPS!B156</f>
        <v>40664</v>
      </c>
      <c r="I142" s="62" t="n">
        <f aca="false">+I141</f>
        <v>485186.570908333</v>
      </c>
      <c r="J142" s="103"/>
      <c r="K142" s="104"/>
      <c r="L142" s="104"/>
      <c r="M142" s="105"/>
      <c r="N142" s="106"/>
    </row>
    <row r="143" customFormat="false" ht="12.75" hidden="false" customHeight="false" outlineLevel="0" collapsed="false">
      <c r="C143" s="50"/>
      <c r="H143" s="83" t="n">
        <f aca="false">+SHIPS!B157</f>
        <v>40695</v>
      </c>
      <c r="I143" s="62" t="n">
        <f aca="false">+I142</f>
        <v>485186.570908333</v>
      </c>
      <c r="J143" s="103"/>
      <c r="K143" s="104"/>
      <c r="L143" s="104"/>
      <c r="M143" s="105"/>
      <c r="N143" s="106"/>
    </row>
    <row r="144" customFormat="false" ht="12.75" hidden="false" customHeight="false" outlineLevel="0" collapsed="false">
      <c r="C144" s="50"/>
      <c r="H144" s="83" t="n">
        <f aca="false">+SHIPS!B158</f>
        <v>40725</v>
      </c>
      <c r="I144" s="62" t="n">
        <f aca="false">+I143</f>
        <v>485186.570908333</v>
      </c>
      <c r="J144" s="103"/>
      <c r="K144" s="104"/>
      <c r="L144" s="104"/>
      <c r="M144" s="105"/>
      <c r="N144" s="106"/>
    </row>
    <row r="145" customFormat="false" ht="12.75" hidden="false" customHeight="false" outlineLevel="0" collapsed="false">
      <c r="C145" s="50"/>
      <c r="H145" s="83" t="n">
        <f aca="false">+SHIPS!B159</f>
        <v>40756</v>
      </c>
      <c r="I145" s="62" t="n">
        <f aca="false">+I144</f>
        <v>485186.570908333</v>
      </c>
      <c r="J145" s="103"/>
      <c r="K145" s="104"/>
      <c r="L145" s="104"/>
      <c r="M145" s="105"/>
      <c r="N145" s="106"/>
    </row>
    <row r="146" customFormat="false" ht="12.75" hidden="false" customHeight="false" outlineLevel="0" collapsed="false">
      <c r="C146" s="50"/>
      <c r="H146" s="83" t="n">
        <f aca="false">+SHIPS!B160</f>
        <v>40787</v>
      </c>
      <c r="I146" s="62" t="n">
        <f aca="false">+I145</f>
        <v>485186.570908333</v>
      </c>
      <c r="J146" s="103"/>
      <c r="K146" s="104"/>
      <c r="L146" s="104"/>
      <c r="M146" s="105"/>
      <c r="N146" s="106"/>
    </row>
    <row r="147" customFormat="false" ht="12.75" hidden="false" customHeight="false" outlineLevel="0" collapsed="false">
      <c r="C147" s="50"/>
      <c r="H147" s="83" t="n">
        <f aca="false">+SHIPS!B161</f>
        <v>40817</v>
      </c>
      <c r="I147" s="62" t="n">
        <f aca="false">+I146</f>
        <v>485186.570908333</v>
      </c>
      <c r="J147" s="103"/>
      <c r="K147" s="104"/>
      <c r="L147" s="104"/>
      <c r="M147" s="105"/>
      <c r="N147" s="106"/>
    </row>
    <row r="148" customFormat="false" ht="12.75" hidden="false" customHeight="false" outlineLevel="0" collapsed="false">
      <c r="C148" s="50"/>
      <c r="H148" s="83" t="n">
        <f aca="false">+SHIPS!B162</f>
        <v>40848</v>
      </c>
      <c r="I148" s="62" t="n">
        <f aca="false">+I147</f>
        <v>485186.570908333</v>
      </c>
      <c r="J148" s="103"/>
      <c r="K148" s="104"/>
      <c r="L148" s="104"/>
      <c r="M148" s="105"/>
      <c r="N148" s="106"/>
    </row>
    <row r="149" customFormat="false" ht="12.75" hidden="false" customHeight="false" outlineLevel="0" collapsed="false">
      <c r="C149" s="50"/>
      <c r="H149" s="83" t="n">
        <f aca="false">+SHIPS!B163</f>
        <v>40878</v>
      </c>
      <c r="I149" s="62" t="n">
        <f aca="false">+I148</f>
        <v>485186.570908333</v>
      </c>
      <c r="J149" s="103"/>
      <c r="K149" s="104"/>
      <c r="L149" s="104"/>
      <c r="M149" s="105"/>
      <c r="N149" s="106"/>
    </row>
    <row r="150" customFormat="false" ht="12.75" hidden="false" customHeight="false" outlineLevel="0" collapsed="false">
      <c r="C150" s="50"/>
      <c r="H150" s="83" t="n">
        <f aca="false">+SHIPS!B164</f>
        <v>40909</v>
      </c>
      <c r="I150" s="62" t="n">
        <f aca="false">+I149</f>
        <v>485186.570908333</v>
      </c>
      <c r="J150" s="103"/>
      <c r="K150" s="104"/>
      <c r="L150" s="104"/>
      <c r="M150" s="105"/>
      <c r="N150" s="106"/>
    </row>
    <row r="151" customFormat="false" ht="12.75" hidden="false" customHeight="false" outlineLevel="0" collapsed="false">
      <c r="C151" s="50"/>
      <c r="H151" s="83" t="n">
        <f aca="false">+SHIPS!B165</f>
        <v>40940</v>
      </c>
      <c r="I151" s="62" t="n">
        <f aca="false">+I150</f>
        <v>485186.570908333</v>
      </c>
      <c r="J151" s="103"/>
      <c r="K151" s="104"/>
      <c r="L151" s="104"/>
      <c r="M151" s="105"/>
      <c r="N151" s="106"/>
    </row>
    <row r="152" customFormat="false" ht="12.75" hidden="false" customHeight="false" outlineLevel="0" collapsed="false">
      <c r="C152" s="50"/>
      <c r="H152" s="83" t="n">
        <f aca="false">+SHIPS!B166</f>
        <v>40969</v>
      </c>
      <c r="I152" s="62" t="n">
        <f aca="false">+I151</f>
        <v>485186.570908333</v>
      </c>
      <c r="J152" s="103"/>
      <c r="K152" s="104"/>
      <c r="L152" s="104"/>
      <c r="M152" s="105"/>
      <c r="N152" s="106"/>
    </row>
    <row r="153" customFormat="false" ht="12.75" hidden="false" customHeight="false" outlineLevel="0" collapsed="false">
      <c r="C153" s="50"/>
      <c r="H153" s="83" t="n">
        <f aca="false">+SHIPS!B167</f>
        <v>41000</v>
      </c>
      <c r="I153" s="62" t="n">
        <f aca="false">+I152</f>
        <v>485186.570908333</v>
      </c>
      <c r="J153" s="103"/>
      <c r="K153" s="104"/>
      <c r="L153" s="104"/>
      <c r="M153" s="105"/>
      <c r="N153" s="106"/>
    </row>
    <row r="154" customFormat="false" ht="12.75" hidden="false" customHeight="false" outlineLevel="0" collapsed="false">
      <c r="C154" s="50"/>
      <c r="H154" s="83" t="n">
        <f aca="false">+SHIPS!B168</f>
        <v>41030</v>
      </c>
      <c r="I154" s="62" t="n">
        <f aca="false">+I153</f>
        <v>485186.570908333</v>
      </c>
      <c r="J154" s="103"/>
      <c r="K154" s="104"/>
      <c r="L154" s="104"/>
      <c r="M154" s="105"/>
      <c r="N154" s="106"/>
    </row>
    <row r="155" customFormat="false" ht="12.75" hidden="false" customHeight="false" outlineLevel="0" collapsed="false">
      <c r="C155" s="50"/>
      <c r="H155" s="83" t="n">
        <f aca="false">+SHIPS!B169</f>
        <v>41061</v>
      </c>
      <c r="I155" s="62" t="n">
        <f aca="false">+I154</f>
        <v>485186.570908333</v>
      </c>
      <c r="J155" s="103"/>
      <c r="K155" s="104"/>
      <c r="L155" s="104"/>
      <c r="M155" s="105"/>
      <c r="N155" s="106"/>
    </row>
    <row r="156" customFormat="false" ht="12.75" hidden="false" customHeight="false" outlineLevel="0" collapsed="false">
      <c r="C156" s="50"/>
      <c r="H156" s="83" t="n">
        <f aca="false">+SHIPS!B170</f>
        <v>41091</v>
      </c>
      <c r="I156" s="62" t="n">
        <f aca="false">+I155</f>
        <v>485186.570908333</v>
      </c>
      <c r="J156" s="103"/>
      <c r="K156" s="104"/>
      <c r="L156" s="104"/>
      <c r="M156" s="105"/>
      <c r="N156" s="106"/>
    </row>
    <row r="157" customFormat="false" ht="12.75" hidden="false" customHeight="false" outlineLevel="0" collapsed="false">
      <c r="C157" s="50"/>
      <c r="H157" s="83" t="n">
        <f aca="false">+SHIPS!B171</f>
        <v>41122</v>
      </c>
      <c r="I157" s="62" t="n">
        <f aca="false">+I156</f>
        <v>485186.570908333</v>
      </c>
      <c r="J157" s="103"/>
      <c r="K157" s="104"/>
      <c r="L157" s="104"/>
      <c r="M157" s="105"/>
      <c r="N157" s="106"/>
    </row>
    <row r="158" customFormat="false" ht="12.75" hidden="false" customHeight="false" outlineLevel="0" collapsed="false">
      <c r="C158" s="50"/>
      <c r="H158" s="83" t="n">
        <f aca="false">+SHIPS!B172</f>
        <v>41153</v>
      </c>
      <c r="I158" s="62" t="n">
        <f aca="false">+I157</f>
        <v>485186.570908333</v>
      </c>
      <c r="J158" s="103"/>
      <c r="K158" s="104"/>
      <c r="L158" s="104"/>
      <c r="M158" s="105"/>
      <c r="N158" s="106"/>
    </row>
    <row r="159" customFormat="false" ht="12.75" hidden="false" customHeight="false" outlineLevel="0" collapsed="false">
      <c r="C159" s="50"/>
      <c r="H159" s="83" t="n">
        <f aca="false">+SHIPS!B173</f>
        <v>41183</v>
      </c>
      <c r="I159" s="62" t="n">
        <f aca="false">+I158</f>
        <v>485186.570908333</v>
      </c>
      <c r="J159" s="103"/>
      <c r="K159" s="104"/>
      <c r="L159" s="104"/>
      <c r="M159" s="105"/>
      <c r="N159" s="106"/>
    </row>
    <row r="160" customFormat="false" ht="12.75" hidden="false" customHeight="false" outlineLevel="0" collapsed="false">
      <c r="C160" s="50"/>
      <c r="H160" s="83" t="n">
        <f aca="false">+SHIPS!B174</f>
        <v>41214</v>
      </c>
      <c r="I160" s="62" t="n">
        <f aca="false">+I159</f>
        <v>485186.570908333</v>
      </c>
      <c r="J160" s="103"/>
      <c r="K160" s="104"/>
      <c r="L160" s="104"/>
      <c r="M160" s="105"/>
      <c r="N160" s="106"/>
    </row>
    <row r="161" customFormat="false" ht="12.75" hidden="false" customHeight="false" outlineLevel="0" collapsed="false">
      <c r="C161" s="50"/>
      <c r="H161" s="83" t="n">
        <f aca="false">+SHIPS!B175</f>
        <v>41244</v>
      </c>
      <c r="I161" s="62" t="n">
        <f aca="false">+I160</f>
        <v>485186.570908333</v>
      </c>
      <c r="J161" s="103"/>
      <c r="K161" s="104"/>
      <c r="L161" s="104"/>
      <c r="M161" s="105"/>
      <c r="N161" s="106"/>
    </row>
    <row r="162" customFormat="false" ht="12.75" hidden="false" customHeight="false" outlineLevel="0" collapsed="false">
      <c r="C162" s="50"/>
      <c r="H162" s="83" t="n">
        <f aca="false">+SHIPS!B176</f>
        <v>41275</v>
      </c>
      <c r="I162" s="62" t="n">
        <f aca="false">+I161</f>
        <v>485186.570908333</v>
      </c>
      <c r="J162" s="103"/>
      <c r="K162" s="104"/>
      <c r="L162" s="104"/>
      <c r="M162" s="105"/>
      <c r="N162" s="106"/>
    </row>
    <row r="163" customFormat="false" ht="12.75" hidden="false" customHeight="false" outlineLevel="0" collapsed="false">
      <c r="C163" s="50"/>
      <c r="H163" s="83" t="n">
        <f aca="false">+SHIPS!B177</f>
        <v>41306</v>
      </c>
      <c r="I163" s="62" t="n">
        <f aca="false">+I162</f>
        <v>485186.570908333</v>
      </c>
      <c r="J163" s="103"/>
      <c r="K163" s="104"/>
      <c r="L163" s="104"/>
      <c r="M163" s="105"/>
      <c r="N163" s="106"/>
    </row>
    <row r="164" customFormat="false" ht="12.75" hidden="false" customHeight="false" outlineLevel="0" collapsed="false">
      <c r="C164" s="50"/>
      <c r="H164" s="83" t="n">
        <f aca="false">+SHIPS!B178</f>
        <v>41334</v>
      </c>
      <c r="I164" s="62" t="n">
        <f aca="false">+I163</f>
        <v>485186.570908333</v>
      </c>
      <c r="J164" s="103"/>
      <c r="K164" s="104"/>
      <c r="L164" s="104"/>
      <c r="M164" s="105"/>
      <c r="N164" s="106"/>
    </row>
    <row r="165" customFormat="false" ht="12.75" hidden="false" customHeight="false" outlineLevel="0" collapsed="false">
      <c r="C165" s="50"/>
      <c r="H165" s="83" t="n">
        <f aca="false">+SHIPS!B179</f>
        <v>41365</v>
      </c>
      <c r="I165" s="62" t="n">
        <f aca="false">+I164</f>
        <v>485186.570908333</v>
      </c>
      <c r="J165" s="103"/>
      <c r="K165" s="104"/>
      <c r="L165" s="104"/>
      <c r="M165" s="105"/>
      <c r="N165" s="106"/>
    </row>
    <row r="166" customFormat="false" ht="12.75" hidden="false" customHeight="false" outlineLevel="0" collapsed="false">
      <c r="C166" s="50"/>
      <c r="H166" s="83" t="n">
        <f aca="false">+SHIPS!B180</f>
        <v>41395</v>
      </c>
      <c r="I166" s="62" t="n">
        <f aca="false">+I165</f>
        <v>485186.570908333</v>
      </c>
      <c r="J166" s="103"/>
      <c r="K166" s="104"/>
      <c r="L166" s="104"/>
      <c r="M166" s="105"/>
      <c r="N166" s="106"/>
    </row>
    <row r="167" customFormat="false" ht="12.75" hidden="false" customHeight="false" outlineLevel="0" collapsed="false">
      <c r="C167" s="50"/>
      <c r="H167" s="83" t="n">
        <f aca="false">+SHIPS!B181</f>
        <v>41426</v>
      </c>
      <c r="I167" s="62" t="n">
        <f aca="false">+I166</f>
        <v>485186.570908333</v>
      </c>
      <c r="J167" s="103"/>
      <c r="K167" s="104"/>
      <c r="L167" s="104"/>
      <c r="M167" s="105"/>
      <c r="N167" s="106"/>
    </row>
    <row r="168" customFormat="false" ht="12.75" hidden="false" customHeight="false" outlineLevel="0" collapsed="false">
      <c r="C168" s="50"/>
      <c r="H168" s="83" t="n">
        <f aca="false">+SHIPS!B182</f>
        <v>41456</v>
      </c>
      <c r="I168" s="62" t="n">
        <f aca="false">+I167</f>
        <v>485186.570908333</v>
      </c>
      <c r="J168" s="103"/>
      <c r="K168" s="104"/>
      <c r="L168" s="104"/>
      <c r="M168" s="105"/>
      <c r="N168" s="106"/>
    </row>
    <row r="169" customFormat="false" ht="12.75" hidden="false" customHeight="false" outlineLevel="0" collapsed="false">
      <c r="C169" s="50"/>
      <c r="H169" s="83" t="n">
        <f aca="false">+SHIPS!B183</f>
        <v>41487</v>
      </c>
      <c r="I169" s="62" t="n">
        <f aca="false">+I168</f>
        <v>485186.570908333</v>
      </c>
      <c r="J169" s="103"/>
      <c r="K169" s="104"/>
      <c r="L169" s="104"/>
      <c r="M169" s="105"/>
      <c r="N169" s="106"/>
    </row>
    <row r="170" customFormat="false" ht="12.75" hidden="false" customHeight="false" outlineLevel="0" collapsed="false">
      <c r="C170" s="50"/>
      <c r="H170" s="83" t="n">
        <f aca="false">+SHIPS!B184</f>
        <v>41518</v>
      </c>
      <c r="I170" s="62" t="n">
        <f aca="false">+I169</f>
        <v>485186.570908333</v>
      </c>
      <c r="J170" s="103"/>
      <c r="K170" s="104"/>
      <c r="L170" s="104"/>
      <c r="M170" s="105"/>
      <c r="N170" s="106"/>
    </row>
    <row r="171" customFormat="false" ht="12.75" hidden="false" customHeight="false" outlineLevel="0" collapsed="false">
      <c r="C171" s="50"/>
      <c r="H171" s="83" t="n">
        <f aca="false">+SHIPS!B185</f>
        <v>41548</v>
      </c>
      <c r="I171" s="62" t="n">
        <f aca="false">+I170</f>
        <v>485186.570908333</v>
      </c>
      <c r="J171" s="103"/>
      <c r="K171" s="104"/>
      <c r="L171" s="104"/>
      <c r="M171" s="105"/>
      <c r="N171" s="106"/>
    </row>
    <row r="172" customFormat="false" ht="12.75" hidden="false" customHeight="false" outlineLevel="0" collapsed="false">
      <c r="C172" s="50"/>
      <c r="H172" s="83" t="n">
        <f aca="false">+SHIPS!B186</f>
        <v>41579</v>
      </c>
      <c r="I172" s="62" t="n">
        <f aca="false">+I171</f>
        <v>485186.570908333</v>
      </c>
      <c r="J172" s="103"/>
      <c r="K172" s="104"/>
      <c r="L172" s="104"/>
      <c r="M172" s="105"/>
      <c r="N172" s="106"/>
    </row>
    <row r="173" customFormat="false" ht="12.75" hidden="false" customHeight="false" outlineLevel="0" collapsed="false">
      <c r="C173" s="50"/>
      <c r="H173" s="83" t="n">
        <f aca="false">+SHIPS!B187</f>
        <v>41609</v>
      </c>
      <c r="I173" s="62" t="n">
        <f aca="false">+I172</f>
        <v>485186.570908333</v>
      </c>
      <c r="J173" s="103"/>
      <c r="K173" s="104"/>
      <c r="L173" s="104"/>
      <c r="M173" s="105"/>
      <c r="N173" s="106"/>
    </row>
    <row r="174" customFormat="false" ht="12.75" hidden="false" customHeight="false" outlineLevel="0" collapsed="false">
      <c r="C174" s="50"/>
      <c r="H174" s="83" t="n">
        <f aca="false">+SHIPS!B188</f>
        <v>41640</v>
      </c>
      <c r="I174" s="62" t="n">
        <f aca="false">+I173</f>
        <v>485186.570908333</v>
      </c>
      <c r="J174" s="103"/>
      <c r="K174" s="104"/>
      <c r="L174" s="104"/>
      <c r="M174" s="105"/>
      <c r="N174" s="106"/>
    </row>
    <row r="175" customFormat="false" ht="12.75" hidden="false" customHeight="false" outlineLevel="0" collapsed="false">
      <c r="C175" s="50"/>
      <c r="H175" s="83" t="n">
        <f aca="false">+SHIPS!B189</f>
        <v>41671</v>
      </c>
      <c r="I175" s="62" t="n">
        <f aca="false">+I174</f>
        <v>485186.570908333</v>
      </c>
      <c r="J175" s="103"/>
      <c r="K175" s="104"/>
      <c r="L175" s="104"/>
      <c r="M175" s="105"/>
      <c r="N175" s="106"/>
    </row>
    <row r="176" customFormat="false" ht="12.75" hidden="false" customHeight="false" outlineLevel="0" collapsed="false">
      <c r="C176" s="50"/>
      <c r="H176" s="83" t="n">
        <f aca="false">+SHIPS!B190</f>
        <v>41699</v>
      </c>
      <c r="I176" s="62" t="n">
        <f aca="false">+I175</f>
        <v>485186.570908333</v>
      </c>
      <c r="J176" s="103"/>
      <c r="K176" s="104"/>
      <c r="L176" s="104"/>
      <c r="M176" s="105"/>
      <c r="N176" s="106"/>
    </row>
    <row r="177" customFormat="false" ht="12.75" hidden="false" customHeight="false" outlineLevel="0" collapsed="false">
      <c r="C177" s="50"/>
      <c r="H177" s="83" t="n">
        <f aca="false">+SHIPS!B191</f>
        <v>41730</v>
      </c>
      <c r="I177" s="62" t="n">
        <f aca="false">+I176</f>
        <v>485186.570908333</v>
      </c>
      <c r="J177" s="103"/>
      <c r="K177" s="104"/>
      <c r="L177" s="104"/>
      <c r="M177" s="105"/>
      <c r="N177" s="106"/>
    </row>
    <row r="178" customFormat="false" ht="12.75" hidden="false" customHeight="false" outlineLevel="0" collapsed="false">
      <c r="C178" s="50"/>
      <c r="H178" s="83" t="n">
        <f aca="false">+SHIPS!B192</f>
        <v>41760</v>
      </c>
      <c r="I178" s="62" t="n">
        <f aca="false">+I177</f>
        <v>485186.570908333</v>
      </c>
      <c r="J178" s="103"/>
      <c r="K178" s="104"/>
      <c r="L178" s="104"/>
      <c r="M178" s="105"/>
      <c r="N178" s="106"/>
    </row>
    <row r="179" customFormat="false" ht="12.75" hidden="false" customHeight="false" outlineLevel="0" collapsed="false">
      <c r="C179" s="50"/>
      <c r="H179" s="83" t="n">
        <f aca="false">+SHIPS!B193</f>
        <v>41791</v>
      </c>
      <c r="I179" s="62" t="n">
        <f aca="false">+I178</f>
        <v>485186.570908333</v>
      </c>
      <c r="J179" s="103"/>
      <c r="K179" s="104"/>
      <c r="L179" s="104"/>
      <c r="M179" s="105"/>
      <c r="N179" s="106"/>
    </row>
    <row r="180" customFormat="false" ht="12.75" hidden="false" customHeight="false" outlineLevel="0" collapsed="false">
      <c r="C180" s="50"/>
      <c r="H180" s="83" t="n">
        <f aca="false">+SHIPS!B194</f>
        <v>41821</v>
      </c>
      <c r="I180" s="62" t="n">
        <f aca="false">+I179</f>
        <v>485186.570908333</v>
      </c>
      <c r="J180" s="103"/>
      <c r="K180" s="104"/>
      <c r="L180" s="104"/>
      <c r="M180" s="105"/>
      <c r="N180" s="106"/>
    </row>
    <row r="181" customFormat="false" ht="12.75" hidden="false" customHeight="false" outlineLevel="0" collapsed="false">
      <c r="C181" s="50"/>
      <c r="H181" s="83" t="n">
        <f aca="false">+SHIPS!B195</f>
        <v>41852</v>
      </c>
      <c r="I181" s="62" t="n">
        <f aca="false">+I180</f>
        <v>485186.570908333</v>
      </c>
      <c r="J181" s="103"/>
      <c r="K181" s="104"/>
      <c r="L181" s="104"/>
      <c r="M181" s="105"/>
      <c r="N181" s="106"/>
    </row>
    <row r="182" customFormat="false" ht="12.75" hidden="false" customHeight="false" outlineLevel="0" collapsed="false">
      <c r="C182" s="50"/>
      <c r="H182" s="83" t="n">
        <f aca="false">+SHIPS!B196</f>
        <v>41883</v>
      </c>
      <c r="I182" s="62" t="n">
        <f aca="false">+I181</f>
        <v>485186.570908333</v>
      </c>
      <c r="J182" s="103"/>
      <c r="K182" s="104"/>
      <c r="L182" s="104"/>
      <c r="M182" s="105"/>
      <c r="N182" s="106"/>
    </row>
    <row r="183" customFormat="false" ht="12.75" hidden="false" customHeight="false" outlineLevel="0" collapsed="false">
      <c r="C183" s="50"/>
      <c r="H183" s="83" t="n">
        <f aca="false">+SHIPS!B197</f>
        <v>41913</v>
      </c>
      <c r="I183" s="62" t="n">
        <f aca="false">+I182</f>
        <v>485186.570908333</v>
      </c>
      <c r="J183" s="103"/>
      <c r="K183" s="104"/>
      <c r="L183" s="104"/>
      <c r="M183" s="105"/>
      <c r="N183" s="106"/>
    </row>
    <row r="184" customFormat="false" ht="12.75" hidden="false" customHeight="false" outlineLevel="0" collapsed="false">
      <c r="C184" s="50"/>
      <c r="H184" s="83" t="n">
        <f aca="false">+SHIPS!B198</f>
        <v>41944</v>
      </c>
      <c r="I184" s="62" t="n">
        <f aca="false">+I183</f>
        <v>485186.570908333</v>
      </c>
      <c r="J184" s="103"/>
      <c r="K184" s="104"/>
      <c r="L184" s="104"/>
      <c r="M184" s="105"/>
      <c r="N184" s="106"/>
    </row>
    <row r="185" customFormat="false" ht="12.75" hidden="false" customHeight="false" outlineLevel="0" collapsed="false">
      <c r="C185" s="50"/>
      <c r="H185" s="83" t="n">
        <f aca="false">+SHIPS!B199</f>
        <v>41974</v>
      </c>
      <c r="I185" s="62" t="n">
        <f aca="false">+I184</f>
        <v>485186.570908333</v>
      </c>
      <c r="J185" s="103"/>
      <c r="K185" s="104"/>
      <c r="L185" s="104"/>
      <c r="M185" s="105"/>
      <c r="N185" s="106"/>
    </row>
    <row r="186" customFormat="false" ht="12.75" hidden="false" customHeight="false" outlineLevel="0" collapsed="false">
      <c r="C186" s="50"/>
      <c r="H186" s="83" t="n">
        <f aca="false">+SHIPS!B200</f>
        <v>42005</v>
      </c>
      <c r="I186" s="62" t="n">
        <f aca="false">+I185</f>
        <v>485186.570908333</v>
      </c>
      <c r="J186" s="103"/>
      <c r="K186" s="104"/>
      <c r="L186" s="104"/>
      <c r="M186" s="105"/>
      <c r="N186" s="106"/>
    </row>
    <row r="187" customFormat="false" ht="12.75" hidden="false" customHeight="false" outlineLevel="0" collapsed="false">
      <c r="C187" s="50"/>
      <c r="H187" s="83" t="n">
        <f aca="false">+SHIPS!B201</f>
        <v>42036</v>
      </c>
      <c r="I187" s="62" t="n">
        <f aca="false">+I186</f>
        <v>485186.570908333</v>
      </c>
      <c r="J187" s="103"/>
      <c r="K187" s="104"/>
      <c r="L187" s="104"/>
      <c r="M187" s="105"/>
      <c r="N187" s="106"/>
    </row>
    <row r="188" customFormat="false" ht="12.75" hidden="false" customHeight="false" outlineLevel="0" collapsed="false">
      <c r="C188" s="50"/>
      <c r="H188" s="83" t="n">
        <f aca="false">+SHIPS!B202</f>
        <v>42064</v>
      </c>
      <c r="I188" s="62" t="n">
        <f aca="false">+I187</f>
        <v>485186.570908333</v>
      </c>
      <c r="J188" s="103"/>
      <c r="K188" s="104"/>
      <c r="L188" s="104"/>
      <c r="M188" s="105"/>
      <c r="N188" s="106"/>
    </row>
    <row r="189" customFormat="false" ht="12.75" hidden="false" customHeight="false" outlineLevel="0" collapsed="false">
      <c r="C189" s="50"/>
      <c r="H189" s="83" t="n">
        <f aca="false">+SHIPS!B203</f>
        <v>42095</v>
      </c>
      <c r="I189" s="62" t="n">
        <f aca="false">+I188</f>
        <v>485186.570908333</v>
      </c>
      <c r="J189" s="103"/>
      <c r="K189" s="104"/>
      <c r="L189" s="104"/>
      <c r="M189" s="105"/>
      <c r="N189" s="106"/>
    </row>
    <row r="190" customFormat="false" ht="12.75" hidden="false" customHeight="false" outlineLevel="0" collapsed="false">
      <c r="C190" s="50"/>
      <c r="H190" s="83" t="n">
        <f aca="false">+SHIPS!B204</f>
        <v>42125</v>
      </c>
      <c r="I190" s="62" t="n">
        <f aca="false">+I189</f>
        <v>485186.570908333</v>
      </c>
      <c r="J190" s="103"/>
      <c r="K190" s="104"/>
      <c r="L190" s="104"/>
      <c r="M190" s="105"/>
      <c r="N190" s="106"/>
    </row>
    <row r="191" customFormat="false" ht="12.75" hidden="false" customHeight="false" outlineLevel="0" collapsed="false">
      <c r="C191" s="50"/>
      <c r="H191" s="83" t="n">
        <f aca="false">+SHIPS!B205</f>
        <v>42156</v>
      </c>
      <c r="I191" s="62" t="n">
        <f aca="false">+I190</f>
        <v>485186.570908333</v>
      </c>
      <c r="J191" s="103"/>
      <c r="K191" s="104"/>
      <c r="L191" s="104"/>
      <c r="M191" s="105"/>
      <c r="N191" s="106"/>
    </row>
    <row r="192" customFormat="false" ht="12.75" hidden="false" customHeight="false" outlineLevel="0" collapsed="false">
      <c r="C192" s="50"/>
      <c r="H192" s="83" t="n">
        <f aca="false">+SHIPS!B206</f>
        <v>42186</v>
      </c>
      <c r="I192" s="62" t="n">
        <f aca="false">+I191</f>
        <v>485186.570908333</v>
      </c>
      <c r="J192" s="103"/>
      <c r="K192" s="104"/>
      <c r="L192" s="104"/>
      <c r="M192" s="105"/>
      <c r="N192" s="106"/>
    </row>
    <row r="193" customFormat="false" ht="12.75" hidden="false" customHeight="false" outlineLevel="0" collapsed="false">
      <c r="C193" s="50"/>
      <c r="H193" s="83" t="n">
        <f aca="false">+SHIPS!B207</f>
        <v>42217</v>
      </c>
      <c r="I193" s="62" t="n">
        <f aca="false">+I192</f>
        <v>485186.570908333</v>
      </c>
      <c r="J193" s="103"/>
      <c r="K193" s="104"/>
      <c r="L193" s="104"/>
      <c r="M193" s="105"/>
      <c r="N193" s="106"/>
    </row>
    <row r="194" customFormat="false" ht="12.75" hidden="false" customHeight="false" outlineLevel="0" collapsed="false">
      <c r="C194" s="50"/>
      <c r="H194" s="83" t="n">
        <f aca="false">+SHIPS!B208</f>
        <v>42248</v>
      </c>
      <c r="I194" s="62" t="n">
        <f aca="false">+I193</f>
        <v>485186.570908333</v>
      </c>
      <c r="J194" s="103"/>
      <c r="K194" s="104"/>
      <c r="L194" s="104"/>
      <c r="M194" s="105"/>
      <c r="N194" s="106"/>
    </row>
    <row r="195" customFormat="false" ht="12.75" hidden="false" customHeight="false" outlineLevel="0" collapsed="false">
      <c r="C195" s="50"/>
      <c r="H195" s="83" t="n">
        <f aca="false">+SHIPS!B209</f>
        <v>42278</v>
      </c>
      <c r="I195" s="62" t="n">
        <f aca="false">+I194</f>
        <v>485186.570908333</v>
      </c>
      <c r="J195" s="103"/>
      <c r="K195" s="104"/>
      <c r="L195" s="104"/>
      <c r="M195" s="105"/>
      <c r="N195" s="106"/>
    </row>
    <row r="196" customFormat="false" ht="12.75" hidden="false" customHeight="false" outlineLevel="0" collapsed="false">
      <c r="C196" s="50"/>
      <c r="H196" s="83" t="n">
        <f aca="false">+SHIPS!B210</f>
        <v>42309</v>
      </c>
      <c r="I196" s="62" t="n">
        <f aca="false">+I195</f>
        <v>485186.570908333</v>
      </c>
      <c r="J196" s="103"/>
      <c r="K196" s="104"/>
      <c r="L196" s="104"/>
      <c r="M196" s="105"/>
      <c r="N196" s="106"/>
    </row>
    <row r="197" customFormat="false" ht="12.75" hidden="false" customHeight="false" outlineLevel="0" collapsed="false">
      <c r="C197" s="50"/>
      <c r="H197" s="83" t="n">
        <f aca="false">+SHIPS!B211</f>
        <v>42339</v>
      </c>
      <c r="I197" s="62" t="n">
        <f aca="false">+I196</f>
        <v>485186.570908333</v>
      </c>
      <c r="J197" s="103"/>
      <c r="K197" s="104"/>
      <c r="L197" s="104"/>
      <c r="M197" s="105"/>
      <c r="N197" s="106"/>
    </row>
    <row r="198" customFormat="false" ht="12.75" hidden="false" customHeight="false" outlineLevel="0" collapsed="false">
      <c r="C198" s="50"/>
      <c r="H198" s="83" t="n">
        <f aca="false">+SHIPS!B212</f>
        <v>42370</v>
      </c>
      <c r="I198" s="62" t="n">
        <f aca="false">+I197</f>
        <v>485186.570908333</v>
      </c>
      <c r="J198" s="103"/>
      <c r="K198" s="104"/>
      <c r="L198" s="104"/>
      <c r="M198" s="105"/>
      <c r="N198" s="106"/>
    </row>
    <row r="199" customFormat="false" ht="12.75" hidden="false" customHeight="false" outlineLevel="0" collapsed="false">
      <c r="C199" s="50"/>
      <c r="H199" s="83" t="n">
        <f aca="false">+SHIPS!B213</f>
        <v>42401</v>
      </c>
      <c r="I199" s="62" t="n">
        <f aca="false">+I198</f>
        <v>485186.570908333</v>
      </c>
      <c r="J199" s="103"/>
      <c r="K199" s="104"/>
      <c r="L199" s="104"/>
      <c r="M199" s="105"/>
      <c r="N199" s="106"/>
    </row>
    <row r="200" customFormat="false" ht="12.75" hidden="false" customHeight="false" outlineLevel="0" collapsed="false">
      <c r="C200" s="50"/>
      <c r="H200" s="83" t="n">
        <f aca="false">+SHIPS!B214</f>
        <v>42430</v>
      </c>
      <c r="I200" s="62" t="n">
        <f aca="false">+I199</f>
        <v>485186.570908333</v>
      </c>
      <c r="J200" s="103"/>
      <c r="K200" s="104"/>
      <c r="L200" s="104"/>
      <c r="M200" s="105"/>
      <c r="N200" s="106"/>
    </row>
    <row r="201" customFormat="false" ht="12.75" hidden="false" customHeight="false" outlineLevel="0" collapsed="false">
      <c r="C201" s="50"/>
      <c r="H201" s="83" t="n">
        <f aca="false">+SHIPS!B215</f>
        <v>42461</v>
      </c>
      <c r="I201" s="62" t="n">
        <f aca="false">+I200</f>
        <v>485186.570908333</v>
      </c>
      <c r="J201" s="103"/>
      <c r="K201" s="104"/>
      <c r="L201" s="104"/>
      <c r="M201" s="105"/>
      <c r="N201" s="106"/>
    </row>
    <row r="202" customFormat="false" ht="12.75" hidden="false" customHeight="false" outlineLevel="0" collapsed="false">
      <c r="C202" s="50"/>
      <c r="H202" s="83" t="n">
        <f aca="false">+SHIPS!B216</f>
        <v>42491</v>
      </c>
      <c r="I202" s="62" t="n">
        <f aca="false">+I201</f>
        <v>485186.570908333</v>
      </c>
      <c r="J202" s="103"/>
      <c r="K202" s="104"/>
      <c r="L202" s="104"/>
      <c r="M202" s="105"/>
      <c r="N202" s="106"/>
    </row>
    <row r="203" customFormat="false" ht="12.75" hidden="false" customHeight="false" outlineLevel="0" collapsed="false">
      <c r="C203" s="50"/>
      <c r="H203" s="83" t="n">
        <f aca="false">+SHIPS!B217</f>
        <v>42522</v>
      </c>
      <c r="I203" s="62" t="n">
        <f aca="false">+I202</f>
        <v>485186.570908333</v>
      </c>
      <c r="J203" s="103"/>
      <c r="K203" s="104"/>
      <c r="L203" s="104"/>
      <c r="M203" s="105"/>
      <c r="N203" s="106"/>
    </row>
    <row r="204" customFormat="false" ht="12.75" hidden="false" customHeight="false" outlineLevel="0" collapsed="false">
      <c r="C204" s="50"/>
      <c r="H204" s="83" t="n">
        <f aca="false">+SHIPS!B218</f>
        <v>42552</v>
      </c>
      <c r="I204" s="62" t="n">
        <f aca="false">+I203</f>
        <v>485186.570908333</v>
      </c>
      <c r="J204" s="103"/>
      <c r="K204" s="104"/>
      <c r="L204" s="104"/>
      <c r="M204" s="105"/>
      <c r="N204" s="106"/>
    </row>
    <row r="205" customFormat="false" ht="12.75" hidden="false" customHeight="false" outlineLevel="0" collapsed="false">
      <c r="C205" s="50"/>
      <c r="H205" s="83" t="n">
        <f aca="false">+SHIPS!B219</f>
        <v>42583</v>
      </c>
      <c r="I205" s="62" t="n">
        <f aca="false">+I204</f>
        <v>485186.570908333</v>
      </c>
      <c r="J205" s="103"/>
      <c r="K205" s="104"/>
      <c r="L205" s="104"/>
      <c r="M205" s="105"/>
      <c r="N205" s="106"/>
    </row>
    <row r="206" customFormat="false" ht="12.75" hidden="false" customHeight="false" outlineLevel="0" collapsed="false">
      <c r="C206" s="50"/>
      <c r="H206" s="83" t="n">
        <f aca="false">+SHIPS!B220</f>
        <v>42614</v>
      </c>
      <c r="I206" s="62" t="n">
        <f aca="false">+I205</f>
        <v>485186.570908333</v>
      </c>
      <c r="J206" s="103"/>
      <c r="K206" s="104"/>
      <c r="L206" s="104"/>
      <c r="M206" s="105"/>
      <c r="N206" s="106"/>
    </row>
    <row r="207" customFormat="false" ht="12.75" hidden="false" customHeight="false" outlineLevel="0" collapsed="false">
      <c r="C207" s="50"/>
      <c r="H207" s="83" t="n">
        <f aca="false">+SHIPS!B221</f>
        <v>42644</v>
      </c>
      <c r="I207" s="62" t="n">
        <f aca="false">+I206</f>
        <v>485186.570908333</v>
      </c>
      <c r="J207" s="103"/>
      <c r="K207" s="104"/>
      <c r="L207" s="104"/>
      <c r="M207" s="105"/>
      <c r="N207" s="106"/>
    </row>
    <row r="208" customFormat="false" ht="12.75" hidden="false" customHeight="false" outlineLevel="0" collapsed="false">
      <c r="C208" s="50"/>
      <c r="H208" s="83" t="n">
        <f aca="false">+SHIPS!B222</f>
        <v>42675</v>
      </c>
      <c r="I208" s="62" t="n">
        <f aca="false">+I207</f>
        <v>485186.570908333</v>
      </c>
      <c r="J208" s="103"/>
      <c r="K208" s="104"/>
      <c r="L208" s="104"/>
      <c r="M208" s="105"/>
      <c r="N208" s="106"/>
    </row>
    <row r="209" customFormat="false" ht="12.75" hidden="false" customHeight="false" outlineLevel="0" collapsed="false">
      <c r="C209" s="50"/>
      <c r="H209" s="83" t="n">
        <f aca="false">+SHIPS!B223</f>
        <v>42705</v>
      </c>
      <c r="I209" s="62" t="n">
        <f aca="false">+I208</f>
        <v>485186.570908333</v>
      </c>
      <c r="J209" s="103"/>
      <c r="K209" s="104"/>
      <c r="L209" s="104"/>
      <c r="M209" s="105"/>
      <c r="N209" s="106"/>
    </row>
    <row r="210" customFormat="false" ht="12.75" hidden="false" customHeight="false" outlineLevel="0" collapsed="false">
      <c r="C210" s="50"/>
      <c r="H210" s="83" t="n">
        <f aca="false">+SHIPS!B224</f>
        <v>42736</v>
      </c>
      <c r="I210" s="62" t="n">
        <f aca="false">+I209</f>
        <v>485186.570908333</v>
      </c>
      <c r="J210" s="103"/>
      <c r="K210" s="104"/>
      <c r="L210" s="104"/>
      <c r="M210" s="105"/>
      <c r="N210" s="106"/>
    </row>
    <row r="211" customFormat="false" ht="12.75" hidden="false" customHeight="false" outlineLevel="0" collapsed="false">
      <c r="C211" s="50"/>
      <c r="H211" s="83" t="n">
        <f aca="false">+SHIPS!B225</f>
        <v>42767</v>
      </c>
      <c r="I211" s="62" t="n">
        <f aca="false">+I210</f>
        <v>485186.570908333</v>
      </c>
      <c r="J211" s="103"/>
      <c r="K211" s="104"/>
      <c r="L211" s="104"/>
      <c r="M211" s="105"/>
      <c r="N211" s="106"/>
    </row>
    <row r="212" customFormat="false" ht="12.75" hidden="false" customHeight="false" outlineLevel="0" collapsed="false">
      <c r="C212" s="50"/>
      <c r="H212" s="83" t="n">
        <f aca="false">+SHIPS!B226</f>
        <v>42795</v>
      </c>
      <c r="I212" s="62" t="n">
        <f aca="false">+I211</f>
        <v>485186.570908333</v>
      </c>
      <c r="J212" s="103"/>
      <c r="K212" s="104"/>
      <c r="L212" s="104"/>
      <c r="M212" s="105"/>
      <c r="N212" s="106"/>
    </row>
    <row r="213" customFormat="false" ht="12.75" hidden="false" customHeight="false" outlineLevel="0" collapsed="false">
      <c r="C213" s="50"/>
      <c r="H213" s="83" t="n">
        <f aca="false">+SHIPS!B227</f>
        <v>42826</v>
      </c>
      <c r="I213" s="62" t="n">
        <f aca="false">+I212</f>
        <v>485186.570908333</v>
      </c>
      <c r="J213" s="103"/>
      <c r="K213" s="104"/>
      <c r="L213" s="104"/>
      <c r="M213" s="105"/>
      <c r="N213" s="106"/>
    </row>
    <row r="214" customFormat="false" ht="12.75" hidden="false" customHeight="false" outlineLevel="0" collapsed="false">
      <c r="C214" s="50"/>
      <c r="H214" s="83" t="n">
        <f aca="false">+SHIPS!B228</f>
        <v>42856</v>
      </c>
      <c r="I214" s="62" t="n">
        <f aca="false">+I213</f>
        <v>485186.570908333</v>
      </c>
      <c r="J214" s="103"/>
      <c r="K214" s="104"/>
      <c r="L214" s="104"/>
      <c r="M214" s="105"/>
      <c r="N214" s="106"/>
    </row>
    <row r="215" customFormat="false" ht="12.75" hidden="false" customHeight="false" outlineLevel="0" collapsed="false">
      <c r="C215" s="50"/>
      <c r="H215" s="83" t="n">
        <f aca="false">+SHIPS!B229</f>
        <v>42887</v>
      </c>
      <c r="I215" s="62" t="n">
        <f aca="false">+I214</f>
        <v>485186.570908333</v>
      </c>
      <c r="J215" s="103"/>
      <c r="K215" s="104"/>
      <c r="L215" s="104"/>
      <c r="M215" s="105"/>
      <c r="N215" s="106"/>
    </row>
    <row r="216" customFormat="false" ht="12.75" hidden="false" customHeight="false" outlineLevel="0" collapsed="false">
      <c r="C216" s="50"/>
      <c r="H216" s="83" t="n">
        <f aca="false">+SHIPS!B230</f>
        <v>42917</v>
      </c>
      <c r="I216" s="62" t="n">
        <f aca="false">+I215</f>
        <v>485186.570908333</v>
      </c>
      <c r="J216" s="105"/>
      <c r="K216" s="105"/>
      <c r="L216" s="105"/>
      <c r="M216" s="105"/>
      <c r="N216" s="106"/>
    </row>
    <row r="217" customFormat="false" ht="12.75" hidden="false" customHeight="false" outlineLevel="0" collapsed="false">
      <c r="C217" s="50"/>
      <c r="H217" s="83" t="n">
        <f aca="false">+SHIPS!B231</f>
        <v>42948</v>
      </c>
      <c r="I217" s="62" t="n">
        <f aca="false">+I216</f>
        <v>485186.570908333</v>
      </c>
      <c r="J217" s="105"/>
      <c r="K217" s="105"/>
      <c r="L217" s="105"/>
      <c r="M217" s="105"/>
      <c r="N217" s="106"/>
    </row>
    <row r="218" customFormat="false" ht="12.75" hidden="false" customHeight="false" outlineLevel="0" collapsed="false">
      <c r="C218" s="50"/>
      <c r="H218" s="83" t="n">
        <f aca="false">+SHIPS!B232</f>
        <v>42979</v>
      </c>
      <c r="I218" s="62" t="n">
        <f aca="false">+I217</f>
        <v>485186.570908333</v>
      </c>
      <c r="J218" s="105"/>
      <c r="K218" s="105"/>
      <c r="L218" s="105"/>
      <c r="M218" s="105"/>
      <c r="N218" s="106"/>
    </row>
    <row r="219" customFormat="false" ht="12.75" hidden="false" customHeight="false" outlineLevel="0" collapsed="false">
      <c r="C219" s="50"/>
      <c r="H219" s="83" t="n">
        <f aca="false">+SHIPS!B233</f>
        <v>43009</v>
      </c>
      <c r="I219" s="62" t="n">
        <f aca="false">+I218</f>
        <v>485186.570908333</v>
      </c>
      <c r="J219" s="105"/>
      <c r="K219" s="105"/>
      <c r="L219" s="105"/>
      <c r="M219" s="105"/>
      <c r="N219" s="106"/>
    </row>
    <row r="220" customFormat="false" ht="12.75" hidden="false" customHeight="false" outlineLevel="0" collapsed="false">
      <c r="C220" s="50"/>
      <c r="H220" s="83" t="n">
        <f aca="false">+SHIPS!B234</f>
        <v>43040</v>
      </c>
      <c r="I220" s="62" t="n">
        <f aca="false">+I219</f>
        <v>485186.570908333</v>
      </c>
      <c r="J220" s="105"/>
      <c r="K220" s="105"/>
      <c r="L220" s="105"/>
      <c r="M220" s="105"/>
      <c r="N220" s="106"/>
    </row>
    <row r="221" customFormat="false" ht="12.75" hidden="false" customHeight="false" outlineLevel="0" collapsed="false">
      <c r="C221" s="50"/>
      <c r="H221" s="83" t="n">
        <f aca="false">+SHIPS!B235</f>
        <v>43070</v>
      </c>
      <c r="I221" s="62" t="n">
        <f aca="false">+I220</f>
        <v>485186.570908333</v>
      </c>
      <c r="J221" s="105"/>
      <c r="K221" s="105"/>
      <c r="L221" s="105"/>
      <c r="M221" s="105"/>
      <c r="N221" s="106"/>
    </row>
    <row r="222" customFormat="false" ht="12.75" hidden="false" customHeight="false" outlineLevel="0" collapsed="false">
      <c r="C222" s="50"/>
      <c r="H222" s="83" t="n">
        <f aca="false">+SHIPS!B236</f>
        <v>43101</v>
      </c>
      <c r="I222" s="62" t="n">
        <f aca="false">+I221</f>
        <v>485186.570908333</v>
      </c>
      <c r="J222" s="105"/>
      <c r="K222" s="105"/>
      <c r="L222" s="105"/>
      <c r="M222" s="105"/>
      <c r="N222" s="106"/>
    </row>
    <row r="223" customFormat="false" ht="12.75" hidden="false" customHeight="false" outlineLevel="0" collapsed="false">
      <c r="C223" s="50"/>
      <c r="H223" s="83" t="n">
        <f aca="false">+SHIPS!B237</f>
        <v>43132</v>
      </c>
      <c r="I223" s="62" t="n">
        <f aca="false">+I222</f>
        <v>485186.570908333</v>
      </c>
      <c r="J223" s="105"/>
      <c r="K223" s="105"/>
      <c r="L223" s="105"/>
      <c r="M223" s="105"/>
      <c r="N223" s="106"/>
    </row>
    <row r="224" customFormat="false" ht="12.75" hidden="false" customHeight="false" outlineLevel="0" collapsed="false">
      <c r="C224" s="50"/>
      <c r="H224" s="83" t="n">
        <f aca="false">+SHIPS!B238</f>
        <v>43160</v>
      </c>
      <c r="I224" s="62" t="n">
        <f aca="false">+I223</f>
        <v>485186.570908333</v>
      </c>
      <c r="J224" s="105"/>
      <c r="K224" s="105"/>
      <c r="L224" s="105"/>
      <c r="M224" s="105"/>
      <c r="N224" s="106"/>
    </row>
    <row r="225" customFormat="false" ht="12.75" hidden="false" customHeight="false" outlineLevel="0" collapsed="false">
      <c r="C225" s="50"/>
      <c r="H225" s="83" t="n">
        <f aca="false">+SHIPS!B239</f>
        <v>43191</v>
      </c>
      <c r="I225" s="62" t="n">
        <f aca="false">+I224</f>
        <v>485186.570908333</v>
      </c>
      <c r="J225" s="105"/>
      <c r="K225" s="105"/>
      <c r="L225" s="105"/>
      <c r="M225" s="105"/>
      <c r="N225" s="106"/>
    </row>
    <row r="226" customFormat="false" ht="12.75" hidden="false" customHeight="false" outlineLevel="0" collapsed="false">
      <c r="C226" s="50"/>
      <c r="H226" s="83" t="n">
        <f aca="false">+SHIPS!B240</f>
        <v>43221</v>
      </c>
      <c r="I226" s="62" t="n">
        <f aca="false">+I225</f>
        <v>485186.570908333</v>
      </c>
      <c r="J226" s="105"/>
      <c r="K226" s="105"/>
      <c r="L226" s="105"/>
      <c r="M226" s="105"/>
      <c r="N226" s="106"/>
    </row>
    <row r="227" customFormat="false" ht="12.75" hidden="false" customHeight="false" outlineLevel="0" collapsed="false">
      <c r="C227" s="50"/>
      <c r="H227" s="83" t="n">
        <f aca="false">+SHIPS!B241</f>
        <v>43252</v>
      </c>
      <c r="I227" s="62" t="n">
        <f aca="false">+I226</f>
        <v>485186.570908333</v>
      </c>
      <c r="J227" s="105"/>
      <c r="K227" s="105"/>
      <c r="L227" s="105"/>
      <c r="M227" s="105"/>
      <c r="N227" s="106"/>
    </row>
    <row r="228" customFormat="false" ht="12.75" hidden="false" customHeight="false" outlineLevel="0" collapsed="false">
      <c r="C228" s="50"/>
      <c r="H228" s="83" t="n">
        <f aca="false">+SHIPS!B242</f>
        <v>43282</v>
      </c>
      <c r="I228" s="62" t="n">
        <f aca="false">+I227</f>
        <v>485186.570908333</v>
      </c>
      <c r="J228" s="105"/>
      <c r="K228" s="105"/>
      <c r="L228" s="105"/>
      <c r="M228" s="105"/>
      <c r="N228" s="106"/>
    </row>
    <row r="229" customFormat="false" ht="12.75" hidden="false" customHeight="false" outlineLevel="0" collapsed="false">
      <c r="C229" s="50"/>
      <c r="H229" s="83" t="n">
        <f aca="false">+SHIPS!B243</f>
        <v>43313</v>
      </c>
      <c r="I229" s="62" t="n">
        <f aca="false">+I228</f>
        <v>485186.570908333</v>
      </c>
      <c r="J229" s="105"/>
      <c r="K229" s="105"/>
      <c r="L229" s="105"/>
      <c r="M229" s="105"/>
      <c r="N229" s="106"/>
    </row>
    <row r="230" customFormat="false" ht="12.75" hidden="false" customHeight="false" outlineLevel="0" collapsed="false">
      <c r="C230" s="50"/>
      <c r="H230" s="83" t="n">
        <f aca="false">+SHIPS!B244</f>
        <v>43344</v>
      </c>
      <c r="I230" s="62" t="n">
        <f aca="false">+I229</f>
        <v>485186.570908333</v>
      </c>
      <c r="J230" s="105"/>
      <c r="K230" s="105"/>
      <c r="L230" s="105"/>
      <c r="M230" s="105"/>
      <c r="N230" s="106"/>
    </row>
    <row r="231" customFormat="false" ht="12.75" hidden="false" customHeight="false" outlineLevel="0" collapsed="false">
      <c r="C231" s="50"/>
      <c r="H231" s="83" t="n">
        <f aca="false">+SHIPS!B245</f>
        <v>43374</v>
      </c>
      <c r="I231" s="62" t="n">
        <f aca="false">+I230</f>
        <v>485186.570908333</v>
      </c>
      <c r="J231" s="105"/>
      <c r="K231" s="105"/>
      <c r="L231" s="105"/>
      <c r="M231" s="105"/>
      <c r="N231" s="106"/>
    </row>
    <row r="232" customFormat="false" ht="12.75" hidden="false" customHeight="false" outlineLevel="0" collapsed="false">
      <c r="C232" s="50"/>
      <c r="H232" s="83" t="n">
        <f aca="false">+SHIPS!B246</f>
        <v>43405</v>
      </c>
      <c r="I232" s="62" t="n">
        <f aca="false">+I231</f>
        <v>485186.570908333</v>
      </c>
      <c r="J232" s="105"/>
      <c r="K232" s="105"/>
      <c r="L232" s="105"/>
      <c r="M232" s="105"/>
      <c r="N232" s="106"/>
    </row>
    <row r="233" customFormat="false" ht="12.75" hidden="false" customHeight="false" outlineLevel="0" collapsed="false">
      <c r="C233" s="50"/>
      <c r="H233" s="83" t="n">
        <f aca="false">+SHIPS!B247</f>
        <v>43435</v>
      </c>
      <c r="I233" s="62" t="n">
        <f aca="false">+I232</f>
        <v>485186.570908333</v>
      </c>
      <c r="J233" s="105"/>
      <c r="K233" s="105"/>
      <c r="L233" s="105"/>
      <c r="M233" s="105"/>
      <c r="N233" s="106"/>
    </row>
    <row r="234" customFormat="false" ht="12.75" hidden="false" customHeight="false" outlineLevel="0" collapsed="false">
      <c r="C234" s="50"/>
      <c r="H234" s="83" t="n">
        <f aca="false">+SHIPS!B248</f>
        <v>43466</v>
      </c>
      <c r="I234" s="62" t="n">
        <f aca="false">+I233</f>
        <v>485186.570908333</v>
      </c>
      <c r="J234" s="105"/>
      <c r="K234" s="105"/>
      <c r="L234" s="105"/>
      <c r="M234" s="105"/>
      <c r="N234" s="106"/>
    </row>
    <row r="235" customFormat="false" ht="12.75" hidden="false" customHeight="false" outlineLevel="0" collapsed="false">
      <c r="C235" s="50"/>
      <c r="H235" s="83" t="n">
        <f aca="false">+SHIPS!B249</f>
        <v>43497</v>
      </c>
      <c r="I235" s="62" t="n">
        <f aca="false">+I234</f>
        <v>485186.570908333</v>
      </c>
      <c r="J235" s="105"/>
      <c r="K235" s="105"/>
      <c r="L235" s="105"/>
      <c r="M235" s="105"/>
      <c r="N235" s="106"/>
    </row>
    <row r="236" customFormat="false" ht="12.75" hidden="false" customHeight="false" outlineLevel="0" collapsed="false">
      <c r="C236" s="50"/>
      <c r="H236" s="83" t="n">
        <f aca="false">+SHIPS!B250</f>
        <v>43525</v>
      </c>
      <c r="I236" s="62" t="n">
        <f aca="false">+I235</f>
        <v>485186.570908333</v>
      </c>
      <c r="J236" s="105"/>
      <c r="K236" s="105"/>
      <c r="L236" s="105"/>
      <c r="M236" s="105"/>
      <c r="N236" s="106"/>
    </row>
    <row r="237" customFormat="false" ht="12.75" hidden="false" customHeight="false" outlineLevel="0" collapsed="false">
      <c r="C237" s="50"/>
      <c r="H237" s="83" t="n">
        <f aca="false">+SHIPS!B251</f>
        <v>43556</v>
      </c>
      <c r="I237" s="62" t="n">
        <v>0</v>
      </c>
      <c r="J237" s="105"/>
      <c r="K237" s="105"/>
      <c r="L237" s="105"/>
      <c r="M237" s="105"/>
      <c r="N237" s="106"/>
    </row>
    <row r="238" customFormat="false" ht="12.75" hidden="false" customHeight="false" outlineLevel="0" collapsed="false">
      <c r="C238" s="50"/>
      <c r="H238" s="83" t="n">
        <f aca="false">+SHIPS!B252</f>
        <v>43586</v>
      </c>
      <c r="I238" s="62" t="n">
        <f aca="false">+I237</f>
        <v>0</v>
      </c>
      <c r="J238" s="105"/>
      <c r="K238" s="105"/>
      <c r="L238" s="105"/>
      <c r="M238" s="105"/>
      <c r="N238" s="106"/>
    </row>
    <row r="239" customFormat="false" ht="12.75" hidden="false" customHeight="false" outlineLevel="0" collapsed="false">
      <c r="C239" s="50"/>
      <c r="H239" s="83" t="n">
        <f aca="false">+SHIPS!B253</f>
        <v>43617</v>
      </c>
      <c r="I239" s="62" t="n">
        <f aca="false">+I238</f>
        <v>0</v>
      </c>
      <c r="J239" s="105"/>
      <c r="K239" s="105"/>
      <c r="L239" s="105"/>
      <c r="M239" s="105"/>
      <c r="N239" s="106"/>
    </row>
    <row r="240" customFormat="false" ht="12.75" hidden="false" customHeight="false" outlineLevel="0" collapsed="false">
      <c r="C240" s="50"/>
      <c r="H240" s="83" t="n">
        <f aca="false">+SHIPS!B254</f>
        <v>43647</v>
      </c>
      <c r="I240" s="62" t="n">
        <f aca="false">+I239</f>
        <v>0</v>
      </c>
      <c r="J240" s="105"/>
      <c r="K240" s="105"/>
      <c r="L240" s="105"/>
      <c r="M240" s="105"/>
      <c r="N240" s="106"/>
    </row>
    <row r="241" customFormat="false" ht="12.75" hidden="false" customHeight="false" outlineLevel="0" collapsed="false">
      <c r="C241" s="50"/>
      <c r="H241" s="83" t="n">
        <f aca="false">+SHIPS!B255</f>
        <v>43678</v>
      </c>
      <c r="I241" s="62" t="n">
        <f aca="false">+I240</f>
        <v>0</v>
      </c>
      <c r="J241" s="105"/>
      <c r="K241" s="105"/>
      <c r="L241" s="105"/>
      <c r="M241" s="105"/>
      <c r="N241" s="106"/>
    </row>
    <row r="242" customFormat="false" ht="12.75" hidden="false" customHeight="false" outlineLevel="0" collapsed="false">
      <c r="C242" s="50"/>
      <c r="H242" s="83" t="n">
        <f aca="false">+SHIPS!B256</f>
        <v>43709</v>
      </c>
      <c r="I242" s="62" t="n">
        <f aca="false">+I241</f>
        <v>0</v>
      </c>
      <c r="J242" s="105"/>
      <c r="K242" s="105"/>
      <c r="L242" s="105"/>
      <c r="M242" s="105"/>
      <c r="N242" s="106"/>
    </row>
    <row r="243" customFormat="false" ht="12.75" hidden="false" customHeight="false" outlineLevel="0" collapsed="false">
      <c r="C243" s="50"/>
      <c r="H243" s="83" t="n">
        <f aca="false">+SHIPS!B257</f>
        <v>43739</v>
      </c>
      <c r="I243" s="62" t="n">
        <f aca="false">+I242</f>
        <v>0</v>
      </c>
      <c r="J243" s="105"/>
      <c r="K243" s="105"/>
      <c r="L243" s="105"/>
      <c r="M243" s="105"/>
      <c r="N243" s="106"/>
    </row>
    <row r="244" customFormat="false" ht="12.75" hidden="false" customHeight="false" outlineLevel="0" collapsed="false">
      <c r="C244" s="50"/>
      <c r="H244" s="83" t="n">
        <f aca="false">+SHIPS!B258</f>
        <v>43770</v>
      </c>
      <c r="I244" s="62" t="n">
        <f aca="false">+I243</f>
        <v>0</v>
      </c>
      <c r="J244" s="105"/>
      <c r="K244" s="105"/>
      <c r="L244" s="105"/>
      <c r="M244" s="105"/>
      <c r="N244" s="106"/>
    </row>
    <row r="245" customFormat="false" ht="12.75" hidden="false" customHeight="false" outlineLevel="0" collapsed="false">
      <c r="C245" s="50"/>
      <c r="H245" s="83" t="n">
        <f aca="false">+SHIPS!B259</f>
        <v>43800</v>
      </c>
      <c r="I245" s="62" t="n">
        <f aca="false">+I244</f>
        <v>0</v>
      </c>
      <c r="J245" s="105"/>
      <c r="K245" s="105"/>
      <c r="L245" s="105"/>
      <c r="M245" s="105"/>
      <c r="N245" s="106"/>
    </row>
    <row r="246" customFormat="false" ht="12.75" hidden="false" customHeight="false" outlineLevel="0" collapsed="false">
      <c r="C246" s="50"/>
      <c r="H246" s="83" t="n">
        <f aca="false">+SHIPS!B260</f>
        <v>43831</v>
      </c>
      <c r="I246" s="62" t="n">
        <f aca="false">+I245</f>
        <v>0</v>
      </c>
      <c r="J246" s="105"/>
      <c r="K246" s="105"/>
      <c r="L246" s="105"/>
      <c r="M246" s="105"/>
      <c r="N246" s="106"/>
    </row>
    <row r="247" customFormat="false" ht="12.75" hidden="false" customHeight="false" outlineLevel="0" collapsed="false">
      <c r="C247" s="50"/>
      <c r="H247" s="83" t="n">
        <f aca="false">+SHIPS!B261</f>
        <v>43862</v>
      </c>
      <c r="I247" s="62" t="n">
        <f aca="false">+I246</f>
        <v>0</v>
      </c>
      <c r="J247" s="105"/>
      <c r="K247" s="105"/>
      <c r="L247" s="105"/>
      <c r="M247" s="105"/>
      <c r="N247" s="106"/>
    </row>
    <row r="248" customFormat="false" ht="12.75" hidden="false" customHeight="false" outlineLevel="0" collapsed="false">
      <c r="C248" s="50"/>
      <c r="H248" s="83" t="n">
        <f aca="false">+SHIPS!B262</f>
        <v>43891</v>
      </c>
      <c r="I248" s="62" t="n">
        <f aca="false">+I247</f>
        <v>0</v>
      </c>
      <c r="J248" s="105"/>
      <c r="K248" s="105"/>
      <c r="L248" s="105"/>
      <c r="M248" s="105"/>
      <c r="N248" s="106"/>
    </row>
    <row r="249" customFormat="false" ht="12.75" hidden="false" customHeight="false" outlineLevel="0" collapsed="false">
      <c r="C249" s="50"/>
      <c r="H249" s="83" t="n">
        <f aca="false">+SHIPS!B263</f>
        <v>43922</v>
      </c>
      <c r="I249" s="62" t="n">
        <f aca="false">+I248</f>
        <v>0</v>
      </c>
      <c r="J249" s="105"/>
      <c r="K249" s="105"/>
      <c r="L249" s="105"/>
      <c r="M249" s="105"/>
      <c r="N249" s="106"/>
    </row>
    <row r="250" customFormat="false" ht="12.75" hidden="false" customHeight="false" outlineLevel="0" collapsed="false">
      <c r="C250" s="50"/>
      <c r="H250" s="83" t="n">
        <f aca="false">+SHIPS!B264</f>
        <v>43952</v>
      </c>
      <c r="I250" s="62" t="n">
        <f aca="false">+I249</f>
        <v>0</v>
      </c>
      <c r="J250" s="105"/>
      <c r="K250" s="105"/>
      <c r="L250" s="105"/>
      <c r="M250" s="105"/>
      <c r="N250" s="106"/>
    </row>
    <row r="251" customFormat="false" ht="12.75" hidden="false" customHeight="false" outlineLevel="0" collapsed="false">
      <c r="C251" s="50"/>
      <c r="H251" s="83" t="n">
        <f aca="false">+SHIPS!B265</f>
        <v>43983</v>
      </c>
      <c r="I251" s="62" t="n">
        <f aca="false">+I250</f>
        <v>0</v>
      </c>
      <c r="J251" s="105"/>
      <c r="K251" s="105"/>
      <c r="L251" s="105"/>
      <c r="M251" s="105"/>
      <c r="N251" s="106"/>
    </row>
    <row r="252" customFormat="false" ht="12.75" hidden="false" customHeight="false" outlineLevel="0" collapsed="false">
      <c r="C252" s="50"/>
      <c r="H252" s="83" t="n">
        <f aca="false">+SHIPS!B266</f>
        <v>44013</v>
      </c>
      <c r="I252" s="62" t="n">
        <f aca="false">+I251</f>
        <v>0</v>
      </c>
      <c r="J252" s="105"/>
      <c r="K252" s="105"/>
      <c r="L252" s="105"/>
      <c r="M252" s="105"/>
      <c r="N252" s="106"/>
    </row>
    <row r="253" customFormat="false" ht="12.75" hidden="false" customHeight="false" outlineLevel="0" collapsed="false">
      <c r="C253" s="50"/>
      <c r="H253" s="83" t="n">
        <f aca="false">+SHIPS!B267</f>
        <v>44044</v>
      </c>
      <c r="I253" s="62" t="n">
        <f aca="false">+I252</f>
        <v>0</v>
      </c>
      <c r="J253" s="105"/>
      <c r="K253" s="105"/>
      <c r="L253" s="105"/>
      <c r="M253" s="105"/>
      <c r="N253" s="106"/>
    </row>
    <row r="254" customFormat="false" ht="12.75" hidden="false" customHeight="false" outlineLevel="0" collapsed="false">
      <c r="C254" s="50"/>
      <c r="H254" s="83" t="n">
        <f aca="false">+SHIPS!B268</f>
        <v>44075</v>
      </c>
      <c r="I254" s="62" t="n">
        <f aca="false">+I253</f>
        <v>0</v>
      </c>
      <c r="J254" s="105"/>
      <c r="K254" s="105"/>
      <c r="L254" s="105"/>
      <c r="M254" s="105"/>
      <c r="N254" s="106"/>
    </row>
    <row r="255" customFormat="false" ht="12.75" hidden="false" customHeight="false" outlineLevel="0" collapsed="false">
      <c r="C255" s="50"/>
      <c r="H255" s="83" t="n">
        <f aca="false">+SHIPS!B269</f>
        <v>44105</v>
      </c>
      <c r="I255" s="62" t="n">
        <f aca="false">+I254</f>
        <v>0</v>
      </c>
      <c r="J255" s="105"/>
      <c r="K255" s="105"/>
      <c r="L255" s="105"/>
      <c r="M255" s="105"/>
      <c r="N255" s="106"/>
    </row>
    <row r="256" customFormat="false" ht="12.75" hidden="false" customHeight="false" outlineLevel="0" collapsed="false">
      <c r="C256" s="50"/>
      <c r="H256" s="83" t="n">
        <f aca="false">+SHIPS!B270</f>
        <v>44136</v>
      </c>
      <c r="I256" s="62" t="n">
        <f aca="false">+I255</f>
        <v>0</v>
      </c>
      <c r="J256" s="105"/>
      <c r="K256" s="105"/>
      <c r="L256" s="105"/>
      <c r="M256" s="105"/>
      <c r="N256" s="106"/>
    </row>
    <row r="257" customFormat="false" ht="12.75" hidden="false" customHeight="false" outlineLevel="0" collapsed="false">
      <c r="C257" s="50"/>
      <c r="H257" s="83" t="n">
        <f aca="false">+SHIPS!B271</f>
        <v>44166</v>
      </c>
      <c r="I257" s="62" t="n">
        <f aca="false">+I256</f>
        <v>0</v>
      </c>
      <c r="J257" s="105"/>
      <c r="K257" s="105"/>
      <c r="L257" s="105"/>
      <c r="M257" s="105"/>
      <c r="N257" s="106"/>
    </row>
    <row r="258" customFormat="false" ht="12.75" hidden="false" customHeight="false" outlineLevel="0" collapsed="false">
      <c r="C258" s="50"/>
      <c r="H258" s="83" t="n">
        <f aca="false">+SHIPS!B272</f>
        <v>44197</v>
      </c>
      <c r="I258" s="62" t="n">
        <f aca="false">+I257</f>
        <v>0</v>
      </c>
      <c r="J258" s="105"/>
      <c r="K258" s="105"/>
      <c r="L258" s="105"/>
      <c r="M258" s="105"/>
      <c r="N258" s="106"/>
    </row>
    <row r="259" customFormat="false" ht="12.75" hidden="false" customHeight="false" outlineLevel="0" collapsed="false">
      <c r="C259" s="50"/>
      <c r="H259" s="83" t="n">
        <f aca="false">+SHIPS!B273</f>
        <v>44228</v>
      </c>
      <c r="I259" s="62" t="n">
        <f aca="false">+I258</f>
        <v>0</v>
      </c>
      <c r="J259" s="105"/>
      <c r="K259" s="105"/>
      <c r="L259" s="105"/>
      <c r="M259" s="105"/>
      <c r="N259" s="106"/>
    </row>
    <row r="260" customFormat="false" ht="12.75" hidden="false" customHeight="false" outlineLevel="0" collapsed="false">
      <c r="C260" s="50"/>
      <c r="H260" s="83" t="n">
        <f aca="false">+SHIPS!B274</f>
        <v>44256</v>
      </c>
      <c r="I260" s="62" t="n">
        <f aca="false">+I259</f>
        <v>0</v>
      </c>
      <c r="J260" s="105"/>
      <c r="K260" s="105"/>
      <c r="L260" s="105"/>
      <c r="M260" s="105"/>
      <c r="N260" s="106"/>
    </row>
    <row r="261" customFormat="false" ht="12.75" hidden="false" customHeight="false" outlineLevel="0" collapsed="false">
      <c r="C261" s="50"/>
      <c r="H261" s="83" t="n">
        <f aca="false">+SHIPS!B275</f>
        <v>44287</v>
      </c>
      <c r="I261" s="62" t="n">
        <f aca="false">+I260</f>
        <v>0</v>
      </c>
      <c r="J261" s="105"/>
      <c r="K261" s="105"/>
      <c r="L261" s="105"/>
      <c r="M261" s="105"/>
      <c r="N261" s="106"/>
    </row>
    <row r="262" customFormat="false" ht="12.75" hidden="false" customHeight="false" outlineLevel="0" collapsed="false">
      <c r="C262" s="50"/>
      <c r="H262" s="83" t="n">
        <f aca="false">+SHIPS!B276</f>
        <v>44317</v>
      </c>
      <c r="I262" s="62" t="n">
        <f aca="false">+I261</f>
        <v>0</v>
      </c>
      <c r="J262" s="105"/>
      <c r="K262" s="105"/>
      <c r="L262" s="105"/>
      <c r="M262" s="105"/>
      <c r="N262" s="106"/>
    </row>
    <row r="263" customFormat="false" ht="12.75" hidden="false" customHeight="false" outlineLevel="0" collapsed="false">
      <c r="C263" s="50"/>
      <c r="H263" s="83" t="n">
        <f aca="false">+SHIPS!B277</f>
        <v>44348</v>
      </c>
      <c r="I263" s="62" t="n">
        <f aca="false">+I262</f>
        <v>0</v>
      </c>
      <c r="J263" s="105"/>
      <c r="K263" s="105"/>
      <c r="L263" s="105"/>
      <c r="M263" s="105"/>
      <c r="N263" s="106"/>
    </row>
    <row r="264" customFormat="false" ht="12.75" hidden="false" customHeight="false" outlineLevel="0" collapsed="false">
      <c r="C264" s="50"/>
      <c r="H264" s="83" t="n">
        <f aca="false">+SHIPS!B278</f>
        <v>44378</v>
      </c>
      <c r="I264" s="62" t="n">
        <f aca="false">+I263</f>
        <v>0</v>
      </c>
      <c r="J264" s="105"/>
      <c r="K264" s="105"/>
      <c r="L264" s="105"/>
      <c r="M264" s="105"/>
      <c r="N264" s="106"/>
    </row>
    <row r="265" customFormat="false" ht="12.75" hidden="false" customHeight="false" outlineLevel="0" collapsed="false">
      <c r="C265" s="50"/>
      <c r="H265" s="83" t="n">
        <f aca="false">+SHIPS!B279</f>
        <v>44409</v>
      </c>
      <c r="I265" s="62" t="n">
        <f aca="false">+I264</f>
        <v>0</v>
      </c>
      <c r="J265" s="105"/>
      <c r="K265" s="105"/>
      <c r="L265" s="105"/>
      <c r="M265" s="105"/>
      <c r="N265" s="106"/>
    </row>
    <row r="266" customFormat="false" ht="12.75" hidden="false" customHeight="false" outlineLevel="0" collapsed="false">
      <c r="C266" s="50"/>
      <c r="H266" s="83" t="n">
        <f aca="false">+SHIPS!B280</f>
        <v>44440</v>
      </c>
      <c r="I266" s="62" t="n">
        <f aca="false">+I265</f>
        <v>0</v>
      </c>
      <c r="J266" s="105"/>
      <c r="K266" s="105"/>
      <c r="L266" s="105"/>
      <c r="M266" s="105"/>
      <c r="N266" s="106"/>
    </row>
    <row r="267" customFormat="false" ht="12.75" hidden="false" customHeight="false" outlineLevel="0" collapsed="false">
      <c r="H267" s="83" t="n">
        <f aca="false">+SHIPS!B281</f>
        <v>44470</v>
      </c>
      <c r="I267" s="62" t="n">
        <f aca="false">+I266</f>
        <v>0</v>
      </c>
      <c r="J267" s="105"/>
      <c r="K267" s="105"/>
      <c r="L267" s="105"/>
      <c r="M267" s="105"/>
      <c r="N267" s="106"/>
    </row>
    <row r="268" customFormat="false" ht="12.75" hidden="false" customHeight="false" outlineLevel="0" collapsed="false">
      <c r="H268" s="83" t="n">
        <f aca="false">+SHIPS!B282</f>
        <v>44501</v>
      </c>
      <c r="I268" s="62" t="n">
        <f aca="false">+I267</f>
        <v>0</v>
      </c>
      <c r="J268" s="105"/>
      <c r="K268" s="105"/>
      <c r="L268" s="105"/>
      <c r="M268" s="105"/>
      <c r="N268" s="106"/>
    </row>
    <row r="269" customFormat="false" ht="12.75" hidden="false" customHeight="false" outlineLevel="0" collapsed="false">
      <c r="H269" s="83" t="n">
        <f aca="false">+SHIPS!B283</f>
        <v>44531</v>
      </c>
      <c r="I269" s="62" t="n">
        <f aca="false">+I268</f>
        <v>0</v>
      </c>
      <c r="J269" s="105"/>
      <c r="K269" s="105"/>
      <c r="L269" s="105"/>
      <c r="M269" s="105"/>
      <c r="N269" s="106"/>
    </row>
    <row r="270" customFormat="false" ht="12.75" hidden="false" customHeight="false" outlineLevel="0" collapsed="false">
      <c r="H270" s="83" t="n">
        <f aca="false">+SHIPS!B284</f>
        <v>44562</v>
      </c>
      <c r="I270" s="62" t="n">
        <f aca="false">+I269</f>
        <v>0</v>
      </c>
      <c r="J270" s="105"/>
      <c r="K270" s="105"/>
      <c r="L270" s="105"/>
      <c r="M270" s="105"/>
      <c r="N270" s="106"/>
    </row>
    <row r="271" customFormat="false" ht="12.75" hidden="false" customHeight="false" outlineLevel="0" collapsed="false">
      <c r="H271" s="83" t="n">
        <f aca="false">+SHIPS!B285</f>
        <v>44593</v>
      </c>
      <c r="I271" s="62" t="n">
        <f aca="false">+I270</f>
        <v>0</v>
      </c>
      <c r="J271" s="105"/>
      <c r="K271" s="105"/>
      <c r="L271" s="105"/>
      <c r="M271" s="105"/>
      <c r="N271" s="106"/>
    </row>
    <row r="272" customFormat="false" ht="12.75" hidden="false" customHeight="false" outlineLevel="0" collapsed="false">
      <c r="H272" s="83" t="n">
        <f aca="false">+SHIPS!B286</f>
        <v>44621</v>
      </c>
      <c r="I272" s="62" t="n">
        <f aca="false">+I271</f>
        <v>0</v>
      </c>
      <c r="J272" s="105"/>
      <c r="K272" s="105"/>
      <c r="L272" s="105"/>
      <c r="M272" s="105"/>
      <c r="N272" s="106"/>
    </row>
    <row r="273" customFormat="false" ht="12.75" hidden="false" customHeight="false" outlineLevel="0" collapsed="false">
      <c r="H273" s="83" t="n">
        <f aca="false">+SHIPS!B287</f>
        <v>44652</v>
      </c>
      <c r="I273" s="62" t="n">
        <f aca="false">+I272</f>
        <v>0</v>
      </c>
      <c r="J273" s="105"/>
      <c r="K273" s="105"/>
      <c r="L273" s="105"/>
      <c r="M273" s="105"/>
      <c r="N273" s="106"/>
    </row>
    <row r="274" customFormat="false" ht="12.75" hidden="false" customHeight="false" outlineLevel="0" collapsed="false">
      <c r="H274" s="83" t="n">
        <f aca="false">+SHIPS!B288</f>
        <v>44682</v>
      </c>
      <c r="I274" s="62" t="n">
        <f aca="false">+I273</f>
        <v>0</v>
      </c>
      <c r="J274" s="105"/>
      <c r="K274" s="105"/>
      <c r="L274" s="105"/>
      <c r="M274" s="105"/>
      <c r="N274" s="106"/>
    </row>
    <row r="275" customFormat="false" ht="12.75" hidden="false" customHeight="false" outlineLevel="0" collapsed="false">
      <c r="H275" s="83" t="n">
        <f aca="false">+SHIPS!B289</f>
        <v>44713</v>
      </c>
      <c r="I275" s="62" t="n">
        <f aca="false">+I274</f>
        <v>0</v>
      </c>
      <c r="J275" s="105"/>
      <c r="K275" s="105"/>
      <c r="L275" s="105"/>
      <c r="M275" s="105"/>
      <c r="N275" s="106"/>
    </row>
    <row r="276" customFormat="false" ht="12.75" hidden="false" customHeight="false" outlineLevel="0" collapsed="false">
      <c r="H276" s="83" t="n">
        <f aca="false">+SHIPS!B290</f>
        <v>44743</v>
      </c>
      <c r="I276" s="62" t="n">
        <f aca="false">+I275</f>
        <v>0</v>
      </c>
      <c r="J276" s="105"/>
      <c r="K276" s="105"/>
      <c r="L276" s="105"/>
      <c r="M276" s="105"/>
      <c r="N276" s="106"/>
    </row>
    <row r="277" customFormat="false" ht="12.75" hidden="false" customHeight="false" outlineLevel="0" collapsed="false">
      <c r="H277" s="83" t="n">
        <f aca="false">+SHIPS!B291</f>
        <v>44774</v>
      </c>
      <c r="I277" s="62" t="n">
        <f aca="false">+I276</f>
        <v>0</v>
      </c>
      <c r="J277" s="105"/>
      <c r="K277" s="105"/>
      <c r="L277" s="105"/>
      <c r="M277" s="105"/>
      <c r="N277" s="106"/>
    </row>
    <row r="278" customFormat="false" ht="12.75" hidden="false" customHeight="false" outlineLevel="0" collapsed="false">
      <c r="H278" s="83" t="n">
        <f aca="false">+SHIPS!B292</f>
        <v>44805</v>
      </c>
      <c r="I278" s="62" t="n">
        <f aca="false">+I277</f>
        <v>0</v>
      </c>
      <c r="J278" s="105"/>
      <c r="K278" s="105"/>
      <c r="L278" s="105"/>
      <c r="M278" s="105"/>
      <c r="N278" s="106"/>
    </row>
    <row r="279" customFormat="false" ht="12.75" hidden="false" customHeight="false" outlineLevel="0" collapsed="false">
      <c r="H279" s="83" t="n">
        <f aca="false">+SHIPS!B293</f>
        <v>44835</v>
      </c>
      <c r="I279" s="62" t="n">
        <f aca="false">+I278</f>
        <v>0</v>
      </c>
      <c r="J279" s="105"/>
      <c r="K279" s="105"/>
      <c r="L279" s="105"/>
      <c r="M279" s="105"/>
      <c r="N279" s="106"/>
    </row>
    <row r="280" customFormat="false" ht="12.75" hidden="false" customHeight="false" outlineLevel="0" collapsed="false">
      <c r="H280" s="83" t="n">
        <f aca="false">+SHIPS!B294</f>
        <v>44866</v>
      </c>
      <c r="I280" s="62" t="n">
        <f aca="false">+I279</f>
        <v>0</v>
      </c>
      <c r="J280" s="105"/>
      <c r="K280" s="105"/>
      <c r="L280" s="105"/>
      <c r="M280" s="105"/>
      <c r="N280" s="106"/>
    </row>
    <row r="281" customFormat="false" ht="12.75" hidden="false" customHeight="false" outlineLevel="0" collapsed="false">
      <c r="H281" s="83" t="n">
        <f aca="false">+SHIPS!B295</f>
        <v>44896</v>
      </c>
      <c r="I281" s="62" t="n">
        <f aca="false">+I280</f>
        <v>0</v>
      </c>
      <c r="J281" s="105"/>
      <c r="K281" s="105"/>
      <c r="L281" s="105"/>
      <c r="M281" s="105"/>
      <c r="N281" s="106"/>
    </row>
    <row r="282" customFormat="false" ht="12.75" hidden="false" customHeight="false" outlineLevel="0" collapsed="false">
      <c r="H282" s="83" t="n">
        <f aca="false">+SHIPS!B296</f>
        <v>44927</v>
      </c>
      <c r="I282" s="62" t="n">
        <f aca="false">+I281</f>
        <v>0</v>
      </c>
      <c r="J282" s="105"/>
      <c r="K282" s="105"/>
      <c r="L282" s="105"/>
      <c r="M282" s="105"/>
      <c r="N282" s="106"/>
    </row>
    <row r="283" customFormat="false" ht="12.75" hidden="false" customHeight="false" outlineLevel="0" collapsed="false">
      <c r="H283" s="83" t="n">
        <f aca="false">+SHIPS!B297</f>
        <v>44958</v>
      </c>
      <c r="I283" s="62" t="n">
        <f aca="false">+I282</f>
        <v>0</v>
      </c>
      <c r="J283" s="105"/>
      <c r="K283" s="105"/>
      <c r="L283" s="105"/>
      <c r="M283" s="105"/>
      <c r="N283" s="106"/>
    </row>
    <row r="284" customFormat="false" ht="12.75" hidden="false" customHeight="false" outlineLevel="0" collapsed="false">
      <c r="H284" s="83" t="n">
        <f aca="false">+SHIPS!B298</f>
        <v>44986</v>
      </c>
      <c r="I284" s="62" t="n">
        <f aca="false">+I283</f>
        <v>0</v>
      </c>
      <c r="J284" s="105"/>
      <c r="K284" s="105"/>
      <c r="L284" s="105"/>
      <c r="M284" s="105"/>
      <c r="N284" s="106"/>
    </row>
    <row r="285" customFormat="false" ht="12.75" hidden="false" customHeight="false" outlineLevel="0" collapsed="false">
      <c r="H285" s="83" t="n">
        <f aca="false">+SHIPS!B299</f>
        <v>45017</v>
      </c>
      <c r="I285" s="62" t="n">
        <f aca="false">+I284</f>
        <v>0</v>
      </c>
      <c r="J285" s="105"/>
      <c r="K285" s="105"/>
      <c r="L285" s="105"/>
      <c r="M285" s="105"/>
      <c r="N285" s="106"/>
    </row>
    <row r="286" customFormat="false" ht="12.75" hidden="false" customHeight="false" outlineLevel="0" collapsed="false">
      <c r="H286" s="83" t="n">
        <f aca="false">+SHIPS!B300</f>
        <v>45047</v>
      </c>
      <c r="I286" s="62" t="n">
        <f aca="false">+I285</f>
        <v>0</v>
      </c>
      <c r="J286" s="105"/>
      <c r="K286" s="105"/>
      <c r="L286" s="105"/>
      <c r="M286" s="105"/>
      <c r="N286" s="106"/>
    </row>
    <row r="287" customFormat="false" ht="12.75" hidden="false" customHeight="false" outlineLevel="0" collapsed="false">
      <c r="H287" s="83" t="n">
        <f aca="false">+SHIPS!B301</f>
        <v>45078</v>
      </c>
      <c r="I287" s="62" t="n">
        <f aca="false">+I286</f>
        <v>0</v>
      </c>
      <c r="J287" s="105"/>
      <c r="K287" s="105"/>
      <c r="L287" s="105"/>
      <c r="M287" s="105"/>
      <c r="N287" s="106"/>
    </row>
    <row r="288" customFormat="false" ht="12.75" hidden="false" customHeight="false" outlineLevel="0" collapsed="false">
      <c r="H288" s="83" t="n">
        <f aca="false">+SHIPS!B302</f>
        <v>45108</v>
      </c>
      <c r="I288" s="62" t="n">
        <f aca="false">+I287</f>
        <v>0</v>
      </c>
      <c r="J288" s="105"/>
      <c r="K288" s="105"/>
      <c r="L288" s="105"/>
      <c r="M288" s="105"/>
      <c r="N288" s="106"/>
    </row>
    <row r="289" customFormat="false" ht="12.75" hidden="false" customHeight="false" outlineLevel="0" collapsed="false">
      <c r="H289" s="83" t="n">
        <f aca="false">+SHIPS!B303</f>
        <v>45139</v>
      </c>
      <c r="I289" s="62" t="n">
        <f aca="false">+I288</f>
        <v>0</v>
      </c>
      <c r="J289" s="105"/>
      <c r="K289" s="105"/>
      <c r="L289" s="105"/>
      <c r="M289" s="105"/>
      <c r="N289" s="106"/>
    </row>
    <row r="290" customFormat="false" ht="12.75" hidden="false" customHeight="false" outlineLevel="0" collapsed="false">
      <c r="H290" s="83" t="n">
        <f aca="false">+SHIPS!B304</f>
        <v>45170</v>
      </c>
      <c r="I290" s="62" t="n">
        <f aca="false">+I289</f>
        <v>0</v>
      </c>
      <c r="J290" s="105"/>
      <c r="K290" s="105"/>
      <c r="L290" s="105"/>
      <c r="M290" s="105"/>
      <c r="N290" s="106"/>
    </row>
    <row r="291" customFormat="false" ht="12.75" hidden="false" customHeight="false" outlineLevel="0" collapsed="false">
      <c r="H291" s="83" t="n">
        <f aca="false">+SHIPS!B305</f>
        <v>45200</v>
      </c>
      <c r="I291" s="62" t="n">
        <f aca="false">+I290</f>
        <v>0</v>
      </c>
      <c r="J291" s="105"/>
      <c r="K291" s="105"/>
      <c r="L291" s="105"/>
      <c r="M291" s="105"/>
      <c r="N291" s="106"/>
    </row>
    <row r="292" customFormat="false" ht="12.75" hidden="false" customHeight="false" outlineLevel="0" collapsed="false">
      <c r="H292" s="83" t="n">
        <f aca="false">+SHIPS!B306</f>
        <v>45231</v>
      </c>
      <c r="I292" s="62" t="n">
        <f aca="false">+I291</f>
        <v>0</v>
      </c>
      <c r="J292" s="105"/>
      <c r="K292" s="105"/>
      <c r="L292" s="105"/>
      <c r="M292" s="105"/>
      <c r="N292" s="106"/>
    </row>
    <row r="293" customFormat="false" ht="12.75" hidden="false" customHeight="false" outlineLevel="0" collapsed="false">
      <c r="H293" s="83" t="n">
        <f aca="false">+SHIPS!B307</f>
        <v>45261</v>
      </c>
      <c r="I293" s="62" t="n">
        <f aca="false">+I292</f>
        <v>0</v>
      </c>
      <c r="J293" s="105"/>
      <c r="K293" s="105"/>
      <c r="L293" s="105"/>
      <c r="M293" s="105"/>
      <c r="N293" s="106"/>
    </row>
    <row r="294" customFormat="false" ht="12.75" hidden="false" customHeight="false" outlineLevel="0" collapsed="false">
      <c r="H294" s="83" t="n">
        <f aca="false">+SHIPS!B308</f>
        <v>45292</v>
      </c>
      <c r="I294" s="62" t="n">
        <f aca="false">+I293</f>
        <v>0</v>
      </c>
      <c r="J294" s="105"/>
      <c r="K294" s="105"/>
      <c r="L294" s="105"/>
      <c r="M294" s="105"/>
      <c r="N294" s="106"/>
    </row>
    <row r="295" customFormat="false" ht="12.75" hidden="false" customHeight="false" outlineLevel="0" collapsed="false">
      <c r="H295" s="83" t="n">
        <f aca="false">+SHIPS!B309</f>
        <v>45323</v>
      </c>
      <c r="I295" s="62" t="n">
        <f aca="false">+I294</f>
        <v>0</v>
      </c>
      <c r="J295" s="105"/>
      <c r="K295" s="105"/>
      <c r="L295" s="105"/>
      <c r="M295" s="105"/>
      <c r="N295" s="106"/>
    </row>
    <row r="296" customFormat="false" ht="12.75" hidden="false" customHeight="false" outlineLevel="0" collapsed="false">
      <c r="H296" s="83" t="n">
        <f aca="false">+SHIPS!B310</f>
        <v>45352</v>
      </c>
      <c r="I296" s="62" t="n">
        <f aca="false">+I295</f>
        <v>0</v>
      </c>
      <c r="J296" s="105"/>
      <c r="K296" s="105"/>
      <c r="L296" s="105"/>
      <c r="M296" s="105"/>
      <c r="N296" s="106"/>
    </row>
    <row r="297" customFormat="false" ht="12.75" hidden="false" customHeight="false" outlineLevel="0" collapsed="false">
      <c r="H297" s="83" t="n">
        <f aca="false">+SHIPS!B311</f>
        <v>45383</v>
      </c>
      <c r="I297" s="62" t="n">
        <f aca="false">+I296</f>
        <v>0</v>
      </c>
      <c r="J297" s="105"/>
      <c r="K297" s="105"/>
      <c r="L297" s="105"/>
      <c r="M297" s="105"/>
      <c r="N297" s="106"/>
    </row>
    <row r="298" customFormat="false" ht="12.75" hidden="false" customHeight="false" outlineLevel="0" collapsed="false">
      <c r="H298" s="83" t="n">
        <f aca="false">+SHIPS!B312</f>
        <v>45413</v>
      </c>
      <c r="I298" s="62" t="n">
        <f aca="false">+I297</f>
        <v>0</v>
      </c>
      <c r="J298" s="105"/>
      <c r="K298" s="105"/>
      <c r="L298" s="105"/>
      <c r="M298" s="105"/>
      <c r="N298" s="106"/>
    </row>
    <row r="299" customFormat="false" ht="12.75" hidden="false" customHeight="false" outlineLevel="0" collapsed="false">
      <c r="H299" s="83" t="n">
        <f aca="false">+SHIPS!B313</f>
        <v>45444</v>
      </c>
      <c r="I299" s="62" t="n">
        <f aca="false">+I298</f>
        <v>0</v>
      </c>
      <c r="J299" s="105"/>
      <c r="K299" s="105"/>
      <c r="L299" s="105"/>
      <c r="M299" s="105"/>
      <c r="N299" s="106"/>
    </row>
    <row r="300" customFormat="false" ht="12.75" hidden="false" customHeight="false" outlineLevel="0" collapsed="false">
      <c r="H300" s="83" t="n">
        <f aca="false">+SHIPS!B314</f>
        <v>45474</v>
      </c>
      <c r="I300" s="62" t="n">
        <f aca="false">+I299</f>
        <v>0</v>
      </c>
      <c r="J300" s="105"/>
      <c r="K300" s="105"/>
      <c r="L300" s="105"/>
      <c r="M300" s="105"/>
      <c r="N300" s="106"/>
    </row>
    <row r="301" customFormat="false" ht="12.75" hidden="false" customHeight="false" outlineLevel="0" collapsed="false">
      <c r="H301" s="83" t="n">
        <f aca="false">+SHIPS!B315</f>
        <v>45505</v>
      </c>
      <c r="I301" s="62" t="n">
        <f aca="false">+I300</f>
        <v>0</v>
      </c>
      <c r="J301" s="105"/>
      <c r="K301" s="105"/>
      <c r="L301" s="105"/>
      <c r="M301" s="105"/>
      <c r="N301" s="106"/>
    </row>
    <row r="302" customFormat="false" ht="12.75" hidden="false" customHeight="false" outlineLevel="0" collapsed="false">
      <c r="H302" s="83" t="n">
        <f aca="false">+SHIPS!B316</f>
        <v>45536</v>
      </c>
      <c r="I302" s="62" t="n">
        <f aca="false">+I301</f>
        <v>0</v>
      </c>
      <c r="J302" s="105"/>
      <c r="K302" s="105"/>
      <c r="L302" s="105"/>
      <c r="M302" s="105"/>
      <c r="N302" s="106"/>
    </row>
    <row r="303" customFormat="false" ht="12.75" hidden="false" customHeight="false" outlineLevel="0" collapsed="false">
      <c r="H303" s="83" t="n">
        <f aca="false">+SHIPS!B317</f>
        <v>45566</v>
      </c>
      <c r="I303" s="62" t="n">
        <f aca="false">+I302</f>
        <v>0</v>
      </c>
      <c r="J303" s="105"/>
      <c r="K303" s="105"/>
      <c r="L303" s="105"/>
      <c r="M303" s="105"/>
      <c r="N303" s="106"/>
    </row>
    <row r="304" customFormat="false" ht="12.75" hidden="false" customHeight="false" outlineLevel="0" collapsed="false">
      <c r="H304" s="83" t="n">
        <f aca="false">+SHIPS!B318</f>
        <v>45597</v>
      </c>
      <c r="I304" s="62" t="n">
        <f aca="false">+I303</f>
        <v>0</v>
      </c>
      <c r="J304" s="105"/>
      <c r="K304" s="105"/>
      <c r="L304" s="105"/>
      <c r="M304" s="105"/>
      <c r="N304" s="106"/>
    </row>
    <row r="305" customFormat="false" ht="12.75" hidden="false" customHeight="false" outlineLevel="0" collapsed="false">
      <c r="H305" s="83" t="n">
        <f aca="false">+SHIPS!B319</f>
        <v>45627</v>
      </c>
      <c r="I305" s="62" t="n">
        <f aca="false">+I304</f>
        <v>0</v>
      </c>
      <c r="J305" s="105"/>
      <c r="K305" s="105"/>
      <c r="L305" s="105"/>
      <c r="M305" s="105"/>
      <c r="N305" s="106"/>
    </row>
    <row r="306" customFormat="false" ht="12.75" hidden="false" customHeight="false" outlineLevel="0" collapsed="false">
      <c r="H306" s="83" t="n">
        <f aca="false">+SHIPS!B320</f>
        <v>45658</v>
      </c>
      <c r="I306" s="62" t="n">
        <f aca="false">+I305</f>
        <v>0</v>
      </c>
      <c r="J306" s="105"/>
      <c r="K306" s="105"/>
      <c r="L306" s="105"/>
      <c r="M306" s="105"/>
      <c r="N306" s="106"/>
    </row>
    <row r="307" customFormat="false" ht="12.75" hidden="false" customHeight="false" outlineLevel="0" collapsed="false">
      <c r="H307" s="83" t="n">
        <f aca="false">+SHIPS!B321</f>
        <v>45689</v>
      </c>
      <c r="I307" s="62" t="n">
        <f aca="false">+I306</f>
        <v>0</v>
      </c>
      <c r="J307" s="105"/>
      <c r="K307" s="105"/>
      <c r="L307" s="105"/>
      <c r="M307" s="105"/>
      <c r="N307" s="106"/>
    </row>
    <row r="308" customFormat="false" ht="12.75" hidden="false" customHeight="false" outlineLevel="0" collapsed="false">
      <c r="H308" s="83" t="n">
        <f aca="false">+SHIPS!B322</f>
        <v>45717</v>
      </c>
      <c r="I308" s="62" t="n">
        <f aca="false">+I307</f>
        <v>0</v>
      </c>
      <c r="J308" s="105"/>
      <c r="K308" s="105"/>
      <c r="L308" s="105"/>
      <c r="M308" s="105"/>
      <c r="N308" s="106"/>
    </row>
    <row r="309" customFormat="false" ht="12.75" hidden="false" customHeight="false" outlineLevel="0" collapsed="false">
      <c r="H309" s="83" t="n">
        <f aca="false">+SHIPS!B323</f>
        <v>45748</v>
      </c>
      <c r="I309" s="62" t="n">
        <f aca="false">+I308</f>
        <v>0</v>
      </c>
      <c r="J309" s="105"/>
      <c r="K309" s="105"/>
      <c r="L309" s="105"/>
      <c r="M309" s="105"/>
      <c r="N309" s="106"/>
    </row>
    <row r="310" customFormat="false" ht="12.75" hidden="false" customHeight="false" outlineLevel="0" collapsed="false">
      <c r="H310" s="83" t="n">
        <f aca="false">+SHIPS!B324</f>
        <v>45778</v>
      </c>
      <c r="I310" s="62" t="n">
        <f aca="false">+I309</f>
        <v>0</v>
      </c>
      <c r="J310" s="105"/>
      <c r="K310" s="105"/>
      <c r="L310" s="105"/>
      <c r="M310" s="105"/>
      <c r="N310" s="106"/>
    </row>
    <row r="311" customFormat="false" ht="12.75" hidden="false" customHeight="false" outlineLevel="0" collapsed="false">
      <c r="H311" s="83" t="n">
        <f aca="false">+SHIPS!B325</f>
        <v>45809</v>
      </c>
      <c r="I311" s="62" t="n">
        <f aca="false">+I310</f>
        <v>0</v>
      </c>
      <c r="J311" s="105"/>
      <c r="K311" s="105"/>
      <c r="L311" s="105"/>
      <c r="M311" s="105"/>
      <c r="N311" s="106"/>
    </row>
    <row r="312" customFormat="false" ht="12.75" hidden="false" customHeight="false" outlineLevel="0" collapsed="false">
      <c r="H312" s="83" t="n">
        <f aca="false">+SHIPS!B326</f>
        <v>45839</v>
      </c>
      <c r="I312" s="62" t="n">
        <f aca="false">+I311</f>
        <v>0</v>
      </c>
      <c r="J312" s="105"/>
      <c r="K312" s="105"/>
      <c r="L312" s="105"/>
      <c r="M312" s="105"/>
      <c r="N312" s="106"/>
    </row>
    <row r="313" customFormat="false" ht="12.75" hidden="false" customHeight="false" outlineLevel="0" collapsed="false">
      <c r="H313" s="83" t="n">
        <f aca="false">+SHIPS!B327</f>
        <v>45870</v>
      </c>
      <c r="I313" s="62" t="n">
        <f aca="false">+I312</f>
        <v>0</v>
      </c>
      <c r="J313" s="105"/>
      <c r="K313" s="105"/>
      <c r="L313" s="105"/>
      <c r="M313" s="105"/>
      <c r="N313" s="106"/>
    </row>
    <row r="314" customFormat="false" ht="12.75" hidden="false" customHeight="false" outlineLevel="0" collapsed="false">
      <c r="H314" s="83" t="n">
        <f aca="false">+SHIPS!B328</f>
        <v>45901</v>
      </c>
      <c r="I314" s="62" t="n">
        <f aca="false">+I313</f>
        <v>0</v>
      </c>
      <c r="J314" s="105"/>
      <c r="K314" s="105"/>
      <c r="L314" s="105"/>
      <c r="M314" s="105"/>
      <c r="N314" s="106"/>
    </row>
    <row r="315" customFormat="false" ht="12.75" hidden="false" customHeight="false" outlineLevel="0" collapsed="false">
      <c r="H315" s="83" t="n">
        <f aca="false">+SHIPS!B329</f>
        <v>45931</v>
      </c>
      <c r="I315" s="62" t="n">
        <f aca="false">+I314</f>
        <v>0</v>
      </c>
      <c r="J315" s="105"/>
      <c r="K315" s="105"/>
      <c r="L315" s="105"/>
      <c r="M315" s="105"/>
      <c r="N315" s="106"/>
    </row>
    <row r="316" customFormat="false" ht="12.75" hidden="false" customHeight="false" outlineLevel="0" collapsed="false">
      <c r="H316" s="83" t="n">
        <f aca="false">+SHIPS!B330</f>
        <v>45962</v>
      </c>
      <c r="I316" s="62" t="n">
        <f aca="false">+I315</f>
        <v>0</v>
      </c>
      <c r="J316" s="105"/>
      <c r="K316" s="105"/>
      <c r="L316" s="105"/>
      <c r="M316" s="105"/>
      <c r="N316" s="106"/>
    </row>
    <row r="317" customFormat="false" ht="12.75" hidden="false" customHeight="false" outlineLevel="0" collapsed="false">
      <c r="H317" s="107" t="n">
        <f aca="false">+SHIPS!B331</f>
        <v>45992</v>
      </c>
      <c r="I317" s="108" t="n">
        <f aca="false">+I316</f>
        <v>0</v>
      </c>
      <c r="J317" s="109"/>
      <c r="K317" s="109"/>
      <c r="L317" s="109"/>
      <c r="M317" s="109"/>
      <c r="N317" s="110"/>
    </row>
    <row r="318" customFormat="false" ht="12.75" hidden="false" customHeight="false" outlineLevel="0" collapsed="false">
      <c r="H318" s="111"/>
      <c r="I318" s="112" t="str">
        <f aca="false">+I11</f>
        <v>ELBA</v>
      </c>
      <c r="J318" s="112" t="str">
        <f aca="false">+J11</f>
        <v>LAKE CHARLES</v>
      </c>
      <c r="K318" s="112" t="str">
        <f aca="false">+K11</f>
        <v>CABOT</v>
      </c>
      <c r="L318" s="112" t="str">
        <f aca="false">+L11</f>
        <v>COVE POINT</v>
      </c>
      <c r="M318" s="112" t="str">
        <f aca="false">+M11</f>
        <v>BARCELONA</v>
      </c>
      <c r="N318" s="112" t="n">
        <f aca="false">+N11</f>
        <v>0</v>
      </c>
    </row>
    <row r="319" customFormat="false" ht="12.75" hidden="false" customHeight="false" outlineLevel="0" collapsed="false">
      <c r="H319" s="113" t="s">
        <v>30</v>
      </c>
      <c r="I319" s="114" t="n">
        <v>0.0125</v>
      </c>
      <c r="J319" s="75"/>
      <c r="K319" s="76"/>
      <c r="L319" s="76"/>
      <c r="M319" s="74"/>
      <c r="N319" s="77"/>
    </row>
    <row r="320" customFormat="false" ht="12.75" hidden="false" customHeight="false" outlineLevel="0" collapsed="false">
      <c r="H320" s="78" t="n">
        <f aca="false">+H12</f>
        <v>36708</v>
      </c>
      <c r="I320" s="53" t="n">
        <v>0</v>
      </c>
      <c r="J320" s="79"/>
      <c r="K320" s="80"/>
      <c r="L320" s="80"/>
      <c r="M320" s="81"/>
      <c r="N320" s="82"/>
    </row>
    <row r="321" customFormat="false" ht="12.75" hidden="false" customHeight="false" outlineLevel="0" collapsed="false">
      <c r="H321" s="83" t="n">
        <f aca="false">+H13</f>
        <v>36739</v>
      </c>
      <c r="I321" s="62" t="n">
        <v>0</v>
      </c>
      <c r="J321" s="84"/>
      <c r="K321" s="85"/>
      <c r="L321" s="85"/>
      <c r="M321" s="86"/>
      <c r="N321" s="87"/>
    </row>
    <row r="322" customFormat="false" ht="12.75" hidden="false" customHeight="false" outlineLevel="0" collapsed="false">
      <c r="H322" s="83" t="n">
        <f aca="false">+H14</f>
        <v>36770</v>
      </c>
      <c r="I322" s="62" t="n">
        <v>0</v>
      </c>
      <c r="J322" s="84"/>
      <c r="K322" s="85"/>
      <c r="L322" s="85"/>
      <c r="M322" s="86"/>
      <c r="N322" s="87"/>
    </row>
    <row r="323" customFormat="false" ht="12.75" hidden="false" customHeight="false" outlineLevel="0" collapsed="false">
      <c r="H323" s="83" t="n">
        <f aca="false">+H15</f>
        <v>36800</v>
      </c>
      <c r="I323" s="62" t="n">
        <v>0</v>
      </c>
      <c r="J323" s="91"/>
      <c r="K323" s="92"/>
      <c r="L323" s="92"/>
      <c r="M323" s="89"/>
      <c r="N323" s="93"/>
    </row>
    <row r="324" customFormat="false" ht="12.75" hidden="false" customHeight="false" outlineLevel="0" collapsed="false">
      <c r="H324" s="83" t="n">
        <f aca="false">+H16</f>
        <v>36831</v>
      </c>
      <c r="I324" s="62" t="n">
        <v>0</v>
      </c>
      <c r="J324" s="95"/>
      <c r="K324" s="96"/>
      <c r="L324" s="96"/>
      <c r="M324" s="94"/>
      <c r="N324" s="97"/>
    </row>
    <row r="325" customFormat="false" ht="12.75" hidden="false" customHeight="false" outlineLevel="0" collapsed="false">
      <c r="H325" s="83" t="n">
        <f aca="false">+H17</f>
        <v>36861</v>
      </c>
      <c r="I325" s="62" t="n">
        <v>0</v>
      </c>
      <c r="J325" s="95"/>
      <c r="K325" s="96"/>
      <c r="L325" s="96"/>
      <c r="M325" s="94"/>
      <c r="N325" s="97"/>
    </row>
    <row r="326" customFormat="false" ht="12.75" hidden="false" customHeight="false" outlineLevel="0" collapsed="false">
      <c r="H326" s="83" t="n">
        <f aca="false">+H18</f>
        <v>36892</v>
      </c>
      <c r="I326" s="62" t="n">
        <v>0</v>
      </c>
      <c r="J326" s="100"/>
      <c r="K326" s="101"/>
      <c r="L326" s="101"/>
      <c r="M326" s="99"/>
      <c r="N326" s="102"/>
    </row>
    <row r="327" customFormat="false" ht="12.75" hidden="false" customHeight="false" outlineLevel="0" collapsed="false">
      <c r="H327" s="83" t="n">
        <f aca="false">+H19</f>
        <v>36923</v>
      </c>
      <c r="I327" s="62" t="n">
        <v>0</v>
      </c>
      <c r="J327" s="100"/>
      <c r="K327" s="101"/>
      <c r="L327" s="101"/>
      <c r="M327" s="98"/>
      <c r="N327" s="102"/>
    </row>
    <row r="328" customFormat="false" ht="12.75" hidden="false" customHeight="false" outlineLevel="0" collapsed="false">
      <c r="H328" s="83" t="n">
        <f aca="false">+H20</f>
        <v>36951</v>
      </c>
      <c r="I328" s="62" t="n">
        <v>0</v>
      </c>
      <c r="J328" s="100"/>
      <c r="K328" s="101"/>
      <c r="L328" s="101"/>
      <c r="M328" s="98"/>
      <c r="N328" s="102"/>
    </row>
    <row r="329" customFormat="false" ht="12.75" hidden="false" customHeight="false" outlineLevel="0" collapsed="false">
      <c r="H329" s="83" t="n">
        <f aca="false">+H21</f>
        <v>36982</v>
      </c>
      <c r="I329" s="62" t="n">
        <v>0</v>
      </c>
      <c r="J329" s="100"/>
      <c r="K329" s="101"/>
      <c r="L329" s="101"/>
      <c r="M329" s="98"/>
      <c r="N329" s="102"/>
    </row>
    <row r="330" customFormat="false" ht="12.75" hidden="false" customHeight="false" outlineLevel="0" collapsed="false">
      <c r="H330" s="83" t="n">
        <f aca="false">+H22</f>
        <v>37012</v>
      </c>
      <c r="I330" s="62" t="n">
        <v>0</v>
      </c>
      <c r="J330" s="100"/>
      <c r="K330" s="101"/>
      <c r="L330" s="101"/>
      <c r="M330" s="98"/>
      <c r="N330" s="102"/>
    </row>
    <row r="331" customFormat="false" ht="12.75" hidden="false" customHeight="false" outlineLevel="0" collapsed="false">
      <c r="H331" s="83" t="n">
        <f aca="false">+H23</f>
        <v>37043</v>
      </c>
      <c r="I331" s="62" t="n">
        <v>0</v>
      </c>
      <c r="J331" s="100"/>
      <c r="K331" s="101"/>
      <c r="L331" s="101"/>
      <c r="M331" s="98"/>
      <c r="N331" s="102"/>
    </row>
    <row r="332" customFormat="false" ht="12.75" hidden="false" customHeight="false" outlineLevel="0" collapsed="false">
      <c r="H332" s="83" t="n">
        <f aca="false">+H24</f>
        <v>37073</v>
      </c>
      <c r="I332" s="62" t="n">
        <v>0</v>
      </c>
      <c r="J332" s="100"/>
      <c r="K332" s="101"/>
      <c r="L332" s="101"/>
      <c r="M332" s="98"/>
      <c r="N332" s="102"/>
    </row>
    <row r="333" customFormat="false" ht="12.75" hidden="false" customHeight="false" outlineLevel="0" collapsed="false">
      <c r="H333" s="83" t="n">
        <f aca="false">+H25</f>
        <v>37104</v>
      </c>
      <c r="I333" s="62" t="n">
        <v>0</v>
      </c>
      <c r="J333" s="103"/>
      <c r="K333" s="104"/>
      <c r="L333" s="104"/>
      <c r="M333" s="105"/>
      <c r="N333" s="106"/>
    </row>
    <row r="334" customFormat="false" ht="12.75" hidden="false" customHeight="false" outlineLevel="0" collapsed="false">
      <c r="H334" s="83" t="n">
        <f aca="false">+H26</f>
        <v>37135</v>
      </c>
      <c r="I334" s="62" t="n">
        <v>0</v>
      </c>
      <c r="J334" s="103"/>
      <c r="K334" s="104"/>
      <c r="L334" s="104"/>
      <c r="M334" s="105"/>
      <c r="N334" s="106"/>
    </row>
    <row r="335" customFormat="false" ht="12.75" hidden="false" customHeight="false" outlineLevel="0" collapsed="false">
      <c r="H335" s="83" t="n">
        <f aca="false">+H27</f>
        <v>37165</v>
      </c>
      <c r="I335" s="62" t="n">
        <v>0</v>
      </c>
      <c r="J335" s="103"/>
      <c r="K335" s="104"/>
      <c r="L335" s="104"/>
      <c r="M335" s="105"/>
      <c r="N335" s="106"/>
    </row>
    <row r="336" customFormat="false" ht="12.75" hidden="false" customHeight="false" outlineLevel="0" collapsed="false">
      <c r="H336" s="83" t="n">
        <f aca="false">+H28</f>
        <v>37196</v>
      </c>
      <c r="I336" s="62" t="n">
        <v>0</v>
      </c>
      <c r="J336" s="103"/>
      <c r="K336" s="104"/>
      <c r="L336" s="104"/>
      <c r="M336" s="105"/>
      <c r="N336" s="106"/>
    </row>
    <row r="337" customFormat="false" ht="12.75" hidden="false" customHeight="false" outlineLevel="0" collapsed="false">
      <c r="H337" s="83" t="n">
        <f aca="false">+H29</f>
        <v>37226</v>
      </c>
      <c r="I337" s="62" t="n">
        <v>0</v>
      </c>
      <c r="J337" s="103"/>
      <c r="K337" s="104"/>
      <c r="L337" s="104"/>
      <c r="M337" s="105"/>
      <c r="N337" s="106"/>
    </row>
    <row r="338" customFormat="false" ht="12.75" hidden="false" customHeight="false" outlineLevel="0" collapsed="false">
      <c r="H338" s="83" t="n">
        <f aca="false">+H30</f>
        <v>37257</v>
      </c>
      <c r="I338" s="62" t="n">
        <v>0</v>
      </c>
      <c r="J338" s="103"/>
      <c r="K338" s="104"/>
      <c r="L338" s="104"/>
      <c r="M338" s="105"/>
      <c r="N338" s="106"/>
    </row>
    <row r="339" customFormat="false" ht="12.75" hidden="false" customHeight="false" outlineLevel="0" collapsed="false">
      <c r="H339" s="83" t="n">
        <f aca="false">+H31</f>
        <v>37288</v>
      </c>
      <c r="I339" s="62" t="n">
        <v>0</v>
      </c>
      <c r="J339" s="103"/>
      <c r="K339" s="104"/>
      <c r="L339" s="104"/>
      <c r="M339" s="105"/>
      <c r="N339" s="106"/>
    </row>
    <row r="340" customFormat="false" ht="12.75" hidden="false" customHeight="false" outlineLevel="0" collapsed="false">
      <c r="H340" s="83" t="n">
        <f aca="false">+H32</f>
        <v>37316</v>
      </c>
      <c r="I340" s="62" t="n">
        <v>0</v>
      </c>
      <c r="J340" s="103"/>
      <c r="K340" s="104"/>
      <c r="L340" s="104"/>
      <c r="M340" s="105"/>
      <c r="N340" s="106"/>
    </row>
    <row r="341" customFormat="false" ht="12.75" hidden="false" customHeight="false" outlineLevel="0" collapsed="false">
      <c r="H341" s="83" t="n">
        <f aca="false">+H33</f>
        <v>37347</v>
      </c>
      <c r="I341" s="62" t="n">
        <f aca="false">5588417.0635/12</f>
        <v>465701.421958333</v>
      </c>
      <c r="J341" s="103"/>
      <c r="K341" s="104"/>
      <c r="L341" s="104"/>
      <c r="M341" s="105"/>
      <c r="N341" s="106"/>
    </row>
    <row r="342" customFormat="false" ht="12.75" hidden="false" customHeight="false" outlineLevel="0" collapsed="false">
      <c r="H342" s="83" t="n">
        <f aca="false">+H34</f>
        <v>37377</v>
      </c>
      <c r="I342" s="62" t="n">
        <f aca="false">+I341*(1+I$319/12)</f>
        <v>466186.527606207</v>
      </c>
      <c r="J342" s="103"/>
      <c r="K342" s="104"/>
      <c r="L342" s="104"/>
      <c r="M342" s="105"/>
      <c r="N342" s="106"/>
    </row>
    <row r="343" customFormat="false" ht="12.75" hidden="false" customHeight="false" outlineLevel="0" collapsed="false">
      <c r="H343" s="83" t="n">
        <f aca="false">+H35</f>
        <v>37408</v>
      </c>
      <c r="I343" s="62" t="n">
        <f aca="false">+I342*(1+I$319/12)</f>
        <v>466672.138572463</v>
      </c>
      <c r="J343" s="103"/>
      <c r="K343" s="104"/>
      <c r="L343" s="104"/>
      <c r="M343" s="105"/>
      <c r="N343" s="106"/>
    </row>
    <row r="344" customFormat="false" ht="12.75" hidden="false" customHeight="false" outlineLevel="0" collapsed="false">
      <c r="H344" s="83" t="n">
        <f aca="false">+H36</f>
        <v>37438</v>
      </c>
      <c r="I344" s="62" t="n">
        <f aca="false">+I343*(1+I$319/12)</f>
        <v>467158.255383476</v>
      </c>
      <c r="J344" s="103"/>
      <c r="K344" s="104"/>
      <c r="L344" s="104"/>
      <c r="M344" s="105"/>
      <c r="N344" s="106"/>
    </row>
    <row r="345" customFormat="false" ht="12.75" hidden="false" customHeight="false" outlineLevel="0" collapsed="false">
      <c r="H345" s="83" t="n">
        <f aca="false">+H37</f>
        <v>37469</v>
      </c>
      <c r="I345" s="62" t="n">
        <f aca="false">+I344*(1+I$319/12)</f>
        <v>467644.878566167</v>
      </c>
      <c r="J345" s="103"/>
      <c r="K345" s="104"/>
      <c r="L345" s="104"/>
      <c r="M345" s="105"/>
      <c r="N345" s="106"/>
    </row>
    <row r="346" customFormat="false" ht="12.75" hidden="false" customHeight="false" outlineLevel="0" collapsed="false">
      <c r="H346" s="83" t="n">
        <f aca="false">+H38</f>
        <v>37500</v>
      </c>
      <c r="I346" s="62" t="n">
        <f aca="false">+I345*(1+I$319/12)</f>
        <v>468132.008648007</v>
      </c>
      <c r="J346" s="103"/>
      <c r="K346" s="104"/>
      <c r="L346" s="104"/>
      <c r="M346" s="105"/>
      <c r="N346" s="106"/>
    </row>
    <row r="347" customFormat="false" ht="12.75" hidden="false" customHeight="false" outlineLevel="0" collapsed="false">
      <c r="H347" s="83" t="n">
        <f aca="false">+H39</f>
        <v>37530</v>
      </c>
      <c r="I347" s="62" t="n">
        <f aca="false">+I346*(1+I$319/12)</f>
        <v>468619.646157015</v>
      </c>
      <c r="J347" s="103"/>
      <c r="K347" s="104"/>
      <c r="L347" s="104"/>
      <c r="M347" s="105"/>
      <c r="N347" s="106"/>
    </row>
    <row r="348" customFormat="false" ht="12.75" hidden="false" customHeight="false" outlineLevel="0" collapsed="false">
      <c r="H348" s="83" t="n">
        <f aca="false">+H40</f>
        <v>37561</v>
      </c>
      <c r="I348" s="62" t="n">
        <f aca="false">+I347*(1+I$319/12)</f>
        <v>469107.791621762</v>
      </c>
      <c r="J348" s="103"/>
      <c r="K348" s="104"/>
      <c r="L348" s="104"/>
      <c r="M348" s="105"/>
      <c r="N348" s="106"/>
    </row>
    <row r="349" customFormat="false" ht="12.75" hidden="false" customHeight="false" outlineLevel="0" collapsed="false">
      <c r="H349" s="83" t="n">
        <f aca="false">+H41</f>
        <v>37591</v>
      </c>
      <c r="I349" s="62" t="n">
        <f aca="false">+I348*(1+I$319/12)</f>
        <v>469596.445571368</v>
      </c>
      <c r="J349" s="103"/>
      <c r="K349" s="104"/>
      <c r="L349" s="104"/>
      <c r="M349" s="105"/>
      <c r="N349" s="106"/>
    </row>
    <row r="350" customFormat="false" ht="12.75" hidden="false" customHeight="false" outlineLevel="0" collapsed="false">
      <c r="H350" s="83" t="n">
        <f aca="false">+H42</f>
        <v>37622</v>
      </c>
      <c r="I350" s="62" t="n">
        <f aca="false">+I349*(1+I$319/12)</f>
        <v>470085.608535505</v>
      </c>
      <c r="J350" s="103"/>
      <c r="K350" s="104"/>
      <c r="L350" s="104"/>
      <c r="M350" s="105"/>
      <c r="N350" s="106"/>
    </row>
    <row r="351" customFormat="false" ht="12.75" hidden="false" customHeight="false" outlineLevel="0" collapsed="false">
      <c r="H351" s="83" t="n">
        <f aca="false">+H43</f>
        <v>37653</v>
      </c>
      <c r="I351" s="62" t="n">
        <f aca="false">+I350*(1+I$319/12)</f>
        <v>470575.281044396</v>
      </c>
      <c r="J351" s="103"/>
      <c r="K351" s="104"/>
      <c r="L351" s="104"/>
      <c r="M351" s="105"/>
      <c r="N351" s="106"/>
    </row>
    <row r="352" customFormat="false" ht="12.75" hidden="false" customHeight="false" outlineLevel="0" collapsed="false">
      <c r="H352" s="83" t="n">
        <f aca="false">+H44</f>
        <v>37681</v>
      </c>
      <c r="I352" s="62" t="n">
        <f aca="false">+I351*(1+I$319/12)</f>
        <v>471065.463628817</v>
      </c>
      <c r="J352" s="103"/>
      <c r="K352" s="104"/>
      <c r="L352" s="104"/>
      <c r="M352" s="105"/>
      <c r="N352" s="106"/>
    </row>
    <row r="353" customFormat="false" ht="12.75" hidden="false" customHeight="false" outlineLevel="0" collapsed="false">
      <c r="H353" s="83" t="n">
        <f aca="false">+H45</f>
        <v>37712</v>
      </c>
      <c r="I353" s="62" t="n">
        <f aca="false">+I352*(1+I$319/12)</f>
        <v>471556.156820097</v>
      </c>
      <c r="J353" s="103"/>
      <c r="K353" s="104"/>
      <c r="L353" s="104"/>
      <c r="M353" s="105"/>
      <c r="N353" s="106"/>
    </row>
    <row r="354" customFormat="false" ht="12.75" hidden="false" customHeight="false" outlineLevel="0" collapsed="false">
      <c r="H354" s="83" t="n">
        <f aca="false">+H46</f>
        <v>37742</v>
      </c>
      <c r="I354" s="62" t="n">
        <f aca="false">+I353*(1+I$319/12)</f>
        <v>472047.361150118</v>
      </c>
      <c r="J354" s="103"/>
      <c r="K354" s="104"/>
      <c r="L354" s="104"/>
      <c r="M354" s="105"/>
      <c r="N354" s="106"/>
    </row>
    <row r="355" customFormat="false" ht="12.75" hidden="false" customHeight="false" outlineLevel="0" collapsed="false">
      <c r="H355" s="83" t="n">
        <f aca="false">+H47</f>
        <v>37773</v>
      </c>
      <c r="I355" s="62" t="n">
        <f aca="false">+I354*(1+I$319/12)</f>
        <v>472539.077151316</v>
      </c>
      <c r="J355" s="103"/>
      <c r="K355" s="104"/>
      <c r="L355" s="104"/>
      <c r="M355" s="105"/>
      <c r="N355" s="106"/>
    </row>
    <row r="356" customFormat="false" ht="12.75" hidden="false" customHeight="false" outlineLevel="0" collapsed="false">
      <c r="H356" s="83" t="n">
        <f aca="false">+H48</f>
        <v>37803</v>
      </c>
      <c r="I356" s="62" t="n">
        <f aca="false">+I355*(1+I$319/12)</f>
        <v>473031.305356682</v>
      </c>
      <c r="J356" s="103"/>
      <c r="K356" s="104"/>
      <c r="L356" s="104"/>
      <c r="M356" s="105"/>
      <c r="N356" s="106"/>
    </row>
    <row r="357" customFormat="false" ht="12.75" hidden="false" customHeight="false" outlineLevel="0" collapsed="false">
      <c r="H357" s="83" t="n">
        <f aca="false">+H49</f>
        <v>37834</v>
      </c>
      <c r="I357" s="62" t="n">
        <f aca="false">+I356*(1+I$319/12)</f>
        <v>473524.046299762</v>
      </c>
      <c r="J357" s="103"/>
      <c r="K357" s="104"/>
      <c r="L357" s="104"/>
      <c r="M357" s="105"/>
      <c r="N357" s="106"/>
    </row>
    <row r="358" customFormat="false" ht="12.75" hidden="false" customHeight="false" outlineLevel="0" collapsed="false">
      <c r="H358" s="83" t="n">
        <f aca="false">+H50</f>
        <v>37865</v>
      </c>
      <c r="I358" s="62" t="n">
        <f aca="false">+I357*(1+I$319/12)</f>
        <v>474017.300514657</v>
      </c>
      <c r="J358" s="103"/>
      <c r="K358" s="104"/>
      <c r="L358" s="104"/>
      <c r="M358" s="105"/>
      <c r="N358" s="106"/>
    </row>
    <row r="359" customFormat="false" ht="12.75" hidden="false" customHeight="false" outlineLevel="0" collapsed="false">
      <c r="H359" s="83" t="n">
        <f aca="false">+H51</f>
        <v>37895</v>
      </c>
      <c r="I359" s="62" t="n">
        <f aca="false">+I358*(1+I$319/12)</f>
        <v>474511.068536027</v>
      </c>
      <c r="J359" s="103"/>
      <c r="K359" s="104"/>
      <c r="L359" s="104"/>
      <c r="M359" s="105"/>
      <c r="N359" s="106"/>
    </row>
    <row r="360" customFormat="false" ht="12.75" hidden="false" customHeight="false" outlineLevel="0" collapsed="false">
      <c r="H360" s="83" t="n">
        <f aca="false">+H52</f>
        <v>37926</v>
      </c>
      <c r="I360" s="62" t="n">
        <f aca="false">+I359*(1+I$319/12)</f>
        <v>475005.350899085</v>
      </c>
      <c r="J360" s="103"/>
      <c r="K360" s="104"/>
      <c r="L360" s="104"/>
      <c r="M360" s="105"/>
      <c r="N360" s="106"/>
    </row>
    <row r="361" customFormat="false" ht="12.75" hidden="false" customHeight="false" outlineLevel="0" collapsed="false">
      <c r="H361" s="83" t="n">
        <f aca="false">+H53</f>
        <v>37956</v>
      </c>
      <c r="I361" s="62" t="n">
        <f aca="false">+I360*(1+I$319/12)</f>
        <v>475500.148139605</v>
      </c>
      <c r="J361" s="103"/>
      <c r="K361" s="104"/>
      <c r="L361" s="104"/>
      <c r="M361" s="105"/>
      <c r="N361" s="106"/>
    </row>
    <row r="362" customFormat="false" ht="12.75" hidden="false" customHeight="false" outlineLevel="0" collapsed="false">
      <c r="H362" s="83" t="n">
        <f aca="false">+H54</f>
        <v>37987</v>
      </c>
      <c r="I362" s="62" t="n">
        <f aca="false">+I361*(1+I$319/12)</f>
        <v>475995.460793917</v>
      </c>
      <c r="J362" s="103"/>
      <c r="K362" s="104"/>
      <c r="L362" s="104"/>
      <c r="M362" s="105"/>
      <c r="N362" s="106"/>
    </row>
    <row r="363" customFormat="false" ht="12.75" hidden="false" customHeight="false" outlineLevel="0" collapsed="false">
      <c r="H363" s="83" t="n">
        <f aca="false">+H55</f>
        <v>38018</v>
      </c>
      <c r="I363" s="62" t="n">
        <f aca="false">+I362*(1+I$319/12)</f>
        <v>476491.289398911</v>
      </c>
      <c r="J363" s="103"/>
      <c r="K363" s="104"/>
      <c r="L363" s="104"/>
      <c r="M363" s="105"/>
      <c r="N363" s="106"/>
    </row>
    <row r="364" customFormat="false" ht="12.75" hidden="false" customHeight="false" outlineLevel="0" collapsed="false">
      <c r="H364" s="83" t="n">
        <f aca="false">+H56</f>
        <v>38047</v>
      </c>
      <c r="I364" s="62" t="n">
        <f aca="false">+I363*(1+I$319/12)</f>
        <v>476987.634492035</v>
      </c>
      <c r="J364" s="103"/>
      <c r="K364" s="104"/>
      <c r="L364" s="104"/>
      <c r="M364" s="105"/>
      <c r="N364" s="106"/>
    </row>
    <row r="365" customFormat="false" ht="12.75" hidden="false" customHeight="false" outlineLevel="0" collapsed="false">
      <c r="H365" s="83" t="n">
        <f aca="false">+H57</f>
        <v>38078</v>
      </c>
      <c r="I365" s="62" t="n">
        <f aca="false">+I364*(1+I$319/12)</f>
        <v>477484.496611297</v>
      </c>
      <c r="J365" s="103"/>
      <c r="K365" s="104"/>
      <c r="L365" s="104"/>
      <c r="M365" s="105"/>
      <c r="N365" s="106"/>
    </row>
    <row r="366" customFormat="false" ht="12.75" hidden="false" customHeight="false" outlineLevel="0" collapsed="false">
      <c r="H366" s="83" t="n">
        <f aca="false">+H58</f>
        <v>38108</v>
      </c>
      <c r="I366" s="62" t="n">
        <f aca="false">+I365*(1+I$319/12)</f>
        <v>477981.876295267</v>
      </c>
      <c r="J366" s="103"/>
      <c r="K366" s="104"/>
      <c r="L366" s="104"/>
      <c r="M366" s="105"/>
      <c r="N366" s="106"/>
    </row>
    <row r="367" customFormat="false" ht="12.75" hidden="false" customHeight="false" outlineLevel="0" collapsed="false">
      <c r="H367" s="83" t="n">
        <f aca="false">+H59</f>
        <v>38139</v>
      </c>
      <c r="I367" s="62" t="n">
        <f aca="false">+I366*(1+I$319/12)</f>
        <v>478479.774083075</v>
      </c>
      <c r="J367" s="103"/>
      <c r="K367" s="104"/>
      <c r="L367" s="104"/>
      <c r="M367" s="105"/>
      <c r="N367" s="106"/>
    </row>
    <row r="368" customFormat="false" ht="12.75" hidden="false" customHeight="false" outlineLevel="0" collapsed="false">
      <c r="H368" s="83" t="n">
        <f aca="false">+H60</f>
        <v>38169</v>
      </c>
      <c r="I368" s="62" t="n">
        <f aca="false">+I367*(1+I$319/12)</f>
        <v>478978.190514411</v>
      </c>
      <c r="J368" s="103"/>
      <c r="K368" s="104"/>
      <c r="L368" s="104"/>
      <c r="M368" s="105"/>
      <c r="N368" s="106"/>
    </row>
    <row r="369" customFormat="false" ht="12.75" hidden="false" customHeight="false" outlineLevel="0" collapsed="false">
      <c r="H369" s="83" t="n">
        <f aca="false">+H61</f>
        <v>38200</v>
      </c>
      <c r="I369" s="62" t="n">
        <f aca="false">+I368*(1+I$319/12)</f>
        <v>479477.12612953</v>
      </c>
      <c r="J369" s="103"/>
      <c r="K369" s="104"/>
      <c r="L369" s="104"/>
      <c r="M369" s="105"/>
      <c r="N369" s="106"/>
    </row>
    <row r="370" customFormat="false" ht="12.75" hidden="false" customHeight="false" outlineLevel="0" collapsed="false">
      <c r="H370" s="83" t="n">
        <f aca="false">+H62</f>
        <v>38231</v>
      </c>
      <c r="I370" s="62" t="n">
        <f aca="false">+I369*(1+I$319/12)</f>
        <v>479976.581469249</v>
      </c>
      <c r="J370" s="103"/>
      <c r="K370" s="104"/>
      <c r="L370" s="104"/>
      <c r="M370" s="105"/>
      <c r="N370" s="106"/>
    </row>
    <row r="371" customFormat="false" ht="12.75" hidden="false" customHeight="false" outlineLevel="0" collapsed="false">
      <c r="H371" s="83" t="n">
        <f aca="false">+H63</f>
        <v>38261</v>
      </c>
      <c r="I371" s="62" t="n">
        <f aca="false">+I370*(1+I$319/12)</f>
        <v>480476.557074946</v>
      </c>
      <c r="J371" s="103"/>
      <c r="K371" s="104"/>
      <c r="L371" s="104"/>
      <c r="M371" s="105"/>
      <c r="N371" s="106"/>
    </row>
    <row r="372" customFormat="false" ht="12.75" hidden="false" customHeight="false" outlineLevel="0" collapsed="false">
      <c r="H372" s="83" t="n">
        <f aca="false">+H64</f>
        <v>38292</v>
      </c>
      <c r="I372" s="62" t="n">
        <f aca="false">+I371*(1+I$319/12)</f>
        <v>480977.053488566</v>
      </c>
      <c r="J372" s="103"/>
      <c r="K372" s="104"/>
      <c r="L372" s="104"/>
      <c r="M372" s="105"/>
      <c r="N372" s="106"/>
    </row>
    <row r="373" customFormat="false" ht="12.75" hidden="false" customHeight="false" outlineLevel="0" collapsed="false">
      <c r="H373" s="83" t="n">
        <f aca="false">+H65</f>
        <v>38322</v>
      </c>
      <c r="I373" s="62" t="n">
        <f aca="false">+I372*(1+I$319/12)</f>
        <v>481478.071252616</v>
      </c>
      <c r="J373" s="103"/>
      <c r="K373" s="104"/>
      <c r="L373" s="104"/>
      <c r="M373" s="105"/>
      <c r="N373" s="106"/>
    </row>
    <row r="374" customFormat="false" ht="12.75" hidden="false" customHeight="false" outlineLevel="0" collapsed="false">
      <c r="H374" s="83" t="n">
        <f aca="false">+H66</f>
        <v>38353</v>
      </c>
      <c r="I374" s="62" t="n">
        <f aca="false">+I373*(1+I$319/12)</f>
        <v>481979.610910171</v>
      </c>
      <c r="J374" s="103"/>
      <c r="K374" s="104"/>
      <c r="L374" s="104"/>
      <c r="M374" s="105"/>
      <c r="N374" s="106"/>
    </row>
    <row r="375" customFormat="false" ht="12.75" hidden="false" customHeight="false" outlineLevel="0" collapsed="false">
      <c r="H375" s="83" t="n">
        <f aca="false">+H67</f>
        <v>38384</v>
      </c>
      <c r="I375" s="62" t="n">
        <f aca="false">+I374*(1+I$319/12)</f>
        <v>482481.673004869</v>
      </c>
      <c r="J375" s="103"/>
      <c r="K375" s="104"/>
      <c r="L375" s="104"/>
      <c r="M375" s="105"/>
      <c r="N375" s="106"/>
    </row>
    <row r="376" customFormat="false" ht="12.75" hidden="false" customHeight="false" outlineLevel="0" collapsed="false">
      <c r="H376" s="83" t="n">
        <f aca="false">+H68</f>
        <v>38412</v>
      </c>
      <c r="I376" s="62" t="n">
        <f aca="false">+I375*(1+I$319/12)</f>
        <v>482984.258080916</v>
      </c>
      <c r="J376" s="103"/>
      <c r="K376" s="104"/>
      <c r="L376" s="104"/>
      <c r="M376" s="105"/>
      <c r="N376" s="106"/>
    </row>
    <row r="377" customFormat="false" ht="12.75" hidden="false" customHeight="false" outlineLevel="0" collapsed="false">
      <c r="H377" s="83" t="n">
        <f aca="false">+H69</f>
        <v>38443</v>
      </c>
      <c r="I377" s="62" t="n">
        <f aca="false">+I376*(1+I$319/12)</f>
        <v>483487.366683083</v>
      </c>
      <c r="J377" s="103"/>
      <c r="K377" s="104"/>
      <c r="L377" s="104"/>
      <c r="M377" s="105"/>
      <c r="N377" s="106"/>
    </row>
    <row r="378" customFormat="false" ht="12.75" hidden="false" customHeight="false" outlineLevel="0" collapsed="false">
      <c r="H378" s="83" t="n">
        <f aca="false">+H70</f>
        <v>38473</v>
      </c>
      <c r="I378" s="62" t="n">
        <f aca="false">+I377*(1+I$319/12)</f>
        <v>483990.999356711</v>
      </c>
      <c r="J378" s="103"/>
      <c r="K378" s="104"/>
      <c r="L378" s="104"/>
      <c r="M378" s="105"/>
      <c r="N378" s="106"/>
    </row>
    <row r="379" customFormat="false" ht="12.75" hidden="false" customHeight="false" outlineLevel="0" collapsed="false">
      <c r="H379" s="83" t="n">
        <f aca="false">+H71</f>
        <v>38504</v>
      </c>
      <c r="I379" s="62" t="n">
        <f aca="false">+I378*(1+I$319/12)</f>
        <v>484495.156647708</v>
      </c>
      <c r="J379" s="103"/>
      <c r="K379" s="104"/>
      <c r="L379" s="104"/>
      <c r="M379" s="105"/>
      <c r="N379" s="106"/>
    </row>
    <row r="380" customFormat="false" ht="12.75" hidden="false" customHeight="false" outlineLevel="0" collapsed="false">
      <c r="H380" s="83" t="n">
        <f aca="false">+H72</f>
        <v>38534</v>
      </c>
      <c r="I380" s="62" t="n">
        <f aca="false">+I379*(1+I$319/12)</f>
        <v>484999.839102549</v>
      </c>
      <c r="J380" s="103"/>
      <c r="K380" s="104"/>
      <c r="L380" s="104"/>
      <c r="M380" s="105"/>
      <c r="N380" s="106"/>
    </row>
    <row r="381" customFormat="false" ht="12.75" hidden="false" customHeight="false" outlineLevel="0" collapsed="false">
      <c r="H381" s="83" t="n">
        <f aca="false">+H73</f>
        <v>38565</v>
      </c>
      <c r="I381" s="62" t="n">
        <f aca="false">+I380*(1+I$319/12)</f>
        <v>485505.047268281</v>
      </c>
      <c r="J381" s="103"/>
      <c r="K381" s="104"/>
      <c r="L381" s="104"/>
      <c r="M381" s="105"/>
      <c r="N381" s="106"/>
    </row>
    <row r="382" customFormat="false" ht="12.75" hidden="false" customHeight="false" outlineLevel="0" collapsed="false">
      <c r="H382" s="83" t="n">
        <f aca="false">+H74</f>
        <v>38596</v>
      </c>
      <c r="I382" s="62" t="n">
        <f aca="false">+I381*(1+I$319/12)</f>
        <v>486010.781692519</v>
      </c>
      <c r="J382" s="103"/>
      <c r="K382" s="104"/>
      <c r="L382" s="104"/>
      <c r="M382" s="105"/>
      <c r="N382" s="106"/>
    </row>
    <row r="383" customFormat="false" ht="12.75" hidden="false" customHeight="false" outlineLevel="0" collapsed="false">
      <c r="H383" s="83" t="n">
        <f aca="false">+H75</f>
        <v>38626</v>
      </c>
      <c r="I383" s="62" t="n">
        <f aca="false">+I382*(1+I$319/12)</f>
        <v>486517.042923448</v>
      </c>
      <c r="J383" s="103"/>
      <c r="K383" s="104"/>
      <c r="L383" s="104"/>
      <c r="M383" s="105"/>
      <c r="N383" s="106"/>
    </row>
    <row r="384" customFormat="false" ht="12.75" hidden="false" customHeight="false" outlineLevel="0" collapsed="false">
      <c r="H384" s="83" t="n">
        <f aca="false">+H76</f>
        <v>38657</v>
      </c>
      <c r="I384" s="62" t="n">
        <f aca="false">+I383*(1+I$319/12)</f>
        <v>487023.831509827</v>
      </c>
      <c r="J384" s="103"/>
      <c r="K384" s="104"/>
      <c r="L384" s="104"/>
      <c r="M384" s="105"/>
      <c r="N384" s="106"/>
    </row>
    <row r="385" customFormat="false" ht="12.75" hidden="false" customHeight="false" outlineLevel="0" collapsed="false">
      <c r="H385" s="83" t="n">
        <f aca="false">+H77</f>
        <v>38687</v>
      </c>
      <c r="I385" s="62" t="n">
        <f aca="false">+I384*(1+I$319/12)</f>
        <v>487531.148000983</v>
      </c>
      <c r="J385" s="103"/>
      <c r="K385" s="104"/>
      <c r="L385" s="104"/>
      <c r="M385" s="105"/>
      <c r="N385" s="106"/>
    </row>
    <row r="386" customFormat="false" ht="12.75" hidden="false" customHeight="false" outlineLevel="0" collapsed="false">
      <c r="H386" s="83" t="n">
        <f aca="false">+H78</f>
        <v>38718</v>
      </c>
      <c r="I386" s="62" t="n">
        <f aca="false">+I385*(1+I$319/12)</f>
        <v>488038.992946817</v>
      </c>
      <c r="J386" s="103"/>
      <c r="K386" s="104"/>
      <c r="L386" s="104"/>
      <c r="M386" s="105"/>
      <c r="N386" s="106"/>
    </row>
    <row r="387" customFormat="false" ht="12.75" hidden="false" customHeight="false" outlineLevel="0" collapsed="false">
      <c r="H387" s="83" t="n">
        <f aca="false">+H79</f>
        <v>38749</v>
      </c>
      <c r="I387" s="62" t="n">
        <f aca="false">+I386*(1+I$319/12)</f>
        <v>488547.366897804</v>
      </c>
      <c r="J387" s="103"/>
      <c r="K387" s="104"/>
      <c r="L387" s="104"/>
      <c r="M387" s="105"/>
      <c r="N387" s="106"/>
    </row>
    <row r="388" customFormat="false" ht="12.75" hidden="false" customHeight="false" outlineLevel="0" collapsed="false">
      <c r="H388" s="83" t="n">
        <f aca="false">+H80</f>
        <v>38777</v>
      </c>
      <c r="I388" s="62" t="n">
        <f aca="false">+I387*(1+I$319/12)</f>
        <v>489056.270404989</v>
      </c>
      <c r="J388" s="103"/>
      <c r="K388" s="104"/>
      <c r="L388" s="104"/>
      <c r="M388" s="105"/>
      <c r="N388" s="106"/>
    </row>
    <row r="389" customFormat="false" ht="12.75" hidden="false" customHeight="false" outlineLevel="0" collapsed="false">
      <c r="H389" s="83" t="n">
        <f aca="false">+H81</f>
        <v>38808</v>
      </c>
      <c r="I389" s="62" t="n">
        <f aca="false">+I388*(1+I$319/12)</f>
        <v>489565.704019994</v>
      </c>
      <c r="J389" s="103"/>
      <c r="K389" s="104"/>
      <c r="L389" s="104"/>
      <c r="M389" s="105"/>
      <c r="N389" s="106"/>
    </row>
    <row r="390" customFormat="false" ht="12.75" hidden="false" customHeight="false" outlineLevel="0" collapsed="false">
      <c r="H390" s="83" t="n">
        <f aca="false">+H82</f>
        <v>38838</v>
      </c>
      <c r="I390" s="62" t="n">
        <f aca="false">+I389*(1+I$319/12)</f>
        <v>490075.668295015</v>
      </c>
      <c r="J390" s="103"/>
      <c r="K390" s="104"/>
      <c r="L390" s="104"/>
      <c r="M390" s="105"/>
      <c r="N390" s="106"/>
    </row>
    <row r="391" customFormat="false" ht="12.75" hidden="false" customHeight="false" outlineLevel="0" collapsed="false">
      <c r="H391" s="83" t="n">
        <f aca="false">+H83</f>
        <v>38869</v>
      </c>
      <c r="I391" s="62" t="n">
        <f aca="false">+I390*(1+I$319/12)</f>
        <v>490586.163782822</v>
      </c>
      <c r="J391" s="103"/>
      <c r="K391" s="104"/>
      <c r="L391" s="104"/>
      <c r="M391" s="105"/>
      <c r="N391" s="106"/>
    </row>
    <row r="392" customFormat="false" ht="12.75" hidden="false" customHeight="false" outlineLevel="0" collapsed="false">
      <c r="H392" s="83" t="n">
        <f aca="false">+H84</f>
        <v>38899</v>
      </c>
      <c r="I392" s="62" t="n">
        <f aca="false">+I391*(1+I$319/12)</f>
        <v>491097.191036762</v>
      </c>
      <c r="J392" s="103"/>
      <c r="K392" s="104"/>
      <c r="L392" s="104"/>
      <c r="M392" s="105"/>
      <c r="N392" s="106"/>
    </row>
    <row r="393" customFormat="false" ht="12.75" hidden="false" customHeight="false" outlineLevel="0" collapsed="false">
      <c r="H393" s="83" t="n">
        <f aca="false">+H85</f>
        <v>38930</v>
      </c>
      <c r="I393" s="62" t="n">
        <f aca="false">+I392*(1+I$319/12)</f>
        <v>491608.750610759</v>
      </c>
      <c r="J393" s="103"/>
      <c r="K393" s="104"/>
      <c r="L393" s="104"/>
      <c r="M393" s="105"/>
      <c r="N393" s="106"/>
    </row>
    <row r="394" customFormat="false" ht="12.75" hidden="false" customHeight="false" outlineLevel="0" collapsed="false">
      <c r="H394" s="83" t="n">
        <f aca="false">+H86</f>
        <v>38961</v>
      </c>
      <c r="I394" s="62" t="n">
        <f aca="false">+I393*(1+I$319/12)</f>
        <v>492120.843059312</v>
      </c>
      <c r="J394" s="103"/>
      <c r="K394" s="104"/>
      <c r="L394" s="104"/>
      <c r="M394" s="105"/>
      <c r="N394" s="106"/>
    </row>
    <row r="395" customFormat="false" ht="12.75" hidden="false" customHeight="false" outlineLevel="0" collapsed="false">
      <c r="H395" s="83" t="n">
        <f aca="false">+H87</f>
        <v>38991</v>
      </c>
      <c r="I395" s="62" t="n">
        <f aca="false">+I394*(1+I$319/12)</f>
        <v>492633.468937499</v>
      </c>
      <c r="J395" s="103"/>
      <c r="K395" s="104"/>
      <c r="L395" s="104"/>
      <c r="M395" s="105"/>
      <c r="N395" s="106"/>
    </row>
    <row r="396" customFormat="false" ht="12.75" hidden="false" customHeight="false" outlineLevel="0" collapsed="false">
      <c r="H396" s="83" t="n">
        <f aca="false">+H88</f>
        <v>39022</v>
      </c>
      <c r="I396" s="62" t="n">
        <f aca="false">+I395*(1+I$319/12)</f>
        <v>493146.628800975</v>
      </c>
      <c r="J396" s="103"/>
      <c r="K396" s="104"/>
      <c r="L396" s="104"/>
      <c r="M396" s="105"/>
      <c r="N396" s="106"/>
    </row>
    <row r="397" customFormat="false" ht="12.75" hidden="false" customHeight="false" outlineLevel="0" collapsed="false">
      <c r="H397" s="83" t="n">
        <f aca="false">+H89</f>
        <v>39052</v>
      </c>
      <c r="I397" s="62" t="n">
        <f aca="false">+I396*(1+I$319/12)</f>
        <v>493660.323205976</v>
      </c>
      <c r="J397" s="103"/>
      <c r="K397" s="104"/>
      <c r="L397" s="104"/>
      <c r="M397" s="105"/>
      <c r="N397" s="106"/>
    </row>
    <row r="398" customFormat="false" ht="12.75" hidden="false" customHeight="false" outlineLevel="0" collapsed="false">
      <c r="H398" s="83" t="n">
        <f aca="false">+H90</f>
        <v>39083</v>
      </c>
      <c r="I398" s="62" t="n">
        <f aca="false">+I397*(1+I$319/12)</f>
        <v>494174.552709316</v>
      </c>
      <c r="J398" s="103"/>
      <c r="K398" s="104"/>
      <c r="L398" s="104"/>
      <c r="M398" s="105"/>
      <c r="N398" s="106"/>
    </row>
    <row r="399" customFormat="false" ht="12.75" hidden="false" customHeight="false" outlineLevel="0" collapsed="false">
      <c r="H399" s="83" t="n">
        <f aca="false">+H91</f>
        <v>39114</v>
      </c>
      <c r="I399" s="62" t="n">
        <f aca="false">+I398*(1+I$319/12)</f>
        <v>494689.317868388</v>
      </c>
      <c r="J399" s="103"/>
      <c r="K399" s="104"/>
      <c r="L399" s="104"/>
      <c r="M399" s="105"/>
      <c r="N399" s="106"/>
    </row>
    <row r="400" customFormat="false" ht="12.75" hidden="false" customHeight="false" outlineLevel="0" collapsed="false">
      <c r="H400" s="83" t="n">
        <f aca="false">+H92</f>
        <v>39142</v>
      </c>
      <c r="I400" s="62" t="n">
        <f aca="false">+I399*(1+I$319/12)</f>
        <v>495204.619241167</v>
      </c>
      <c r="J400" s="103"/>
      <c r="K400" s="104"/>
      <c r="L400" s="104"/>
      <c r="M400" s="105"/>
      <c r="N400" s="106"/>
    </row>
    <row r="401" customFormat="false" ht="12.75" hidden="false" customHeight="false" outlineLevel="0" collapsed="false">
      <c r="H401" s="83" t="n">
        <f aca="false">+H93</f>
        <v>39173</v>
      </c>
      <c r="I401" s="62" t="n">
        <f aca="false">+I400*(1+I$319/12)</f>
        <v>495720.45738621</v>
      </c>
      <c r="J401" s="103"/>
      <c r="K401" s="104"/>
      <c r="L401" s="104"/>
      <c r="M401" s="105"/>
      <c r="N401" s="106"/>
    </row>
    <row r="402" customFormat="false" ht="12.75" hidden="false" customHeight="false" outlineLevel="0" collapsed="false">
      <c r="H402" s="83" t="n">
        <f aca="false">+H94</f>
        <v>39203</v>
      </c>
      <c r="I402" s="62" t="n">
        <f aca="false">+I401*(1+I$319/12)</f>
        <v>496236.832862654</v>
      </c>
      <c r="J402" s="103"/>
      <c r="K402" s="104"/>
      <c r="L402" s="104"/>
      <c r="M402" s="105"/>
      <c r="N402" s="106"/>
    </row>
    <row r="403" customFormat="false" ht="12.75" hidden="false" customHeight="false" outlineLevel="0" collapsed="false">
      <c r="H403" s="83" t="n">
        <f aca="false">+H95</f>
        <v>39234</v>
      </c>
      <c r="I403" s="62" t="n">
        <f aca="false">+I402*(1+I$319/12)</f>
        <v>496753.746230219</v>
      </c>
      <c r="J403" s="103"/>
      <c r="K403" s="104"/>
      <c r="L403" s="104"/>
      <c r="M403" s="105"/>
      <c r="N403" s="106"/>
    </row>
    <row r="404" customFormat="false" ht="12.75" hidden="false" customHeight="false" outlineLevel="0" collapsed="false">
      <c r="H404" s="83" t="n">
        <f aca="false">+H96</f>
        <v>39264</v>
      </c>
      <c r="I404" s="62" t="n">
        <f aca="false">+I403*(1+I$319/12)</f>
        <v>497271.198049209</v>
      </c>
      <c r="J404" s="103"/>
      <c r="K404" s="104"/>
      <c r="L404" s="104"/>
      <c r="M404" s="105"/>
      <c r="N404" s="106"/>
    </row>
    <row r="405" customFormat="false" ht="12.75" hidden="false" customHeight="false" outlineLevel="0" collapsed="false">
      <c r="H405" s="83" t="n">
        <f aca="false">+H97</f>
        <v>39295</v>
      </c>
      <c r="I405" s="62" t="n">
        <f aca="false">+I404*(1+I$319/12)</f>
        <v>497789.18888051</v>
      </c>
      <c r="J405" s="103"/>
      <c r="K405" s="104"/>
      <c r="L405" s="104"/>
      <c r="M405" s="105"/>
      <c r="N405" s="106"/>
    </row>
    <row r="406" customFormat="false" ht="12.75" hidden="false" customHeight="false" outlineLevel="0" collapsed="false">
      <c r="H406" s="83" t="n">
        <f aca="false">+H98</f>
        <v>39326</v>
      </c>
      <c r="I406" s="62" t="n">
        <f aca="false">+I405*(1+I$319/12)</f>
        <v>498307.719285594</v>
      </c>
      <c r="J406" s="103"/>
      <c r="K406" s="104"/>
      <c r="L406" s="104"/>
      <c r="M406" s="105"/>
      <c r="N406" s="106"/>
    </row>
    <row r="407" customFormat="false" ht="12.75" hidden="false" customHeight="false" outlineLevel="0" collapsed="false">
      <c r="H407" s="83" t="n">
        <f aca="false">+H99</f>
        <v>39356</v>
      </c>
      <c r="I407" s="62" t="n">
        <f aca="false">+I406*(1+I$319/12)</f>
        <v>498826.789826517</v>
      </c>
      <c r="J407" s="103"/>
      <c r="K407" s="104"/>
      <c r="L407" s="104"/>
      <c r="M407" s="105"/>
      <c r="N407" s="106"/>
    </row>
    <row r="408" customFormat="false" ht="12.75" hidden="false" customHeight="false" outlineLevel="0" collapsed="false">
      <c r="H408" s="83" t="n">
        <f aca="false">+H100</f>
        <v>39387</v>
      </c>
      <c r="I408" s="62" t="n">
        <f aca="false">+I407*(1+I$319/12)</f>
        <v>499346.401065919</v>
      </c>
      <c r="J408" s="103"/>
      <c r="K408" s="104"/>
      <c r="L408" s="104"/>
      <c r="M408" s="105"/>
      <c r="N408" s="106"/>
    </row>
    <row r="409" customFormat="false" ht="12.75" hidden="false" customHeight="false" outlineLevel="0" collapsed="false">
      <c r="H409" s="83" t="n">
        <f aca="false">+H101</f>
        <v>39417</v>
      </c>
      <c r="I409" s="62" t="n">
        <f aca="false">+I408*(1+I$319/12)</f>
        <v>499866.55356703</v>
      </c>
      <c r="J409" s="103"/>
      <c r="K409" s="104"/>
      <c r="L409" s="104"/>
      <c r="M409" s="105"/>
      <c r="N409" s="106"/>
    </row>
    <row r="410" customFormat="false" ht="12.75" hidden="false" customHeight="false" outlineLevel="0" collapsed="false">
      <c r="H410" s="83" t="n">
        <f aca="false">+H102</f>
        <v>39448</v>
      </c>
      <c r="I410" s="62" t="n">
        <f aca="false">+I409*(1+I$319/12)</f>
        <v>500387.247893662</v>
      </c>
      <c r="J410" s="103"/>
      <c r="K410" s="104"/>
      <c r="L410" s="104"/>
      <c r="M410" s="105"/>
      <c r="N410" s="106"/>
    </row>
    <row r="411" customFormat="false" ht="12.75" hidden="false" customHeight="false" outlineLevel="0" collapsed="false">
      <c r="H411" s="83" t="n">
        <f aca="false">+H103</f>
        <v>39479</v>
      </c>
      <c r="I411" s="62" t="n">
        <f aca="false">+I410*(1+I$319/12)</f>
        <v>500908.484610218</v>
      </c>
      <c r="J411" s="103"/>
      <c r="K411" s="104"/>
      <c r="L411" s="104"/>
      <c r="M411" s="105"/>
      <c r="N411" s="106"/>
    </row>
    <row r="412" customFormat="false" ht="12.75" hidden="false" customHeight="false" outlineLevel="0" collapsed="false">
      <c r="H412" s="83" t="n">
        <f aca="false">+H104</f>
        <v>39508</v>
      </c>
      <c r="I412" s="62" t="n">
        <f aca="false">+I411*(1+I$319/12)</f>
        <v>501430.264281687</v>
      </c>
      <c r="J412" s="103"/>
      <c r="K412" s="104"/>
      <c r="L412" s="104"/>
      <c r="M412" s="105"/>
      <c r="N412" s="106"/>
    </row>
    <row r="413" customFormat="false" ht="12.75" hidden="false" customHeight="false" outlineLevel="0" collapsed="false">
      <c r="H413" s="83" t="n">
        <f aca="false">+H105</f>
        <v>39539</v>
      </c>
      <c r="I413" s="62" t="n">
        <f aca="false">+I412*(1+I$319/12)</f>
        <v>501952.587473647</v>
      </c>
      <c r="J413" s="103"/>
      <c r="K413" s="104"/>
      <c r="L413" s="104"/>
      <c r="M413" s="105"/>
      <c r="N413" s="106"/>
    </row>
    <row r="414" customFormat="false" ht="12.75" hidden="false" customHeight="false" outlineLevel="0" collapsed="false">
      <c r="H414" s="83" t="n">
        <f aca="false">+H106</f>
        <v>39569</v>
      </c>
      <c r="I414" s="62" t="n">
        <f aca="false">+I413*(1+I$319/12)</f>
        <v>502475.454752265</v>
      </c>
      <c r="J414" s="103"/>
      <c r="K414" s="104"/>
      <c r="L414" s="104"/>
      <c r="M414" s="105"/>
      <c r="N414" s="106"/>
    </row>
    <row r="415" customFormat="false" ht="12.75" hidden="false" customHeight="false" outlineLevel="0" collapsed="false">
      <c r="H415" s="83" t="n">
        <f aca="false">+H107</f>
        <v>39600</v>
      </c>
      <c r="I415" s="62" t="n">
        <f aca="false">+I414*(1+I$319/12)</f>
        <v>502998.866684299</v>
      </c>
      <c r="J415" s="103"/>
      <c r="K415" s="104"/>
      <c r="L415" s="104"/>
      <c r="M415" s="105"/>
      <c r="N415" s="106"/>
    </row>
    <row r="416" customFormat="false" ht="12.75" hidden="false" customHeight="false" outlineLevel="0" collapsed="false">
      <c r="H416" s="83" t="n">
        <f aca="false">+H108</f>
        <v>39630</v>
      </c>
      <c r="I416" s="62" t="n">
        <f aca="false">+I415*(1+I$319/12)</f>
        <v>503522.823837095</v>
      </c>
      <c r="J416" s="103"/>
      <c r="K416" s="104"/>
      <c r="L416" s="104"/>
      <c r="M416" s="105"/>
      <c r="N416" s="106"/>
    </row>
    <row r="417" customFormat="false" ht="12.75" hidden="false" customHeight="false" outlineLevel="0" collapsed="false">
      <c r="H417" s="83" t="n">
        <f aca="false">+H109</f>
        <v>39661</v>
      </c>
      <c r="I417" s="62" t="n">
        <f aca="false">+I416*(1+I$319/12)</f>
        <v>504047.326778592</v>
      </c>
      <c r="J417" s="103"/>
      <c r="K417" s="104"/>
      <c r="L417" s="104"/>
      <c r="M417" s="105"/>
      <c r="N417" s="106"/>
    </row>
    <row r="418" customFormat="false" ht="12.75" hidden="false" customHeight="false" outlineLevel="0" collapsed="false">
      <c r="H418" s="83" t="n">
        <f aca="false">+H110</f>
        <v>39692</v>
      </c>
      <c r="I418" s="62" t="n">
        <f aca="false">+I417*(1+I$319/12)</f>
        <v>504572.37607732</v>
      </c>
      <c r="J418" s="103"/>
      <c r="K418" s="104"/>
      <c r="L418" s="104"/>
      <c r="M418" s="105"/>
      <c r="N418" s="106"/>
    </row>
    <row r="419" customFormat="false" ht="12.75" hidden="false" customHeight="false" outlineLevel="0" collapsed="false">
      <c r="H419" s="83" t="n">
        <f aca="false">+H111</f>
        <v>39722</v>
      </c>
      <c r="I419" s="62" t="n">
        <f aca="false">+I418*(1+I$319/12)</f>
        <v>505097.9723024</v>
      </c>
      <c r="J419" s="103"/>
      <c r="K419" s="104"/>
      <c r="L419" s="104"/>
      <c r="M419" s="105"/>
      <c r="N419" s="106"/>
    </row>
    <row r="420" customFormat="false" ht="12.75" hidden="false" customHeight="false" outlineLevel="0" collapsed="false">
      <c r="H420" s="83" t="n">
        <f aca="false">+H112</f>
        <v>39753</v>
      </c>
      <c r="I420" s="62" t="n">
        <f aca="false">+I419*(1+I$319/12)</f>
        <v>505624.116023548</v>
      </c>
      <c r="J420" s="103"/>
      <c r="K420" s="104"/>
      <c r="L420" s="104"/>
      <c r="M420" s="105"/>
      <c r="N420" s="106"/>
    </row>
    <row r="421" customFormat="false" ht="12.75" hidden="false" customHeight="false" outlineLevel="0" collapsed="false">
      <c r="H421" s="83" t="n">
        <f aca="false">+H113</f>
        <v>39783</v>
      </c>
      <c r="I421" s="62" t="n">
        <f aca="false">+I420*(1+I$319/12)</f>
        <v>506150.807811073</v>
      </c>
      <c r="J421" s="103"/>
      <c r="K421" s="104"/>
      <c r="L421" s="104"/>
      <c r="M421" s="105"/>
      <c r="N421" s="106"/>
    </row>
    <row r="422" customFormat="false" ht="12.75" hidden="false" customHeight="false" outlineLevel="0" collapsed="false">
      <c r="H422" s="83" t="n">
        <f aca="false">+H114</f>
        <v>39814</v>
      </c>
      <c r="I422" s="62" t="n">
        <f aca="false">+I421*(1+I$319/12)</f>
        <v>506678.048235876</v>
      </c>
      <c r="J422" s="103"/>
      <c r="K422" s="104"/>
      <c r="L422" s="104"/>
      <c r="M422" s="105"/>
      <c r="N422" s="106"/>
    </row>
    <row r="423" customFormat="false" ht="12.75" hidden="false" customHeight="false" outlineLevel="0" collapsed="false">
      <c r="H423" s="83" t="n">
        <f aca="false">+H115</f>
        <v>39845</v>
      </c>
      <c r="I423" s="62" t="n">
        <f aca="false">+I422*(1+I$319/12)</f>
        <v>507205.837869455</v>
      </c>
      <c r="J423" s="103"/>
      <c r="K423" s="104"/>
      <c r="L423" s="104"/>
      <c r="M423" s="105"/>
      <c r="N423" s="106"/>
    </row>
    <row r="424" customFormat="false" ht="12.75" hidden="false" customHeight="false" outlineLevel="0" collapsed="false">
      <c r="H424" s="83" t="n">
        <f aca="false">+H116</f>
        <v>39873</v>
      </c>
      <c r="I424" s="62" t="n">
        <f aca="false">+I423*(1+I$319/12)</f>
        <v>507734.177283902</v>
      </c>
      <c r="J424" s="103"/>
      <c r="K424" s="104"/>
      <c r="L424" s="104"/>
      <c r="M424" s="105"/>
      <c r="N424" s="106"/>
    </row>
    <row r="425" customFormat="false" ht="12.75" hidden="false" customHeight="false" outlineLevel="0" collapsed="false">
      <c r="H425" s="83" t="n">
        <f aca="false">+H117</f>
        <v>39904</v>
      </c>
      <c r="I425" s="62" t="n">
        <f aca="false">+I424*(1+I$319/12)</f>
        <v>508263.067051906</v>
      </c>
      <c r="J425" s="103"/>
      <c r="K425" s="104"/>
      <c r="L425" s="104"/>
      <c r="M425" s="105"/>
      <c r="N425" s="106"/>
    </row>
    <row r="426" customFormat="false" ht="12.75" hidden="false" customHeight="false" outlineLevel="0" collapsed="false">
      <c r="H426" s="83" t="n">
        <f aca="false">+H118</f>
        <v>39934</v>
      </c>
      <c r="I426" s="62" t="n">
        <f aca="false">+I425*(1+I$319/12)</f>
        <v>508792.507746752</v>
      </c>
      <c r="J426" s="103"/>
      <c r="K426" s="104"/>
      <c r="L426" s="104"/>
      <c r="M426" s="105"/>
      <c r="N426" s="106"/>
    </row>
    <row r="427" customFormat="false" ht="12.75" hidden="false" customHeight="false" outlineLevel="0" collapsed="false">
      <c r="H427" s="83" t="n">
        <f aca="false">+H119</f>
        <v>39965</v>
      </c>
      <c r="I427" s="62" t="n">
        <f aca="false">+I426*(1+I$319/12)</f>
        <v>509322.499942322</v>
      </c>
      <c r="J427" s="103"/>
      <c r="K427" s="104"/>
      <c r="L427" s="104"/>
      <c r="M427" s="105"/>
      <c r="N427" s="106"/>
    </row>
    <row r="428" customFormat="false" ht="12.75" hidden="false" customHeight="false" outlineLevel="0" collapsed="false">
      <c r="H428" s="83" t="n">
        <f aca="false">+H120</f>
        <v>39995</v>
      </c>
      <c r="I428" s="62" t="n">
        <f aca="false">+I427*(1+I$319/12)</f>
        <v>509853.044213095</v>
      </c>
      <c r="J428" s="103"/>
      <c r="K428" s="104"/>
      <c r="L428" s="104"/>
      <c r="M428" s="105"/>
      <c r="N428" s="106"/>
    </row>
    <row r="429" customFormat="false" ht="12.75" hidden="false" customHeight="false" outlineLevel="0" collapsed="false">
      <c r="H429" s="83" t="n">
        <f aca="false">+H121</f>
        <v>40026</v>
      </c>
      <c r="I429" s="62" t="n">
        <f aca="false">+I428*(1+I$319/12)</f>
        <v>510384.14113415</v>
      </c>
      <c r="J429" s="103"/>
      <c r="K429" s="104"/>
      <c r="L429" s="104"/>
      <c r="M429" s="105"/>
      <c r="N429" s="106"/>
    </row>
    <row r="430" customFormat="false" ht="12.75" hidden="false" customHeight="false" outlineLevel="0" collapsed="false">
      <c r="H430" s="83" t="n">
        <f aca="false">+H122</f>
        <v>40057</v>
      </c>
      <c r="I430" s="62" t="n">
        <f aca="false">+I429*(1+I$319/12)</f>
        <v>510915.791281165</v>
      </c>
      <c r="J430" s="103"/>
      <c r="K430" s="104"/>
      <c r="L430" s="104"/>
      <c r="M430" s="105"/>
      <c r="N430" s="106"/>
    </row>
    <row r="431" customFormat="false" ht="12.75" hidden="false" customHeight="false" outlineLevel="0" collapsed="false">
      <c r="H431" s="83" t="n">
        <f aca="false">+H123</f>
        <v>40087</v>
      </c>
      <c r="I431" s="62" t="n">
        <f aca="false">+I430*(1+I$319/12)</f>
        <v>511447.995230416</v>
      </c>
      <c r="J431" s="103"/>
      <c r="K431" s="104"/>
      <c r="L431" s="104"/>
      <c r="M431" s="105"/>
      <c r="N431" s="106"/>
    </row>
    <row r="432" customFormat="false" ht="12.75" hidden="false" customHeight="false" outlineLevel="0" collapsed="false">
      <c r="H432" s="83" t="n">
        <f aca="false">+H124</f>
        <v>40118</v>
      </c>
      <c r="I432" s="62" t="n">
        <f aca="false">+I431*(1+I$319/12)</f>
        <v>511980.753558781</v>
      </c>
      <c r="J432" s="103"/>
      <c r="K432" s="104"/>
      <c r="L432" s="104"/>
      <c r="M432" s="105"/>
      <c r="N432" s="106"/>
    </row>
    <row r="433" customFormat="false" ht="12.75" hidden="false" customHeight="false" outlineLevel="0" collapsed="false">
      <c r="H433" s="83" t="n">
        <f aca="false">+H125</f>
        <v>40148</v>
      </c>
      <c r="I433" s="62" t="n">
        <f aca="false">+I432*(1+I$319/12)</f>
        <v>512514.066843738</v>
      </c>
      <c r="J433" s="103"/>
      <c r="K433" s="104"/>
      <c r="L433" s="104"/>
      <c r="M433" s="105"/>
      <c r="N433" s="106"/>
    </row>
    <row r="434" customFormat="false" ht="12.75" hidden="false" customHeight="false" outlineLevel="0" collapsed="false">
      <c r="H434" s="83" t="n">
        <f aca="false">+H126</f>
        <v>40179</v>
      </c>
      <c r="I434" s="62" t="n">
        <f aca="false">+I433*(1+I$319/12)</f>
        <v>513047.935663367</v>
      </c>
      <c r="J434" s="103"/>
      <c r="K434" s="104"/>
      <c r="L434" s="104"/>
      <c r="M434" s="105"/>
      <c r="N434" s="106"/>
    </row>
    <row r="435" customFormat="false" ht="12.75" hidden="false" customHeight="false" outlineLevel="0" collapsed="false">
      <c r="H435" s="83" t="n">
        <f aca="false">+H127</f>
        <v>40210</v>
      </c>
      <c r="I435" s="62" t="n">
        <f aca="false">+I434*(1+I$319/12)</f>
        <v>513582.360596349</v>
      </c>
      <c r="J435" s="103"/>
      <c r="K435" s="104"/>
      <c r="L435" s="104"/>
      <c r="M435" s="105"/>
      <c r="N435" s="106"/>
    </row>
    <row r="436" customFormat="false" ht="12.75" hidden="false" customHeight="false" outlineLevel="0" collapsed="false">
      <c r="H436" s="83" t="n">
        <f aca="false">+H128</f>
        <v>40238</v>
      </c>
      <c r="I436" s="62" t="n">
        <f aca="false">+I435*(1+I$319/12)</f>
        <v>514117.342221971</v>
      </c>
      <c r="J436" s="103"/>
      <c r="K436" s="104"/>
      <c r="L436" s="104"/>
      <c r="M436" s="105"/>
      <c r="N436" s="106"/>
    </row>
    <row r="437" customFormat="false" ht="12.75" hidden="false" customHeight="false" outlineLevel="0" collapsed="false">
      <c r="H437" s="83" t="n">
        <f aca="false">+H129</f>
        <v>40269</v>
      </c>
      <c r="I437" s="62" t="n">
        <f aca="false">+I436*(1+I$319/12)</f>
        <v>514652.881120118</v>
      </c>
      <c r="J437" s="103"/>
      <c r="K437" s="104"/>
      <c r="L437" s="104"/>
      <c r="M437" s="105"/>
      <c r="N437" s="106"/>
    </row>
    <row r="438" customFormat="false" ht="12.75" hidden="false" customHeight="false" outlineLevel="0" collapsed="false">
      <c r="H438" s="83" t="n">
        <f aca="false">+H130</f>
        <v>40299</v>
      </c>
      <c r="I438" s="62" t="n">
        <f aca="false">+I437*(1+I$319/12)</f>
        <v>515188.977871285</v>
      </c>
      <c r="J438" s="103"/>
      <c r="K438" s="104"/>
      <c r="L438" s="104"/>
      <c r="M438" s="105"/>
      <c r="N438" s="106"/>
    </row>
    <row r="439" customFormat="false" ht="12.75" hidden="false" customHeight="false" outlineLevel="0" collapsed="false">
      <c r="H439" s="83" t="n">
        <f aca="false">+H131</f>
        <v>40330</v>
      </c>
      <c r="I439" s="62" t="n">
        <f aca="false">+I438*(1+I$319/12)</f>
        <v>515725.633056568</v>
      </c>
      <c r="J439" s="103"/>
      <c r="K439" s="104"/>
      <c r="L439" s="104"/>
      <c r="M439" s="105"/>
      <c r="N439" s="106"/>
    </row>
    <row r="440" customFormat="false" ht="12.75" hidden="false" customHeight="false" outlineLevel="0" collapsed="false">
      <c r="H440" s="83" t="n">
        <f aca="false">+H132</f>
        <v>40360</v>
      </c>
      <c r="I440" s="62" t="n">
        <f aca="false">+I439*(1+I$319/12)</f>
        <v>516262.847257668</v>
      </c>
      <c r="J440" s="103"/>
      <c r="K440" s="104"/>
      <c r="L440" s="104"/>
      <c r="M440" s="105"/>
      <c r="N440" s="106"/>
    </row>
    <row r="441" customFormat="false" ht="12.75" hidden="false" customHeight="false" outlineLevel="0" collapsed="false">
      <c r="H441" s="83" t="n">
        <f aca="false">+H133</f>
        <v>40391</v>
      </c>
      <c r="I441" s="62" t="n">
        <f aca="false">+I440*(1+I$319/12)</f>
        <v>516800.621056895</v>
      </c>
      <c r="J441" s="103"/>
      <c r="K441" s="104"/>
      <c r="L441" s="104"/>
      <c r="M441" s="105"/>
      <c r="N441" s="106"/>
    </row>
    <row r="442" customFormat="false" ht="12.75" hidden="false" customHeight="false" outlineLevel="0" collapsed="false">
      <c r="H442" s="83" t="n">
        <f aca="false">+H134</f>
        <v>40422</v>
      </c>
      <c r="I442" s="62" t="n">
        <f aca="false">+I441*(1+I$319/12)</f>
        <v>517338.955037163</v>
      </c>
      <c r="J442" s="103"/>
      <c r="K442" s="104"/>
      <c r="L442" s="104"/>
      <c r="M442" s="105"/>
      <c r="N442" s="106"/>
    </row>
    <row r="443" customFormat="false" ht="12.75" hidden="false" customHeight="false" outlineLevel="0" collapsed="false">
      <c r="H443" s="83" t="n">
        <f aca="false">+H135</f>
        <v>40452</v>
      </c>
      <c r="I443" s="62" t="n">
        <f aca="false">+I442*(1+I$319/12)</f>
        <v>517877.849781993</v>
      </c>
      <c r="J443" s="103"/>
      <c r="K443" s="104"/>
      <c r="L443" s="104"/>
      <c r="M443" s="105"/>
      <c r="N443" s="106"/>
    </row>
    <row r="444" customFormat="false" ht="12.75" hidden="false" customHeight="false" outlineLevel="0" collapsed="false">
      <c r="H444" s="83" t="n">
        <f aca="false">+H136</f>
        <v>40483</v>
      </c>
      <c r="I444" s="62" t="n">
        <f aca="false">+I443*(1+I$319/12)</f>
        <v>518417.305875516</v>
      </c>
      <c r="J444" s="103"/>
      <c r="K444" s="104"/>
      <c r="L444" s="104"/>
      <c r="M444" s="105"/>
      <c r="N444" s="106"/>
    </row>
    <row r="445" customFormat="false" ht="12.75" hidden="false" customHeight="false" outlineLevel="0" collapsed="false">
      <c r="H445" s="83" t="n">
        <f aca="false">+H137</f>
        <v>40513</v>
      </c>
      <c r="I445" s="62" t="n">
        <f aca="false">+I444*(1+I$319/12)</f>
        <v>518957.32390247</v>
      </c>
      <c r="J445" s="103"/>
      <c r="K445" s="104"/>
      <c r="L445" s="104"/>
      <c r="M445" s="105"/>
      <c r="N445" s="106"/>
    </row>
    <row r="446" customFormat="false" ht="12.75" hidden="false" customHeight="false" outlineLevel="0" collapsed="false">
      <c r="H446" s="83" t="n">
        <f aca="false">+H138</f>
        <v>40544</v>
      </c>
      <c r="I446" s="62" t="n">
        <f aca="false">+I445*(1+I$319/12)</f>
        <v>519497.904448201</v>
      </c>
      <c r="J446" s="103"/>
      <c r="K446" s="104"/>
      <c r="L446" s="104"/>
      <c r="M446" s="105"/>
      <c r="N446" s="106"/>
    </row>
    <row r="447" customFormat="false" ht="12.75" hidden="false" customHeight="false" outlineLevel="0" collapsed="false">
      <c r="H447" s="83" t="n">
        <f aca="false">+H139</f>
        <v>40575</v>
      </c>
      <c r="I447" s="62" t="n">
        <f aca="false">+I446*(1+I$319/12)</f>
        <v>520039.048098668</v>
      </c>
      <c r="J447" s="103"/>
      <c r="K447" s="104"/>
      <c r="L447" s="104"/>
      <c r="M447" s="105"/>
      <c r="N447" s="106"/>
    </row>
    <row r="448" customFormat="false" ht="12.75" hidden="false" customHeight="false" outlineLevel="0" collapsed="false">
      <c r="H448" s="83" t="n">
        <f aca="false">+H140</f>
        <v>40603</v>
      </c>
      <c r="I448" s="62" t="n">
        <f aca="false">+I447*(1+I$319/12)</f>
        <v>520580.755440437</v>
      </c>
      <c r="J448" s="103"/>
      <c r="K448" s="104"/>
      <c r="L448" s="104"/>
      <c r="M448" s="105"/>
      <c r="N448" s="106"/>
    </row>
    <row r="449" customFormat="false" ht="12.75" hidden="false" customHeight="false" outlineLevel="0" collapsed="false">
      <c r="H449" s="83" t="n">
        <f aca="false">+H141</f>
        <v>40634</v>
      </c>
      <c r="I449" s="62" t="n">
        <f aca="false">+I448*(1+I$319/12)</f>
        <v>521123.027060688</v>
      </c>
      <c r="J449" s="103"/>
      <c r="K449" s="104"/>
      <c r="L449" s="104"/>
      <c r="M449" s="105"/>
      <c r="N449" s="106"/>
    </row>
    <row r="450" customFormat="false" ht="12.75" hidden="false" customHeight="false" outlineLevel="0" collapsed="false">
      <c r="H450" s="83" t="n">
        <f aca="false">+H142</f>
        <v>40664</v>
      </c>
      <c r="I450" s="62" t="n">
        <f aca="false">+I449*(1+I$319/12)</f>
        <v>521665.863547209</v>
      </c>
      <c r="J450" s="103"/>
      <c r="K450" s="104"/>
      <c r="L450" s="104"/>
      <c r="M450" s="105"/>
      <c r="N450" s="106"/>
    </row>
    <row r="451" customFormat="false" ht="12.75" hidden="false" customHeight="false" outlineLevel="0" collapsed="false">
      <c r="H451" s="83" t="n">
        <f aca="false">+H143</f>
        <v>40695</v>
      </c>
      <c r="I451" s="62" t="n">
        <f aca="false">+I450*(1+I$319/12)</f>
        <v>522209.265488404</v>
      </c>
      <c r="J451" s="103"/>
      <c r="K451" s="104"/>
      <c r="L451" s="104"/>
      <c r="M451" s="105"/>
      <c r="N451" s="106"/>
    </row>
    <row r="452" customFormat="false" ht="12.75" hidden="false" customHeight="false" outlineLevel="0" collapsed="false">
      <c r="H452" s="83" t="n">
        <f aca="false">+H144</f>
        <v>40725</v>
      </c>
      <c r="I452" s="62" t="n">
        <f aca="false">+I451*(1+I$319/12)</f>
        <v>522753.233473288</v>
      </c>
      <c r="J452" s="103"/>
      <c r="K452" s="104"/>
      <c r="L452" s="104"/>
      <c r="M452" s="105"/>
      <c r="N452" s="106"/>
    </row>
    <row r="453" customFormat="false" ht="12.75" hidden="false" customHeight="false" outlineLevel="0" collapsed="false">
      <c r="H453" s="83" t="n">
        <f aca="false">+H145</f>
        <v>40756</v>
      </c>
      <c r="I453" s="62" t="n">
        <f aca="false">+I452*(1+I$319/12)</f>
        <v>523297.768091489</v>
      </c>
      <c r="J453" s="103"/>
      <c r="K453" s="104"/>
      <c r="L453" s="104"/>
      <c r="M453" s="105"/>
      <c r="N453" s="106"/>
    </row>
    <row r="454" customFormat="false" ht="12.75" hidden="false" customHeight="false" outlineLevel="0" collapsed="false">
      <c r="H454" s="83" t="n">
        <f aca="false">+H146</f>
        <v>40787</v>
      </c>
      <c r="I454" s="62" t="n">
        <f aca="false">+I453*(1+I$319/12)</f>
        <v>523842.869933251</v>
      </c>
      <c r="J454" s="103"/>
      <c r="K454" s="104"/>
      <c r="L454" s="104"/>
      <c r="M454" s="105"/>
      <c r="N454" s="106"/>
    </row>
    <row r="455" customFormat="false" ht="12.75" hidden="false" customHeight="false" outlineLevel="0" collapsed="false">
      <c r="H455" s="83" t="n">
        <f aca="false">+H147</f>
        <v>40817</v>
      </c>
      <c r="I455" s="62" t="n">
        <f aca="false">+I454*(1+I$319/12)</f>
        <v>524388.539589432</v>
      </c>
      <c r="J455" s="103"/>
      <c r="K455" s="104"/>
      <c r="L455" s="104"/>
      <c r="M455" s="105"/>
      <c r="N455" s="106"/>
    </row>
    <row r="456" customFormat="false" ht="12.75" hidden="false" customHeight="false" outlineLevel="0" collapsed="false">
      <c r="H456" s="83" t="n">
        <f aca="false">+H148</f>
        <v>40848</v>
      </c>
      <c r="I456" s="62" t="n">
        <f aca="false">+I455*(1+I$319/12)</f>
        <v>524934.777651504</v>
      </c>
      <c r="J456" s="103"/>
      <c r="K456" s="104"/>
      <c r="L456" s="104"/>
      <c r="M456" s="105"/>
      <c r="N456" s="106"/>
    </row>
    <row r="457" customFormat="false" ht="12.75" hidden="false" customHeight="false" outlineLevel="0" collapsed="false">
      <c r="H457" s="83" t="n">
        <f aca="false">+H149</f>
        <v>40878</v>
      </c>
      <c r="I457" s="62" t="n">
        <f aca="false">+I456*(1+I$319/12)</f>
        <v>525481.584711558</v>
      </c>
      <c r="J457" s="103"/>
      <c r="K457" s="104"/>
      <c r="L457" s="104"/>
      <c r="M457" s="105"/>
      <c r="N457" s="106"/>
    </row>
    <row r="458" customFormat="false" ht="12.75" hidden="false" customHeight="false" outlineLevel="0" collapsed="false">
      <c r="H458" s="83" t="n">
        <f aca="false">+H150</f>
        <v>40909</v>
      </c>
      <c r="I458" s="62" t="n">
        <f aca="false">+I457*(1+I$319/12)</f>
        <v>526028.961362299</v>
      </c>
      <c r="J458" s="103"/>
      <c r="K458" s="104"/>
      <c r="L458" s="104"/>
      <c r="M458" s="105"/>
      <c r="N458" s="106"/>
    </row>
    <row r="459" customFormat="false" ht="12.75" hidden="false" customHeight="false" outlineLevel="0" collapsed="false">
      <c r="H459" s="83" t="n">
        <f aca="false">+H151</f>
        <v>40940</v>
      </c>
      <c r="I459" s="62" t="n">
        <f aca="false">+I458*(1+I$319/12)</f>
        <v>526576.908197051</v>
      </c>
      <c r="J459" s="103"/>
      <c r="K459" s="104"/>
      <c r="L459" s="104"/>
      <c r="M459" s="105"/>
      <c r="N459" s="106"/>
    </row>
    <row r="460" customFormat="false" ht="12.75" hidden="false" customHeight="false" outlineLevel="0" collapsed="false">
      <c r="H460" s="83" t="n">
        <f aca="false">+H152</f>
        <v>40969</v>
      </c>
      <c r="I460" s="62" t="n">
        <f aca="false">+I459*(1+I$319/12)</f>
        <v>527125.425809757</v>
      </c>
      <c r="J460" s="103"/>
      <c r="K460" s="104"/>
      <c r="L460" s="104"/>
      <c r="M460" s="105"/>
      <c r="N460" s="106"/>
    </row>
    <row r="461" customFormat="false" ht="12.75" hidden="false" customHeight="false" outlineLevel="0" collapsed="false">
      <c r="H461" s="83" t="n">
        <f aca="false">+H153</f>
        <v>41000</v>
      </c>
      <c r="I461" s="62" t="n">
        <f aca="false">+I460*(1+I$319/12)</f>
        <v>527674.514794975</v>
      </c>
      <c r="J461" s="103"/>
      <c r="K461" s="104"/>
      <c r="L461" s="104"/>
      <c r="M461" s="105"/>
      <c r="N461" s="106"/>
    </row>
    <row r="462" customFormat="false" ht="12.75" hidden="false" customHeight="false" outlineLevel="0" collapsed="false">
      <c r="H462" s="83" t="n">
        <f aca="false">+H154</f>
        <v>41030</v>
      </c>
      <c r="I462" s="62" t="n">
        <f aca="false">+I461*(1+I$319/12)</f>
        <v>528224.175747886</v>
      </c>
      <c r="J462" s="103"/>
      <c r="K462" s="104"/>
      <c r="L462" s="104"/>
      <c r="M462" s="105"/>
      <c r="N462" s="106"/>
    </row>
    <row r="463" customFormat="false" ht="12.75" hidden="false" customHeight="false" outlineLevel="0" collapsed="false">
      <c r="H463" s="83" t="n">
        <f aca="false">+H155</f>
        <v>41061</v>
      </c>
      <c r="I463" s="62" t="n">
        <f aca="false">+I462*(1+I$319/12)</f>
        <v>528774.40926429</v>
      </c>
      <c r="J463" s="103"/>
      <c r="K463" s="104"/>
      <c r="L463" s="104"/>
      <c r="M463" s="105"/>
      <c r="N463" s="106"/>
    </row>
    <row r="464" customFormat="false" ht="12.75" hidden="false" customHeight="false" outlineLevel="0" collapsed="false">
      <c r="H464" s="83" t="n">
        <f aca="false">+H156</f>
        <v>41091</v>
      </c>
      <c r="I464" s="62" t="n">
        <f aca="false">+I463*(1+I$319/12)</f>
        <v>529325.215940607</v>
      </c>
      <c r="J464" s="103"/>
      <c r="K464" s="104"/>
      <c r="L464" s="104"/>
      <c r="M464" s="105"/>
      <c r="N464" s="106"/>
    </row>
    <row r="465" customFormat="false" ht="12.75" hidden="false" customHeight="false" outlineLevel="0" collapsed="false">
      <c r="H465" s="83" t="n">
        <f aca="false">+H157</f>
        <v>41122</v>
      </c>
      <c r="I465" s="62" t="n">
        <f aca="false">+I464*(1+I$319/12)</f>
        <v>529876.596373879</v>
      </c>
      <c r="J465" s="103"/>
      <c r="K465" s="104"/>
      <c r="L465" s="104"/>
      <c r="M465" s="105"/>
      <c r="N465" s="106"/>
    </row>
    <row r="466" customFormat="false" ht="12.75" hidden="false" customHeight="false" outlineLevel="0" collapsed="false">
      <c r="H466" s="83" t="n">
        <f aca="false">+H158</f>
        <v>41153</v>
      </c>
      <c r="I466" s="62" t="n">
        <f aca="false">+I465*(1+I$319/12)</f>
        <v>530428.551161768</v>
      </c>
      <c r="J466" s="103"/>
      <c r="K466" s="104"/>
      <c r="L466" s="104"/>
      <c r="M466" s="105"/>
      <c r="N466" s="106"/>
    </row>
    <row r="467" customFormat="false" ht="12.75" hidden="false" customHeight="false" outlineLevel="0" collapsed="false">
      <c r="H467" s="83" t="n">
        <f aca="false">+H159</f>
        <v>41183</v>
      </c>
      <c r="I467" s="62" t="n">
        <f aca="false">+I466*(1+I$319/12)</f>
        <v>530981.080902562</v>
      </c>
      <c r="J467" s="103"/>
      <c r="K467" s="104"/>
      <c r="L467" s="104"/>
      <c r="M467" s="105"/>
      <c r="N467" s="106"/>
    </row>
    <row r="468" customFormat="false" ht="12.75" hidden="false" customHeight="false" outlineLevel="0" collapsed="false">
      <c r="H468" s="83" t="n">
        <f aca="false">+H160</f>
        <v>41214</v>
      </c>
      <c r="I468" s="62" t="n">
        <f aca="false">+I467*(1+I$319/12)</f>
        <v>531534.186195168</v>
      </c>
      <c r="J468" s="103"/>
      <c r="K468" s="104"/>
      <c r="L468" s="104"/>
      <c r="M468" s="105"/>
      <c r="N468" s="106"/>
    </row>
    <row r="469" customFormat="false" ht="12.75" hidden="false" customHeight="false" outlineLevel="0" collapsed="false">
      <c r="H469" s="83" t="n">
        <f aca="false">+H161</f>
        <v>41244</v>
      </c>
      <c r="I469" s="62" t="n">
        <f aca="false">+I468*(1+I$319/12)</f>
        <v>532087.867639122</v>
      </c>
      <c r="J469" s="103"/>
      <c r="K469" s="104"/>
      <c r="L469" s="104"/>
      <c r="M469" s="105"/>
      <c r="N469" s="106"/>
    </row>
    <row r="470" customFormat="false" ht="12.75" hidden="false" customHeight="false" outlineLevel="0" collapsed="false">
      <c r="H470" s="83" t="n">
        <f aca="false">+H162</f>
        <v>41275</v>
      </c>
      <c r="I470" s="62" t="n">
        <f aca="false">+I469*(1+I$319/12)</f>
        <v>532642.125834579</v>
      </c>
      <c r="J470" s="103"/>
      <c r="K470" s="104"/>
      <c r="L470" s="104"/>
      <c r="M470" s="105"/>
      <c r="N470" s="106"/>
    </row>
    <row r="471" customFormat="false" ht="12.75" hidden="false" customHeight="false" outlineLevel="0" collapsed="false">
      <c r="H471" s="83" t="n">
        <f aca="false">+H163</f>
        <v>41306</v>
      </c>
      <c r="I471" s="62" t="n">
        <f aca="false">+I470*(1+I$319/12)</f>
        <v>533196.961382323</v>
      </c>
      <c r="J471" s="103"/>
      <c r="K471" s="104"/>
      <c r="L471" s="104"/>
      <c r="M471" s="105"/>
      <c r="N471" s="106"/>
    </row>
    <row r="472" customFormat="false" ht="12.75" hidden="false" customHeight="false" outlineLevel="0" collapsed="false">
      <c r="H472" s="83" t="n">
        <f aca="false">+H164</f>
        <v>41334</v>
      </c>
      <c r="I472" s="62" t="n">
        <f aca="false">+I471*(1+I$319/12)</f>
        <v>533752.374883763</v>
      </c>
      <c r="J472" s="103"/>
      <c r="K472" s="104"/>
      <c r="L472" s="104"/>
      <c r="M472" s="105"/>
      <c r="N472" s="106"/>
    </row>
    <row r="473" customFormat="false" ht="12.75" hidden="false" customHeight="false" outlineLevel="0" collapsed="false">
      <c r="H473" s="83" t="n">
        <f aca="false">+H165</f>
        <v>41365</v>
      </c>
      <c r="I473" s="62" t="n">
        <f aca="false">+I472*(1+I$319/12)</f>
        <v>534308.366940934</v>
      </c>
      <c r="J473" s="103"/>
      <c r="K473" s="104"/>
      <c r="L473" s="104"/>
      <c r="M473" s="105"/>
      <c r="N473" s="106"/>
    </row>
    <row r="474" customFormat="false" ht="12.75" hidden="false" customHeight="false" outlineLevel="0" collapsed="false">
      <c r="H474" s="83" t="n">
        <f aca="false">+H166</f>
        <v>41395</v>
      </c>
      <c r="I474" s="62" t="n">
        <f aca="false">+I473*(1+I$319/12)</f>
        <v>534864.938156497</v>
      </c>
      <c r="J474" s="103"/>
      <c r="K474" s="104"/>
      <c r="L474" s="104"/>
      <c r="M474" s="105"/>
      <c r="N474" s="106"/>
    </row>
    <row r="475" customFormat="false" ht="12.75" hidden="false" customHeight="false" outlineLevel="0" collapsed="false">
      <c r="H475" s="83" t="n">
        <f aca="false">+H167</f>
        <v>41426</v>
      </c>
      <c r="I475" s="62" t="n">
        <f aca="false">+I474*(1+I$319/12)</f>
        <v>535422.089133744</v>
      </c>
      <c r="J475" s="103"/>
      <c r="K475" s="104"/>
      <c r="L475" s="104"/>
      <c r="M475" s="105"/>
      <c r="N475" s="106"/>
    </row>
    <row r="476" customFormat="false" ht="12.75" hidden="false" customHeight="false" outlineLevel="0" collapsed="false">
      <c r="H476" s="83" t="n">
        <f aca="false">+H168</f>
        <v>41456</v>
      </c>
      <c r="I476" s="62" t="n">
        <f aca="false">+I475*(1+I$319/12)</f>
        <v>535979.820476591</v>
      </c>
      <c r="J476" s="103"/>
      <c r="K476" s="104"/>
      <c r="L476" s="104"/>
      <c r="M476" s="105"/>
      <c r="N476" s="106"/>
    </row>
    <row r="477" customFormat="false" ht="12.75" hidden="false" customHeight="false" outlineLevel="0" collapsed="false">
      <c r="H477" s="83" t="n">
        <f aca="false">+H169</f>
        <v>41487</v>
      </c>
      <c r="I477" s="62" t="n">
        <f aca="false">+I476*(1+I$319/12)</f>
        <v>536538.132789588</v>
      </c>
      <c r="J477" s="103"/>
      <c r="K477" s="104"/>
      <c r="L477" s="104"/>
      <c r="M477" s="105"/>
      <c r="N477" s="106"/>
    </row>
    <row r="478" customFormat="false" ht="12.75" hidden="false" customHeight="false" outlineLevel="0" collapsed="false">
      <c r="H478" s="83" t="n">
        <f aca="false">+H170</f>
        <v>41518</v>
      </c>
      <c r="I478" s="62" t="n">
        <f aca="false">+I477*(1+I$319/12)</f>
        <v>537097.02667791</v>
      </c>
      <c r="J478" s="103"/>
      <c r="K478" s="104"/>
      <c r="L478" s="104"/>
      <c r="M478" s="105"/>
      <c r="N478" s="106"/>
    </row>
    <row r="479" customFormat="false" ht="12.75" hidden="false" customHeight="false" outlineLevel="0" collapsed="false">
      <c r="H479" s="83" t="n">
        <f aca="false">+H171</f>
        <v>41548</v>
      </c>
      <c r="I479" s="62" t="n">
        <f aca="false">+I478*(1+I$319/12)</f>
        <v>537656.502747366</v>
      </c>
      <c r="J479" s="103"/>
      <c r="K479" s="104"/>
      <c r="L479" s="104"/>
      <c r="M479" s="105"/>
      <c r="N479" s="106"/>
    </row>
    <row r="480" customFormat="false" ht="12.75" hidden="false" customHeight="false" outlineLevel="0" collapsed="false">
      <c r="H480" s="83" t="n">
        <f aca="false">+H172</f>
        <v>41579</v>
      </c>
      <c r="I480" s="62" t="n">
        <f aca="false">+I479*(1+I$319/12)</f>
        <v>538216.561604395</v>
      </c>
      <c r="J480" s="103"/>
      <c r="K480" s="104"/>
      <c r="L480" s="104"/>
      <c r="M480" s="105"/>
      <c r="N480" s="106"/>
    </row>
    <row r="481" customFormat="false" ht="12.75" hidden="false" customHeight="false" outlineLevel="0" collapsed="false">
      <c r="H481" s="83" t="n">
        <f aca="false">+H173</f>
        <v>41609</v>
      </c>
      <c r="I481" s="62" t="n">
        <f aca="false">+I480*(1+I$319/12)</f>
        <v>538777.203856066</v>
      </c>
      <c r="J481" s="103"/>
      <c r="K481" s="104"/>
      <c r="L481" s="104"/>
      <c r="M481" s="105"/>
      <c r="N481" s="106"/>
    </row>
    <row r="482" customFormat="false" ht="12.75" hidden="false" customHeight="false" outlineLevel="0" collapsed="false">
      <c r="H482" s="83" t="n">
        <f aca="false">+H174</f>
        <v>41640</v>
      </c>
      <c r="I482" s="62" t="n">
        <f aca="false">+I481*(1+I$319/12)</f>
        <v>539338.430110082</v>
      </c>
      <c r="J482" s="103"/>
      <c r="K482" s="104"/>
      <c r="L482" s="104"/>
      <c r="M482" s="105"/>
      <c r="N482" s="106"/>
    </row>
    <row r="483" customFormat="false" ht="12.75" hidden="false" customHeight="false" outlineLevel="0" collapsed="false">
      <c r="H483" s="83" t="n">
        <f aca="false">+H175</f>
        <v>41671</v>
      </c>
      <c r="I483" s="62" t="n">
        <f aca="false">+I482*(1+I$319/12)</f>
        <v>539900.24097478</v>
      </c>
      <c r="J483" s="103"/>
      <c r="K483" s="104"/>
      <c r="L483" s="104"/>
      <c r="M483" s="105"/>
      <c r="N483" s="106"/>
    </row>
    <row r="484" customFormat="false" ht="12.75" hidden="false" customHeight="false" outlineLevel="0" collapsed="false">
      <c r="H484" s="83" t="n">
        <f aca="false">+H176</f>
        <v>41699</v>
      </c>
      <c r="I484" s="62" t="n">
        <f aca="false">+I483*(1+I$319/12)</f>
        <v>540462.637059129</v>
      </c>
      <c r="J484" s="103"/>
      <c r="K484" s="104"/>
      <c r="L484" s="104"/>
      <c r="M484" s="105"/>
      <c r="N484" s="106"/>
    </row>
    <row r="485" customFormat="false" ht="12.75" hidden="false" customHeight="false" outlineLevel="0" collapsed="false">
      <c r="H485" s="83" t="n">
        <f aca="false">+H177</f>
        <v>41730</v>
      </c>
      <c r="I485" s="62" t="n">
        <f aca="false">+I484*(1+I$319/12)</f>
        <v>541025.618972732</v>
      </c>
      <c r="J485" s="103"/>
      <c r="K485" s="104"/>
      <c r="L485" s="104"/>
      <c r="M485" s="105"/>
      <c r="N485" s="106"/>
    </row>
    <row r="486" customFormat="false" ht="12.75" hidden="false" customHeight="false" outlineLevel="0" collapsed="false">
      <c r="H486" s="83" t="n">
        <f aca="false">+H178</f>
        <v>41760</v>
      </c>
      <c r="I486" s="62" t="n">
        <f aca="false">+I485*(1+I$319/12)</f>
        <v>541589.187325829</v>
      </c>
      <c r="J486" s="103"/>
      <c r="K486" s="104"/>
      <c r="L486" s="104"/>
      <c r="M486" s="105"/>
      <c r="N486" s="106"/>
    </row>
    <row r="487" customFormat="false" ht="12.75" hidden="false" customHeight="false" outlineLevel="0" collapsed="false">
      <c r="H487" s="83" t="n">
        <f aca="false">+H179</f>
        <v>41791</v>
      </c>
      <c r="I487" s="62" t="n">
        <f aca="false">+I486*(1+I$319/12)</f>
        <v>542153.342729293</v>
      </c>
      <c r="J487" s="103"/>
      <c r="K487" s="104"/>
      <c r="L487" s="104"/>
      <c r="M487" s="105"/>
      <c r="N487" s="106"/>
    </row>
    <row r="488" customFormat="false" ht="12.75" hidden="false" customHeight="false" outlineLevel="0" collapsed="false">
      <c r="H488" s="83" t="n">
        <f aca="false">+H180</f>
        <v>41821</v>
      </c>
      <c r="I488" s="62" t="n">
        <f aca="false">+I487*(1+I$319/12)</f>
        <v>542718.085794636</v>
      </c>
      <c r="J488" s="103"/>
      <c r="K488" s="104"/>
      <c r="L488" s="104"/>
      <c r="M488" s="105"/>
      <c r="N488" s="106"/>
    </row>
    <row r="489" customFormat="false" ht="12.75" hidden="false" customHeight="false" outlineLevel="0" collapsed="false">
      <c r="H489" s="83" t="n">
        <f aca="false">+H181</f>
        <v>41852</v>
      </c>
      <c r="I489" s="62" t="n">
        <f aca="false">+I488*(1+I$319/12)</f>
        <v>543283.417134006</v>
      </c>
      <c r="J489" s="103"/>
      <c r="K489" s="104"/>
      <c r="L489" s="104"/>
      <c r="M489" s="105"/>
      <c r="N489" s="106"/>
    </row>
    <row r="490" customFormat="false" ht="12.75" hidden="false" customHeight="false" outlineLevel="0" collapsed="false">
      <c r="H490" s="83" t="n">
        <f aca="false">+H182</f>
        <v>41883</v>
      </c>
      <c r="I490" s="62" t="n">
        <f aca="false">+I489*(1+I$319/12)</f>
        <v>543849.337360187</v>
      </c>
      <c r="J490" s="103"/>
      <c r="K490" s="104"/>
      <c r="L490" s="104"/>
      <c r="M490" s="105"/>
      <c r="N490" s="106"/>
    </row>
    <row r="491" customFormat="false" ht="12.75" hidden="false" customHeight="false" outlineLevel="0" collapsed="false">
      <c r="H491" s="83" t="n">
        <f aca="false">+H183</f>
        <v>41913</v>
      </c>
      <c r="I491" s="62" t="n">
        <f aca="false">+I490*(1+I$319/12)</f>
        <v>544415.847086604</v>
      </c>
      <c r="J491" s="103"/>
      <c r="K491" s="104"/>
      <c r="L491" s="104"/>
      <c r="M491" s="105"/>
      <c r="N491" s="106"/>
    </row>
    <row r="492" customFormat="false" ht="12.75" hidden="false" customHeight="false" outlineLevel="0" collapsed="false">
      <c r="H492" s="83" t="n">
        <f aca="false">+H184</f>
        <v>41944</v>
      </c>
      <c r="I492" s="62" t="n">
        <f aca="false">+I491*(1+I$319/12)</f>
        <v>544982.946927319</v>
      </c>
      <c r="J492" s="103"/>
      <c r="K492" s="104"/>
      <c r="L492" s="104"/>
      <c r="M492" s="105"/>
      <c r="N492" s="106"/>
    </row>
    <row r="493" customFormat="false" ht="12.75" hidden="false" customHeight="false" outlineLevel="0" collapsed="false">
      <c r="H493" s="83" t="n">
        <f aca="false">+H185</f>
        <v>41974</v>
      </c>
      <c r="I493" s="62" t="n">
        <f aca="false">+I492*(1+I$319/12)</f>
        <v>545550.637497035</v>
      </c>
      <c r="J493" s="103"/>
      <c r="K493" s="104"/>
      <c r="L493" s="104"/>
      <c r="M493" s="105"/>
      <c r="N493" s="106"/>
    </row>
    <row r="494" customFormat="false" ht="12.75" hidden="false" customHeight="false" outlineLevel="0" collapsed="false">
      <c r="H494" s="83" t="n">
        <f aca="false">+H186</f>
        <v>42005</v>
      </c>
      <c r="I494" s="62" t="n">
        <f aca="false">+I493*(1+I$319/12)</f>
        <v>546118.919411094</v>
      </c>
      <c r="J494" s="103"/>
      <c r="K494" s="104"/>
      <c r="L494" s="104"/>
      <c r="M494" s="105"/>
      <c r="N494" s="106"/>
    </row>
    <row r="495" customFormat="false" ht="12.75" hidden="false" customHeight="false" outlineLevel="0" collapsed="false">
      <c r="H495" s="83" t="n">
        <f aca="false">+H187</f>
        <v>42036</v>
      </c>
      <c r="I495" s="62" t="n">
        <f aca="false">+I494*(1+I$319/12)</f>
        <v>546687.793285481</v>
      </c>
      <c r="J495" s="103"/>
      <c r="K495" s="104"/>
      <c r="L495" s="104"/>
      <c r="M495" s="105"/>
      <c r="N495" s="106"/>
    </row>
    <row r="496" customFormat="false" ht="12.75" hidden="false" customHeight="false" outlineLevel="0" collapsed="false">
      <c r="H496" s="83" t="n">
        <f aca="false">+H188</f>
        <v>42064</v>
      </c>
      <c r="I496" s="62" t="n">
        <f aca="false">+I495*(1+I$319/12)</f>
        <v>547257.25973682</v>
      </c>
      <c r="J496" s="103"/>
      <c r="K496" s="104"/>
      <c r="L496" s="104"/>
      <c r="M496" s="105"/>
      <c r="N496" s="106"/>
    </row>
    <row r="497" customFormat="false" ht="12.75" hidden="false" customHeight="false" outlineLevel="0" collapsed="false">
      <c r="H497" s="83" t="n">
        <f aca="false">+H189</f>
        <v>42095</v>
      </c>
      <c r="I497" s="62" t="n">
        <f aca="false">+I496*(1+I$319/12)</f>
        <v>547827.319382379</v>
      </c>
      <c r="J497" s="103"/>
      <c r="K497" s="104"/>
      <c r="L497" s="104"/>
      <c r="M497" s="105"/>
      <c r="N497" s="106"/>
    </row>
    <row r="498" customFormat="false" ht="12.75" hidden="false" customHeight="false" outlineLevel="0" collapsed="false">
      <c r="H498" s="83" t="n">
        <f aca="false">+H190</f>
        <v>42125</v>
      </c>
      <c r="I498" s="62" t="n">
        <f aca="false">+I497*(1+I$319/12)</f>
        <v>548397.972840069</v>
      </c>
      <c r="J498" s="103"/>
      <c r="K498" s="104"/>
      <c r="L498" s="104"/>
      <c r="M498" s="105"/>
      <c r="N498" s="106"/>
    </row>
    <row r="499" customFormat="false" ht="12.75" hidden="false" customHeight="false" outlineLevel="0" collapsed="false">
      <c r="H499" s="83" t="n">
        <f aca="false">+H191</f>
        <v>42156</v>
      </c>
      <c r="I499" s="62" t="n">
        <f aca="false">+I498*(1+I$319/12)</f>
        <v>548969.220728444</v>
      </c>
      <c r="J499" s="103"/>
      <c r="K499" s="104"/>
      <c r="L499" s="104"/>
      <c r="M499" s="105"/>
      <c r="N499" s="106"/>
    </row>
    <row r="500" customFormat="false" ht="12.75" hidden="false" customHeight="false" outlineLevel="0" collapsed="false">
      <c r="H500" s="83" t="n">
        <f aca="false">+H192</f>
        <v>42186</v>
      </c>
      <c r="I500" s="62" t="n">
        <f aca="false">+I499*(1+I$319/12)</f>
        <v>549541.063666703</v>
      </c>
      <c r="J500" s="103"/>
      <c r="K500" s="104"/>
      <c r="L500" s="104"/>
      <c r="M500" s="105"/>
      <c r="N500" s="106"/>
    </row>
    <row r="501" customFormat="false" ht="12.75" hidden="false" customHeight="false" outlineLevel="0" collapsed="false">
      <c r="H501" s="83" t="n">
        <f aca="false">+H193</f>
        <v>42217</v>
      </c>
      <c r="I501" s="62" t="n">
        <f aca="false">+I500*(1+I$319/12)</f>
        <v>550113.502274689</v>
      </c>
      <c r="J501" s="103"/>
      <c r="K501" s="104"/>
      <c r="L501" s="104"/>
      <c r="M501" s="105"/>
      <c r="N501" s="106"/>
    </row>
    <row r="502" customFormat="false" ht="12.75" hidden="false" customHeight="false" outlineLevel="0" collapsed="false">
      <c r="H502" s="83" t="n">
        <f aca="false">+H194</f>
        <v>42248</v>
      </c>
      <c r="I502" s="62" t="n">
        <f aca="false">+I501*(1+I$319/12)</f>
        <v>550686.537172892</v>
      </c>
      <c r="J502" s="103"/>
      <c r="K502" s="104"/>
      <c r="L502" s="104"/>
      <c r="M502" s="105"/>
      <c r="N502" s="106"/>
    </row>
    <row r="503" customFormat="false" ht="12.75" hidden="false" customHeight="false" outlineLevel="0" collapsed="false">
      <c r="H503" s="83" t="n">
        <f aca="false">+H195</f>
        <v>42278</v>
      </c>
      <c r="I503" s="62" t="n">
        <f aca="false">+I502*(1+I$319/12)</f>
        <v>551260.168982447</v>
      </c>
      <c r="J503" s="103"/>
      <c r="K503" s="104"/>
      <c r="L503" s="104"/>
      <c r="M503" s="105"/>
      <c r="N503" s="106"/>
    </row>
    <row r="504" customFormat="false" ht="12.75" hidden="false" customHeight="false" outlineLevel="0" collapsed="false">
      <c r="H504" s="83" t="n">
        <f aca="false">+H196</f>
        <v>42309</v>
      </c>
      <c r="I504" s="62" t="n">
        <f aca="false">+I503*(1+I$319/12)</f>
        <v>551834.398325137</v>
      </c>
      <c r="J504" s="103"/>
      <c r="K504" s="104"/>
      <c r="L504" s="104"/>
      <c r="M504" s="105"/>
      <c r="N504" s="106"/>
    </row>
    <row r="505" customFormat="false" ht="12.75" hidden="false" customHeight="false" outlineLevel="0" collapsed="false">
      <c r="H505" s="83" t="n">
        <f aca="false">+H197</f>
        <v>42339</v>
      </c>
      <c r="I505" s="62" t="n">
        <f aca="false">+I504*(1+I$319/12)</f>
        <v>552409.225823392</v>
      </c>
      <c r="J505" s="103"/>
      <c r="K505" s="104"/>
      <c r="L505" s="104"/>
      <c r="M505" s="105"/>
      <c r="N505" s="106"/>
    </row>
    <row r="506" customFormat="false" ht="12.75" hidden="false" customHeight="false" outlineLevel="0" collapsed="false">
      <c r="H506" s="83" t="n">
        <f aca="false">+H198</f>
        <v>42370</v>
      </c>
      <c r="I506" s="62" t="n">
        <f aca="false">+I505*(1+I$319/12)</f>
        <v>552984.652100291</v>
      </c>
      <c r="J506" s="103"/>
      <c r="K506" s="104"/>
      <c r="L506" s="104"/>
      <c r="M506" s="105"/>
      <c r="N506" s="106"/>
    </row>
    <row r="507" customFormat="false" ht="12.75" hidden="false" customHeight="false" outlineLevel="0" collapsed="false">
      <c r="H507" s="83" t="n">
        <f aca="false">+H199</f>
        <v>42401</v>
      </c>
      <c r="I507" s="62" t="n">
        <f aca="false">+I506*(1+I$319/12)</f>
        <v>553560.677779562</v>
      </c>
      <c r="J507" s="103"/>
      <c r="K507" s="104"/>
      <c r="L507" s="104"/>
      <c r="M507" s="105"/>
      <c r="N507" s="106"/>
    </row>
    <row r="508" customFormat="false" ht="12.75" hidden="false" customHeight="false" outlineLevel="0" collapsed="false">
      <c r="H508" s="83" t="n">
        <f aca="false">+H200</f>
        <v>42430</v>
      </c>
      <c r="I508" s="62" t="n">
        <f aca="false">+I507*(1+I$319/12)</f>
        <v>554137.303485583</v>
      </c>
      <c r="J508" s="103"/>
      <c r="K508" s="104"/>
      <c r="L508" s="104"/>
      <c r="M508" s="105"/>
      <c r="N508" s="106"/>
    </row>
    <row r="509" customFormat="false" ht="12.75" hidden="false" customHeight="false" outlineLevel="0" collapsed="false">
      <c r="H509" s="83" t="n">
        <f aca="false">+H201</f>
        <v>42461</v>
      </c>
      <c r="I509" s="62" t="n">
        <f aca="false">+I508*(1+I$319/12)</f>
        <v>554714.52984338</v>
      </c>
      <c r="J509" s="103"/>
      <c r="K509" s="104"/>
      <c r="L509" s="104"/>
      <c r="M509" s="105"/>
      <c r="N509" s="106"/>
    </row>
    <row r="510" customFormat="false" ht="12.75" hidden="false" customHeight="false" outlineLevel="0" collapsed="false">
      <c r="H510" s="83" t="n">
        <f aca="false">+H202</f>
        <v>42491</v>
      </c>
      <c r="I510" s="62" t="n">
        <f aca="false">+I509*(1+I$319/12)</f>
        <v>555292.357478634</v>
      </c>
      <c r="J510" s="103"/>
      <c r="K510" s="104"/>
      <c r="L510" s="104"/>
      <c r="M510" s="105"/>
      <c r="N510" s="106"/>
    </row>
    <row r="511" customFormat="false" ht="12.75" hidden="false" customHeight="false" outlineLevel="0" collapsed="false">
      <c r="H511" s="83" t="n">
        <f aca="false">+H203</f>
        <v>42522</v>
      </c>
      <c r="I511" s="62" t="n">
        <f aca="false">+I510*(1+I$319/12)</f>
        <v>555870.787017674</v>
      </c>
      <c r="J511" s="103"/>
      <c r="K511" s="104"/>
      <c r="L511" s="104"/>
      <c r="M511" s="105"/>
      <c r="N511" s="106"/>
    </row>
    <row r="512" customFormat="false" ht="12.75" hidden="false" customHeight="false" outlineLevel="0" collapsed="false">
      <c r="H512" s="83" t="n">
        <f aca="false">+H204</f>
        <v>42552</v>
      </c>
      <c r="I512" s="62" t="n">
        <f aca="false">+I511*(1+I$319/12)</f>
        <v>556449.819087484</v>
      </c>
      <c r="J512" s="103"/>
      <c r="K512" s="104"/>
      <c r="L512" s="104"/>
      <c r="M512" s="105"/>
      <c r="N512" s="106"/>
    </row>
    <row r="513" customFormat="false" ht="12.75" hidden="false" customHeight="false" outlineLevel="0" collapsed="false">
      <c r="H513" s="83" t="n">
        <f aca="false">+H205</f>
        <v>42583</v>
      </c>
      <c r="I513" s="62" t="n">
        <f aca="false">+I512*(1+I$319/12)</f>
        <v>557029.4543157</v>
      </c>
      <c r="J513" s="103"/>
      <c r="K513" s="104"/>
      <c r="L513" s="104"/>
      <c r="M513" s="105"/>
      <c r="N513" s="106"/>
    </row>
    <row r="514" customFormat="false" ht="12.75" hidden="false" customHeight="false" outlineLevel="0" collapsed="false">
      <c r="H514" s="83" t="n">
        <f aca="false">+H206</f>
        <v>42614</v>
      </c>
      <c r="I514" s="62" t="n">
        <f aca="false">+I513*(1+I$319/12)</f>
        <v>557609.693330612</v>
      </c>
      <c r="J514" s="103"/>
      <c r="K514" s="104"/>
      <c r="L514" s="104"/>
      <c r="M514" s="105"/>
      <c r="N514" s="106"/>
    </row>
    <row r="515" customFormat="false" ht="12.75" hidden="false" customHeight="false" outlineLevel="0" collapsed="false">
      <c r="H515" s="83" t="n">
        <f aca="false">+H207</f>
        <v>42644</v>
      </c>
      <c r="I515" s="62" t="n">
        <f aca="false">+I514*(1+I$319/12)</f>
        <v>558190.536761165</v>
      </c>
      <c r="J515" s="103"/>
      <c r="K515" s="104"/>
      <c r="L515" s="104"/>
      <c r="M515" s="105"/>
      <c r="N515" s="106"/>
    </row>
    <row r="516" customFormat="false" ht="12.75" hidden="false" customHeight="false" outlineLevel="0" collapsed="false">
      <c r="H516" s="83" t="n">
        <f aca="false">+H208</f>
        <v>42675</v>
      </c>
      <c r="I516" s="62" t="n">
        <f aca="false">+I515*(1+I$319/12)</f>
        <v>558771.985236958</v>
      </c>
      <c r="J516" s="103"/>
      <c r="K516" s="104"/>
      <c r="L516" s="104"/>
      <c r="M516" s="105"/>
      <c r="N516" s="106"/>
    </row>
    <row r="517" customFormat="false" ht="12.75" hidden="false" customHeight="false" outlineLevel="0" collapsed="false">
      <c r="H517" s="83" t="n">
        <f aca="false">+H209</f>
        <v>42705</v>
      </c>
      <c r="I517" s="62" t="n">
        <f aca="false">+I516*(1+I$319/12)</f>
        <v>559354.039388246</v>
      </c>
      <c r="J517" s="103"/>
      <c r="K517" s="104"/>
      <c r="L517" s="104"/>
      <c r="M517" s="105"/>
      <c r="N517" s="106"/>
    </row>
    <row r="518" customFormat="false" ht="12.75" hidden="false" customHeight="false" outlineLevel="0" collapsed="false">
      <c r="H518" s="83" t="n">
        <f aca="false">+H210</f>
        <v>42736</v>
      </c>
      <c r="I518" s="62" t="n">
        <f aca="false">+I517*(1+I$319/12)</f>
        <v>559936.699845942</v>
      </c>
      <c r="J518" s="103"/>
      <c r="K518" s="104"/>
      <c r="L518" s="104"/>
      <c r="M518" s="105"/>
      <c r="N518" s="106"/>
    </row>
    <row r="519" customFormat="false" ht="12.75" hidden="false" customHeight="false" outlineLevel="0" collapsed="false">
      <c r="H519" s="83" t="n">
        <f aca="false">+H211</f>
        <v>42767</v>
      </c>
      <c r="I519" s="62" t="n">
        <f aca="false">+I518*(1+I$319/12)</f>
        <v>560519.967241615</v>
      </c>
      <c r="J519" s="103"/>
      <c r="K519" s="104"/>
      <c r="L519" s="104"/>
      <c r="M519" s="105"/>
      <c r="N519" s="106"/>
    </row>
    <row r="520" customFormat="false" ht="12.75" hidden="false" customHeight="false" outlineLevel="0" collapsed="false">
      <c r="H520" s="83" t="n">
        <f aca="false">+H212</f>
        <v>42795</v>
      </c>
      <c r="I520" s="62" t="n">
        <f aca="false">+I519*(1+I$319/12)</f>
        <v>561103.842207492</v>
      </c>
      <c r="J520" s="103"/>
      <c r="K520" s="104"/>
      <c r="L520" s="104"/>
      <c r="M520" s="105"/>
      <c r="N520" s="106"/>
    </row>
    <row r="521" customFormat="false" ht="12.75" hidden="false" customHeight="false" outlineLevel="0" collapsed="false">
      <c r="H521" s="83" t="n">
        <f aca="false">+H213</f>
        <v>42826</v>
      </c>
      <c r="I521" s="62" t="n">
        <f aca="false">+I520*(1+I$319/12)</f>
        <v>561688.325376458</v>
      </c>
      <c r="J521" s="103"/>
      <c r="K521" s="104"/>
      <c r="L521" s="104"/>
      <c r="M521" s="105"/>
      <c r="N521" s="106"/>
    </row>
    <row r="522" customFormat="false" ht="12.75" hidden="false" customHeight="false" outlineLevel="0" collapsed="false">
      <c r="H522" s="83" t="n">
        <f aca="false">+H214</f>
        <v>42856</v>
      </c>
      <c r="I522" s="62" t="n">
        <f aca="false">+I521*(1+I$319/12)</f>
        <v>562273.417382058</v>
      </c>
      <c r="J522" s="103"/>
      <c r="K522" s="104"/>
      <c r="L522" s="104"/>
      <c r="M522" s="105"/>
      <c r="N522" s="106"/>
    </row>
    <row r="523" customFormat="false" ht="12.75" hidden="false" customHeight="false" outlineLevel="0" collapsed="false">
      <c r="H523" s="83" t="n">
        <f aca="false">+H215</f>
        <v>42887</v>
      </c>
      <c r="I523" s="62" t="n">
        <f aca="false">+I522*(1+I$319/12)</f>
        <v>562859.118858498</v>
      </c>
      <c r="J523" s="103"/>
      <c r="K523" s="104"/>
      <c r="L523" s="104"/>
      <c r="M523" s="105"/>
      <c r="N523" s="106"/>
    </row>
    <row r="524" customFormat="false" ht="12.75" hidden="false" customHeight="false" outlineLevel="0" collapsed="false">
      <c r="H524" s="83" t="n">
        <f aca="false">+H216</f>
        <v>42917</v>
      </c>
      <c r="I524" s="62" t="n">
        <f aca="false">+I523*(1+I$319/12)</f>
        <v>563445.430440642</v>
      </c>
      <c r="J524" s="105"/>
      <c r="K524" s="105"/>
      <c r="L524" s="105"/>
      <c r="M524" s="105"/>
      <c r="N524" s="106"/>
    </row>
    <row r="525" customFormat="false" ht="12.75" hidden="false" customHeight="false" outlineLevel="0" collapsed="false">
      <c r="H525" s="83" t="n">
        <f aca="false">+H217</f>
        <v>42948</v>
      </c>
      <c r="I525" s="62" t="n">
        <f aca="false">+I524*(1+I$319/12)</f>
        <v>564032.352764018</v>
      </c>
      <c r="J525" s="105"/>
      <c r="K525" s="105"/>
      <c r="L525" s="105"/>
      <c r="M525" s="105"/>
      <c r="N525" s="106"/>
    </row>
    <row r="526" customFormat="false" ht="12.75" hidden="false" customHeight="false" outlineLevel="0" collapsed="false">
      <c r="H526" s="83" t="n">
        <f aca="false">+H218</f>
        <v>42979</v>
      </c>
      <c r="I526" s="62" t="n">
        <f aca="false">+I525*(1+I$319/12)</f>
        <v>564619.886464814</v>
      </c>
      <c r="J526" s="105"/>
      <c r="K526" s="105"/>
      <c r="L526" s="105"/>
      <c r="M526" s="105"/>
      <c r="N526" s="106"/>
    </row>
    <row r="527" customFormat="false" ht="12.75" hidden="false" customHeight="false" outlineLevel="0" collapsed="false">
      <c r="H527" s="83" t="n">
        <f aca="false">+H219</f>
        <v>43009</v>
      </c>
      <c r="I527" s="62" t="n">
        <f aca="false">+I526*(1+I$319/12)</f>
        <v>565208.032179881</v>
      </c>
      <c r="J527" s="105"/>
      <c r="K527" s="105"/>
      <c r="L527" s="105"/>
      <c r="M527" s="105"/>
      <c r="N527" s="106"/>
    </row>
    <row r="528" customFormat="false" ht="12.75" hidden="false" customHeight="false" outlineLevel="0" collapsed="false">
      <c r="H528" s="83" t="n">
        <f aca="false">+H220</f>
        <v>43040</v>
      </c>
      <c r="I528" s="62" t="n">
        <f aca="false">+I527*(1+I$319/12)</f>
        <v>565796.790546735</v>
      </c>
      <c r="J528" s="105"/>
      <c r="K528" s="105"/>
      <c r="L528" s="105"/>
      <c r="M528" s="105"/>
      <c r="N528" s="106"/>
    </row>
    <row r="529" customFormat="false" ht="12.75" hidden="false" customHeight="false" outlineLevel="0" collapsed="false">
      <c r="H529" s="83" t="n">
        <f aca="false">+H221</f>
        <v>43070</v>
      </c>
      <c r="I529" s="62" t="n">
        <f aca="false">+I528*(1+I$319/12)</f>
        <v>566386.162203555</v>
      </c>
      <c r="J529" s="105"/>
      <c r="K529" s="105"/>
      <c r="L529" s="105"/>
      <c r="M529" s="105"/>
      <c r="N529" s="106"/>
    </row>
    <row r="530" customFormat="false" ht="12.75" hidden="false" customHeight="false" outlineLevel="0" collapsed="false">
      <c r="H530" s="83" t="n">
        <f aca="false">+H222</f>
        <v>43101</v>
      </c>
      <c r="I530" s="62" t="n">
        <f aca="false">+I529*(1+I$319/12)</f>
        <v>566976.147789183</v>
      </c>
      <c r="J530" s="105"/>
      <c r="K530" s="105"/>
      <c r="L530" s="105"/>
      <c r="M530" s="105"/>
      <c r="N530" s="106"/>
    </row>
    <row r="531" customFormat="false" ht="12.75" hidden="false" customHeight="false" outlineLevel="0" collapsed="false">
      <c r="H531" s="83" t="n">
        <f aca="false">+H223</f>
        <v>43132</v>
      </c>
      <c r="I531" s="62" t="n">
        <f aca="false">+I530*(1+I$319/12)</f>
        <v>567566.74794313</v>
      </c>
      <c r="J531" s="105"/>
      <c r="K531" s="105"/>
      <c r="L531" s="105"/>
      <c r="M531" s="105"/>
      <c r="N531" s="106"/>
    </row>
    <row r="532" customFormat="false" ht="12.75" hidden="false" customHeight="false" outlineLevel="0" collapsed="false">
      <c r="H532" s="83" t="n">
        <f aca="false">+H224</f>
        <v>43160</v>
      </c>
      <c r="I532" s="62" t="n">
        <f aca="false">+I531*(1+I$319/12)</f>
        <v>568157.963305571</v>
      </c>
      <c r="J532" s="105"/>
      <c r="K532" s="105"/>
      <c r="L532" s="105"/>
      <c r="M532" s="105"/>
      <c r="N532" s="106"/>
    </row>
    <row r="533" customFormat="false" ht="12.75" hidden="false" customHeight="false" outlineLevel="0" collapsed="false">
      <c r="H533" s="83" t="n">
        <f aca="false">+H225</f>
        <v>43191</v>
      </c>
      <c r="I533" s="62" t="n">
        <f aca="false">+I532*(1+I$319/12)</f>
        <v>568749.794517348</v>
      </c>
      <c r="J533" s="105"/>
      <c r="K533" s="105"/>
      <c r="L533" s="105"/>
      <c r="M533" s="105"/>
      <c r="N533" s="106"/>
    </row>
    <row r="534" customFormat="false" ht="12.75" hidden="false" customHeight="false" outlineLevel="0" collapsed="false">
      <c r="H534" s="83" t="n">
        <f aca="false">+H226</f>
        <v>43221</v>
      </c>
      <c r="I534" s="62" t="n">
        <f aca="false">+I533*(1+I$319/12)</f>
        <v>569342.24221997</v>
      </c>
      <c r="J534" s="105"/>
      <c r="K534" s="105"/>
      <c r="L534" s="105"/>
      <c r="M534" s="105"/>
      <c r="N534" s="106"/>
    </row>
    <row r="535" customFormat="false" ht="12.75" hidden="false" customHeight="false" outlineLevel="0" collapsed="false">
      <c r="H535" s="83" t="n">
        <f aca="false">+H227</f>
        <v>43252</v>
      </c>
      <c r="I535" s="62" t="n">
        <f aca="false">+I534*(1+I$319/12)</f>
        <v>569935.307055615</v>
      </c>
      <c r="J535" s="105"/>
      <c r="K535" s="105"/>
      <c r="L535" s="105"/>
      <c r="M535" s="105"/>
      <c r="N535" s="106"/>
    </row>
    <row r="536" customFormat="false" ht="12.75" hidden="false" customHeight="false" outlineLevel="0" collapsed="false">
      <c r="H536" s="83" t="n">
        <f aca="false">+H228</f>
        <v>43282</v>
      </c>
      <c r="I536" s="62" t="n">
        <f aca="false">+I535*(1+I$319/12)</f>
        <v>570528.989667132</v>
      </c>
      <c r="J536" s="105"/>
      <c r="K536" s="105"/>
      <c r="L536" s="105"/>
      <c r="M536" s="105"/>
      <c r="N536" s="106"/>
    </row>
    <row r="537" customFormat="false" ht="12.75" hidden="false" customHeight="false" outlineLevel="0" collapsed="false">
      <c r="H537" s="83" t="n">
        <f aca="false">+H229</f>
        <v>43313</v>
      </c>
      <c r="I537" s="62" t="n">
        <f aca="false">+I536*(1+I$319/12)</f>
        <v>571123.290698035</v>
      </c>
      <c r="J537" s="105"/>
      <c r="K537" s="105"/>
      <c r="L537" s="105"/>
      <c r="M537" s="105"/>
      <c r="N537" s="106"/>
    </row>
    <row r="538" customFormat="false" ht="12.75" hidden="false" customHeight="false" outlineLevel="0" collapsed="false">
      <c r="H538" s="83" t="n">
        <f aca="false">+H230</f>
        <v>43344</v>
      </c>
      <c r="I538" s="62" t="n">
        <f aca="false">+I537*(1+I$319/12)</f>
        <v>571718.210792512</v>
      </c>
      <c r="J538" s="105"/>
      <c r="K538" s="105"/>
      <c r="L538" s="105"/>
      <c r="M538" s="105"/>
      <c r="N538" s="106"/>
    </row>
    <row r="539" customFormat="false" ht="12.75" hidden="false" customHeight="false" outlineLevel="0" collapsed="false">
      <c r="H539" s="83" t="n">
        <f aca="false">+H231</f>
        <v>43374</v>
      </c>
      <c r="I539" s="62" t="n">
        <f aca="false">+I538*(1+I$319/12)</f>
        <v>572313.750595421</v>
      </c>
      <c r="J539" s="105"/>
      <c r="K539" s="105"/>
      <c r="L539" s="105"/>
      <c r="M539" s="105"/>
      <c r="N539" s="106"/>
    </row>
    <row r="540" customFormat="false" ht="12.75" hidden="false" customHeight="false" outlineLevel="0" collapsed="false">
      <c r="H540" s="83" t="n">
        <f aca="false">+H232</f>
        <v>43405</v>
      </c>
      <c r="I540" s="62" t="n">
        <f aca="false">+I539*(1+I$319/12)</f>
        <v>572909.910752291</v>
      </c>
      <c r="J540" s="105"/>
      <c r="K540" s="105"/>
      <c r="L540" s="105"/>
      <c r="M540" s="105"/>
      <c r="N540" s="106"/>
    </row>
    <row r="541" customFormat="false" ht="12.75" hidden="false" customHeight="false" outlineLevel="0" collapsed="false">
      <c r="H541" s="83" t="n">
        <f aca="false">+H233</f>
        <v>43435</v>
      </c>
      <c r="I541" s="62" t="n">
        <f aca="false">+I540*(1+I$319/12)</f>
        <v>573506.691909325</v>
      </c>
      <c r="J541" s="105"/>
      <c r="K541" s="105"/>
      <c r="L541" s="105"/>
      <c r="M541" s="105"/>
      <c r="N541" s="106"/>
    </row>
    <row r="542" customFormat="false" ht="12.75" hidden="false" customHeight="false" outlineLevel="0" collapsed="false">
      <c r="H542" s="83" t="n">
        <f aca="false">+H234</f>
        <v>43466</v>
      </c>
      <c r="I542" s="62" t="n">
        <f aca="false">+I541*(1+I$319/12)</f>
        <v>574104.094713397</v>
      </c>
      <c r="J542" s="105"/>
      <c r="K542" s="105"/>
      <c r="L542" s="105"/>
      <c r="M542" s="105"/>
      <c r="N542" s="106"/>
    </row>
    <row r="543" customFormat="false" ht="12.75" hidden="false" customHeight="false" outlineLevel="0" collapsed="false">
      <c r="H543" s="83" t="n">
        <f aca="false">+H235</f>
        <v>43497</v>
      </c>
      <c r="I543" s="62" t="n">
        <f aca="false">+I542*(1+I$319/12)</f>
        <v>574702.119812056</v>
      </c>
      <c r="J543" s="105"/>
      <c r="K543" s="105"/>
      <c r="L543" s="105"/>
      <c r="M543" s="105"/>
      <c r="N543" s="106"/>
    </row>
    <row r="544" customFormat="false" ht="12.75" hidden="false" customHeight="false" outlineLevel="0" collapsed="false">
      <c r="H544" s="83" t="n">
        <f aca="false">+H236</f>
        <v>43525</v>
      </c>
      <c r="I544" s="62" t="n">
        <f aca="false">+I543*(1+I$319/12)</f>
        <v>575300.767853527</v>
      </c>
      <c r="J544" s="105"/>
      <c r="K544" s="105"/>
      <c r="L544" s="105"/>
      <c r="M544" s="105"/>
      <c r="N544" s="106"/>
    </row>
    <row r="545" customFormat="false" ht="12.75" hidden="false" customHeight="false" outlineLevel="0" collapsed="false">
      <c r="H545" s="83" t="n">
        <f aca="false">+H237</f>
        <v>43556</v>
      </c>
      <c r="I545" s="62" t="n">
        <v>0</v>
      </c>
      <c r="J545" s="105"/>
      <c r="K545" s="105"/>
      <c r="L545" s="105"/>
      <c r="M545" s="105"/>
      <c r="N545" s="106"/>
    </row>
    <row r="546" customFormat="false" ht="12.75" hidden="false" customHeight="false" outlineLevel="0" collapsed="false">
      <c r="H546" s="83" t="n">
        <f aca="false">+H238</f>
        <v>43586</v>
      </c>
      <c r="I546" s="62" t="n">
        <f aca="false">+I545*(1+I$319/12)</f>
        <v>0</v>
      </c>
      <c r="J546" s="105"/>
      <c r="K546" s="105"/>
      <c r="L546" s="105"/>
      <c r="M546" s="105"/>
      <c r="N546" s="106"/>
    </row>
    <row r="547" customFormat="false" ht="12.75" hidden="false" customHeight="false" outlineLevel="0" collapsed="false">
      <c r="H547" s="83" t="n">
        <f aca="false">+H239</f>
        <v>43617</v>
      </c>
      <c r="I547" s="62" t="n">
        <f aca="false">+I546*(1+I$319/12)</f>
        <v>0</v>
      </c>
      <c r="J547" s="105"/>
      <c r="K547" s="105"/>
      <c r="L547" s="105"/>
      <c r="M547" s="105"/>
      <c r="N547" s="106"/>
    </row>
    <row r="548" customFormat="false" ht="12.75" hidden="false" customHeight="false" outlineLevel="0" collapsed="false">
      <c r="H548" s="83" t="n">
        <f aca="false">+H240</f>
        <v>43647</v>
      </c>
      <c r="I548" s="62" t="n">
        <f aca="false">+I547*(1+I$319/12)</f>
        <v>0</v>
      </c>
      <c r="J548" s="105"/>
      <c r="K548" s="105"/>
      <c r="L548" s="105"/>
      <c r="M548" s="105"/>
      <c r="N548" s="106"/>
    </row>
    <row r="549" customFormat="false" ht="12.75" hidden="false" customHeight="false" outlineLevel="0" collapsed="false">
      <c r="H549" s="83" t="n">
        <f aca="false">+H241</f>
        <v>43678</v>
      </c>
      <c r="I549" s="62" t="n">
        <f aca="false">+I548*(1+I$319/12)</f>
        <v>0</v>
      </c>
      <c r="J549" s="105"/>
      <c r="K549" s="105"/>
      <c r="L549" s="105"/>
      <c r="M549" s="105"/>
      <c r="N549" s="106"/>
    </row>
    <row r="550" customFormat="false" ht="12.75" hidden="false" customHeight="false" outlineLevel="0" collapsed="false">
      <c r="H550" s="83" t="n">
        <f aca="false">+H242</f>
        <v>43709</v>
      </c>
      <c r="I550" s="62" t="n">
        <f aca="false">+I549*(1+I$319/12)</f>
        <v>0</v>
      </c>
      <c r="J550" s="105"/>
      <c r="K550" s="105"/>
      <c r="L550" s="105"/>
      <c r="M550" s="105"/>
      <c r="N550" s="106"/>
    </row>
    <row r="551" customFormat="false" ht="12.75" hidden="false" customHeight="false" outlineLevel="0" collapsed="false">
      <c r="H551" s="83" t="n">
        <f aca="false">+H243</f>
        <v>43739</v>
      </c>
      <c r="I551" s="62" t="n">
        <f aca="false">+I550*(1+I$319/12)</f>
        <v>0</v>
      </c>
      <c r="J551" s="105"/>
      <c r="K551" s="105"/>
      <c r="L551" s="105"/>
      <c r="M551" s="105"/>
      <c r="N551" s="106"/>
    </row>
    <row r="552" customFormat="false" ht="12.75" hidden="false" customHeight="false" outlineLevel="0" collapsed="false">
      <c r="H552" s="83" t="n">
        <f aca="false">+H244</f>
        <v>43770</v>
      </c>
      <c r="I552" s="62" t="n">
        <f aca="false">+I551*(1+I$319/12)</f>
        <v>0</v>
      </c>
      <c r="J552" s="105"/>
      <c r="K552" s="105"/>
      <c r="L552" s="105"/>
      <c r="M552" s="105"/>
      <c r="N552" s="106"/>
    </row>
    <row r="553" customFormat="false" ht="12.75" hidden="false" customHeight="false" outlineLevel="0" collapsed="false">
      <c r="H553" s="83" t="n">
        <f aca="false">+H245</f>
        <v>43800</v>
      </c>
      <c r="I553" s="62" t="n">
        <f aca="false">+I552*(1+I$319/12)</f>
        <v>0</v>
      </c>
      <c r="J553" s="105"/>
      <c r="K553" s="105"/>
      <c r="L553" s="105"/>
      <c r="M553" s="105"/>
      <c r="N553" s="106"/>
    </row>
    <row r="554" customFormat="false" ht="12.75" hidden="false" customHeight="false" outlineLevel="0" collapsed="false">
      <c r="H554" s="83" t="n">
        <f aca="false">+H246</f>
        <v>43831</v>
      </c>
      <c r="I554" s="62" t="n">
        <f aca="false">+I553*(1+I$319/12)</f>
        <v>0</v>
      </c>
      <c r="J554" s="105"/>
      <c r="K554" s="105"/>
      <c r="L554" s="105"/>
      <c r="M554" s="105"/>
      <c r="N554" s="106"/>
    </row>
    <row r="555" customFormat="false" ht="12.75" hidden="false" customHeight="false" outlineLevel="0" collapsed="false">
      <c r="H555" s="83" t="n">
        <f aca="false">+H247</f>
        <v>43862</v>
      </c>
      <c r="I555" s="62" t="n">
        <f aca="false">+I554*(1+I$319/12)</f>
        <v>0</v>
      </c>
      <c r="J555" s="105"/>
      <c r="K555" s="105"/>
      <c r="L555" s="105"/>
      <c r="M555" s="105"/>
      <c r="N555" s="106"/>
    </row>
    <row r="556" customFormat="false" ht="12.75" hidden="false" customHeight="false" outlineLevel="0" collapsed="false">
      <c r="H556" s="83" t="n">
        <f aca="false">+H248</f>
        <v>43891</v>
      </c>
      <c r="I556" s="62" t="n">
        <f aca="false">+I555*(1+I$319/12)</f>
        <v>0</v>
      </c>
      <c r="J556" s="105"/>
      <c r="K556" s="105"/>
      <c r="L556" s="105"/>
      <c r="M556" s="105"/>
      <c r="N556" s="106"/>
    </row>
    <row r="557" customFormat="false" ht="12.75" hidden="false" customHeight="false" outlineLevel="0" collapsed="false">
      <c r="H557" s="83" t="n">
        <f aca="false">+H249</f>
        <v>43922</v>
      </c>
      <c r="I557" s="62" t="n">
        <f aca="false">+I556*(1+I$319/12)</f>
        <v>0</v>
      </c>
      <c r="J557" s="105"/>
      <c r="K557" s="105"/>
      <c r="L557" s="105"/>
      <c r="M557" s="105"/>
      <c r="N557" s="106"/>
    </row>
    <row r="558" customFormat="false" ht="12.75" hidden="false" customHeight="false" outlineLevel="0" collapsed="false">
      <c r="H558" s="83" t="n">
        <f aca="false">+H250</f>
        <v>43952</v>
      </c>
      <c r="I558" s="62" t="n">
        <f aca="false">+I557*(1+I$319/12)</f>
        <v>0</v>
      </c>
      <c r="J558" s="105"/>
      <c r="K558" s="105"/>
      <c r="L558" s="105"/>
      <c r="M558" s="105"/>
      <c r="N558" s="106"/>
    </row>
    <row r="559" customFormat="false" ht="12.75" hidden="false" customHeight="false" outlineLevel="0" collapsed="false">
      <c r="H559" s="83" t="n">
        <f aca="false">+H251</f>
        <v>43983</v>
      </c>
      <c r="I559" s="62" t="n">
        <f aca="false">+I558*(1+I$319/12)</f>
        <v>0</v>
      </c>
      <c r="J559" s="105"/>
      <c r="K559" s="105"/>
      <c r="L559" s="105"/>
      <c r="M559" s="105"/>
      <c r="N559" s="106"/>
    </row>
    <row r="560" customFormat="false" ht="12.75" hidden="false" customHeight="false" outlineLevel="0" collapsed="false">
      <c r="H560" s="83" t="n">
        <f aca="false">+H252</f>
        <v>44013</v>
      </c>
      <c r="I560" s="62" t="n">
        <f aca="false">+I559*(1+I$319/12)</f>
        <v>0</v>
      </c>
      <c r="J560" s="105"/>
      <c r="K560" s="105"/>
      <c r="L560" s="105"/>
      <c r="M560" s="105"/>
      <c r="N560" s="106"/>
    </row>
    <row r="561" customFormat="false" ht="12.75" hidden="false" customHeight="false" outlineLevel="0" collapsed="false">
      <c r="H561" s="83" t="n">
        <f aca="false">+H253</f>
        <v>44044</v>
      </c>
      <c r="I561" s="62" t="n">
        <f aca="false">+I560*(1+I$319/12)</f>
        <v>0</v>
      </c>
      <c r="J561" s="105"/>
      <c r="K561" s="105"/>
      <c r="L561" s="105"/>
      <c r="M561" s="105"/>
      <c r="N561" s="106"/>
    </row>
    <row r="562" customFormat="false" ht="12.75" hidden="false" customHeight="false" outlineLevel="0" collapsed="false">
      <c r="H562" s="83" t="n">
        <f aca="false">+H254</f>
        <v>44075</v>
      </c>
      <c r="I562" s="62" t="n">
        <f aca="false">+I561*(1+I$319/12)</f>
        <v>0</v>
      </c>
      <c r="J562" s="105"/>
      <c r="K562" s="105"/>
      <c r="L562" s="105"/>
      <c r="M562" s="105"/>
      <c r="N562" s="106"/>
    </row>
    <row r="563" customFormat="false" ht="12.75" hidden="false" customHeight="false" outlineLevel="0" collapsed="false">
      <c r="H563" s="83" t="n">
        <f aca="false">+H255</f>
        <v>44105</v>
      </c>
      <c r="I563" s="62" t="n">
        <f aca="false">+I562*(1+I$319/12)</f>
        <v>0</v>
      </c>
      <c r="J563" s="105"/>
      <c r="K563" s="105"/>
      <c r="L563" s="105"/>
      <c r="M563" s="105"/>
      <c r="N563" s="106"/>
    </row>
    <row r="564" customFormat="false" ht="12.75" hidden="false" customHeight="false" outlineLevel="0" collapsed="false">
      <c r="H564" s="83" t="n">
        <f aca="false">+H256</f>
        <v>44136</v>
      </c>
      <c r="I564" s="62" t="n">
        <f aca="false">+I563*(1+I$319/12)</f>
        <v>0</v>
      </c>
      <c r="J564" s="105"/>
      <c r="K564" s="105"/>
      <c r="L564" s="105"/>
      <c r="M564" s="105"/>
      <c r="N564" s="106"/>
    </row>
    <row r="565" customFormat="false" ht="12.75" hidden="false" customHeight="false" outlineLevel="0" collapsed="false">
      <c r="H565" s="83" t="n">
        <f aca="false">+H257</f>
        <v>44166</v>
      </c>
      <c r="I565" s="62" t="n">
        <f aca="false">+I564*(1+I$319/12)</f>
        <v>0</v>
      </c>
      <c r="J565" s="105"/>
      <c r="K565" s="105"/>
      <c r="L565" s="105"/>
      <c r="M565" s="105"/>
      <c r="N565" s="106"/>
    </row>
    <row r="566" customFormat="false" ht="12.75" hidden="false" customHeight="false" outlineLevel="0" collapsed="false">
      <c r="H566" s="83" t="n">
        <f aca="false">+H258</f>
        <v>44197</v>
      </c>
      <c r="I566" s="62" t="n">
        <f aca="false">+I565*(1+I$319/12)</f>
        <v>0</v>
      </c>
      <c r="J566" s="105"/>
      <c r="K566" s="105"/>
      <c r="L566" s="105"/>
      <c r="M566" s="105"/>
      <c r="N566" s="106"/>
    </row>
    <row r="567" customFormat="false" ht="12.75" hidden="false" customHeight="false" outlineLevel="0" collapsed="false">
      <c r="H567" s="83" t="n">
        <f aca="false">+H259</f>
        <v>44228</v>
      </c>
      <c r="I567" s="62" t="n">
        <f aca="false">+I566*(1+I$319/12)</f>
        <v>0</v>
      </c>
      <c r="J567" s="105"/>
      <c r="K567" s="105"/>
      <c r="L567" s="105"/>
      <c r="M567" s="105"/>
      <c r="N567" s="106"/>
    </row>
    <row r="568" customFormat="false" ht="12.75" hidden="false" customHeight="false" outlineLevel="0" collapsed="false">
      <c r="H568" s="83" t="n">
        <f aca="false">+H260</f>
        <v>44256</v>
      </c>
      <c r="I568" s="62" t="n">
        <f aca="false">+I567*(1+I$319/12)</f>
        <v>0</v>
      </c>
      <c r="J568" s="105"/>
      <c r="K568" s="105"/>
      <c r="L568" s="105"/>
      <c r="M568" s="105"/>
      <c r="N568" s="106"/>
    </row>
    <row r="569" customFormat="false" ht="12.75" hidden="false" customHeight="false" outlineLevel="0" collapsed="false">
      <c r="H569" s="83" t="n">
        <f aca="false">+H261</f>
        <v>44287</v>
      </c>
      <c r="I569" s="62" t="n">
        <f aca="false">+I568*(1+I$319/12)</f>
        <v>0</v>
      </c>
      <c r="J569" s="105"/>
      <c r="K569" s="105"/>
      <c r="L569" s="105"/>
      <c r="M569" s="105"/>
      <c r="N569" s="106"/>
    </row>
    <row r="570" customFormat="false" ht="12.75" hidden="false" customHeight="false" outlineLevel="0" collapsed="false">
      <c r="H570" s="83" t="n">
        <f aca="false">+H262</f>
        <v>44317</v>
      </c>
      <c r="I570" s="62" t="n">
        <f aca="false">+I569*(1+I$319/12)</f>
        <v>0</v>
      </c>
      <c r="J570" s="105"/>
      <c r="K570" s="105"/>
      <c r="L570" s="105"/>
      <c r="M570" s="105"/>
      <c r="N570" s="106"/>
    </row>
    <row r="571" customFormat="false" ht="12.75" hidden="false" customHeight="false" outlineLevel="0" collapsed="false">
      <c r="H571" s="83" t="n">
        <f aca="false">+H263</f>
        <v>44348</v>
      </c>
      <c r="I571" s="62" t="n">
        <f aca="false">+I570*(1+I$319/12)</f>
        <v>0</v>
      </c>
      <c r="J571" s="105"/>
      <c r="K571" s="105"/>
      <c r="L571" s="105"/>
      <c r="M571" s="105"/>
      <c r="N571" s="106"/>
    </row>
    <row r="572" customFormat="false" ht="12.75" hidden="false" customHeight="false" outlineLevel="0" collapsed="false">
      <c r="H572" s="83" t="n">
        <f aca="false">+H264</f>
        <v>44378</v>
      </c>
      <c r="I572" s="62" t="n">
        <f aca="false">+I571*(1+I$319/12)</f>
        <v>0</v>
      </c>
      <c r="J572" s="105"/>
      <c r="K572" s="105"/>
      <c r="L572" s="105"/>
      <c r="M572" s="105"/>
      <c r="N572" s="106"/>
    </row>
    <row r="573" customFormat="false" ht="12.75" hidden="false" customHeight="false" outlineLevel="0" collapsed="false">
      <c r="H573" s="83" t="n">
        <f aca="false">+H265</f>
        <v>44409</v>
      </c>
      <c r="I573" s="62" t="n">
        <f aca="false">+I572*(1+I$319/12)</f>
        <v>0</v>
      </c>
      <c r="J573" s="105"/>
      <c r="K573" s="105"/>
      <c r="L573" s="105"/>
      <c r="M573" s="105"/>
      <c r="N573" s="106"/>
    </row>
    <row r="574" customFormat="false" ht="12.75" hidden="false" customHeight="false" outlineLevel="0" collapsed="false">
      <c r="H574" s="83" t="n">
        <f aca="false">+H266</f>
        <v>44440</v>
      </c>
      <c r="I574" s="62" t="n">
        <f aca="false">+I573*(1+I$319/12)</f>
        <v>0</v>
      </c>
      <c r="J574" s="105"/>
      <c r="K574" s="105"/>
      <c r="L574" s="105"/>
      <c r="M574" s="105"/>
      <c r="N574" s="106"/>
    </row>
    <row r="575" customFormat="false" ht="12.75" hidden="false" customHeight="false" outlineLevel="0" collapsed="false">
      <c r="H575" s="83" t="n">
        <f aca="false">+H267</f>
        <v>44470</v>
      </c>
      <c r="I575" s="62" t="n">
        <f aca="false">+I574*(1+I$319/12)</f>
        <v>0</v>
      </c>
      <c r="J575" s="105"/>
      <c r="K575" s="105"/>
      <c r="L575" s="105"/>
      <c r="M575" s="105"/>
      <c r="N575" s="106"/>
    </row>
    <row r="576" customFormat="false" ht="12.75" hidden="false" customHeight="false" outlineLevel="0" collapsed="false">
      <c r="H576" s="83" t="n">
        <f aca="false">+H268</f>
        <v>44501</v>
      </c>
      <c r="I576" s="62" t="n">
        <f aca="false">+I575*(1+I$319/12)</f>
        <v>0</v>
      </c>
      <c r="J576" s="105"/>
      <c r="K576" s="105"/>
      <c r="L576" s="105"/>
      <c r="M576" s="105"/>
      <c r="N576" s="106"/>
    </row>
    <row r="577" customFormat="false" ht="12.75" hidden="false" customHeight="false" outlineLevel="0" collapsed="false">
      <c r="H577" s="83" t="n">
        <f aca="false">+H269</f>
        <v>44531</v>
      </c>
      <c r="I577" s="62" t="n">
        <f aca="false">+I576*(1+I$319/12)</f>
        <v>0</v>
      </c>
      <c r="J577" s="105"/>
      <c r="K577" s="105"/>
      <c r="L577" s="105"/>
      <c r="M577" s="105"/>
      <c r="N577" s="106"/>
    </row>
    <row r="578" customFormat="false" ht="12.75" hidden="false" customHeight="false" outlineLevel="0" collapsed="false">
      <c r="H578" s="83" t="n">
        <f aca="false">+H270</f>
        <v>44562</v>
      </c>
      <c r="I578" s="62" t="n">
        <f aca="false">+I577*(1+I$319/12)</f>
        <v>0</v>
      </c>
      <c r="J578" s="105"/>
      <c r="K578" s="105"/>
      <c r="L578" s="105"/>
      <c r="M578" s="105"/>
      <c r="N578" s="106"/>
    </row>
    <row r="579" customFormat="false" ht="12.75" hidden="false" customHeight="false" outlineLevel="0" collapsed="false">
      <c r="H579" s="83" t="n">
        <f aca="false">+H271</f>
        <v>44593</v>
      </c>
      <c r="I579" s="62" t="n">
        <f aca="false">+I578*(1+I$319/12)</f>
        <v>0</v>
      </c>
      <c r="J579" s="105"/>
      <c r="K579" s="105"/>
      <c r="L579" s="105"/>
      <c r="M579" s="105"/>
      <c r="N579" s="106"/>
    </row>
    <row r="580" customFormat="false" ht="12.75" hidden="false" customHeight="false" outlineLevel="0" collapsed="false">
      <c r="H580" s="83" t="n">
        <f aca="false">+H272</f>
        <v>44621</v>
      </c>
      <c r="I580" s="62" t="n">
        <f aca="false">+I579*(1+I$319/12)</f>
        <v>0</v>
      </c>
      <c r="J580" s="105"/>
      <c r="K580" s="105"/>
      <c r="L580" s="105"/>
      <c r="M580" s="105"/>
      <c r="N580" s="106"/>
    </row>
    <row r="581" customFormat="false" ht="12.75" hidden="false" customHeight="false" outlineLevel="0" collapsed="false">
      <c r="H581" s="83" t="n">
        <f aca="false">+H273</f>
        <v>44652</v>
      </c>
      <c r="I581" s="62" t="n">
        <f aca="false">+I580*(1+I$319/12)</f>
        <v>0</v>
      </c>
      <c r="J581" s="105"/>
      <c r="K581" s="105"/>
      <c r="L581" s="105"/>
      <c r="M581" s="105"/>
      <c r="N581" s="106"/>
    </row>
    <row r="582" customFormat="false" ht="12.75" hidden="false" customHeight="false" outlineLevel="0" collapsed="false">
      <c r="H582" s="83" t="n">
        <f aca="false">+H274</f>
        <v>44682</v>
      </c>
      <c r="I582" s="62" t="n">
        <f aca="false">+I581*(1+I$319/12)</f>
        <v>0</v>
      </c>
      <c r="J582" s="105"/>
      <c r="K582" s="105"/>
      <c r="L582" s="105"/>
      <c r="M582" s="105"/>
      <c r="N582" s="106"/>
    </row>
    <row r="583" customFormat="false" ht="12.75" hidden="false" customHeight="false" outlineLevel="0" collapsed="false">
      <c r="H583" s="83" t="n">
        <f aca="false">+H275</f>
        <v>44713</v>
      </c>
      <c r="I583" s="62" t="n">
        <f aca="false">+I582*(1+I$319/12)</f>
        <v>0</v>
      </c>
      <c r="J583" s="105"/>
      <c r="K583" s="105"/>
      <c r="L583" s="105"/>
      <c r="M583" s="105"/>
      <c r="N583" s="106"/>
    </row>
    <row r="584" customFormat="false" ht="12.75" hidden="false" customHeight="false" outlineLevel="0" collapsed="false">
      <c r="H584" s="83" t="n">
        <f aca="false">+H276</f>
        <v>44743</v>
      </c>
      <c r="I584" s="62" t="n">
        <f aca="false">+I583*(1+I$319/12)</f>
        <v>0</v>
      </c>
      <c r="J584" s="105"/>
      <c r="K584" s="105"/>
      <c r="L584" s="105"/>
      <c r="M584" s="105"/>
      <c r="N584" s="106"/>
    </row>
    <row r="585" customFormat="false" ht="12.75" hidden="false" customHeight="false" outlineLevel="0" collapsed="false">
      <c r="H585" s="83" t="n">
        <f aca="false">+H277</f>
        <v>44774</v>
      </c>
      <c r="I585" s="62" t="n">
        <f aca="false">+I584*(1+I$319/12)</f>
        <v>0</v>
      </c>
      <c r="J585" s="105"/>
      <c r="K585" s="105"/>
      <c r="L585" s="105"/>
      <c r="M585" s="105"/>
      <c r="N585" s="106"/>
    </row>
    <row r="586" customFormat="false" ht="12.75" hidden="false" customHeight="false" outlineLevel="0" collapsed="false">
      <c r="H586" s="83" t="n">
        <f aca="false">+H278</f>
        <v>44805</v>
      </c>
      <c r="I586" s="62" t="n">
        <f aca="false">+I585*(1+I$319/12)</f>
        <v>0</v>
      </c>
      <c r="J586" s="105"/>
      <c r="K586" s="105"/>
      <c r="L586" s="105"/>
      <c r="M586" s="105"/>
      <c r="N586" s="106"/>
    </row>
    <row r="587" customFormat="false" ht="12.75" hidden="false" customHeight="false" outlineLevel="0" collapsed="false">
      <c r="H587" s="83" t="n">
        <f aca="false">+H279</f>
        <v>44835</v>
      </c>
      <c r="I587" s="62" t="n">
        <f aca="false">+I586*(1+I$319/12)</f>
        <v>0</v>
      </c>
      <c r="J587" s="105"/>
      <c r="K587" s="105"/>
      <c r="L587" s="105"/>
      <c r="M587" s="105"/>
      <c r="N587" s="106"/>
    </row>
    <row r="588" customFormat="false" ht="12.75" hidden="false" customHeight="false" outlineLevel="0" collapsed="false">
      <c r="H588" s="83" t="n">
        <f aca="false">+H280</f>
        <v>44866</v>
      </c>
      <c r="I588" s="62" t="n">
        <f aca="false">+I587*(1+I$319/12)</f>
        <v>0</v>
      </c>
      <c r="J588" s="105"/>
      <c r="K588" s="105"/>
      <c r="L588" s="105"/>
      <c r="M588" s="105"/>
      <c r="N588" s="106"/>
    </row>
    <row r="589" customFormat="false" ht="12.75" hidden="false" customHeight="false" outlineLevel="0" collapsed="false">
      <c r="H589" s="83" t="n">
        <f aca="false">+H281</f>
        <v>44896</v>
      </c>
      <c r="I589" s="62" t="n">
        <f aca="false">+I588*(1+I$319/12)</f>
        <v>0</v>
      </c>
      <c r="J589" s="105"/>
      <c r="K589" s="105"/>
      <c r="L589" s="105"/>
      <c r="M589" s="105"/>
      <c r="N589" s="106"/>
    </row>
    <row r="590" customFormat="false" ht="12.75" hidden="false" customHeight="false" outlineLevel="0" collapsed="false">
      <c r="H590" s="83" t="n">
        <f aca="false">+H282</f>
        <v>44927</v>
      </c>
      <c r="I590" s="62" t="n">
        <f aca="false">+I589*(1+I$319/12)</f>
        <v>0</v>
      </c>
      <c r="J590" s="105"/>
      <c r="K590" s="105"/>
      <c r="L590" s="105"/>
      <c r="M590" s="105"/>
      <c r="N590" s="106"/>
    </row>
    <row r="591" customFormat="false" ht="12.75" hidden="false" customHeight="false" outlineLevel="0" collapsed="false">
      <c r="H591" s="83" t="n">
        <f aca="false">+H283</f>
        <v>44958</v>
      </c>
      <c r="I591" s="62" t="n">
        <f aca="false">+I590*(1+I$319/12)</f>
        <v>0</v>
      </c>
      <c r="J591" s="105"/>
      <c r="K591" s="105"/>
      <c r="L591" s="105"/>
      <c r="M591" s="105"/>
      <c r="N591" s="106"/>
    </row>
    <row r="592" customFormat="false" ht="12.75" hidden="false" customHeight="false" outlineLevel="0" collapsed="false">
      <c r="H592" s="83" t="n">
        <f aca="false">+H284</f>
        <v>44986</v>
      </c>
      <c r="I592" s="62" t="n">
        <f aca="false">+I591*(1+I$319/12)</f>
        <v>0</v>
      </c>
      <c r="J592" s="105"/>
      <c r="K592" s="105"/>
      <c r="L592" s="105"/>
      <c r="M592" s="105"/>
      <c r="N592" s="106"/>
    </row>
    <row r="593" customFormat="false" ht="12.75" hidden="false" customHeight="false" outlineLevel="0" collapsed="false">
      <c r="H593" s="83" t="n">
        <f aca="false">+H285</f>
        <v>45017</v>
      </c>
      <c r="I593" s="62" t="n">
        <f aca="false">+I592*(1+I$319/12)</f>
        <v>0</v>
      </c>
      <c r="J593" s="105"/>
      <c r="K593" s="105"/>
      <c r="L593" s="105"/>
      <c r="M593" s="105"/>
      <c r="N593" s="106"/>
    </row>
    <row r="594" customFormat="false" ht="12.75" hidden="false" customHeight="false" outlineLevel="0" collapsed="false">
      <c r="H594" s="83" t="n">
        <f aca="false">+H286</f>
        <v>45047</v>
      </c>
      <c r="I594" s="62" t="n">
        <f aca="false">+I593*(1+I$319/12)</f>
        <v>0</v>
      </c>
      <c r="J594" s="105"/>
      <c r="K594" s="105"/>
      <c r="L594" s="105"/>
      <c r="M594" s="105"/>
      <c r="N594" s="106"/>
    </row>
    <row r="595" customFormat="false" ht="12.75" hidden="false" customHeight="false" outlineLevel="0" collapsed="false">
      <c r="H595" s="83" t="n">
        <f aca="false">+H287</f>
        <v>45078</v>
      </c>
      <c r="I595" s="62" t="n">
        <f aca="false">+I594*(1+I$319/12)</f>
        <v>0</v>
      </c>
      <c r="J595" s="105"/>
      <c r="K595" s="105"/>
      <c r="L595" s="105"/>
      <c r="M595" s="105"/>
      <c r="N595" s="106"/>
    </row>
    <row r="596" customFormat="false" ht="12.75" hidden="false" customHeight="false" outlineLevel="0" collapsed="false">
      <c r="H596" s="83" t="n">
        <f aca="false">+H288</f>
        <v>45108</v>
      </c>
      <c r="I596" s="62" t="n">
        <f aca="false">+I595*(1+I$319/12)</f>
        <v>0</v>
      </c>
      <c r="J596" s="105"/>
      <c r="K596" s="105"/>
      <c r="L596" s="105"/>
      <c r="M596" s="105"/>
      <c r="N596" s="106"/>
    </row>
    <row r="597" customFormat="false" ht="12.75" hidden="false" customHeight="false" outlineLevel="0" collapsed="false">
      <c r="H597" s="83" t="n">
        <f aca="false">+H289</f>
        <v>45139</v>
      </c>
      <c r="I597" s="62" t="n">
        <f aca="false">+I596*(1+I$319/12)</f>
        <v>0</v>
      </c>
      <c r="J597" s="105"/>
      <c r="K597" s="105"/>
      <c r="L597" s="105"/>
      <c r="M597" s="105"/>
      <c r="N597" s="106"/>
    </row>
    <row r="598" customFormat="false" ht="12.75" hidden="false" customHeight="false" outlineLevel="0" collapsed="false">
      <c r="H598" s="83" t="n">
        <f aca="false">+H290</f>
        <v>45170</v>
      </c>
      <c r="I598" s="62" t="n">
        <f aca="false">+I597*(1+I$319/12)</f>
        <v>0</v>
      </c>
      <c r="J598" s="105"/>
      <c r="K598" s="105"/>
      <c r="L598" s="105"/>
      <c r="M598" s="105"/>
      <c r="N598" s="106"/>
    </row>
    <row r="599" customFormat="false" ht="12.75" hidden="false" customHeight="false" outlineLevel="0" collapsed="false">
      <c r="H599" s="83" t="n">
        <f aca="false">+H291</f>
        <v>45200</v>
      </c>
      <c r="I599" s="62" t="n">
        <f aca="false">+I598*(1+I$319/12)</f>
        <v>0</v>
      </c>
      <c r="J599" s="105"/>
      <c r="K599" s="105"/>
      <c r="L599" s="105"/>
      <c r="M599" s="105"/>
      <c r="N599" s="106"/>
    </row>
    <row r="600" customFormat="false" ht="12.75" hidden="false" customHeight="false" outlineLevel="0" collapsed="false">
      <c r="H600" s="83" t="n">
        <f aca="false">+H292</f>
        <v>45231</v>
      </c>
      <c r="I600" s="62" t="n">
        <f aca="false">+I599*(1+I$319/12)</f>
        <v>0</v>
      </c>
      <c r="J600" s="105"/>
      <c r="K600" s="105"/>
      <c r="L600" s="105"/>
      <c r="M600" s="105"/>
      <c r="N600" s="106"/>
    </row>
    <row r="601" customFormat="false" ht="12.75" hidden="false" customHeight="false" outlineLevel="0" collapsed="false">
      <c r="H601" s="83" t="n">
        <f aca="false">+H293</f>
        <v>45261</v>
      </c>
      <c r="I601" s="62" t="n">
        <f aca="false">+I600*(1+I$319/12)</f>
        <v>0</v>
      </c>
      <c r="J601" s="105"/>
      <c r="K601" s="105"/>
      <c r="L601" s="105"/>
      <c r="M601" s="105"/>
      <c r="N601" s="106"/>
    </row>
    <row r="602" customFormat="false" ht="12.75" hidden="false" customHeight="false" outlineLevel="0" collapsed="false">
      <c r="H602" s="83" t="n">
        <f aca="false">+H294</f>
        <v>45292</v>
      </c>
      <c r="I602" s="62" t="n">
        <f aca="false">+I601*(1+I$319/12)</f>
        <v>0</v>
      </c>
      <c r="J602" s="105"/>
      <c r="K602" s="105"/>
      <c r="L602" s="105"/>
      <c r="M602" s="105"/>
      <c r="N602" s="106"/>
    </row>
    <row r="603" customFormat="false" ht="12.75" hidden="false" customHeight="false" outlineLevel="0" collapsed="false">
      <c r="H603" s="83" t="n">
        <f aca="false">+H295</f>
        <v>45323</v>
      </c>
      <c r="I603" s="62" t="n">
        <f aca="false">+I602*(1+I$319/12)</f>
        <v>0</v>
      </c>
      <c r="J603" s="105"/>
      <c r="K603" s="105"/>
      <c r="L603" s="105"/>
      <c r="M603" s="105"/>
      <c r="N603" s="106"/>
    </row>
    <row r="604" customFormat="false" ht="12.75" hidden="false" customHeight="false" outlineLevel="0" collapsed="false">
      <c r="H604" s="83" t="n">
        <f aca="false">+H296</f>
        <v>45352</v>
      </c>
      <c r="I604" s="62" t="n">
        <f aca="false">+I603*(1+I$319/12)</f>
        <v>0</v>
      </c>
      <c r="J604" s="105"/>
      <c r="K604" s="105"/>
      <c r="L604" s="105"/>
      <c r="M604" s="105"/>
      <c r="N604" s="106"/>
    </row>
    <row r="605" customFormat="false" ht="12.75" hidden="false" customHeight="false" outlineLevel="0" collapsed="false">
      <c r="H605" s="83" t="n">
        <f aca="false">+H297</f>
        <v>45383</v>
      </c>
      <c r="I605" s="62" t="n">
        <f aca="false">+I604*(1+I$319/12)</f>
        <v>0</v>
      </c>
      <c r="J605" s="105"/>
      <c r="K605" s="105"/>
      <c r="L605" s="105"/>
      <c r="M605" s="105"/>
      <c r="N605" s="106"/>
    </row>
    <row r="606" customFormat="false" ht="12.75" hidden="false" customHeight="false" outlineLevel="0" collapsed="false">
      <c r="H606" s="83" t="n">
        <f aca="false">+H298</f>
        <v>45413</v>
      </c>
      <c r="I606" s="62" t="n">
        <f aca="false">+I605*(1+I$319/12)</f>
        <v>0</v>
      </c>
      <c r="J606" s="105"/>
      <c r="K606" s="105"/>
      <c r="L606" s="105"/>
      <c r="M606" s="105"/>
      <c r="N606" s="106"/>
    </row>
    <row r="607" customFormat="false" ht="12.75" hidden="false" customHeight="false" outlineLevel="0" collapsed="false">
      <c r="H607" s="83" t="n">
        <f aca="false">+H299</f>
        <v>45444</v>
      </c>
      <c r="I607" s="62" t="n">
        <f aca="false">+I606*(1+I$319/12)</f>
        <v>0</v>
      </c>
      <c r="J607" s="105"/>
      <c r="K607" s="105"/>
      <c r="L607" s="105"/>
      <c r="M607" s="105"/>
      <c r="N607" s="106"/>
    </row>
    <row r="608" customFormat="false" ht="12.75" hidden="false" customHeight="false" outlineLevel="0" collapsed="false">
      <c r="H608" s="83" t="n">
        <f aca="false">+H300</f>
        <v>45474</v>
      </c>
      <c r="I608" s="62" t="n">
        <f aca="false">+I607*(1+I$319/12)</f>
        <v>0</v>
      </c>
      <c r="J608" s="105"/>
      <c r="K608" s="105"/>
      <c r="L608" s="105"/>
      <c r="M608" s="105"/>
      <c r="N608" s="106"/>
    </row>
    <row r="609" customFormat="false" ht="12.75" hidden="false" customHeight="false" outlineLevel="0" collapsed="false">
      <c r="H609" s="83" t="n">
        <f aca="false">+H301</f>
        <v>45505</v>
      </c>
      <c r="I609" s="62" t="n">
        <f aca="false">+I608*(1+I$319/12)</f>
        <v>0</v>
      </c>
      <c r="J609" s="105"/>
      <c r="K609" s="105"/>
      <c r="L609" s="105"/>
      <c r="M609" s="105"/>
      <c r="N609" s="106"/>
    </row>
    <row r="610" customFormat="false" ht="12.75" hidden="false" customHeight="false" outlineLevel="0" collapsed="false">
      <c r="H610" s="83" t="n">
        <f aca="false">+H302</f>
        <v>45536</v>
      </c>
      <c r="I610" s="62" t="n">
        <f aca="false">+I609*(1+I$319/12)</f>
        <v>0</v>
      </c>
      <c r="J610" s="105"/>
      <c r="K610" s="105"/>
      <c r="L610" s="105"/>
      <c r="M610" s="105"/>
      <c r="N610" s="106"/>
    </row>
    <row r="611" customFormat="false" ht="12.75" hidden="false" customHeight="false" outlineLevel="0" collapsed="false">
      <c r="H611" s="83" t="n">
        <f aca="false">+H303</f>
        <v>45566</v>
      </c>
      <c r="I611" s="62" t="n">
        <f aca="false">+I610*(1+I$319/12)</f>
        <v>0</v>
      </c>
      <c r="J611" s="105"/>
      <c r="K611" s="105"/>
      <c r="L611" s="105"/>
      <c r="M611" s="105"/>
      <c r="N611" s="106"/>
    </row>
    <row r="612" customFormat="false" ht="12.75" hidden="false" customHeight="false" outlineLevel="0" collapsed="false">
      <c r="H612" s="83" t="n">
        <f aca="false">+H304</f>
        <v>45597</v>
      </c>
      <c r="I612" s="62" t="n">
        <f aca="false">+I611*(1+I$319/12)</f>
        <v>0</v>
      </c>
      <c r="J612" s="105"/>
      <c r="K612" s="105"/>
      <c r="L612" s="105"/>
      <c r="M612" s="105"/>
      <c r="N612" s="106"/>
    </row>
    <row r="613" customFormat="false" ht="12.75" hidden="false" customHeight="false" outlineLevel="0" collapsed="false">
      <c r="H613" s="83" t="n">
        <f aca="false">+H305</f>
        <v>45627</v>
      </c>
      <c r="I613" s="62" t="n">
        <f aca="false">+I612*(1+I$319/12)</f>
        <v>0</v>
      </c>
      <c r="J613" s="105"/>
      <c r="K613" s="105"/>
      <c r="L613" s="105"/>
      <c r="M613" s="105"/>
      <c r="N613" s="106"/>
    </row>
    <row r="614" customFormat="false" ht="12.75" hidden="false" customHeight="false" outlineLevel="0" collapsed="false">
      <c r="H614" s="83" t="n">
        <f aca="false">+H306</f>
        <v>45658</v>
      </c>
      <c r="I614" s="62" t="n">
        <f aca="false">+I613*(1+I$319/12)</f>
        <v>0</v>
      </c>
      <c r="J614" s="105"/>
      <c r="K614" s="105"/>
      <c r="L614" s="105"/>
      <c r="M614" s="105"/>
      <c r="N614" s="106"/>
    </row>
    <row r="615" customFormat="false" ht="12.75" hidden="false" customHeight="false" outlineLevel="0" collapsed="false">
      <c r="H615" s="83" t="n">
        <f aca="false">+H307</f>
        <v>45689</v>
      </c>
      <c r="I615" s="62" t="n">
        <f aca="false">+I614*(1+I$319/12)</f>
        <v>0</v>
      </c>
      <c r="J615" s="105"/>
      <c r="K615" s="105"/>
      <c r="L615" s="105"/>
      <c r="M615" s="105"/>
      <c r="N615" s="106"/>
    </row>
    <row r="616" customFormat="false" ht="12.75" hidden="false" customHeight="false" outlineLevel="0" collapsed="false">
      <c r="H616" s="83" t="n">
        <f aca="false">+H308</f>
        <v>45717</v>
      </c>
      <c r="I616" s="62" t="n">
        <f aca="false">+I615*(1+I$319/12)</f>
        <v>0</v>
      </c>
      <c r="J616" s="105"/>
      <c r="K616" s="105"/>
      <c r="L616" s="105"/>
      <c r="M616" s="105"/>
      <c r="N616" s="106"/>
    </row>
    <row r="617" customFormat="false" ht="12.75" hidden="false" customHeight="false" outlineLevel="0" collapsed="false">
      <c r="H617" s="83" t="n">
        <f aca="false">+H309</f>
        <v>45748</v>
      </c>
      <c r="I617" s="62" t="n">
        <f aca="false">+I616*(1+I$319/12)</f>
        <v>0</v>
      </c>
      <c r="J617" s="105"/>
      <c r="K617" s="105"/>
      <c r="L617" s="105"/>
      <c r="M617" s="105"/>
      <c r="N617" s="106"/>
    </row>
    <row r="618" customFormat="false" ht="12.75" hidden="false" customHeight="false" outlineLevel="0" collapsed="false">
      <c r="H618" s="83" t="n">
        <f aca="false">+H310</f>
        <v>45778</v>
      </c>
      <c r="I618" s="62" t="n">
        <f aca="false">+I617*(1+I$319/12)</f>
        <v>0</v>
      </c>
      <c r="J618" s="105"/>
      <c r="K618" s="105"/>
      <c r="L618" s="105"/>
      <c r="M618" s="105"/>
      <c r="N618" s="106"/>
    </row>
    <row r="619" customFormat="false" ht="12.75" hidden="false" customHeight="false" outlineLevel="0" collapsed="false">
      <c r="H619" s="83" t="n">
        <f aca="false">+H311</f>
        <v>45809</v>
      </c>
      <c r="I619" s="62" t="n">
        <f aca="false">+I618*(1+I$319/12)</f>
        <v>0</v>
      </c>
      <c r="J619" s="105"/>
      <c r="K619" s="105"/>
      <c r="L619" s="105"/>
      <c r="M619" s="105"/>
      <c r="N619" s="106"/>
    </row>
    <row r="620" customFormat="false" ht="12.75" hidden="false" customHeight="false" outlineLevel="0" collapsed="false">
      <c r="H620" s="83" t="n">
        <f aca="false">+H312</f>
        <v>45839</v>
      </c>
      <c r="I620" s="62" t="n">
        <f aca="false">+I619*(1+I$319/12)</f>
        <v>0</v>
      </c>
      <c r="J620" s="105"/>
      <c r="K620" s="105"/>
      <c r="L620" s="105"/>
      <c r="M620" s="105"/>
      <c r="N620" s="106"/>
    </row>
    <row r="621" customFormat="false" ht="12.75" hidden="false" customHeight="false" outlineLevel="0" collapsed="false">
      <c r="H621" s="83" t="n">
        <f aca="false">+H313</f>
        <v>45870</v>
      </c>
      <c r="I621" s="62" t="n">
        <f aca="false">+I620*(1+I$319/12)</f>
        <v>0</v>
      </c>
      <c r="J621" s="105"/>
      <c r="K621" s="105"/>
      <c r="L621" s="105"/>
      <c r="M621" s="105"/>
      <c r="N621" s="106"/>
    </row>
    <row r="622" customFormat="false" ht="12.75" hidden="false" customHeight="false" outlineLevel="0" collapsed="false">
      <c r="H622" s="83" t="n">
        <f aca="false">+H314</f>
        <v>45901</v>
      </c>
      <c r="I622" s="62" t="n">
        <f aca="false">+I621*(1+I$319/12)</f>
        <v>0</v>
      </c>
      <c r="J622" s="105"/>
      <c r="K622" s="105"/>
      <c r="L622" s="105"/>
      <c r="M622" s="105"/>
      <c r="N622" s="106"/>
    </row>
    <row r="623" customFormat="false" ht="12.75" hidden="false" customHeight="false" outlineLevel="0" collapsed="false">
      <c r="H623" s="83" t="n">
        <f aca="false">+H315</f>
        <v>45931</v>
      </c>
      <c r="I623" s="62" t="n">
        <f aca="false">+I622*(1+I$319/12)</f>
        <v>0</v>
      </c>
      <c r="J623" s="105"/>
      <c r="K623" s="105"/>
      <c r="L623" s="105"/>
      <c r="M623" s="105"/>
      <c r="N623" s="106"/>
    </row>
    <row r="624" customFormat="false" ht="12.75" hidden="false" customHeight="false" outlineLevel="0" collapsed="false">
      <c r="H624" s="83" t="n">
        <f aca="false">+H316</f>
        <v>45962</v>
      </c>
      <c r="I624" s="62" t="n">
        <f aca="false">+I623*(1+I$319/12)</f>
        <v>0</v>
      </c>
      <c r="J624" s="105"/>
      <c r="K624" s="105"/>
      <c r="L624" s="105"/>
      <c r="M624" s="105"/>
      <c r="N624" s="106"/>
    </row>
    <row r="625" customFormat="false" ht="12.75" hidden="false" customHeight="false" outlineLevel="0" collapsed="false">
      <c r="H625" s="107" t="n">
        <f aca="false">+H317</f>
        <v>45992</v>
      </c>
      <c r="I625" s="108" t="n">
        <f aca="false">+I624*(1+I$319/12)</f>
        <v>0</v>
      </c>
      <c r="J625" s="109"/>
      <c r="K625" s="109"/>
      <c r="L625" s="109"/>
      <c r="M625" s="109"/>
      <c r="N625" s="110"/>
    </row>
    <row r="626" customFormat="false" ht="12.75" hidden="false" customHeight="false" outlineLevel="0" collapsed="false">
      <c r="H626" s="111"/>
      <c r="I626" s="112" t="str">
        <f aca="false">+I4</f>
        <v>ELBA</v>
      </c>
      <c r="J626" s="112" t="str">
        <f aca="false">+J4</f>
        <v>LAKE CHARLES</v>
      </c>
      <c r="K626" s="112" t="str">
        <f aca="false">+K4</f>
        <v>CABOT</v>
      </c>
      <c r="L626" s="112" t="str">
        <f aca="false">+L4</f>
        <v>COVE POINT</v>
      </c>
      <c r="M626" s="112" t="str">
        <f aca="false">+M4</f>
        <v>BARCELONA</v>
      </c>
      <c r="N626" s="112" t="n">
        <f aca="false">+N4</f>
        <v>0</v>
      </c>
    </row>
    <row r="627" customFormat="false" ht="12.75" hidden="false" customHeight="false" outlineLevel="0" collapsed="false">
      <c r="H627" s="113" t="s">
        <v>31</v>
      </c>
      <c r="I627" s="115" t="n">
        <v>0.0266</v>
      </c>
      <c r="J627" s="75"/>
      <c r="K627" s="76"/>
      <c r="L627" s="76"/>
      <c r="M627" s="74"/>
      <c r="N627" s="77"/>
    </row>
    <row r="628" customFormat="false" ht="12.75" hidden="false" customHeight="false" outlineLevel="0" collapsed="false">
      <c r="H628" s="78" t="n">
        <f aca="false">+H320</f>
        <v>36708</v>
      </c>
      <c r="I628" s="116" t="n">
        <v>0</v>
      </c>
      <c r="J628" s="53"/>
      <c r="K628" s="80"/>
      <c r="L628" s="80"/>
      <c r="M628" s="81"/>
      <c r="N628" s="82"/>
    </row>
    <row r="629" customFormat="false" ht="12.75" hidden="false" customHeight="false" outlineLevel="0" collapsed="false">
      <c r="H629" s="83" t="n">
        <f aca="false">+H321</f>
        <v>36739</v>
      </c>
      <c r="I629" s="117" t="n">
        <v>0</v>
      </c>
      <c r="J629" s="62"/>
      <c r="K629" s="85"/>
      <c r="L629" s="85"/>
      <c r="M629" s="86"/>
      <c r="N629" s="87"/>
    </row>
    <row r="630" customFormat="false" ht="12.75" hidden="false" customHeight="false" outlineLevel="0" collapsed="false">
      <c r="H630" s="83" t="n">
        <f aca="false">+H322</f>
        <v>36770</v>
      </c>
      <c r="I630" s="117" t="n">
        <v>0</v>
      </c>
      <c r="J630" s="62"/>
      <c r="K630" s="85"/>
      <c r="L630" s="85"/>
      <c r="M630" s="86"/>
      <c r="N630" s="87"/>
    </row>
    <row r="631" customFormat="false" ht="12.75" hidden="false" customHeight="false" outlineLevel="0" collapsed="false">
      <c r="H631" s="83" t="n">
        <f aca="false">+H323</f>
        <v>36800</v>
      </c>
      <c r="I631" s="117" t="n">
        <v>0</v>
      </c>
      <c r="J631" s="62"/>
      <c r="K631" s="92"/>
      <c r="L631" s="92"/>
      <c r="M631" s="89"/>
      <c r="N631" s="93"/>
    </row>
    <row r="632" customFormat="false" ht="12.75" hidden="false" customHeight="false" outlineLevel="0" collapsed="false">
      <c r="H632" s="83" t="n">
        <f aca="false">+H324</f>
        <v>36831</v>
      </c>
      <c r="I632" s="118" t="n">
        <f aca="false">+I627</f>
        <v>0.0266</v>
      </c>
      <c r="J632" s="119"/>
      <c r="K632" s="96"/>
      <c r="L632" s="96"/>
      <c r="M632" s="94"/>
      <c r="N632" s="97"/>
    </row>
    <row r="633" customFormat="false" ht="12.75" hidden="false" customHeight="false" outlineLevel="0" collapsed="false">
      <c r="H633" s="83" t="n">
        <f aca="false">+H325</f>
        <v>36861</v>
      </c>
      <c r="I633" s="118" t="n">
        <f aca="false">+I632*(1+I$8/12)</f>
        <v>0.0266277083333333</v>
      </c>
      <c r="J633" s="119"/>
      <c r="K633" s="96"/>
      <c r="L633" s="96"/>
      <c r="M633" s="94"/>
      <c r="N633" s="97"/>
    </row>
    <row r="634" customFormat="false" ht="12.75" hidden="false" customHeight="false" outlineLevel="0" collapsed="false">
      <c r="H634" s="83" t="n">
        <f aca="false">+H326</f>
        <v>36892</v>
      </c>
      <c r="I634" s="118" t="n">
        <f aca="false">+I633*(1+I$8/12)</f>
        <v>0.0266554455295139</v>
      </c>
      <c r="J634" s="119"/>
      <c r="K634" s="101"/>
      <c r="L634" s="101"/>
      <c r="M634" s="99"/>
      <c r="N634" s="102"/>
    </row>
    <row r="635" customFormat="false" ht="12.75" hidden="false" customHeight="false" outlineLevel="0" collapsed="false">
      <c r="H635" s="83" t="n">
        <f aca="false">+H327</f>
        <v>36923</v>
      </c>
      <c r="I635" s="118" t="n">
        <f aca="false">+I634*(1+I$8/12)</f>
        <v>0.0266832116186071</v>
      </c>
      <c r="J635" s="119"/>
      <c r="K635" s="101"/>
      <c r="L635" s="101"/>
      <c r="M635" s="98"/>
      <c r="N635" s="102"/>
    </row>
    <row r="636" customFormat="false" ht="12.75" hidden="false" customHeight="false" outlineLevel="0" collapsed="false">
      <c r="H636" s="83" t="n">
        <f aca="false">+H328</f>
        <v>36951</v>
      </c>
      <c r="I636" s="118" t="n">
        <f aca="false">+I635*(1+I$8/12)</f>
        <v>0.0267110066307098</v>
      </c>
      <c r="J636" s="119"/>
      <c r="K636" s="101"/>
      <c r="L636" s="101"/>
      <c r="M636" s="98"/>
      <c r="N636" s="102"/>
    </row>
    <row r="637" customFormat="false" ht="12.75" hidden="false" customHeight="false" outlineLevel="0" collapsed="false">
      <c r="H637" s="83" t="n">
        <f aca="false">+H329</f>
        <v>36982</v>
      </c>
      <c r="I637" s="118" t="n">
        <f aca="false">+I636*(1+I$8/12)</f>
        <v>0.0267388305959502</v>
      </c>
      <c r="J637" s="119"/>
      <c r="K637" s="101"/>
      <c r="L637" s="101"/>
      <c r="M637" s="98"/>
      <c r="N637" s="102"/>
    </row>
    <row r="638" customFormat="false" ht="12.75" hidden="false" customHeight="false" outlineLevel="0" collapsed="false">
      <c r="H638" s="83" t="n">
        <f aca="false">+H330</f>
        <v>37012</v>
      </c>
      <c r="I638" s="118" t="n">
        <f aca="false">+I637*(1+I$8/12)</f>
        <v>0.0267666835444876</v>
      </c>
      <c r="J638" s="119"/>
      <c r="K638" s="101"/>
      <c r="L638" s="101"/>
      <c r="M638" s="98"/>
      <c r="N638" s="102"/>
    </row>
    <row r="639" customFormat="false" ht="12.75" hidden="false" customHeight="false" outlineLevel="0" collapsed="false">
      <c r="H639" s="83" t="n">
        <f aca="false">+H331</f>
        <v>37043</v>
      </c>
      <c r="I639" s="118" t="n">
        <f aca="false">+I638*(1+I$8/12)</f>
        <v>0.0267945655065131</v>
      </c>
      <c r="J639" s="119"/>
      <c r="K639" s="101"/>
      <c r="L639" s="101"/>
      <c r="M639" s="98"/>
      <c r="N639" s="102"/>
    </row>
    <row r="640" customFormat="false" ht="12.75" hidden="false" customHeight="false" outlineLevel="0" collapsed="false">
      <c r="H640" s="83" t="n">
        <f aca="false">+H332</f>
        <v>37073</v>
      </c>
      <c r="I640" s="118" t="n">
        <f aca="false">+I639*(1+I$8/12)</f>
        <v>0.0268224765122491</v>
      </c>
      <c r="J640" s="119"/>
      <c r="K640" s="101"/>
      <c r="L640" s="101"/>
      <c r="M640" s="98"/>
      <c r="N640" s="102"/>
    </row>
    <row r="641" customFormat="false" ht="12.75" hidden="false" customHeight="false" outlineLevel="0" collapsed="false">
      <c r="H641" s="83" t="n">
        <f aca="false">+H333</f>
        <v>37104</v>
      </c>
      <c r="I641" s="118" t="n">
        <f aca="false">+I640*(1+I$8/12)</f>
        <v>0.0268504165919493</v>
      </c>
      <c r="J641" s="119"/>
      <c r="K641" s="104"/>
      <c r="L641" s="104"/>
      <c r="M641" s="105"/>
      <c r="N641" s="106"/>
    </row>
    <row r="642" customFormat="false" ht="12.75" hidden="false" customHeight="false" outlineLevel="0" collapsed="false">
      <c r="H642" s="83" t="n">
        <f aca="false">+H334</f>
        <v>37135</v>
      </c>
      <c r="I642" s="118" t="n">
        <f aca="false">+I641*(1+I$8/12)</f>
        <v>0.0268783857758993</v>
      </c>
      <c r="J642" s="119"/>
      <c r="K642" s="104"/>
      <c r="L642" s="104"/>
      <c r="M642" s="105"/>
      <c r="N642" s="106"/>
    </row>
    <row r="643" customFormat="false" ht="12.75" hidden="false" customHeight="false" outlineLevel="0" collapsed="false">
      <c r="H643" s="83" t="n">
        <f aca="false">+H335</f>
        <v>37165</v>
      </c>
      <c r="I643" s="118" t="n">
        <f aca="false">+I642*(1+I$8/12)</f>
        <v>0.0269063840944158</v>
      </c>
      <c r="J643" s="119"/>
      <c r="K643" s="104"/>
      <c r="L643" s="104"/>
      <c r="M643" s="105"/>
      <c r="N643" s="106"/>
    </row>
    <row r="644" customFormat="false" ht="12.75" hidden="false" customHeight="false" outlineLevel="0" collapsed="false">
      <c r="H644" s="83" t="n">
        <f aca="false">+H336</f>
        <v>37196</v>
      </c>
      <c r="I644" s="118" t="n">
        <f aca="false">+I643*(1+I$8/12)</f>
        <v>0.0269344115778475</v>
      </c>
      <c r="J644" s="119"/>
      <c r="K644" s="104"/>
      <c r="L644" s="104"/>
      <c r="M644" s="105"/>
      <c r="N644" s="106"/>
    </row>
    <row r="645" customFormat="false" ht="12.75" hidden="false" customHeight="false" outlineLevel="0" collapsed="false">
      <c r="H645" s="83" t="n">
        <f aca="false">+H337</f>
        <v>37226</v>
      </c>
      <c r="I645" s="118" t="n">
        <f aca="false">+I644*(1+I$8/12)</f>
        <v>0.0269624682565744</v>
      </c>
      <c r="J645" s="119"/>
      <c r="K645" s="104"/>
      <c r="L645" s="104"/>
      <c r="M645" s="105"/>
      <c r="N645" s="106"/>
    </row>
    <row r="646" customFormat="false" ht="12.75" hidden="false" customHeight="false" outlineLevel="0" collapsed="false">
      <c r="H646" s="83" t="n">
        <f aca="false">+H338</f>
        <v>37257</v>
      </c>
      <c r="I646" s="118" t="n">
        <f aca="false">+I645*(1+I$8/12)</f>
        <v>0.0269905541610084</v>
      </c>
      <c r="J646" s="119"/>
      <c r="K646" s="104"/>
      <c r="L646" s="104"/>
      <c r="M646" s="105"/>
      <c r="N646" s="106"/>
    </row>
    <row r="647" customFormat="false" ht="12.75" hidden="false" customHeight="false" outlineLevel="0" collapsed="false">
      <c r="H647" s="83" t="n">
        <f aca="false">+H339</f>
        <v>37288</v>
      </c>
      <c r="I647" s="118" t="n">
        <f aca="false">+I646*(1+I$8/12)</f>
        <v>0.0270186693215927</v>
      </c>
      <c r="J647" s="119"/>
      <c r="K647" s="104"/>
      <c r="L647" s="104"/>
      <c r="M647" s="105"/>
      <c r="N647" s="106"/>
    </row>
    <row r="648" customFormat="false" ht="12.75" hidden="false" customHeight="false" outlineLevel="0" collapsed="false">
      <c r="H648" s="83" t="n">
        <f aca="false">+H340</f>
        <v>37316</v>
      </c>
      <c r="I648" s="118" t="n">
        <f aca="false">+I647*(1+I$8/12)</f>
        <v>0.0270468137688027</v>
      </c>
      <c r="J648" s="119"/>
      <c r="K648" s="104"/>
      <c r="L648" s="104"/>
      <c r="M648" s="105"/>
      <c r="N648" s="106"/>
    </row>
    <row r="649" customFormat="false" ht="12.75" hidden="false" customHeight="false" outlineLevel="0" collapsed="false">
      <c r="H649" s="83" t="n">
        <f aca="false">+H341</f>
        <v>37347</v>
      </c>
      <c r="I649" s="118" t="n">
        <f aca="false">+I648*(1+I$8/12)</f>
        <v>0.0270749875331452</v>
      </c>
      <c r="J649" s="119"/>
      <c r="K649" s="104"/>
      <c r="L649" s="104"/>
      <c r="M649" s="105"/>
      <c r="N649" s="106"/>
    </row>
    <row r="650" customFormat="false" ht="12.75" hidden="false" customHeight="false" outlineLevel="0" collapsed="false">
      <c r="H650" s="83" t="n">
        <f aca="false">+H342</f>
        <v>37377</v>
      </c>
      <c r="I650" s="118" t="n">
        <f aca="false">+I649*(1+I$8/12)</f>
        <v>0.0271031906451589</v>
      </c>
      <c r="J650" s="119"/>
      <c r="K650" s="104"/>
      <c r="L650" s="104"/>
      <c r="M650" s="105"/>
      <c r="N650" s="106"/>
    </row>
    <row r="651" customFormat="false" ht="12.75" hidden="false" customHeight="false" outlineLevel="0" collapsed="false">
      <c r="H651" s="83" t="n">
        <f aca="false">+H343</f>
        <v>37408</v>
      </c>
      <c r="I651" s="118" t="n">
        <f aca="false">+I650*(1+I$8/12)</f>
        <v>0.0271314231354143</v>
      </c>
      <c r="J651" s="119"/>
      <c r="K651" s="104"/>
      <c r="L651" s="104"/>
      <c r="M651" s="105"/>
      <c r="N651" s="106"/>
    </row>
    <row r="652" customFormat="false" ht="12.75" hidden="false" customHeight="false" outlineLevel="0" collapsed="false">
      <c r="H652" s="83" t="n">
        <f aca="false">+H344</f>
        <v>37438</v>
      </c>
      <c r="I652" s="118" t="n">
        <f aca="false">+I651*(1+I$8/12)</f>
        <v>0.0271596850345137</v>
      </c>
      <c r="J652" s="119"/>
      <c r="K652" s="104"/>
      <c r="L652" s="104"/>
      <c r="M652" s="105"/>
      <c r="N652" s="106"/>
    </row>
    <row r="653" customFormat="false" ht="12.75" hidden="false" customHeight="false" outlineLevel="0" collapsed="false">
      <c r="H653" s="83" t="n">
        <f aca="false">+H345</f>
        <v>37469</v>
      </c>
      <c r="I653" s="118" t="n">
        <f aca="false">+I652*(1+I$8/12)</f>
        <v>0.0271879763730913</v>
      </c>
      <c r="J653" s="119"/>
      <c r="K653" s="104"/>
      <c r="L653" s="104"/>
      <c r="M653" s="105"/>
      <c r="N653" s="106"/>
    </row>
    <row r="654" customFormat="false" ht="12.75" hidden="false" customHeight="false" outlineLevel="0" collapsed="false">
      <c r="H654" s="83" t="n">
        <f aca="false">+H346</f>
        <v>37500</v>
      </c>
      <c r="I654" s="118" t="n">
        <f aca="false">+I653*(1+I$8/12)</f>
        <v>0.0272162971818133</v>
      </c>
      <c r="J654" s="119"/>
      <c r="K654" s="104"/>
      <c r="L654" s="104"/>
      <c r="M654" s="105"/>
      <c r="N654" s="106"/>
    </row>
    <row r="655" customFormat="false" ht="12.75" hidden="false" customHeight="false" outlineLevel="0" collapsed="false">
      <c r="H655" s="83" t="n">
        <f aca="false">+H347</f>
        <v>37530</v>
      </c>
      <c r="I655" s="118" t="n">
        <f aca="false">+I654*(1+I$8/12)</f>
        <v>0.0272446474913777</v>
      </c>
      <c r="J655" s="119"/>
      <c r="K655" s="104"/>
      <c r="L655" s="104"/>
      <c r="M655" s="105"/>
      <c r="N655" s="106"/>
    </row>
    <row r="656" customFormat="false" ht="12.75" hidden="false" customHeight="false" outlineLevel="0" collapsed="false">
      <c r="H656" s="83" t="n">
        <f aca="false">+H348</f>
        <v>37561</v>
      </c>
      <c r="I656" s="118" t="n">
        <f aca="false">+I655*(1+I$8/12)</f>
        <v>0.0272730273325145</v>
      </c>
      <c r="J656" s="119"/>
      <c r="K656" s="104"/>
      <c r="L656" s="104"/>
      <c r="M656" s="105"/>
      <c r="N656" s="106"/>
    </row>
    <row r="657" customFormat="false" ht="12.75" hidden="false" customHeight="false" outlineLevel="0" collapsed="false">
      <c r="H657" s="83" t="n">
        <f aca="false">+H349</f>
        <v>37591</v>
      </c>
      <c r="I657" s="118" t="n">
        <f aca="false">+I656*(1+I$8/12)</f>
        <v>0.0273014367359859</v>
      </c>
      <c r="J657" s="119"/>
      <c r="K657" s="104"/>
      <c r="L657" s="104"/>
      <c r="M657" s="105"/>
      <c r="N657" s="106"/>
    </row>
    <row r="658" customFormat="false" ht="12.75" hidden="false" customHeight="false" outlineLevel="0" collapsed="false">
      <c r="H658" s="83" t="n">
        <f aca="false">+H350</f>
        <v>37622</v>
      </c>
      <c r="I658" s="118" t="n">
        <f aca="false">+I657*(1+I$8/12)</f>
        <v>0.0273298757325859</v>
      </c>
      <c r="J658" s="119"/>
      <c r="K658" s="104"/>
      <c r="L658" s="104"/>
      <c r="M658" s="105"/>
      <c r="N658" s="106"/>
    </row>
    <row r="659" customFormat="false" ht="12.75" hidden="false" customHeight="false" outlineLevel="0" collapsed="false">
      <c r="H659" s="83" t="n">
        <f aca="false">+H351</f>
        <v>37653</v>
      </c>
      <c r="I659" s="118" t="n">
        <f aca="false">+I658*(1+I$8/12)</f>
        <v>0.0273583443531406</v>
      </c>
      <c r="J659" s="119"/>
      <c r="K659" s="104"/>
      <c r="L659" s="104"/>
      <c r="M659" s="105"/>
      <c r="N659" s="106"/>
    </row>
    <row r="660" customFormat="false" ht="12.75" hidden="false" customHeight="false" outlineLevel="0" collapsed="false">
      <c r="H660" s="83" t="n">
        <f aca="false">+H352</f>
        <v>37681</v>
      </c>
      <c r="I660" s="118" t="n">
        <f aca="false">+I659*(1+I$8/12)</f>
        <v>0.0273868426285085</v>
      </c>
      <c r="J660" s="119"/>
      <c r="K660" s="104"/>
      <c r="L660" s="104"/>
      <c r="M660" s="105"/>
      <c r="N660" s="106"/>
    </row>
    <row r="661" customFormat="false" ht="12.75" hidden="false" customHeight="false" outlineLevel="0" collapsed="false">
      <c r="H661" s="83" t="n">
        <f aca="false">+H353</f>
        <v>37712</v>
      </c>
      <c r="I661" s="118" t="n">
        <f aca="false">+I660*(1+I$8/12)</f>
        <v>0.0274153705895798</v>
      </c>
      <c r="J661" s="119"/>
      <c r="K661" s="104"/>
      <c r="L661" s="104"/>
      <c r="M661" s="105"/>
      <c r="N661" s="106"/>
    </row>
    <row r="662" customFormat="false" ht="12.75" hidden="false" customHeight="false" outlineLevel="0" collapsed="false">
      <c r="H662" s="83" t="n">
        <f aca="false">+H354</f>
        <v>37742</v>
      </c>
      <c r="I662" s="118" t="n">
        <f aca="false">+I661*(1+I$8/12)</f>
        <v>0.0274439282672773</v>
      </c>
      <c r="J662" s="119"/>
      <c r="K662" s="104"/>
      <c r="L662" s="104"/>
      <c r="M662" s="105"/>
      <c r="N662" s="106"/>
    </row>
    <row r="663" customFormat="false" ht="12.75" hidden="false" customHeight="false" outlineLevel="0" collapsed="false">
      <c r="H663" s="83" t="n">
        <f aca="false">+H355</f>
        <v>37773</v>
      </c>
      <c r="I663" s="118" t="n">
        <f aca="false">+I662*(1+I$8/12)</f>
        <v>0.0274725156925557</v>
      </c>
      <c r="J663" s="119"/>
      <c r="K663" s="104"/>
      <c r="L663" s="104"/>
      <c r="M663" s="105"/>
      <c r="N663" s="106"/>
    </row>
    <row r="664" customFormat="false" ht="12.75" hidden="false" customHeight="false" outlineLevel="0" collapsed="false">
      <c r="H664" s="83" t="n">
        <f aca="false">+H356</f>
        <v>37803</v>
      </c>
      <c r="I664" s="118" t="n">
        <f aca="false">+I663*(1+I$8/12)</f>
        <v>0.0275011328964021</v>
      </c>
      <c r="J664" s="119"/>
      <c r="K664" s="104"/>
      <c r="L664" s="104"/>
      <c r="M664" s="105"/>
      <c r="N664" s="106"/>
    </row>
    <row r="665" customFormat="false" ht="12.75" hidden="false" customHeight="false" outlineLevel="0" collapsed="false">
      <c r="H665" s="83" t="n">
        <f aca="false">+H357</f>
        <v>37834</v>
      </c>
      <c r="I665" s="118" t="n">
        <f aca="false">+I664*(1+I$8/12)</f>
        <v>0.0275297799098359</v>
      </c>
      <c r="J665" s="119"/>
      <c r="K665" s="104"/>
      <c r="L665" s="104"/>
      <c r="M665" s="105"/>
      <c r="N665" s="106"/>
    </row>
    <row r="666" customFormat="false" ht="12.75" hidden="false" customHeight="false" outlineLevel="0" collapsed="false">
      <c r="H666" s="83" t="n">
        <f aca="false">+H358</f>
        <v>37865</v>
      </c>
      <c r="I666" s="118" t="n">
        <f aca="false">+I665*(1+I$8/12)</f>
        <v>0.0275584567639086</v>
      </c>
      <c r="J666" s="119"/>
      <c r="K666" s="104"/>
      <c r="L666" s="104"/>
      <c r="M666" s="105"/>
      <c r="N666" s="106"/>
    </row>
    <row r="667" customFormat="false" ht="12.75" hidden="false" customHeight="false" outlineLevel="0" collapsed="false">
      <c r="H667" s="83" t="n">
        <f aca="false">+H359</f>
        <v>37895</v>
      </c>
      <c r="I667" s="118" t="n">
        <f aca="false">+I666*(1+I$8/12)</f>
        <v>0.0275871634897044</v>
      </c>
      <c r="J667" s="119"/>
      <c r="K667" s="104"/>
      <c r="L667" s="104"/>
      <c r="M667" s="105"/>
      <c r="N667" s="106"/>
    </row>
    <row r="668" customFormat="false" ht="12.75" hidden="false" customHeight="false" outlineLevel="0" collapsed="false">
      <c r="H668" s="83" t="n">
        <f aca="false">+H360</f>
        <v>37926</v>
      </c>
      <c r="I668" s="118" t="n">
        <f aca="false">+I667*(1+I$8/12)</f>
        <v>0.0276159001183395</v>
      </c>
      <c r="J668" s="119"/>
      <c r="K668" s="104"/>
      <c r="L668" s="104"/>
      <c r="M668" s="105"/>
      <c r="N668" s="106"/>
    </row>
    <row r="669" customFormat="false" ht="12.75" hidden="false" customHeight="false" outlineLevel="0" collapsed="false">
      <c r="H669" s="83" t="n">
        <f aca="false">+H361</f>
        <v>37956</v>
      </c>
      <c r="I669" s="118" t="n">
        <f aca="false">+I668*(1+I$8/12)</f>
        <v>0.0276446666809628</v>
      </c>
      <c r="J669" s="119"/>
      <c r="K669" s="104"/>
      <c r="L669" s="104"/>
      <c r="M669" s="105"/>
      <c r="N669" s="106"/>
    </row>
    <row r="670" customFormat="false" ht="12.75" hidden="false" customHeight="false" outlineLevel="0" collapsed="false">
      <c r="H670" s="83" t="n">
        <f aca="false">+H362</f>
        <v>37987</v>
      </c>
      <c r="I670" s="118" t="n">
        <f aca="false">+I669*(1+I$8/12)</f>
        <v>0.0276734632087554</v>
      </c>
      <c r="J670" s="119"/>
      <c r="K670" s="104"/>
      <c r="L670" s="104"/>
      <c r="M670" s="105"/>
      <c r="N670" s="106"/>
    </row>
    <row r="671" customFormat="false" ht="12.75" hidden="false" customHeight="false" outlineLevel="0" collapsed="false">
      <c r="H671" s="83" t="n">
        <f aca="false">+H363</f>
        <v>38018</v>
      </c>
      <c r="I671" s="118" t="n">
        <f aca="false">+I670*(1+I$8/12)</f>
        <v>0.0277022897329312</v>
      </c>
      <c r="J671" s="119"/>
      <c r="K671" s="104"/>
      <c r="L671" s="104"/>
      <c r="M671" s="105"/>
      <c r="N671" s="106"/>
    </row>
    <row r="672" customFormat="false" ht="12.75" hidden="false" customHeight="false" outlineLevel="0" collapsed="false">
      <c r="H672" s="83" t="n">
        <f aca="false">+H364</f>
        <v>38047</v>
      </c>
      <c r="I672" s="118" t="n">
        <f aca="false">+I671*(1+I$8/12)</f>
        <v>0.0277311462847363</v>
      </c>
      <c r="J672" s="119"/>
      <c r="K672" s="104"/>
      <c r="L672" s="104"/>
      <c r="M672" s="105"/>
      <c r="N672" s="106"/>
    </row>
    <row r="673" customFormat="false" ht="12.75" hidden="false" customHeight="false" outlineLevel="0" collapsed="false">
      <c r="H673" s="83" t="n">
        <f aca="false">+H365</f>
        <v>38078</v>
      </c>
      <c r="I673" s="118" t="n">
        <f aca="false">+I672*(1+I$8/12)</f>
        <v>0.0277600328954496</v>
      </c>
      <c r="J673" s="119"/>
      <c r="K673" s="104"/>
      <c r="L673" s="104"/>
      <c r="M673" s="105"/>
      <c r="N673" s="106"/>
    </row>
    <row r="674" customFormat="false" ht="12.75" hidden="false" customHeight="false" outlineLevel="0" collapsed="false">
      <c r="H674" s="83" t="n">
        <f aca="false">+H366</f>
        <v>38108</v>
      </c>
      <c r="I674" s="118" t="n">
        <f aca="false">+I673*(1+I$8/12)</f>
        <v>0.0277889495963824</v>
      </c>
      <c r="J674" s="119"/>
      <c r="K674" s="104"/>
      <c r="L674" s="104"/>
      <c r="M674" s="105"/>
      <c r="N674" s="106"/>
    </row>
    <row r="675" customFormat="false" ht="12.75" hidden="false" customHeight="false" outlineLevel="0" collapsed="false">
      <c r="H675" s="83" t="n">
        <f aca="false">+H367</f>
        <v>38139</v>
      </c>
      <c r="I675" s="118" t="n">
        <f aca="false">+I674*(1+I$8/12)</f>
        <v>0.0278178964188786</v>
      </c>
      <c r="J675" s="119"/>
      <c r="K675" s="104"/>
      <c r="L675" s="104"/>
      <c r="M675" s="105"/>
      <c r="N675" s="106"/>
    </row>
    <row r="676" customFormat="false" ht="12.75" hidden="false" customHeight="false" outlineLevel="0" collapsed="false">
      <c r="H676" s="83" t="n">
        <f aca="false">+H368</f>
        <v>38169</v>
      </c>
      <c r="I676" s="118" t="n">
        <f aca="false">+I675*(1+I$8/12)</f>
        <v>0.0278468733943149</v>
      </c>
      <c r="J676" s="119"/>
      <c r="K676" s="104"/>
      <c r="L676" s="104"/>
      <c r="M676" s="105"/>
      <c r="N676" s="106"/>
    </row>
    <row r="677" customFormat="false" ht="12.75" hidden="false" customHeight="false" outlineLevel="0" collapsed="false">
      <c r="H677" s="83" t="n">
        <f aca="false">+H369</f>
        <v>38200</v>
      </c>
      <c r="I677" s="118" t="n">
        <f aca="false">+I676*(1+I$8/12)</f>
        <v>0.0278758805541007</v>
      </c>
      <c r="J677" s="119"/>
      <c r="K677" s="104"/>
      <c r="L677" s="104"/>
      <c r="M677" s="105"/>
      <c r="N677" s="106"/>
    </row>
    <row r="678" customFormat="false" ht="12.75" hidden="false" customHeight="false" outlineLevel="0" collapsed="false">
      <c r="H678" s="83" t="n">
        <f aca="false">+H370</f>
        <v>38231</v>
      </c>
      <c r="I678" s="118" t="n">
        <f aca="false">+I677*(1+I$8/12)</f>
        <v>0.0279049179296779</v>
      </c>
      <c r="J678" s="119"/>
      <c r="K678" s="104"/>
      <c r="L678" s="104"/>
      <c r="M678" s="105"/>
      <c r="N678" s="106"/>
    </row>
    <row r="679" customFormat="false" ht="12.75" hidden="false" customHeight="false" outlineLevel="0" collapsed="false">
      <c r="H679" s="83" t="n">
        <f aca="false">+H371</f>
        <v>38261</v>
      </c>
      <c r="I679" s="118" t="n">
        <f aca="false">+I678*(1+I$8/12)</f>
        <v>0.0279339855525213</v>
      </c>
      <c r="J679" s="119"/>
      <c r="K679" s="104"/>
      <c r="L679" s="104"/>
      <c r="M679" s="105"/>
      <c r="N679" s="106"/>
    </row>
    <row r="680" customFormat="false" ht="12.75" hidden="false" customHeight="false" outlineLevel="0" collapsed="false">
      <c r="H680" s="83" t="n">
        <f aca="false">+H372</f>
        <v>38292</v>
      </c>
      <c r="I680" s="118" t="n">
        <f aca="false">+I679*(1+I$8/12)</f>
        <v>0.0279630834541385</v>
      </c>
      <c r="J680" s="119"/>
      <c r="K680" s="104"/>
      <c r="L680" s="104"/>
      <c r="M680" s="105"/>
      <c r="N680" s="106"/>
    </row>
    <row r="681" customFormat="false" ht="12.75" hidden="false" customHeight="false" outlineLevel="0" collapsed="false">
      <c r="H681" s="83" t="n">
        <f aca="false">+H373</f>
        <v>38322</v>
      </c>
      <c r="I681" s="118" t="n">
        <f aca="false">+I680*(1+I$8/12)</f>
        <v>0.0279922116660699</v>
      </c>
      <c r="J681" s="119"/>
      <c r="K681" s="104"/>
      <c r="L681" s="104"/>
      <c r="M681" s="105"/>
      <c r="N681" s="106"/>
    </row>
    <row r="682" customFormat="false" ht="12.75" hidden="false" customHeight="false" outlineLevel="0" collapsed="false">
      <c r="H682" s="83" t="n">
        <f aca="false">+H374</f>
        <v>38353</v>
      </c>
      <c r="I682" s="118" t="n">
        <f aca="false">+I681*(1+I$8/12)</f>
        <v>0.0280213702198887</v>
      </c>
      <c r="J682" s="119"/>
      <c r="K682" s="104"/>
      <c r="L682" s="104"/>
      <c r="M682" s="105"/>
      <c r="N682" s="106"/>
    </row>
    <row r="683" customFormat="false" ht="12.75" hidden="false" customHeight="false" outlineLevel="0" collapsed="false">
      <c r="H683" s="83" t="n">
        <f aca="false">+H375</f>
        <v>38384</v>
      </c>
      <c r="I683" s="118" t="n">
        <f aca="false">+I682*(1+I$8/12)</f>
        <v>0.0280505591472011</v>
      </c>
      <c r="J683" s="119"/>
      <c r="K683" s="104"/>
      <c r="L683" s="104"/>
      <c r="M683" s="105"/>
      <c r="N683" s="106"/>
    </row>
    <row r="684" customFormat="false" ht="12.75" hidden="false" customHeight="false" outlineLevel="0" collapsed="false">
      <c r="H684" s="83" t="n">
        <f aca="false">+H376</f>
        <v>38412</v>
      </c>
      <c r="I684" s="118" t="n">
        <f aca="false">+I683*(1+I$8/12)</f>
        <v>0.0280797784796461</v>
      </c>
      <c r="J684" s="119"/>
      <c r="K684" s="104"/>
      <c r="L684" s="104"/>
      <c r="M684" s="105"/>
      <c r="N684" s="106"/>
    </row>
    <row r="685" customFormat="false" ht="12.75" hidden="false" customHeight="false" outlineLevel="0" collapsed="false">
      <c r="H685" s="83" t="n">
        <f aca="false">+H377</f>
        <v>38443</v>
      </c>
      <c r="I685" s="118" t="n">
        <f aca="false">+I684*(1+I$8/12)</f>
        <v>0.0281090282488957</v>
      </c>
      <c r="J685" s="119"/>
      <c r="K685" s="104"/>
      <c r="L685" s="104"/>
      <c r="M685" s="105"/>
      <c r="N685" s="106"/>
    </row>
    <row r="686" customFormat="false" ht="12.75" hidden="false" customHeight="false" outlineLevel="0" collapsed="false">
      <c r="H686" s="83" t="n">
        <f aca="false">+H378</f>
        <v>38473</v>
      </c>
      <c r="I686" s="118" t="n">
        <f aca="false">+I685*(1+I$8/12)</f>
        <v>0.028138308486655</v>
      </c>
      <c r="J686" s="119"/>
      <c r="K686" s="104"/>
      <c r="L686" s="104"/>
      <c r="M686" s="105"/>
      <c r="N686" s="106"/>
    </row>
    <row r="687" customFormat="false" ht="12.75" hidden="false" customHeight="false" outlineLevel="0" collapsed="false">
      <c r="H687" s="83" t="n">
        <f aca="false">+H379</f>
        <v>38504</v>
      </c>
      <c r="I687" s="118" t="n">
        <f aca="false">+I686*(1+I$8/12)</f>
        <v>0.0281676192246619</v>
      </c>
      <c r="J687" s="119"/>
      <c r="K687" s="104"/>
      <c r="L687" s="104"/>
      <c r="M687" s="105"/>
      <c r="N687" s="106"/>
    </row>
    <row r="688" customFormat="false" ht="12.75" hidden="false" customHeight="false" outlineLevel="0" collapsed="false">
      <c r="H688" s="83" t="n">
        <f aca="false">+H380</f>
        <v>38534</v>
      </c>
      <c r="I688" s="118" t="n">
        <f aca="false">+I687*(1+I$8/12)</f>
        <v>0.0281969604946876</v>
      </c>
      <c r="J688" s="119"/>
      <c r="K688" s="104"/>
      <c r="L688" s="104"/>
      <c r="M688" s="105"/>
      <c r="N688" s="106"/>
    </row>
    <row r="689" customFormat="false" ht="12.75" hidden="false" customHeight="false" outlineLevel="0" collapsed="false">
      <c r="H689" s="83" t="n">
        <f aca="false">+H381</f>
        <v>38565</v>
      </c>
      <c r="I689" s="118" t="n">
        <f aca="false">+I688*(1+I$8/12)</f>
        <v>0.0282263323285362</v>
      </c>
      <c r="J689" s="119"/>
      <c r="K689" s="104"/>
      <c r="L689" s="104"/>
      <c r="M689" s="105"/>
      <c r="N689" s="106"/>
    </row>
    <row r="690" customFormat="false" ht="12.75" hidden="false" customHeight="false" outlineLevel="0" collapsed="false">
      <c r="H690" s="83" t="n">
        <f aca="false">+H382</f>
        <v>38596</v>
      </c>
      <c r="I690" s="118" t="n">
        <f aca="false">+I689*(1+I$8/12)</f>
        <v>0.0282557347580451</v>
      </c>
      <c r="J690" s="119"/>
      <c r="K690" s="104"/>
      <c r="L690" s="104"/>
      <c r="M690" s="105"/>
      <c r="N690" s="106"/>
    </row>
    <row r="691" customFormat="false" ht="12.75" hidden="false" customHeight="false" outlineLevel="0" collapsed="false">
      <c r="H691" s="83" t="n">
        <f aca="false">+H383</f>
        <v>38626</v>
      </c>
      <c r="I691" s="118" t="n">
        <f aca="false">+I690*(1+I$8/12)</f>
        <v>0.0282851678150847</v>
      </c>
      <c r="J691" s="119"/>
      <c r="K691" s="104"/>
      <c r="L691" s="104"/>
      <c r="M691" s="105"/>
      <c r="N691" s="106"/>
    </row>
    <row r="692" customFormat="false" ht="12.75" hidden="false" customHeight="false" outlineLevel="0" collapsed="false">
      <c r="H692" s="83" t="n">
        <f aca="false">+H384</f>
        <v>38657</v>
      </c>
      <c r="I692" s="118" t="n">
        <f aca="false">+I691*(1+I$8/12)</f>
        <v>0.0283146315315588</v>
      </c>
      <c r="J692" s="119"/>
      <c r="K692" s="104"/>
      <c r="L692" s="104"/>
      <c r="M692" s="105"/>
      <c r="N692" s="106"/>
    </row>
    <row r="693" customFormat="false" ht="12.75" hidden="false" customHeight="false" outlineLevel="0" collapsed="false">
      <c r="H693" s="83" t="n">
        <f aca="false">+H385</f>
        <v>38687</v>
      </c>
      <c r="I693" s="118" t="n">
        <f aca="false">+I692*(1+I$8/12)</f>
        <v>0.0283441259394042</v>
      </c>
      <c r="J693" s="119"/>
      <c r="K693" s="104"/>
      <c r="L693" s="104"/>
      <c r="M693" s="105"/>
      <c r="N693" s="106"/>
    </row>
    <row r="694" customFormat="false" ht="12.75" hidden="false" customHeight="false" outlineLevel="0" collapsed="false">
      <c r="H694" s="83" t="n">
        <f aca="false">+H386</f>
        <v>38718</v>
      </c>
      <c r="I694" s="118" t="n">
        <f aca="false">+I693*(1+I$8/12)</f>
        <v>0.028373651070591</v>
      </c>
      <c r="J694" s="119"/>
      <c r="K694" s="104"/>
      <c r="L694" s="104"/>
      <c r="M694" s="105"/>
      <c r="N694" s="106"/>
    </row>
    <row r="695" customFormat="false" ht="12.75" hidden="false" customHeight="false" outlineLevel="0" collapsed="false">
      <c r="H695" s="83" t="n">
        <f aca="false">+H387</f>
        <v>38749</v>
      </c>
      <c r="I695" s="118" t="n">
        <f aca="false">+I694*(1+I$8/12)</f>
        <v>0.0284032069571229</v>
      </c>
      <c r="J695" s="119"/>
      <c r="K695" s="104"/>
      <c r="L695" s="104"/>
      <c r="M695" s="105"/>
      <c r="N695" s="106"/>
    </row>
    <row r="696" customFormat="false" ht="12.75" hidden="false" customHeight="false" outlineLevel="0" collapsed="false">
      <c r="H696" s="83" t="n">
        <f aca="false">+H388</f>
        <v>38777</v>
      </c>
      <c r="I696" s="118" t="n">
        <f aca="false">+I695*(1+I$8/12)</f>
        <v>0.0284327936310366</v>
      </c>
      <c r="J696" s="119"/>
      <c r="K696" s="104"/>
      <c r="L696" s="104"/>
      <c r="M696" s="105"/>
      <c r="N696" s="106"/>
    </row>
    <row r="697" customFormat="false" ht="12.75" hidden="false" customHeight="false" outlineLevel="0" collapsed="false">
      <c r="H697" s="83" t="n">
        <f aca="false">+H389</f>
        <v>38808</v>
      </c>
      <c r="I697" s="118" t="n">
        <f aca="false">+I696*(1+I$8/12)</f>
        <v>0.0284624111244022</v>
      </c>
      <c r="J697" s="119"/>
      <c r="K697" s="104"/>
      <c r="L697" s="104"/>
      <c r="M697" s="105"/>
      <c r="N697" s="106"/>
    </row>
    <row r="698" customFormat="false" ht="12.75" hidden="false" customHeight="false" outlineLevel="0" collapsed="false">
      <c r="H698" s="83" t="n">
        <f aca="false">+H390</f>
        <v>38838</v>
      </c>
      <c r="I698" s="118" t="n">
        <f aca="false">+I697*(1+I$8/12)</f>
        <v>0.0284920594693235</v>
      </c>
      <c r="J698" s="119"/>
      <c r="K698" s="104"/>
      <c r="L698" s="104"/>
      <c r="M698" s="105"/>
      <c r="N698" s="106"/>
    </row>
    <row r="699" customFormat="false" ht="12.75" hidden="false" customHeight="false" outlineLevel="0" collapsed="false">
      <c r="H699" s="83" t="n">
        <f aca="false">+H391</f>
        <v>38869</v>
      </c>
      <c r="I699" s="118" t="n">
        <f aca="false">+I698*(1+I$8/12)</f>
        <v>0.0285217386979373</v>
      </c>
      <c r="J699" s="119"/>
      <c r="K699" s="104"/>
      <c r="L699" s="104"/>
      <c r="M699" s="105"/>
      <c r="N699" s="106"/>
    </row>
    <row r="700" customFormat="false" ht="12.75" hidden="false" customHeight="false" outlineLevel="0" collapsed="false">
      <c r="H700" s="83" t="n">
        <f aca="false">+H392</f>
        <v>38899</v>
      </c>
      <c r="I700" s="118" t="n">
        <f aca="false">+I699*(1+I$8/12)</f>
        <v>0.0285514488424144</v>
      </c>
      <c r="J700" s="119"/>
      <c r="K700" s="104"/>
      <c r="L700" s="104"/>
      <c r="M700" s="105"/>
      <c r="N700" s="106"/>
    </row>
    <row r="701" customFormat="false" ht="12.75" hidden="false" customHeight="false" outlineLevel="0" collapsed="false">
      <c r="H701" s="83" t="n">
        <f aca="false">+H393</f>
        <v>38930</v>
      </c>
      <c r="I701" s="118" t="n">
        <f aca="false">+I700*(1+I$8/12)</f>
        <v>0.0285811899349585</v>
      </c>
      <c r="J701" s="119"/>
      <c r="K701" s="104"/>
      <c r="L701" s="104"/>
      <c r="M701" s="105"/>
      <c r="N701" s="106"/>
    </row>
    <row r="702" customFormat="false" ht="12.75" hidden="false" customHeight="false" outlineLevel="0" collapsed="false">
      <c r="H702" s="83" t="n">
        <f aca="false">+H394</f>
        <v>38961</v>
      </c>
      <c r="I702" s="118" t="n">
        <f aca="false">+I701*(1+I$8/12)</f>
        <v>0.0286109620078075</v>
      </c>
      <c r="J702" s="119"/>
      <c r="K702" s="104"/>
      <c r="L702" s="104"/>
      <c r="M702" s="105"/>
      <c r="N702" s="106"/>
    </row>
    <row r="703" customFormat="false" ht="12.75" hidden="false" customHeight="false" outlineLevel="0" collapsed="false">
      <c r="H703" s="83" t="n">
        <f aca="false">+H395</f>
        <v>38991</v>
      </c>
      <c r="I703" s="118" t="n">
        <f aca="false">+I702*(1+I$8/12)</f>
        <v>0.0286407650932323</v>
      </c>
      <c r="J703" s="119"/>
      <c r="K703" s="104"/>
      <c r="L703" s="104"/>
      <c r="M703" s="105"/>
      <c r="N703" s="106"/>
    </row>
    <row r="704" customFormat="false" ht="12.75" hidden="false" customHeight="false" outlineLevel="0" collapsed="false">
      <c r="H704" s="83" t="n">
        <f aca="false">+H396</f>
        <v>39022</v>
      </c>
      <c r="I704" s="118" t="n">
        <f aca="false">+I703*(1+I$8/12)</f>
        <v>0.0286705992235377</v>
      </c>
      <c r="J704" s="119"/>
      <c r="K704" s="104"/>
      <c r="L704" s="104"/>
      <c r="M704" s="105"/>
      <c r="N704" s="106"/>
    </row>
    <row r="705" customFormat="false" ht="12.75" hidden="false" customHeight="false" outlineLevel="0" collapsed="false">
      <c r="H705" s="83" t="n">
        <f aca="false">+H397</f>
        <v>39052</v>
      </c>
      <c r="I705" s="118" t="n">
        <f aca="false">+I704*(1+I$8/12)</f>
        <v>0.0287004644310622</v>
      </c>
      <c r="J705" s="119"/>
      <c r="K705" s="104"/>
      <c r="L705" s="104"/>
      <c r="M705" s="105"/>
      <c r="N705" s="106"/>
    </row>
    <row r="706" customFormat="false" ht="12.75" hidden="false" customHeight="false" outlineLevel="0" collapsed="false">
      <c r="H706" s="83" t="n">
        <f aca="false">+H398</f>
        <v>39083</v>
      </c>
      <c r="I706" s="118" t="n">
        <f aca="false">+I705*(1+I$8/12)</f>
        <v>0.0287303607481779</v>
      </c>
      <c r="J706" s="119"/>
      <c r="K706" s="104"/>
      <c r="L706" s="104"/>
      <c r="M706" s="105"/>
      <c r="N706" s="106"/>
    </row>
    <row r="707" customFormat="false" ht="12.75" hidden="false" customHeight="false" outlineLevel="0" collapsed="false">
      <c r="H707" s="83" t="n">
        <f aca="false">+H399</f>
        <v>39114</v>
      </c>
      <c r="I707" s="118" t="n">
        <f aca="false">+I706*(1+I$8/12)</f>
        <v>0.0287602882072906</v>
      </c>
      <c r="J707" s="119"/>
      <c r="K707" s="104"/>
      <c r="L707" s="104"/>
      <c r="M707" s="105"/>
      <c r="N707" s="106"/>
    </row>
    <row r="708" customFormat="false" ht="12.75" hidden="false" customHeight="false" outlineLevel="0" collapsed="false">
      <c r="H708" s="83" t="n">
        <f aca="false">+H400</f>
        <v>39142</v>
      </c>
      <c r="I708" s="118" t="n">
        <f aca="false">+I707*(1+I$8/12)</f>
        <v>0.0287902468408399</v>
      </c>
      <c r="J708" s="119"/>
      <c r="K708" s="104"/>
      <c r="L708" s="104"/>
      <c r="M708" s="105"/>
      <c r="N708" s="106"/>
    </row>
    <row r="709" customFormat="false" ht="12.75" hidden="false" customHeight="false" outlineLevel="0" collapsed="false">
      <c r="H709" s="83" t="n">
        <f aca="false">+H401</f>
        <v>39173</v>
      </c>
      <c r="I709" s="118" t="n">
        <f aca="false">+I708*(1+I$8/12)</f>
        <v>0.0288202366812991</v>
      </c>
      <c r="J709" s="119"/>
      <c r="K709" s="104"/>
      <c r="L709" s="104"/>
      <c r="M709" s="105"/>
      <c r="N709" s="106"/>
    </row>
    <row r="710" customFormat="false" ht="12.75" hidden="false" customHeight="false" outlineLevel="0" collapsed="false">
      <c r="H710" s="83" t="n">
        <f aca="false">+H402</f>
        <v>39203</v>
      </c>
      <c r="I710" s="118" t="n">
        <f aca="false">+I709*(1+I$8/12)</f>
        <v>0.0288502577611754</v>
      </c>
      <c r="J710" s="119"/>
      <c r="K710" s="104"/>
      <c r="L710" s="104"/>
      <c r="M710" s="105"/>
      <c r="N710" s="106"/>
    </row>
    <row r="711" customFormat="false" ht="12.75" hidden="false" customHeight="false" outlineLevel="0" collapsed="false">
      <c r="H711" s="83" t="n">
        <f aca="false">+H403</f>
        <v>39234</v>
      </c>
      <c r="I711" s="118" t="n">
        <f aca="false">+I710*(1+I$8/12)</f>
        <v>0.02888031011301</v>
      </c>
      <c r="J711" s="119"/>
      <c r="K711" s="104"/>
      <c r="L711" s="104"/>
      <c r="M711" s="105"/>
      <c r="N711" s="106"/>
    </row>
    <row r="712" customFormat="false" ht="12.75" hidden="false" customHeight="false" outlineLevel="0" collapsed="false">
      <c r="H712" s="83" t="n">
        <f aca="false">+H404</f>
        <v>39264</v>
      </c>
      <c r="I712" s="118" t="n">
        <f aca="false">+I711*(1+I$8/12)</f>
        <v>0.0289103937693777</v>
      </c>
      <c r="J712" s="119"/>
      <c r="K712" s="104"/>
      <c r="L712" s="104"/>
      <c r="M712" s="105"/>
      <c r="N712" s="106"/>
    </row>
    <row r="713" customFormat="false" ht="12.75" hidden="false" customHeight="false" outlineLevel="0" collapsed="false">
      <c r="H713" s="83" t="n">
        <f aca="false">+H405</f>
        <v>39295</v>
      </c>
      <c r="I713" s="118" t="n">
        <f aca="false">+I712*(1+I$8/12)</f>
        <v>0.0289405087628874</v>
      </c>
      <c r="J713" s="119"/>
      <c r="K713" s="104"/>
      <c r="L713" s="104"/>
      <c r="M713" s="105"/>
      <c r="N713" s="106"/>
    </row>
    <row r="714" customFormat="false" ht="12.75" hidden="false" customHeight="false" outlineLevel="0" collapsed="false">
      <c r="H714" s="83" t="n">
        <f aca="false">+H406</f>
        <v>39326</v>
      </c>
      <c r="I714" s="118" t="n">
        <f aca="false">+I713*(1+I$8/12)</f>
        <v>0.0289706551261821</v>
      </c>
      <c r="J714" s="119"/>
      <c r="K714" s="104"/>
      <c r="L714" s="104"/>
      <c r="M714" s="105"/>
      <c r="N714" s="106"/>
    </row>
    <row r="715" customFormat="false" ht="12.75" hidden="false" customHeight="false" outlineLevel="0" collapsed="false">
      <c r="H715" s="83" t="n">
        <f aca="false">+H407</f>
        <v>39356</v>
      </c>
      <c r="I715" s="118" t="n">
        <f aca="false">+I714*(1+I$8/12)</f>
        <v>0.0290008328919386</v>
      </c>
      <c r="J715" s="119"/>
      <c r="K715" s="104"/>
      <c r="L715" s="104"/>
      <c r="M715" s="105"/>
      <c r="N715" s="106"/>
    </row>
    <row r="716" customFormat="false" ht="12.75" hidden="false" customHeight="false" outlineLevel="0" collapsed="false">
      <c r="H716" s="83" t="n">
        <f aca="false">+H408</f>
        <v>39387</v>
      </c>
      <c r="I716" s="118" t="n">
        <f aca="false">+I715*(1+I$8/12)</f>
        <v>0.0290310420928677</v>
      </c>
      <c r="J716" s="119"/>
      <c r="K716" s="104"/>
      <c r="L716" s="104"/>
      <c r="M716" s="105"/>
      <c r="N716" s="106"/>
    </row>
    <row r="717" customFormat="false" ht="12.75" hidden="false" customHeight="false" outlineLevel="0" collapsed="false">
      <c r="H717" s="83" t="n">
        <f aca="false">+H409</f>
        <v>39417</v>
      </c>
      <c r="I717" s="118" t="n">
        <f aca="false">+I716*(1+I$8/12)</f>
        <v>0.0290612827617144</v>
      </c>
      <c r="J717" s="119"/>
      <c r="K717" s="104"/>
      <c r="L717" s="104"/>
      <c r="M717" s="105"/>
      <c r="N717" s="106"/>
    </row>
    <row r="718" customFormat="false" ht="12.75" hidden="false" customHeight="false" outlineLevel="0" collapsed="false">
      <c r="H718" s="83" t="n">
        <f aca="false">+H410</f>
        <v>39448</v>
      </c>
      <c r="I718" s="118" t="n">
        <f aca="false">+I717*(1+I$8/12)</f>
        <v>0.0290915549312578</v>
      </c>
      <c r="J718" s="119"/>
      <c r="K718" s="104"/>
      <c r="L718" s="104"/>
      <c r="M718" s="105"/>
      <c r="N718" s="106"/>
    </row>
    <row r="719" customFormat="false" ht="12.75" hidden="false" customHeight="false" outlineLevel="0" collapsed="false">
      <c r="H719" s="83" t="n">
        <f aca="false">+H411</f>
        <v>39479</v>
      </c>
      <c r="I719" s="118" t="n">
        <f aca="false">+I718*(1+I$8/12)</f>
        <v>0.0291218586343112</v>
      </c>
      <c r="J719" s="119"/>
      <c r="K719" s="104"/>
      <c r="L719" s="104"/>
      <c r="M719" s="105"/>
      <c r="N719" s="106"/>
    </row>
    <row r="720" customFormat="false" ht="12.75" hidden="false" customHeight="false" outlineLevel="0" collapsed="false">
      <c r="H720" s="83" t="n">
        <f aca="false">+H412</f>
        <v>39508</v>
      </c>
      <c r="I720" s="118" t="n">
        <f aca="false">+I719*(1+I$8/12)</f>
        <v>0.029152193903722</v>
      </c>
      <c r="J720" s="119"/>
      <c r="K720" s="104"/>
      <c r="L720" s="104"/>
      <c r="M720" s="105"/>
      <c r="N720" s="106"/>
    </row>
    <row r="721" customFormat="false" ht="12.75" hidden="false" customHeight="false" outlineLevel="0" collapsed="false">
      <c r="H721" s="83" t="n">
        <f aca="false">+H413</f>
        <v>39539</v>
      </c>
      <c r="I721" s="118" t="n">
        <f aca="false">+I720*(1+I$8/12)</f>
        <v>0.0291825607723717</v>
      </c>
      <c r="J721" s="119"/>
      <c r="K721" s="104"/>
      <c r="L721" s="104"/>
      <c r="M721" s="105"/>
      <c r="N721" s="106"/>
    </row>
    <row r="722" customFormat="false" ht="12.75" hidden="false" customHeight="false" outlineLevel="0" collapsed="false">
      <c r="H722" s="83" t="n">
        <f aca="false">+H414</f>
        <v>39569</v>
      </c>
      <c r="I722" s="118" t="n">
        <f aca="false">+I721*(1+I$8/12)</f>
        <v>0.0292129592731762</v>
      </c>
      <c r="J722" s="119"/>
      <c r="K722" s="104"/>
      <c r="L722" s="104"/>
      <c r="M722" s="105"/>
      <c r="N722" s="106"/>
    </row>
    <row r="723" customFormat="false" ht="12.75" hidden="false" customHeight="false" outlineLevel="0" collapsed="false">
      <c r="H723" s="83" t="n">
        <f aca="false">+H415</f>
        <v>39600</v>
      </c>
      <c r="I723" s="118" t="n">
        <f aca="false">+I722*(1+I$8/12)</f>
        <v>0.0292433894390858</v>
      </c>
      <c r="J723" s="119"/>
      <c r="K723" s="104"/>
      <c r="L723" s="104"/>
      <c r="M723" s="105"/>
      <c r="N723" s="106"/>
    </row>
    <row r="724" customFormat="false" ht="12.75" hidden="false" customHeight="false" outlineLevel="0" collapsed="false">
      <c r="H724" s="83" t="n">
        <f aca="false">+H416</f>
        <v>39630</v>
      </c>
      <c r="I724" s="118" t="n">
        <f aca="false">+I723*(1+I$8/12)</f>
        <v>0.0292738513030848</v>
      </c>
      <c r="J724" s="119"/>
      <c r="K724" s="104"/>
      <c r="L724" s="104"/>
      <c r="M724" s="105"/>
      <c r="N724" s="106"/>
    </row>
    <row r="725" customFormat="false" ht="12.75" hidden="false" customHeight="false" outlineLevel="0" collapsed="false">
      <c r="H725" s="83" t="n">
        <f aca="false">+H417</f>
        <v>39661</v>
      </c>
      <c r="I725" s="118" t="n">
        <f aca="false">+I724*(1+I$8/12)</f>
        <v>0.0293043448981922</v>
      </c>
      <c r="J725" s="119"/>
      <c r="K725" s="104"/>
      <c r="L725" s="104"/>
      <c r="M725" s="105"/>
      <c r="N725" s="106"/>
    </row>
    <row r="726" customFormat="false" ht="12.75" hidden="false" customHeight="false" outlineLevel="0" collapsed="false">
      <c r="H726" s="83" t="n">
        <f aca="false">+H418</f>
        <v>39692</v>
      </c>
      <c r="I726" s="118" t="n">
        <f aca="false">+I725*(1+I$8/12)</f>
        <v>0.0293348702574612</v>
      </c>
      <c r="J726" s="119"/>
      <c r="K726" s="104"/>
      <c r="L726" s="104"/>
      <c r="M726" s="105"/>
      <c r="N726" s="106"/>
    </row>
    <row r="727" customFormat="false" ht="12.75" hidden="false" customHeight="false" outlineLevel="0" collapsed="false">
      <c r="H727" s="83" t="n">
        <f aca="false">+H419</f>
        <v>39722</v>
      </c>
      <c r="I727" s="118" t="n">
        <f aca="false">+I726*(1+I$8/12)</f>
        <v>0.0293654274139794</v>
      </c>
      <c r="J727" s="119"/>
      <c r="K727" s="104"/>
      <c r="L727" s="104"/>
      <c r="M727" s="105"/>
      <c r="N727" s="106"/>
    </row>
    <row r="728" customFormat="false" ht="12.75" hidden="false" customHeight="false" outlineLevel="0" collapsed="false">
      <c r="H728" s="83" t="n">
        <f aca="false">+H420</f>
        <v>39753</v>
      </c>
      <c r="I728" s="118" t="n">
        <f aca="false">+I727*(1+I$8/12)</f>
        <v>0.0293960164008689</v>
      </c>
      <c r="J728" s="119"/>
      <c r="K728" s="104"/>
      <c r="L728" s="104"/>
      <c r="M728" s="105"/>
      <c r="N728" s="106"/>
    </row>
    <row r="729" customFormat="false" ht="12.75" hidden="false" customHeight="false" outlineLevel="0" collapsed="false">
      <c r="H729" s="83" t="n">
        <f aca="false">+H421</f>
        <v>39783</v>
      </c>
      <c r="I729" s="118" t="n">
        <f aca="false">+I728*(1+I$8/12)</f>
        <v>0.0294266372512865</v>
      </c>
      <c r="J729" s="119"/>
      <c r="K729" s="104"/>
      <c r="L729" s="104"/>
      <c r="M729" s="105"/>
      <c r="N729" s="106"/>
    </row>
    <row r="730" customFormat="false" ht="12.75" hidden="false" customHeight="false" outlineLevel="0" collapsed="false">
      <c r="H730" s="83" t="n">
        <f aca="false">+H422</f>
        <v>39814</v>
      </c>
      <c r="I730" s="118" t="n">
        <f aca="false">+I729*(1+I$8/12)</f>
        <v>0.0294572899984232</v>
      </c>
      <c r="J730" s="119"/>
      <c r="K730" s="104"/>
      <c r="L730" s="104"/>
      <c r="M730" s="105"/>
      <c r="N730" s="106"/>
    </row>
    <row r="731" customFormat="false" ht="12.75" hidden="false" customHeight="false" outlineLevel="0" collapsed="false">
      <c r="H731" s="83" t="n">
        <f aca="false">+H423</f>
        <v>39845</v>
      </c>
      <c r="I731" s="118" t="n">
        <f aca="false">+I730*(1+I$8/12)</f>
        <v>0.0294879746755049</v>
      </c>
      <c r="J731" s="119"/>
      <c r="K731" s="104"/>
      <c r="L731" s="104"/>
      <c r="M731" s="105"/>
      <c r="N731" s="106"/>
    </row>
    <row r="732" customFormat="false" ht="12.75" hidden="false" customHeight="false" outlineLevel="0" collapsed="false">
      <c r="H732" s="83" t="n">
        <f aca="false">+H424</f>
        <v>39873</v>
      </c>
      <c r="I732" s="118" t="n">
        <f aca="false">+I731*(1+I$8/12)</f>
        <v>0.0295186913157919</v>
      </c>
      <c r="J732" s="119"/>
      <c r="K732" s="104"/>
      <c r="L732" s="104"/>
      <c r="M732" s="105"/>
      <c r="N732" s="106"/>
    </row>
    <row r="733" customFormat="false" ht="12.75" hidden="false" customHeight="false" outlineLevel="0" collapsed="false">
      <c r="H733" s="83" t="n">
        <f aca="false">+H425</f>
        <v>39904</v>
      </c>
      <c r="I733" s="118" t="n">
        <f aca="false">+I732*(1+I$8/12)</f>
        <v>0.0295494399525792</v>
      </c>
      <c r="J733" s="119"/>
      <c r="K733" s="104"/>
      <c r="L733" s="104"/>
      <c r="M733" s="105"/>
      <c r="N733" s="106"/>
    </row>
    <row r="734" customFormat="false" ht="12.75" hidden="false" customHeight="false" outlineLevel="0" collapsed="false">
      <c r="H734" s="83" t="n">
        <f aca="false">+H426</f>
        <v>39934</v>
      </c>
      <c r="I734" s="118" t="n">
        <f aca="false">+I733*(1+I$8/12)</f>
        <v>0.0295802206191965</v>
      </c>
      <c r="J734" s="119"/>
      <c r="K734" s="104"/>
      <c r="L734" s="104"/>
      <c r="M734" s="105"/>
      <c r="N734" s="106"/>
    </row>
    <row r="735" customFormat="false" ht="12.75" hidden="false" customHeight="false" outlineLevel="0" collapsed="false">
      <c r="H735" s="83" t="n">
        <f aca="false">+H427</f>
        <v>39965</v>
      </c>
      <c r="I735" s="118" t="n">
        <f aca="false">+I734*(1+I$8/12)</f>
        <v>0.0296110333490081</v>
      </c>
      <c r="J735" s="119"/>
      <c r="K735" s="104"/>
      <c r="L735" s="104"/>
      <c r="M735" s="105"/>
      <c r="N735" s="106"/>
    </row>
    <row r="736" customFormat="false" ht="12.75" hidden="false" customHeight="false" outlineLevel="0" collapsed="false">
      <c r="H736" s="83" t="n">
        <f aca="false">+H428</f>
        <v>39995</v>
      </c>
      <c r="I736" s="118" t="n">
        <f aca="false">+I735*(1+I$8/12)</f>
        <v>0.0296418781754133</v>
      </c>
      <c r="J736" s="119"/>
      <c r="K736" s="104"/>
      <c r="L736" s="104"/>
      <c r="M736" s="105"/>
      <c r="N736" s="106"/>
    </row>
    <row r="737" customFormat="false" ht="12.75" hidden="false" customHeight="false" outlineLevel="0" collapsed="false">
      <c r="H737" s="83" t="n">
        <f aca="false">+H429</f>
        <v>40026</v>
      </c>
      <c r="I737" s="118" t="n">
        <f aca="false">+I736*(1+I$8/12)</f>
        <v>0.0296727551318461</v>
      </c>
      <c r="J737" s="119"/>
      <c r="K737" s="104"/>
      <c r="L737" s="104"/>
      <c r="M737" s="105"/>
      <c r="N737" s="106"/>
    </row>
    <row r="738" customFormat="false" ht="12.75" hidden="false" customHeight="false" outlineLevel="0" collapsed="false">
      <c r="H738" s="83" t="n">
        <f aca="false">+H430</f>
        <v>40057</v>
      </c>
      <c r="I738" s="118" t="n">
        <f aca="false">+I737*(1+I$8/12)</f>
        <v>0.0297036642517751</v>
      </c>
      <c r="J738" s="119"/>
      <c r="K738" s="104"/>
      <c r="L738" s="104"/>
      <c r="M738" s="105"/>
      <c r="N738" s="106"/>
    </row>
    <row r="739" customFormat="false" ht="12.75" hidden="false" customHeight="false" outlineLevel="0" collapsed="false">
      <c r="H739" s="83" t="n">
        <f aca="false">+H431</f>
        <v>40087</v>
      </c>
      <c r="I739" s="118" t="n">
        <f aca="false">+I738*(1+I$8/12)</f>
        <v>0.029734605568704</v>
      </c>
      <c r="J739" s="119"/>
      <c r="K739" s="104"/>
      <c r="L739" s="104"/>
      <c r="M739" s="105"/>
      <c r="N739" s="106"/>
    </row>
    <row r="740" customFormat="false" ht="12.75" hidden="false" customHeight="false" outlineLevel="0" collapsed="false">
      <c r="H740" s="83" t="n">
        <f aca="false">+H432</f>
        <v>40118</v>
      </c>
      <c r="I740" s="118" t="n">
        <f aca="false">+I739*(1+I$8/12)</f>
        <v>0.0297655791161714</v>
      </c>
      <c r="J740" s="119"/>
      <c r="K740" s="104"/>
      <c r="L740" s="104"/>
      <c r="M740" s="105"/>
      <c r="N740" s="106"/>
    </row>
    <row r="741" customFormat="false" ht="12.75" hidden="false" customHeight="false" outlineLevel="0" collapsed="false">
      <c r="H741" s="83" t="n">
        <f aca="false">+H433</f>
        <v>40148</v>
      </c>
      <c r="I741" s="118" t="n">
        <f aca="false">+I740*(1+I$8/12)</f>
        <v>0.0297965849277507</v>
      </c>
      <c r="J741" s="119"/>
      <c r="K741" s="104"/>
      <c r="L741" s="104"/>
      <c r="M741" s="105"/>
      <c r="N741" s="106"/>
    </row>
    <row r="742" customFormat="false" ht="12.75" hidden="false" customHeight="false" outlineLevel="0" collapsed="false">
      <c r="H742" s="83" t="n">
        <f aca="false">+H434</f>
        <v>40179</v>
      </c>
      <c r="I742" s="118" t="n">
        <f aca="false">+I741*(1+I$8/12)</f>
        <v>0.0298276230370505</v>
      </c>
      <c r="J742" s="119"/>
      <c r="K742" s="104"/>
      <c r="L742" s="104"/>
      <c r="M742" s="105"/>
      <c r="N742" s="106"/>
    </row>
    <row r="743" customFormat="false" ht="12.75" hidden="false" customHeight="false" outlineLevel="0" collapsed="false">
      <c r="H743" s="83" t="n">
        <f aca="false">+H435</f>
        <v>40210</v>
      </c>
      <c r="I743" s="118" t="n">
        <f aca="false">+I742*(1+I$8/12)</f>
        <v>0.0298586934777141</v>
      </c>
      <c r="J743" s="119"/>
      <c r="K743" s="104"/>
      <c r="L743" s="104"/>
      <c r="M743" s="105"/>
      <c r="N743" s="106"/>
    </row>
    <row r="744" customFormat="false" ht="12.75" hidden="false" customHeight="false" outlineLevel="0" collapsed="false">
      <c r="H744" s="83" t="n">
        <f aca="false">+H436</f>
        <v>40238</v>
      </c>
      <c r="I744" s="118" t="n">
        <f aca="false">+I743*(1+I$8/12)</f>
        <v>0.02988979628342</v>
      </c>
      <c r="J744" s="119"/>
      <c r="K744" s="104"/>
      <c r="L744" s="104"/>
      <c r="M744" s="105"/>
      <c r="N744" s="106"/>
    </row>
    <row r="745" customFormat="false" ht="12.75" hidden="false" customHeight="false" outlineLevel="0" collapsed="false">
      <c r="H745" s="83" t="n">
        <f aca="false">+H437</f>
        <v>40269</v>
      </c>
      <c r="I745" s="118" t="n">
        <f aca="false">+I744*(1+I$8/12)</f>
        <v>0.0299209314878819</v>
      </c>
      <c r="J745" s="119"/>
      <c r="K745" s="104"/>
      <c r="L745" s="104"/>
      <c r="M745" s="105"/>
      <c r="N745" s="106"/>
    </row>
    <row r="746" customFormat="false" ht="12.75" hidden="false" customHeight="false" outlineLevel="0" collapsed="false">
      <c r="H746" s="83" t="n">
        <f aca="false">+H438</f>
        <v>40299</v>
      </c>
      <c r="I746" s="118" t="n">
        <f aca="false">+I745*(1+I$8/12)</f>
        <v>0.0299520991248485</v>
      </c>
      <c r="J746" s="119"/>
      <c r="K746" s="104"/>
      <c r="L746" s="104"/>
      <c r="M746" s="105"/>
      <c r="N746" s="106"/>
    </row>
    <row r="747" customFormat="false" ht="12.75" hidden="false" customHeight="false" outlineLevel="0" collapsed="false">
      <c r="H747" s="83" t="n">
        <f aca="false">+H439</f>
        <v>40330</v>
      </c>
      <c r="I747" s="118" t="n">
        <f aca="false">+I746*(1+I$8/12)</f>
        <v>0.0299832992281035</v>
      </c>
      <c r="J747" s="119"/>
      <c r="K747" s="104"/>
      <c r="L747" s="104"/>
      <c r="M747" s="105"/>
      <c r="N747" s="106"/>
    </row>
    <row r="748" customFormat="false" ht="12.75" hidden="false" customHeight="false" outlineLevel="0" collapsed="false">
      <c r="H748" s="83" t="n">
        <f aca="false">+H440</f>
        <v>40360</v>
      </c>
      <c r="I748" s="118" t="n">
        <f aca="false">+I747*(1+I$8/12)</f>
        <v>0.0300145318314661</v>
      </c>
      <c r="J748" s="119"/>
      <c r="K748" s="104"/>
      <c r="L748" s="104"/>
      <c r="M748" s="105"/>
      <c r="N748" s="106"/>
    </row>
    <row r="749" customFormat="false" ht="12.75" hidden="false" customHeight="false" outlineLevel="0" collapsed="false">
      <c r="H749" s="83" t="n">
        <f aca="false">+H441</f>
        <v>40391</v>
      </c>
      <c r="I749" s="118" t="n">
        <f aca="false">+I748*(1+I$8/12)</f>
        <v>0.0300457969687906</v>
      </c>
      <c r="J749" s="119"/>
      <c r="K749" s="104"/>
      <c r="L749" s="104"/>
      <c r="M749" s="105"/>
      <c r="N749" s="106"/>
    </row>
    <row r="750" customFormat="false" ht="12.75" hidden="false" customHeight="false" outlineLevel="0" collapsed="false">
      <c r="H750" s="83" t="n">
        <f aca="false">+H442</f>
        <v>40422</v>
      </c>
      <c r="I750" s="118" t="n">
        <f aca="false">+I749*(1+I$8/12)</f>
        <v>0.0300770946739664</v>
      </c>
      <c r="J750" s="119"/>
      <c r="K750" s="104"/>
      <c r="L750" s="104"/>
      <c r="M750" s="105"/>
      <c r="N750" s="106"/>
    </row>
    <row r="751" customFormat="false" ht="12.75" hidden="false" customHeight="false" outlineLevel="0" collapsed="false">
      <c r="H751" s="83" t="n">
        <f aca="false">+H443</f>
        <v>40452</v>
      </c>
      <c r="I751" s="118" t="n">
        <f aca="false">+I750*(1+I$8/12)</f>
        <v>0.0301084249809184</v>
      </c>
      <c r="J751" s="119"/>
      <c r="K751" s="104"/>
      <c r="L751" s="104"/>
      <c r="M751" s="105"/>
      <c r="N751" s="106"/>
    </row>
    <row r="752" customFormat="false" ht="12.75" hidden="false" customHeight="false" outlineLevel="0" collapsed="false">
      <c r="H752" s="83" t="n">
        <f aca="false">+H444</f>
        <v>40483</v>
      </c>
      <c r="I752" s="118" t="n">
        <f aca="false">+I751*(1+I$8/12)</f>
        <v>0.0301397879236069</v>
      </c>
      <c r="J752" s="119"/>
      <c r="K752" s="104"/>
      <c r="L752" s="104"/>
      <c r="M752" s="105"/>
      <c r="N752" s="106"/>
    </row>
    <row r="753" customFormat="false" ht="12.75" hidden="false" customHeight="false" outlineLevel="0" collapsed="false">
      <c r="H753" s="83" t="n">
        <f aca="false">+H445</f>
        <v>40513</v>
      </c>
      <c r="I753" s="118" t="n">
        <f aca="false">+I752*(1+I$8/12)</f>
        <v>0.0301711835360273</v>
      </c>
      <c r="J753" s="119"/>
      <c r="K753" s="104"/>
      <c r="L753" s="104"/>
      <c r="M753" s="105"/>
      <c r="N753" s="106"/>
    </row>
    <row r="754" customFormat="false" ht="12.75" hidden="false" customHeight="false" outlineLevel="0" collapsed="false">
      <c r="H754" s="83" t="n">
        <f aca="false">+H446</f>
        <v>40544</v>
      </c>
      <c r="I754" s="118" t="n">
        <f aca="false">+I753*(1+I$8/12)</f>
        <v>0.0302026118522107</v>
      </c>
      <c r="J754" s="119"/>
      <c r="K754" s="104"/>
      <c r="L754" s="104"/>
      <c r="M754" s="105"/>
      <c r="N754" s="106"/>
    </row>
    <row r="755" customFormat="false" ht="12.75" hidden="false" customHeight="false" outlineLevel="0" collapsed="false">
      <c r="H755" s="83" t="n">
        <f aca="false">+H447</f>
        <v>40575</v>
      </c>
      <c r="I755" s="118" t="n">
        <f aca="false">+I754*(1+I$8/12)</f>
        <v>0.0302340729062234</v>
      </c>
      <c r="J755" s="119"/>
      <c r="K755" s="104"/>
      <c r="L755" s="104"/>
      <c r="M755" s="105"/>
      <c r="N755" s="106"/>
    </row>
    <row r="756" customFormat="false" ht="12.75" hidden="false" customHeight="false" outlineLevel="0" collapsed="false">
      <c r="H756" s="83" t="n">
        <f aca="false">+H448</f>
        <v>40603</v>
      </c>
      <c r="I756" s="118" t="n">
        <f aca="false">+I755*(1+I$8/12)</f>
        <v>0.0302655667321674</v>
      </c>
      <c r="J756" s="119"/>
      <c r="K756" s="104"/>
      <c r="L756" s="104"/>
      <c r="M756" s="105"/>
      <c r="N756" s="106"/>
    </row>
    <row r="757" customFormat="false" ht="12.75" hidden="false" customHeight="false" outlineLevel="0" collapsed="false">
      <c r="H757" s="83" t="n">
        <f aca="false">+H449</f>
        <v>40634</v>
      </c>
      <c r="I757" s="118" t="n">
        <f aca="false">+I756*(1+I$8/12)</f>
        <v>0.03029709336418</v>
      </c>
      <c r="J757" s="119"/>
      <c r="K757" s="104"/>
      <c r="L757" s="104"/>
      <c r="M757" s="105"/>
      <c r="N757" s="106"/>
    </row>
    <row r="758" customFormat="false" ht="12.75" hidden="false" customHeight="false" outlineLevel="0" collapsed="false">
      <c r="H758" s="83" t="n">
        <f aca="false">+H450</f>
        <v>40664</v>
      </c>
      <c r="I758" s="118" t="n">
        <f aca="false">+I757*(1+I$8/12)</f>
        <v>0.0303286528364344</v>
      </c>
      <c r="J758" s="119"/>
      <c r="K758" s="104"/>
      <c r="L758" s="104"/>
      <c r="M758" s="105"/>
      <c r="N758" s="106"/>
    </row>
    <row r="759" customFormat="false" ht="12.75" hidden="false" customHeight="false" outlineLevel="0" collapsed="false">
      <c r="H759" s="83" t="n">
        <f aca="false">+H451</f>
        <v>40695</v>
      </c>
      <c r="I759" s="118" t="n">
        <f aca="false">+I758*(1+I$8/12)</f>
        <v>0.030360245183139</v>
      </c>
      <c r="J759" s="119"/>
      <c r="K759" s="104"/>
      <c r="L759" s="104"/>
      <c r="M759" s="105"/>
      <c r="N759" s="106"/>
    </row>
    <row r="760" customFormat="false" ht="12.75" hidden="false" customHeight="false" outlineLevel="0" collapsed="false">
      <c r="H760" s="83" t="n">
        <f aca="false">+H452</f>
        <v>40725</v>
      </c>
      <c r="I760" s="118" t="n">
        <f aca="false">+I759*(1+I$8/12)</f>
        <v>0.0303918704385381</v>
      </c>
      <c r="J760" s="119"/>
      <c r="K760" s="104"/>
      <c r="L760" s="104"/>
      <c r="M760" s="105"/>
      <c r="N760" s="106"/>
    </row>
    <row r="761" customFormat="false" ht="12.75" hidden="false" customHeight="false" outlineLevel="0" collapsed="false">
      <c r="H761" s="83" t="n">
        <f aca="false">+H453</f>
        <v>40756</v>
      </c>
      <c r="I761" s="118" t="n">
        <f aca="false">+I760*(1+I$8/12)</f>
        <v>0.0304235286369116</v>
      </c>
      <c r="J761" s="119"/>
      <c r="K761" s="104"/>
      <c r="L761" s="104"/>
      <c r="M761" s="105"/>
      <c r="N761" s="106"/>
    </row>
    <row r="762" customFormat="false" ht="12.75" hidden="false" customHeight="false" outlineLevel="0" collapsed="false">
      <c r="H762" s="83" t="n">
        <f aca="false">+H454</f>
        <v>40787</v>
      </c>
      <c r="I762" s="118" t="n">
        <f aca="false">+I761*(1+I$8/12)</f>
        <v>0.030455219812575</v>
      </c>
      <c r="J762" s="119"/>
      <c r="K762" s="104"/>
      <c r="L762" s="104"/>
      <c r="M762" s="105"/>
      <c r="N762" s="106"/>
    </row>
    <row r="763" customFormat="false" ht="12.75" hidden="false" customHeight="false" outlineLevel="0" collapsed="false">
      <c r="H763" s="83" t="n">
        <f aca="false">+H455</f>
        <v>40817</v>
      </c>
      <c r="I763" s="118" t="n">
        <f aca="false">+I762*(1+I$8/12)</f>
        <v>0.0304869439998798</v>
      </c>
      <c r="J763" s="119"/>
      <c r="K763" s="104"/>
      <c r="L763" s="104"/>
      <c r="M763" s="105"/>
      <c r="N763" s="106"/>
    </row>
    <row r="764" customFormat="false" ht="12.75" hidden="false" customHeight="false" outlineLevel="0" collapsed="false">
      <c r="H764" s="83" t="n">
        <f aca="false">+H456</f>
        <v>40848</v>
      </c>
      <c r="I764" s="118" t="n">
        <f aca="false">+I763*(1+I$8/12)</f>
        <v>0.030518701233213</v>
      </c>
      <c r="J764" s="119"/>
      <c r="K764" s="104"/>
      <c r="L764" s="104"/>
      <c r="M764" s="105"/>
      <c r="N764" s="106"/>
    </row>
    <row r="765" customFormat="false" ht="12.75" hidden="false" customHeight="false" outlineLevel="0" collapsed="false">
      <c r="H765" s="83" t="n">
        <f aca="false">+H457</f>
        <v>40878</v>
      </c>
      <c r="I765" s="118" t="n">
        <f aca="false">+I764*(1+I$8/12)</f>
        <v>0.0305504915469976</v>
      </c>
      <c r="J765" s="119"/>
      <c r="K765" s="104"/>
      <c r="L765" s="104"/>
      <c r="M765" s="105"/>
      <c r="N765" s="106"/>
    </row>
    <row r="766" customFormat="false" ht="12.75" hidden="false" customHeight="false" outlineLevel="0" collapsed="false">
      <c r="H766" s="83" t="n">
        <f aca="false">+H458</f>
        <v>40909</v>
      </c>
      <c r="I766" s="118" t="n">
        <f aca="false">+I765*(1+I$8/12)</f>
        <v>0.0305823149756924</v>
      </c>
      <c r="J766" s="119"/>
      <c r="K766" s="104"/>
      <c r="L766" s="104"/>
      <c r="M766" s="105"/>
      <c r="N766" s="106"/>
    </row>
    <row r="767" customFormat="false" ht="12.75" hidden="false" customHeight="false" outlineLevel="0" collapsed="false">
      <c r="H767" s="83" t="n">
        <f aca="false">+H459</f>
        <v>40940</v>
      </c>
      <c r="I767" s="118" t="n">
        <f aca="false">+I766*(1+I$8/12)</f>
        <v>0.0306141715537921</v>
      </c>
      <c r="J767" s="119"/>
      <c r="K767" s="104"/>
      <c r="L767" s="104"/>
      <c r="M767" s="105"/>
      <c r="N767" s="106"/>
    </row>
    <row r="768" customFormat="false" ht="12.75" hidden="false" customHeight="false" outlineLevel="0" collapsed="false">
      <c r="H768" s="83" t="n">
        <f aca="false">+H460</f>
        <v>40969</v>
      </c>
      <c r="I768" s="118" t="n">
        <f aca="false">+I767*(1+I$8/12)</f>
        <v>0.0306460613158273</v>
      </c>
      <c r="J768" s="119"/>
      <c r="K768" s="104"/>
      <c r="L768" s="104"/>
      <c r="M768" s="105"/>
      <c r="N768" s="106"/>
    </row>
    <row r="769" customFormat="false" ht="12.75" hidden="false" customHeight="false" outlineLevel="0" collapsed="false">
      <c r="H769" s="83" t="n">
        <f aca="false">+H461</f>
        <v>41000</v>
      </c>
      <c r="I769" s="118" t="n">
        <f aca="false">+I768*(1+I$8/12)</f>
        <v>0.0306779842963646</v>
      </c>
      <c r="J769" s="119"/>
      <c r="K769" s="104"/>
      <c r="L769" s="104"/>
      <c r="M769" s="105"/>
      <c r="N769" s="106"/>
    </row>
    <row r="770" customFormat="false" ht="12.75" hidden="false" customHeight="false" outlineLevel="0" collapsed="false">
      <c r="H770" s="83" t="n">
        <f aca="false">+H462</f>
        <v>41030</v>
      </c>
      <c r="I770" s="118" t="n">
        <f aca="false">+I769*(1+I$8/12)</f>
        <v>0.0307099405300066</v>
      </c>
      <c r="J770" s="119"/>
      <c r="K770" s="104"/>
      <c r="L770" s="104"/>
      <c r="M770" s="105"/>
      <c r="N770" s="106"/>
    </row>
    <row r="771" customFormat="false" ht="12.75" hidden="false" customHeight="false" outlineLevel="0" collapsed="false">
      <c r="H771" s="83" t="n">
        <f aca="false">+H463</f>
        <v>41061</v>
      </c>
      <c r="I771" s="118" t="n">
        <f aca="false">+I770*(1+I$8/12)</f>
        <v>0.030741930051392</v>
      </c>
      <c r="J771" s="119"/>
      <c r="K771" s="104"/>
      <c r="L771" s="104"/>
      <c r="M771" s="105"/>
      <c r="N771" s="106"/>
    </row>
    <row r="772" customFormat="false" ht="12.75" hidden="false" customHeight="false" outlineLevel="0" collapsed="false">
      <c r="H772" s="83" t="n">
        <f aca="false">+H464</f>
        <v>41091</v>
      </c>
      <c r="I772" s="118" t="n">
        <f aca="false">+I771*(1+I$8/12)</f>
        <v>0.0307739528951956</v>
      </c>
      <c r="J772" s="119"/>
      <c r="K772" s="104"/>
      <c r="L772" s="104"/>
      <c r="M772" s="105"/>
      <c r="N772" s="106"/>
    </row>
    <row r="773" customFormat="false" ht="12.75" hidden="false" customHeight="false" outlineLevel="0" collapsed="false">
      <c r="H773" s="83" t="n">
        <f aca="false">+H465</f>
        <v>41122</v>
      </c>
      <c r="I773" s="118" t="n">
        <f aca="false">+I772*(1+I$8/12)</f>
        <v>0.0308060090961281</v>
      </c>
      <c r="J773" s="119"/>
      <c r="K773" s="104"/>
      <c r="L773" s="104"/>
      <c r="M773" s="105"/>
      <c r="N773" s="106"/>
    </row>
    <row r="774" customFormat="false" ht="12.75" hidden="false" customHeight="false" outlineLevel="0" collapsed="false">
      <c r="H774" s="83" t="n">
        <f aca="false">+H466</f>
        <v>41153</v>
      </c>
      <c r="I774" s="118" t="n">
        <f aca="false">+I773*(1+I$8/12)</f>
        <v>0.0308380986889365</v>
      </c>
      <c r="J774" s="119"/>
      <c r="K774" s="104"/>
      <c r="L774" s="104"/>
      <c r="M774" s="105"/>
      <c r="N774" s="106"/>
    </row>
    <row r="775" customFormat="false" ht="12.75" hidden="false" customHeight="false" outlineLevel="0" collapsed="false">
      <c r="H775" s="83" t="n">
        <f aca="false">+H467</f>
        <v>41183</v>
      </c>
      <c r="I775" s="118" t="n">
        <f aca="false">+I774*(1+I$8/12)</f>
        <v>0.0308702217084042</v>
      </c>
      <c r="J775" s="119"/>
      <c r="K775" s="104"/>
      <c r="L775" s="104"/>
      <c r="M775" s="105"/>
      <c r="N775" s="106"/>
    </row>
    <row r="776" customFormat="false" ht="12.75" hidden="false" customHeight="false" outlineLevel="0" collapsed="false">
      <c r="H776" s="83" t="n">
        <f aca="false">+H468</f>
        <v>41214</v>
      </c>
      <c r="I776" s="118" t="n">
        <f aca="false">+I775*(1+I$8/12)</f>
        <v>0.0309023781893504</v>
      </c>
      <c r="J776" s="119"/>
      <c r="K776" s="104"/>
      <c r="L776" s="104"/>
      <c r="M776" s="105"/>
      <c r="N776" s="106"/>
    </row>
    <row r="777" customFormat="false" ht="12.75" hidden="false" customHeight="false" outlineLevel="0" collapsed="false">
      <c r="H777" s="83" t="n">
        <f aca="false">+H469</f>
        <v>41244</v>
      </c>
      <c r="I777" s="118" t="n">
        <f aca="false">+I776*(1+I$8/12)</f>
        <v>0.030934568166631</v>
      </c>
      <c r="J777" s="119"/>
      <c r="K777" s="104"/>
      <c r="L777" s="104"/>
      <c r="M777" s="105"/>
      <c r="N777" s="106"/>
    </row>
    <row r="778" customFormat="false" ht="12.75" hidden="false" customHeight="false" outlineLevel="0" collapsed="false">
      <c r="H778" s="83" t="n">
        <f aca="false">+H470</f>
        <v>41275</v>
      </c>
      <c r="I778" s="118" t="n">
        <f aca="false">+I777*(1+I$8/12)</f>
        <v>0.0309667916751379</v>
      </c>
      <c r="J778" s="119"/>
      <c r="K778" s="104"/>
      <c r="L778" s="104"/>
      <c r="M778" s="105"/>
      <c r="N778" s="106"/>
    </row>
    <row r="779" customFormat="false" ht="12.75" hidden="false" customHeight="false" outlineLevel="0" collapsed="false">
      <c r="H779" s="83" t="n">
        <f aca="false">+H471</f>
        <v>41306</v>
      </c>
      <c r="I779" s="118" t="n">
        <f aca="false">+I778*(1+I$8/12)</f>
        <v>0.0309990487497995</v>
      </c>
      <c r="J779" s="119"/>
      <c r="K779" s="104"/>
      <c r="L779" s="104"/>
      <c r="M779" s="105"/>
      <c r="N779" s="106"/>
    </row>
    <row r="780" customFormat="false" ht="12.75" hidden="false" customHeight="false" outlineLevel="0" collapsed="false">
      <c r="H780" s="83" t="n">
        <f aca="false">+H472</f>
        <v>41334</v>
      </c>
      <c r="I780" s="118" t="n">
        <f aca="false">+I779*(1+I$8/12)</f>
        <v>0.0310313394255805</v>
      </c>
      <c r="J780" s="119"/>
      <c r="K780" s="104"/>
      <c r="L780" s="104"/>
      <c r="M780" s="105"/>
      <c r="N780" s="106"/>
    </row>
    <row r="781" customFormat="false" ht="12.75" hidden="false" customHeight="false" outlineLevel="0" collapsed="false">
      <c r="H781" s="83" t="n">
        <f aca="false">+H473</f>
        <v>41365</v>
      </c>
      <c r="I781" s="118" t="n">
        <f aca="false">+I780*(1+I$8/12)</f>
        <v>0.0310636637374822</v>
      </c>
      <c r="J781" s="119"/>
      <c r="K781" s="104"/>
      <c r="L781" s="104"/>
      <c r="M781" s="105"/>
      <c r="N781" s="106"/>
    </row>
    <row r="782" customFormat="false" ht="12.75" hidden="false" customHeight="false" outlineLevel="0" collapsed="false">
      <c r="H782" s="83" t="n">
        <f aca="false">+H474</f>
        <v>41395</v>
      </c>
      <c r="I782" s="118" t="n">
        <f aca="false">+I781*(1+I$8/12)</f>
        <v>0.0310960217205421</v>
      </c>
      <c r="J782" s="119"/>
      <c r="K782" s="104"/>
      <c r="L782" s="104"/>
      <c r="M782" s="105"/>
      <c r="N782" s="106"/>
    </row>
    <row r="783" customFormat="false" ht="12.75" hidden="false" customHeight="false" outlineLevel="0" collapsed="false">
      <c r="H783" s="83" t="n">
        <f aca="false">+H475</f>
        <v>41426</v>
      </c>
      <c r="I783" s="118" t="n">
        <f aca="false">+I782*(1+I$8/12)</f>
        <v>0.0311284134098343</v>
      </c>
      <c r="J783" s="119"/>
      <c r="K783" s="104"/>
      <c r="L783" s="104"/>
      <c r="M783" s="105"/>
      <c r="N783" s="106"/>
    </row>
    <row r="784" customFormat="false" ht="12.75" hidden="false" customHeight="false" outlineLevel="0" collapsed="false">
      <c r="H784" s="83" t="n">
        <f aca="false">+H476</f>
        <v>41456</v>
      </c>
      <c r="I784" s="118" t="n">
        <f aca="false">+I783*(1+I$8/12)</f>
        <v>0.0311608388404695</v>
      </c>
      <c r="J784" s="119"/>
      <c r="K784" s="104"/>
      <c r="L784" s="104"/>
      <c r="M784" s="105"/>
      <c r="N784" s="106"/>
    </row>
    <row r="785" customFormat="false" ht="12.75" hidden="false" customHeight="false" outlineLevel="0" collapsed="false">
      <c r="H785" s="83" t="n">
        <f aca="false">+H477</f>
        <v>41487</v>
      </c>
      <c r="I785" s="118" t="n">
        <f aca="false">+I784*(1+I$8/12)</f>
        <v>0.031193298047595</v>
      </c>
      <c r="J785" s="119"/>
      <c r="K785" s="104"/>
      <c r="L785" s="104"/>
      <c r="M785" s="105"/>
      <c r="N785" s="106"/>
    </row>
    <row r="786" customFormat="false" ht="12.75" hidden="false" customHeight="false" outlineLevel="0" collapsed="false">
      <c r="H786" s="83" t="n">
        <f aca="false">+H478</f>
        <v>41518</v>
      </c>
      <c r="I786" s="118" t="n">
        <f aca="false">+I785*(1+I$8/12)</f>
        <v>0.0312257910663946</v>
      </c>
      <c r="J786" s="119"/>
      <c r="K786" s="104"/>
      <c r="L786" s="104"/>
      <c r="M786" s="105"/>
      <c r="N786" s="106"/>
    </row>
    <row r="787" customFormat="false" ht="12.75" hidden="false" customHeight="false" outlineLevel="0" collapsed="false">
      <c r="H787" s="83" t="n">
        <f aca="false">+H479</f>
        <v>41548</v>
      </c>
      <c r="I787" s="118" t="n">
        <f aca="false">+I786*(1+I$8/12)</f>
        <v>0.0312583179320888</v>
      </c>
      <c r="J787" s="119"/>
      <c r="K787" s="104"/>
      <c r="L787" s="104"/>
      <c r="M787" s="105"/>
      <c r="N787" s="106"/>
    </row>
    <row r="788" customFormat="false" ht="12.75" hidden="false" customHeight="false" outlineLevel="0" collapsed="false">
      <c r="H788" s="83" t="n">
        <f aca="false">+H480</f>
        <v>41579</v>
      </c>
      <c r="I788" s="118" t="n">
        <f aca="false">+I787*(1+I$8/12)</f>
        <v>0.0312908786799347</v>
      </c>
      <c r="J788" s="119"/>
      <c r="K788" s="104"/>
      <c r="L788" s="104"/>
      <c r="M788" s="105"/>
      <c r="N788" s="106"/>
    </row>
    <row r="789" customFormat="false" ht="12.75" hidden="false" customHeight="false" outlineLevel="0" collapsed="false">
      <c r="H789" s="83" t="n">
        <f aca="false">+H481</f>
        <v>41609</v>
      </c>
      <c r="I789" s="118" t="n">
        <f aca="false">+I788*(1+I$8/12)</f>
        <v>0.0313234733452263</v>
      </c>
      <c r="J789" s="119"/>
      <c r="K789" s="104"/>
      <c r="L789" s="104"/>
      <c r="M789" s="105"/>
      <c r="N789" s="106"/>
    </row>
    <row r="790" customFormat="false" ht="12.75" hidden="false" customHeight="false" outlineLevel="0" collapsed="false">
      <c r="H790" s="83" t="n">
        <f aca="false">+H482</f>
        <v>41640</v>
      </c>
      <c r="I790" s="118" t="n">
        <f aca="false">+I789*(1+I$8/12)</f>
        <v>0.0313561019632942</v>
      </c>
      <c r="J790" s="119"/>
      <c r="K790" s="104"/>
      <c r="L790" s="104"/>
      <c r="M790" s="105"/>
      <c r="N790" s="106"/>
    </row>
    <row r="791" customFormat="false" ht="12.75" hidden="false" customHeight="false" outlineLevel="0" collapsed="false">
      <c r="H791" s="83" t="n">
        <f aca="false">+H483</f>
        <v>41671</v>
      </c>
      <c r="I791" s="118" t="n">
        <f aca="false">+I790*(1+I$8/12)</f>
        <v>0.031388764569506</v>
      </c>
      <c r="J791" s="119"/>
      <c r="K791" s="104"/>
      <c r="L791" s="104"/>
      <c r="M791" s="105"/>
      <c r="N791" s="106"/>
    </row>
    <row r="792" customFormat="false" ht="12.75" hidden="false" customHeight="false" outlineLevel="0" collapsed="false">
      <c r="H792" s="83" t="n">
        <f aca="false">+H484</f>
        <v>41699</v>
      </c>
      <c r="I792" s="118" t="n">
        <f aca="false">+I791*(1+I$8/12)</f>
        <v>0.0314214611992659</v>
      </c>
      <c r="J792" s="119"/>
      <c r="K792" s="104"/>
      <c r="L792" s="104"/>
      <c r="M792" s="105"/>
      <c r="N792" s="106"/>
    </row>
    <row r="793" customFormat="false" ht="12.75" hidden="false" customHeight="false" outlineLevel="0" collapsed="false">
      <c r="H793" s="83" t="n">
        <f aca="false">+H485</f>
        <v>41730</v>
      </c>
      <c r="I793" s="118" t="n">
        <f aca="false">+I792*(1+I$8/12)</f>
        <v>0.0314541918880151</v>
      </c>
      <c r="J793" s="119"/>
      <c r="K793" s="104"/>
      <c r="L793" s="104"/>
      <c r="M793" s="105"/>
      <c r="N793" s="106"/>
    </row>
    <row r="794" customFormat="false" ht="12.75" hidden="false" customHeight="false" outlineLevel="0" collapsed="false">
      <c r="H794" s="83" t="n">
        <f aca="false">+H486</f>
        <v>41760</v>
      </c>
      <c r="I794" s="118" t="n">
        <f aca="false">+I793*(1+I$8/12)</f>
        <v>0.0314869566712318</v>
      </c>
      <c r="J794" s="119"/>
      <c r="K794" s="104"/>
      <c r="L794" s="104"/>
      <c r="M794" s="105"/>
      <c r="N794" s="106"/>
    </row>
    <row r="795" customFormat="false" ht="12.75" hidden="false" customHeight="false" outlineLevel="0" collapsed="false">
      <c r="H795" s="83" t="n">
        <f aca="false">+H487</f>
        <v>41791</v>
      </c>
      <c r="I795" s="118" t="n">
        <f aca="false">+I794*(1+I$8/12)</f>
        <v>0.031519755584431</v>
      </c>
      <c r="J795" s="119"/>
      <c r="K795" s="104"/>
      <c r="L795" s="104"/>
      <c r="M795" s="105"/>
      <c r="N795" s="106"/>
    </row>
    <row r="796" customFormat="false" ht="12.75" hidden="false" customHeight="false" outlineLevel="0" collapsed="false">
      <c r="H796" s="83" t="n">
        <f aca="false">+H488</f>
        <v>41821</v>
      </c>
      <c r="I796" s="118" t="n">
        <f aca="false">+I795*(1+I$8/12)</f>
        <v>0.0315525886631648</v>
      </c>
      <c r="J796" s="119"/>
      <c r="K796" s="104"/>
      <c r="L796" s="104"/>
      <c r="M796" s="105"/>
      <c r="N796" s="106"/>
    </row>
    <row r="797" customFormat="false" ht="12.75" hidden="false" customHeight="false" outlineLevel="0" collapsed="false">
      <c r="H797" s="83" t="n">
        <f aca="false">+H489</f>
        <v>41852</v>
      </c>
      <c r="I797" s="118" t="n">
        <f aca="false">+I796*(1+I$8/12)</f>
        <v>0.0315854559430222</v>
      </c>
      <c r="J797" s="119"/>
      <c r="K797" s="104"/>
      <c r="L797" s="104"/>
      <c r="M797" s="105"/>
      <c r="N797" s="106"/>
    </row>
    <row r="798" customFormat="false" ht="12.75" hidden="false" customHeight="false" outlineLevel="0" collapsed="false">
      <c r="H798" s="83" t="n">
        <f aca="false">+H490</f>
        <v>41883</v>
      </c>
      <c r="I798" s="118" t="n">
        <f aca="false">+I797*(1+I$8/12)</f>
        <v>0.0316183574596296</v>
      </c>
      <c r="J798" s="119"/>
      <c r="K798" s="104"/>
      <c r="L798" s="104"/>
      <c r="M798" s="105"/>
      <c r="N798" s="106"/>
    </row>
    <row r="799" customFormat="false" ht="12.75" hidden="false" customHeight="false" outlineLevel="0" collapsed="false">
      <c r="H799" s="83" t="n">
        <f aca="false">+H491</f>
        <v>41913</v>
      </c>
      <c r="I799" s="118" t="n">
        <f aca="false">+I798*(1+I$8/12)</f>
        <v>0.03165129324865</v>
      </c>
      <c r="J799" s="119"/>
      <c r="K799" s="104"/>
      <c r="L799" s="104"/>
      <c r="M799" s="105"/>
      <c r="N799" s="106"/>
    </row>
    <row r="800" customFormat="false" ht="12.75" hidden="false" customHeight="false" outlineLevel="0" collapsed="false">
      <c r="H800" s="83" t="n">
        <f aca="false">+H492</f>
        <v>41944</v>
      </c>
      <c r="I800" s="118" t="n">
        <f aca="false">+I799*(1+I$8/12)</f>
        <v>0.031684263345784</v>
      </c>
      <c r="J800" s="119"/>
      <c r="K800" s="104"/>
      <c r="L800" s="104"/>
      <c r="M800" s="105"/>
      <c r="N800" s="106"/>
    </row>
    <row r="801" customFormat="false" ht="12.75" hidden="false" customHeight="false" outlineLevel="0" collapsed="false">
      <c r="H801" s="83" t="n">
        <f aca="false">+H493</f>
        <v>41974</v>
      </c>
      <c r="I801" s="118" t="n">
        <f aca="false">+I800*(1+I$8/12)</f>
        <v>0.0317172677867692</v>
      </c>
      <c r="J801" s="119"/>
      <c r="K801" s="104"/>
      <c r="L801" s="104"/>
      <c r="M801" s="105"/>
      <c r="N801" s="106"/>
    </row>
    <row r="802" customFormat="false" ht="12.75" hidden="false" customHeight="false" outlineLevel="0" collapsed="false">
      <c r="H802" s="83" t="n">
        <f aca="false">+H494</f>
        <v>42005</v>
      </c>
      <c r="I802" s="118" t="n">
        <f aca="false">+I801*(1+I$8/12)</f>
        <v>0.0317503066073804</v>
      </c>
      <c r="J802" s="119"/>
      <c r="K802" s="104"/>
      <c r="L802" s="104"/>
      <c r="M802" s="105"/>
      <c r="N802" s="106"/>
    </row>
    <row r="803" customFormat="false" ht="12.75" hidden="false" customHeight="false" outlineLevel="0" collapsed="false">
      <c r="H803" s="83" t="n">
        <f aca="false">+H495</f>
        <v>42036</v>
      </c>
      <c r="I803" s="118" t="n">
        <f aca="false">+I802*(1+I$8/12)</f>
        <v>0.0317833798434298</v>
      </c>
      <c r="J803" s="119"/>
      <c r="K803" s="104"/>
      <c r="L803" s="104"/>
      <c r="M803" s="105"/>
      <c r="N803" s="106"/>
    </row>
    <row r="804" customFormat="false" ht="12.75" hidden="false" customHeight="false" outlineLevel="0" collapsed="false">
      <c r="H804" s="83" t="n">
        <f aca="false">+H496</f>
        <v>42064</v>
      </c>
      <c r="I804" s="118" t="n">
        <f aca="false">+I803*(1+I$8/12)</f>
        <v>0.0318164875307667</v>
      </c>
      <c r="J804" s="119"/>
      <c r="K804" s="104"/>
      <c r="L804" s="104"/>
      <c r="M804" s="105"/>
      <c r="N804" s="106"/>
    </row>
    <row r="805" customFormat="false" ht="12.75" hidden="false" customHeight="false" outlineLevel="0" collapsed="false">
      <c r="H805" s="83" t="n">
        <f aca="false">+H497</f>
        <v>42095</v>
      </c>
      <c r="I805" s="118" t="n">
        <f aca="false">+I804*(1+I$8/12)</f>
        <v>0.0318496297052779</v>
      </c>
      <c r="J805" s="119"/>
      <c r="K805" s="104"/>
      <c r="L805" s="104"/>
      <c r="M805" s="105"/>
      <c r="N805" s="106"/>
    </row>
    <row r="806" customFormat="false" ht="12.75" hidden="false" customHeight="false" outlineLevel="0" collapsed="false">
      <c r="H806" s="83" t="n">
        <f aca="false">+H498</f>
        <v>42125</v>
      </c>
      <c r="I806" s="118" t="n">
        <f aca="false">+I805*(1+I$8/12)</f>
        <v>0.0318828064028876</v>
      </c>
      <c r="J806" s="119"/>
      <c r="K806" s="104"/>
      <c r="L806" s="104"/>
      <c r="M806" s="105"/>
      <c r="N806" s="106"/>
    </row>
    <row r="807" customFormat="false" ht="12.75" hidden="false" customHeight="false" outlineLevel="0" collapsed="false">
      <c r="H807" s="83" t="n">
        <f aca="false">+H499</f>
        <v>42156</v>
      </c>
      <c r="I807" s="118" t="n">
        <f aca="false">+I806*(1+I$8/12)</f>
        <v>0.0319160176595572</v>
      </c>
      <c r="J807" s="119"/>
      <c r="K807" s="104"/>
      <c r="L807" s="104"/>
      <c r="M807" s="105"/>
      <c r="N807" s="106"/>
    </row>
    <row r="808" customFormat="false" ht="12.75" hidden="false" customHeight="false" outlineLevel="0" collapsed="false">
      <c r="H808" s="83" t="n">
        <f aca="false">+H500</f>
        <v>42186</v>
      </c>
      <c r="I808" s="118" t="n">
        <f aca="false">+I807*(1+I$8/12)</f>
        <v>0.0319492635112859</v>
      </c>
      <c r="J808" s="119"/>
      <c r="K808" s="104"/>
      <c r="L808" s="104"/>
      <c r="M808" s="105"/>
      <c r="N808" s="106"/>
    </row>
    <row r="809" customFormat="false" ht="12.75" hidden="false" customHeight="false" outlineLevel="0" collapsed="false">
      <c r="H809" s="83" t="n">
        <f aca="false">+H501</f>
        <v>42217</v>
      </c>
      <c r="I809" s="118" t="n">
        <f aca="false">+I808*(1+I$8/12)</f>
        <v>0.0319825439941102</v>
      </c>
      <c r="J809" s="119"/>
      <c r="K809" s="104"/>
      <c r="L809" s="104"/>
      <c r="M809" s="105"/>
      <c r="N809" s="106"/>
    </row>
    <row r="810" customFormat="false" ht="12.75" hidden="false" customHeight="false" outlineLevel="0" collapsed="false">
      <c r="H810" s="83" t="n">
        <f aca="false">+H502</f>
        <v>42248</v>
      </c>
      <c r="I810" s="118" t="n">
        <f aca="false">+I809*(1+I$8/12)</f>
        <v>0.032015859144104</v>
      </c>
      <c r="J810" s="119"/>
      <c r="K810" s="104"/>
      <c r="L810" s="104"/>
      <c r="M810" s="105"/>
      <c r="N810" s="106"/>
    </row>
    <row r="811" customFormat="false" ht="12.75" hidden="false" customHeight="false" outlineLevel="0" collapsed="false">
      <c r="H811" s="83" t="n">
        <f aca="false">+H503</f>
        <v>42278</v>
      </c>
      <c r="I811" s="118" t="n">
        <f aca="false">+I810*(1+I$8/12)</f>
        <v>0.0320492089973792</v>
      </c>
      <c r="J811" s="119"/>
      <c r="K811" s="104"/>
      <c r="L811" s="104"/>
      <c r="M811" s="105"/>
      <c r="N811" s="106"/>
    </row>
    <row r="812" customFormat="false" ht="12.75" hidden="false" customHeight="false" outlineLevel="0" collapsed="false">
      <c r="H812" s="83" t="n">
        <f aca="false">+H504</f>
        <v>42309</v>
      </c>
      <c r="I812" s="118" t="n">
        <f aca="false">+I811*(1+I$8/12)</f>
        <v>0.0320825935900848</v>
      </c>
      <c r="J812" s="119"/>
      <c r="K812" s="104"/>
      <c r="L812" s="104"/>
      <c r="M812" s="105"/>
      <c r="N812" s="106"/>
    </row>
    <row r="813" customFormat="false" ht="12.75" hidden="false" customHeight="false" outlineLevel="0" collapsed="false">
      <c r="H813" s="83" t="n">
        <f aca="false">+H505</f>
        <v>42339</v>
      </c>
      <c r="I813" s="118" t="n">
        <f aca="false">+I812*(1+I$8/12)</f>
        <v>0.0321160129584078</v>
      </c>
      <c r="J813" s="119"/>
      <c r="K813" s="104"/>
      <c r="L813" s="104"/>
      <c r="M813" s="105"/>
      <c r="N813" s="106"/>
    </row>
    <row r="814" customFormat="false" ht="12.75" hidden="false" customHeight="false" outlineLevel="0" collapsed="false">
      <c r="H814" s="83" t="n">
        <f aca="false">+H506</f>
        <v>42370</v>
      </c>
      <c r="I814" s="118" t="n">
        <f aca="false">+I813*(1+I$8/12)</f>
        <v>0.0321494671385728</v>
      </c>
      <c r="J814" s="119"/>
      <c r="K814" s="104"/>
      <c r="L814" s="104"/>
      <c r="M814" s="105"/>
      <c r="N814" s="106"/>
    </row>
    <row r="815" customFormat="false" ht="12.75" hidden="false" customHeight="false" outlineLevel="0" collapsed="false">
      <c r="H815" s="83" t="n">
        <f aca="false">+H507</f>
        <v>42401</v>
      </c>
      <c r="I815" s="118" t="n">
        <f aca="false">+I814*(1+I$8/12)</f>
        <v>0.0321829561668421</v>
      </c>
      <c r="J815" s="119"/>
      <c r="K815" s="104"/>
      <c r="L815" s="104"/>
      <c r="M815" s="105"/>
      <c r="N815" s="106"/>
    </row>
    <row r="816" customFormat="false" ht="12.75" hidden="false" customHeight="false" outlineLevel="0" collapsed="false">
      <c r="H816" s="83" t="n">
        <f aca="false">+H508</f>
        <v>42430</v>
      </c>
      <c r="I816" s="118" t="n">
        <f aca="false">+I815*(1+I$8/12)</f>
        <v>0.0322164800795159</v>
      </c>
      <c r="J816" s="119"/>
      <c r="K816" s="104"/>
      <c r="L816" s="104"/>
      <c r="M816" s="105"/>
      <c r="N816" s="106"/>
    </row>
    <row r="817" customFormat="false" ht="12.75" hidden="false" customHeight="false" outlineLevel="0" collapsed="false">
      <c r="H817" s="83" t="n">
        <f aca="false">+H509</f>
        <v>42461</v>
      </c>
      <c r="I817" s="118" t="n">
        <f aca="false">+I816*(1+I$8/12)</f>
        <v>0.0322500389129321</v>
      </c>
      <c r="J817" s="119"/>
      <c r="K817" s="104"/>
      <c r="L817" s="104"/>
      <c r="M817" s="105"/>
      <c r="N817" s="106"/>
    </row>
    <row r="818" customFormat="false" ht="12.75" hidden="false" customHeight="false" outlineLevel="0" collapsed="false">
      <c r="H818" s="83" t="n">
        <f aca="false">+H510</f>
        <v>42491</v>
      </c>
      <c r="I818" s="118" t="n">
        <f aca="false">+I817*(1+I$8/12)</f>
        <v>0.0322836327034664</v>
      </c>
      <c r="J818" s="119"/>
      <c r="K818" s="104"/>
      <c r="L818" s="104"/>
      <c r="M818" s="105"/>
      <c r="N818" s="106"/>
    </row>
    <row r="819" customFormat="false" ht="12.75" hidden="false" customHeight="false" outlineLevel="0" collapsed="false">
      <c r="H819" s="83" t="n">
        <f aca="false">+H511</f>
        <v>42522</v>
      </c>
      <c r="I819" s="118" t="n">
        <f aca="false">+I818*(1+I$8/12)</f>
        <v>0.0323172614875325</v>
      </c>
      <c r="J819" s="119"/>
      <c r="K819" s="104"/>
      <c r="L819" s="104"/>
      <c r="M819" s="105"/>
      <c r="N819" s="106"/>
    </row>
    <row r="820" customFormat="false" ht="12.75" hidden="false" customHeight="false" outlineLevel="0" collapsed="false">
      <c r="H820" s="83" t="n">
        <f aca="false">+H512</f>
        <v>42552</v>
      </c>
      <c r="I820" s="118" t="n">
        <f aca="false">+I819*(1+I$8/12)</f>
        <v>0.032350925301582</v>
      </c>
      <c r="J820" s="119"/>
      <c r="K820" s="104"/>
      <c r="L820" s="104"/>
      <c r="M820" s="105"/>
      <c r="N820" s="106"/>
    </row>
    <row r="821" customFormat="false" ht="12.75" hidden="false" customHeight="false" outlineLevel="0" collapsed="false">
      <c r="H821" s="83" t="n">
        <f aca="false">+H513</f>
        <v>42583</v>
      </c>
      <c r="I821" s="118" t="n">
        <f aca="false">+I820*(1+I$8/12)</f>
        <v>0.0323846241821045</v>
      </c>
      <c r="J821" s="119"/>
      <c r="K821" s="104"/>
      <c r="L821" s="104"/>
      <c r="M821" s="105"/>
      <c r="N821" s="106"/>
    </row>
    <row r="822" customFormat="false" ht="12.75" hidden="false" customHeight="false" outlineLevel="0" collapsed="false">
      <c r="H822" s="83" t="n">
        <f aca="false">+H514</f>
        <v>42614</v>
      </c>
      <c r="I822" s="118" t="n">
        <f aca="false">+I821*(1+I$8/12)</f>
        <v>0.0324183581656275</v>
      </c>
      <c r="J822" s="119"/>
      <c r="K822" s="104"/>
      <c r="L822" s="104"/>
      <c r="M822" s="105"/>
      <c r="N822" s="106"/>
    </row>
    <row r="823" customFormat="false" ht="12.75" hidden="false" customHeight="false" outlineLevel="0" collapsed="false">
      <c r="H823" s="83" t="n">
        <f aca="false">+H515</f>
        <v>42644</v>
      </c>
      <c r="I823" s="118" t="n">
        <f aca="false">+I822*(1+I$8/12)</f>
        <v>0.0324521272887167</v>
      </c>
      <c r="J823" s="119"/>
      <c r="K823" s="104"/>
      <c r="L823" s="104"/>
      <c r="M823" s="105"/>
      <c r="N823" s="106"/>
    </row>
    <row r="824" customFormat="false" ht="12.75" hidden="false" customHeight="false" outlineLevel="0" collapsed="false">
      <c r="H824" s="83" t="n">
        <f aca="false">+H516</f>
        <v>42675</v>
      </c>
      <c r="I824" s="118" t="n">
        <f aca="false">+I823*(1+I$8/12)</f>
        <v>0.0324859315879758</v>
      </c>
      <c r="J824" s="119"/>
      <c r="K824" s="104"/>
      <c r="L824" s="104"/>
      <c r="M824" s="105"/>
      <c r="N824" s="106"/>
    </row>
    <row r="825" customFormat="false" ht="12.75" hidden="false" customHeight="false" outlineLevel="0" collapsed="false">
      <c r="H825" s="83" t="n">
        <f aca="false">+H517</f>
        <v>42705</v>
      </c>
      <c r="I825" s="118" t="n">
        <f aca="false">+I824*(1+I$8/12)</f>
        <v>0.0325197711000466</v>
      </c>
      <c r="J825" s="119"/>
      <c r="K825" s="104"/>
      <c r="L825" s="104"/>
      <c r="M825" s="105"/>
      <c r="N825" s="106"/>
    </row>
    <row r="826" customFormat="false" ht="12.75" hidden="false" customHeight="false" outlineLevel="0" collapsed="false">
      <c r="H826" s="83" t="n">
        <f aca="false">+H518</f>
        <v>42736</v>
      </c>
      <c r="I826" s="118" t="n">
        <f aca="false">+I825*(1+I$8/12)</f>
        <v>0.0325536458616091</v>
      </c>
      <c r="J826" s="119"/>
      <c r="K826" s="104"/>
      <c r="L826" s="104"/>
      <c r="M826" s="105"/>
      <c r="N826" s="106"/>
    </row>
    <row r="827" customFormat="false" ht="12.75" hidden="false" customHeight="false" outlineLevel="0" collapsed="false">
      <c r="H827" s="83" t="n">
        <f aca="false">+H519</f>
        <v>42767</v>
      </c>
      <c r="I827" s="118" t="n">
        <f aca="false">+I826*(1+I$8/12)</f>
        <v>0.0325875559093816</v>
      </c>
      <c r="J827" s="119"/>
      <c r="K827" s="104"/>
      <c r="L827" s="104"/>
      <c r="M827" s="105"/>
      <c r="N827" s="106"/>
    </row>
    <row r="828" customFormat="false" ht="12.75" hidden="false" customHeight="false" outlineLevel="0" collapsed="false">
      <c r="H828" s="83" t="n">
        <f aca="false">+H520</f>
        <v>42795</v>
      </c>
      <c r="I828" s="118" t="n">
        <f aca="false">+I827*(1+I$8/12)</f>
        <v>0.0326215012801206</v>
      </c>
      <c r="J828" s="119"/>
      <c r="K828" s="104"/>
      <c r="L828" s="104"/>
      <c r="M828" s="105"/>
      <c r="N828" s="106"/>
    </row>
    <row r="829" customFormat="false" ht="12.75" hidden="false" customHeight="false" outlineLevel="0" collapsed="false">
      <c r="H829" s="83" t="n">
        <f aca="false">+H521</f>
        <v>42826</v>
      </c>
      <c r="I829" s="118" t="n">
        <f aca="false">+I828*(1+I$8/12)</f>
        <v>0.0326554820106207</v>
      </c>
      <c r="J829" s="119"/>
      <c r="K829" s="104"/>
      <c r="L829" s="104"/>
      <c r="M829" s="105"/>
      <c r="N829" s="106"/>
    </row>
    <row r="830" customFormat="false" ht="12.75" hidden="false" customHeight="false" outlineLevel="0" collapsed="false">
      <c r="H830" s="83" t="n">
        <f aca="false">+H522</f>
        <v>42856</v>
      </c>
      <c r="I830" s="118" t="n">
        <f aca="false">+I829*(1+I$8/12)</f>
        <v>0.0326894981377151</v>
      </c>
      <c r="J830" s="119"/>
      <c r="K830" s="104"/>
      <c r="L830" s="104"/>
      <c r="M830" s="105"/>
      <c r="N830" s="106"/>
    </row>
    <row r="831" customFormat="false" ht="12.75" hidden="false" customHeight="false" outlineLevel="0" collapsed="false">
      <c r="H831" s="83" t="n">
        <f aca="false">+H523</f>
        <v>42887</v>
      </c>
      <c r="I831" s="118" t="n">
        <f aca="false">+I830*(1+I$8/12)</f>
        <v>0.0327235496982752</v>
      </c>
      <c r="J831" s="119"/>
      <c r="K831" s="104"/>
      <c r="L831" s="104"/>
      <c r="M831" s="105"/>
      <c r="N831" s="106"/>
    </row>
    <row r="832" customFormat="false" ht="12.75" hidden="false" customHeight="false" outlineLevel="0" collapsed="false">
      <c r="H832" s="83" t="n">
        <f aca="false">+H524</f>
        <v>42917</v>
      </c>
      <c r="I832" s="118" t="n">
        <f aca="false">+I831*(1+I$8/12)</f>
        <v>0.0327576367292109</v>
      </c>
      <c r="J832" s="119"/>
      <c r="K832" s="105"/>
      <c r="L832" s="105"/>
      <c r="M832" s="105"/>
      <c r="N832" s="106"/>
    </row>
    <row r="833" customFormat="false" ht="12.75" hidden="false" customHeight="false" outlineLevel="0" collapsed="false">
      <c r="H833" s="83" t="n">
        <f aca="false">+H525</f>
        <v>42948</v>
      </c>
      <c r="I833" s="118" t="n">
        <f aca="false">+I832*(1+I$8/12)</f>
        <v>0.0327917592674705</v>
      </c>
      <c r="J833" s="119"/>
      <c r="K833" s="105"/>
      <c r="L833" s="105"/>
      <c r="M833" s="105"/>
      <c r="N833" s="106"/>
    </row>
    <row r="834" customFormat="false" ht="12.75" hidden="false" customHeight="false" outlineLevel="0" collapsed="false">
      <c r="H834" s="83" t="n">
        <f aca="false">+H526</f>
        <v>42979</v>
      </c>
      <c r="I834" s="118" t="n">
        <f aca="false">+I833*(1+I$8/12)</f>
        <v>0.0328259173500408</v>
      </c>
      <c r="J834" s="119"/>
      <c r="K834" s="105"/>
      <c r="L834" s="105"/>
      <c r="M834" s="105"/>
      <c r="N834" s="106"/>
    </row>
    <row r="835" customFormat="false" ht="12.75" hidden="false" customHeight="false" outlineLevel="0" collapsed="false">
      <c r="H835" s="83" t="n">
        <f aca="false">+H527</f>
        <v>43009</v>
      </c>
      <c r="I835" s="118" t="n">
        <f aca="false">+I834*(1+I$8/12)</f>
        <v>0.0328601110139471</v>
      </c>
      <c r="J835" s="119"/>
      <c r="K835" s="105"/>
      <c r="L835" s="105"/>
      <c r="M835" s="105"/>
      <c r="N835" s="106"/>
    </row>
    <row r="836" customFormat="false" ht="12.75" hidden="false" customHeight="false" outlineLevel="0" collapsed="false">
      <c r="H836" s="83" t="n">
        <f aca="false">+H528</f>
        <v>43040</v>
      </c>
      <c r="I836" s="118" t="n">
        <f aca="false">+I835*(1+I$8/12)</f>
        <v>0.0328943402962532</v>
      </c>
      <c r="J836" s="119"/>
      <c r="K836" s="105"/>
      <c r="L836" s="105"/>
      <c r="M836" s="105"/>
      <c r="N836" s="106"/>
    </row>
    <row r="837" customFormat="false" ht="12.75" hidden="false" customHeight="false" outlineLevel="0" collapsed="false">
      <c r="H837" s="83" t="n">
        <f aca="false">+H529</f>
        <v>43070</v>
      </c>
      <c r="I837" s="118" t="n">
        <f aca="false">+I836*(1+I$8/12)</f>
        <v>0.0329286052340618</v>
      </c>
      <c r="J837" s="119"/>
      <c r="K837" s="105"/>
      <c r="L837" s="105"/>
      <c r="M837" s="105"/>
      <c r="N837" s="106"/>
    </row>
    <row r="838" customFormat="false" ht="12.75" hidden="false" customHeight="false" outlineLevel="0" collapsed="false">
      <c r="H838" s="83" t="n">
        <f aca="false">+H530</f>
        <v>43101</v>
      </c>
      <c r="I838" s="118" t="n">
        <f aca="false">+I837*(1+I$8/12)</f>
        <v>0.032962905864514</v>
      </c>
      <c r="J838" s="119"/>
      <c r="K838" s="105"/>
      <c r="L838" s="105"/>
      <c r="M838" s="105"/>
      <c r="N838" s="106"/>
    </row>
    <row r="839" customFormat="false" ht="12.75" hidden="false" customHeight="false" outlineLevel="0" collapsed="false">
      <c r="H839" s="83" t="n">
        <f aca="false">+H531</f>
        <v>43132</v>
      </c>
      <c r="I839" s="118" t="n">
        <f aca="false">+I838*(1+I$8/12)</f>
        <v>0.0329972422247895</v>
      </c>
      <c r="J839" s="119"/>
      <c r="K839" s="105"/>
      <c r="L839" s="105"/>
      <c r="M839" s="105"/>
      <c r="N839" s="106"/>
    </row>
    <row r="840" customFormat="false" ht="12.75" hidden="false" customHeight="false" outlineLevel="0" collapsed="false">
      <c r="H840" s="83" t="n">
        <f aca="false">+H532</f>
        <v>43160</v>
      </c>
      <c r="I840" s="118" t="n">
        <f aca="false">+I839*(1+I$8/12)</f>
        <v>0.033031614352107</v>
      </c>
      <c r="J840" s="119"/>
      <c r="K840" s="105"/>
      <c r="L840" s="105"/>
      <c r="M840" s="105"/>
      <c r="N840" s="106"/>
    </row>
    <row r="841" customFormat="false" ht="12.75" hidden="false" customHeight="false" outlineLevel="0" collapsed="false">
      <c r="H841" s="83" t="n">
        <f aca="false">+H533</f>
        <v>43191</v>
      </c>
      <c r="I841" s="118" t="n">
        <f aca="false">+I840*(1+I$8/12)</f>
        <v>0.0330660222837238</v>
      </c>
      <c r="J841" s="119"/>
      <c r="K841" s="105"/>
      <c r="L841" s="105"/>
      <c r="M841" s="105"/>
      <c r="N841" s="106"/>
    </row>
    <row r="842" customFormat="false" ht="12.75" hidden="false" customHeight="false" outlineLevel="0" collapsed="false">
      <c r="H842" s="83" t="n">
        <f aca="false">+H534</f>
        <v>43221</v>
      </c>
      <c r="I842" s="118" t="n">
        <f aca="false">+I841*(1+I$8/12)</f>
        <v>0.033100466056936</v>
      </c>
      <c r="J842" s="119"/>
      <c r="K842" s="105"/>
      <c r="L842" s="105"/>
      <c r="M842" s="105"/>
      <c r="N842" s="106"/>
    </row>
    <row r="843" customFormat="false" ht="12.75" hidden="false" customHeight="false" outlineLevel="0" collapsed="false">
      <c r="H843" s="83" t="n">
        <f aca="false">+H535</f>
        <v>43252</v>
      </c>
      <c r="I843" s="118" t="n">
        <f aca="false">+I842*(1+I$8/12)</f>
        <v>0.0331349457090786</v>
      </c>
      <c r="J843" s="119"/>
      <c r="K843" s="105"/>
      <c r="L843" s="105"/>
      <c r="M843" s="105"/>
      <c r="N843" s="106"/>
    </row>
    <row r="844" customFormat="false" ht="12.75" hidden="false" customHeight="false" outlineLevel="0" collapsed="false">
      <c r="H844" s="83" t="n">
        <f aca="false">+H536</f>
        <v>43282</v>
      </c>
      <c r="I844" s="118" t="n">
        <f aca="false">+I843*(1+I$8/12)</f>
        <v>0.0331694612775256</v>
      </c>
      <c r="J844" s="119"/>
      <c r="K844" s="105"/>
      <c r="L844" s="105"/>
      <c r="M844" s="105"/>
      <c r="N844" s="106"/>
    </row>
    <row r="845" customFormat="false" ht="12.75" hidden="false" customHeight="false" outlineLevel="0" collapsed="false">
      <c r="H845" s="83" t="n">
        <f aca="false">+H537</f>
        <v>43313</v>
      </c>
      <c r="I845" s="118" t="n">
        <f aca="false">+I844*(1+I$8/12)</f>
        <v>0.0332040127996897</v>
      </c>
      <c r="J845" s="119"/>
      <c r="K845" s="105"/>
      <c r="L845" s="105"/>
      <c r="M845" s="105"/>
      <c r="N845" s="106"/>
    </row>
    <row r="846" customFormat="false" ht="12.75" hidden="false" customHeight="false" outlineLevel="0" collapsed="false">
      <c r="H846" s="83" t="n">
        <f aca="false">+H538</f>
        <v>43344</v>
      </c>
      <c r="I846" s="118" t="n">
        <f aca="false">+I845*(1+I$8/12)</f>
        <v>0.0332386003130227</v>
      </c>
      <c r="J846" s="119"/>
      <c r="K846" s="105"/>
      <c r="L846" s="105"/>
      <c r="M846" s="105"/>
      <c r="N846" s="106"/>
    </row>
    <row r="847" customFormat="false" ht="12.75" hidden="false" customHeight="false" outlineLevel="0" collapsed="false">
      <c r="H847" s="83" t="n">
        <f aca="false">+H539</f>
        <v>43374</v>
      </c>
      <c r="I847" s="118" t="n">
        <f aca="false">+I846*(1+I$8/12)</f>
        <v>0.0332732238550154</v>
      </c>
      <c r="J847" s="119"/>
      <c r="K847" s="105"/>
      <c r="L847" s="105"/>
      <c r="M847" s="105"/>
      <c r="N847" s="106"/>
    </row>
    <row r="848" customFormat="false" ht="12.75" hidden="false" customHeight="false" outlineLevel="0" collapsed="false">
      <c r="H848" s="83" t="n">
        <f aca="false">+H540</f>
        <v>43405</v>
      </c>
      <c r="I848" s="118" t="n">
        <f aca="false">+I847*(1+I$8/12)</f>
        <v>0.0333078834631977</v>
      </c>
      <c r="J848" s="119"/>
      <c r="K848" s="105"/>
      <c r="L848" s="105"/>
      <c r="M848" s="105"/>
      <c r="N848" s="106"/>
    </row>
    <row r="849" customFormat="false" ht="12.75" hidden="false" customHeight="false" outlineLevel="0" collapsed="false">
      <c r="H849" s="83" t="n">
        <f aca="false">+H541</f>
        <v>43435</v>
      </c>
      <c r="I849" s="118" t="n">
        <f aca="false">+I848*(1+I$8/12)</f>
        <v>0.0333425791751386</v>
      </c>
      <c r="J849" s="119"/>
      <c r="K849" s="105"/>
      <c r="L849" s="105"/>
      <c r="M849" s="105"/>
      <c r="N849" s="106"/>
    </row>
    <row r="850" customFormat="false" ht="12.75" hidden="false" customHeight="false" outlineLevel="0" collapsed="false">
      <c r="H850" s="83" t="n">
        <f aca="false">+H542</f>
        <v>43466</v>
      </c>
      <c r="I850" s="117" t="n">
        <f aca="false">+I849*(1+I$8/12)</f>
        <v>0.033377311028446</v>
      </c>
      <c r="J850" s="105"/>
      <c r="K850" s="105"/>
      <c r="L850" s="105"/>
      <c r="M850" s="105"/>
      <c r="N850" s="106"/>
    </row>
    <row r="851" customFormat="false" ht="12.75" hidden="false" customHeight="false" outlineLevel="0" collapsed="false">
      <c r="H851" s="83" t="n">
        <f aca="false">+H543</f>
        <v>43497</v>
      </c>
      <c r="I851" s="117" t="n">
        <f aca="false">+I850*(1+I$8/12)</f>
        <v>0.0334120790607673</v>
      </c>
      <c r="J851" s="105"/>
      <c r="K851" s="105"/>
      <c r="L851" s="105"/>
      <c r="M851" s="105"/>
      <c r="N851" s="106"/>
    </row>
    <row r="852" customFormat="false" ht="12.75" hidden="false" customHeight="false" outlineLevel="0" collapsed="false">
      <c r="H852" s="83" t="n">
        <f aca="false">+H544</f>
        <v>43525</v>
      </c>
      <c r="I852" s="117" t="n">
        <f aca="false">+I851*(1+I$8/12)</f>
        <v>0.0334468833097889</v>
      </c>
      <c r="J852" s="105"/>
      <c r="K852" s="105"/>
      <c r="L852" s="105"/>
      <c r="M852" s="105"/>
      <c r="N852" s="106"/>
    </row>
    <row r="853" customFormat="false" ht="12.75" hidden="false" customHeight="false" outlineLevel="0" collapsed="false">
      <c r="H853" s="83" t="n">
        <f aca="false">+H545</f>
        <v>43556</v>
      </c>
      <c r="I853" s="117" t="n">
        <f aca="false">+I852*(1+I$8/12)</f>
        <v>0.0334817238132366</v>
      </c>
      <c r="J853" s="105"/>
      <c r="K853" s="105"/>
      <c r="L853" s="105"/>
      <c r="M853" s="105"/>
      <c r="N853" s="106"/>
    </row>
    <row r="854" customFormat="false" ht="12.75" hidden="false" customHeight="false" outlineLevel="0" collapsed="false">
      <c r="H854" s="83" t="n">
        <f aca="false">+H546</f>
        <v>43586</v>
      </c>
      <c r="I854" s="117" t="n">
        <f aca="false">+I853*(1+I$8/12)</f>
        <v>0.0335166006088754</v>
      </c>
      <c r="J854" s="105"/>
      <c r="K854" s="105"/>
      <c r="L854" s="105"/>
      <c r="M854" s="105"/>
      <c r="N854" s="106"/>
    </row>
    <row r="855" customFormat="false" ht="12.75" hidden="false" customHeight="false" outlineLevel="0" collapsed="false">
      <c r="H855" s="83" t="n">
        <f aca="false">+H547</f>
        <v>43617</v>
      </c>
      <c r="I855" s="117" t="n">
        <f aca="false">+I854*(1+I$8/12)</f>
        <v>0.0335515137345096</v>
      </c>
      <c r="J855" s="105"/>
      <c r="K855" s="105"/>
      <c r="L855" s="105"/>
      <c r="M855" s="105"/>
      <c r="N855" s="106"/>
    </row>
    <row r="856" customFormat="false" ht="12.75" hidden="false" customHeight="false" outlineLevel="0" collapsed="false">
      <c r="H856" s="83" t="n">
        <f aca="false">+H548</f>
        <v>43647</v>
      </c>
      <c r="I856" s="117" t="n">
        <f aca="false">+I855*(1+I$8/12)</f>
        <v>0.0335864632279831</v>
      </c>
      <c r="J856" s="105"/>
      <c r="K856" s="105"/>
      <c r="L856" s="105"/>
      <c r="M856" s="105"/>
      <c r="N856" s="106"/>
    </row>
    <row r="857" customFormat="false" ht="12.75" hidden="false" customHeight="false" outlineLevel="0" collapsed="false">
      <c r="H857" s="83" t="n">
        <f aca="false">+H549</f>
        <v>43678</v>
      </c>
      <c r="I857" s="117" t="n">
        <f aca="false">+I856*(1+I$8/12)</f>
        <v>0.0336214491271789</v>
      </c>
      <c r="J857" s="105"/>
      <c r="K857" s="105"/>
      <c r="L857" s="105"/>
      <c r="M857" s="105"/>
      <c r="N857" s="106"/>
    </row>
    <row r="858" customFormat="false" ht="12.75" hidden="false" customHeight="false" outlineLevel="0" collapsed="false">
      <c r="H858" s="83" t="n">
        <f aca="false">+H550</f>
        <v>43709</v>
      </c>
      <c r="I858" s="117" t="n">
        <f aca="false">+I857*(1+I$8/12)</f>
        <v>0.0336564714700197</v>
      </c>
      <c r="J858" s="105"/>
      <c r="K858" s="105"/>
      <c r="L858" s="105"/>
      <c r="M858" s="105"/>
      <c r="N858" s="106"/>
    </row>
    <row r="859" customFormat="false" ht="12.75" hidden="false" customHeight="false" outlineLevel="0" collapsed="false">
      <c r="H859" s="83" t="n">
        <f aca="false">+H551</f>
        <v>43739</v>
      </c>
      <c r="I859" s="117" t="n">
        <f aca="false">+I858*(1+I$8/12)</f>
        <v>0.0336915302944677</v>
      </c>
      <c r="J859" s="105"/>
      <c r="K859" s="105"/>
      <c r="L859" s="105"/>
      <c r="M859" s="105"/>
      <c r="N859" s="106"/>
    </row>
    <row r="860" customFormat="false" ht="12.75" hidden="false" customHeight="false" outlineLevel="0" collapsed="false">
      <c r="H860" s="83" t="n">
        <f aca="false">+H552</f>
        <v>43770</v>
      </c>
      <c r="I860" s="117" t="n">
        <f aca="false">+I859*(1+I$8/12)</f>
        <v>0.0337266256385244</v>
      </c>
      <c r="J860" s="105"/>
      <c r="K860" s="105"/>
      <c r="L860" s="105"/>
      <c r="M860" s="105"/>
      <c r="N860" s="106"/>
    </row>
    <row r="861" customFormat="false" ht="12.75" hidden="false" customHeight="false" outlineLevel="0" collapsed="false">
      <c r="H861" s="83" t="n">
        <f aca="false">+H553</f>
        <v>43800</v>
      </c>
      <c r="I861" s="117" t="n">
        <f aca="false">+I860*(1+I$8/12)</f>
        <v>0.0337617575402312</v>
      </c>
      <c r="J861" s="105"/>
      <c r="K861" s="105"/>
      <c r="L861" s="105"/>
      <c r="M861" s="105"/>
      <c r="N861" s="106"/>
    </row>
    <row r="862" customFormat="false" ht="12.75" hidden="false" customHeight="false" outlineLevel="0" collapsed="false">
      <c r="H862" s="83" t="n">
        <f aca="false">+H554</f>
        <v>43831</v>
      </c>
      <c r="I862" s="117" t="n">
        <f aca="false">+I861*(1+I$8/12)</f>
        <v>0.0337969260376689</v>
      </c>
      <c r="J862" s="105"/>
      <c r="K862" s="105"/>
      <c r="L862" s="105"/>
      <c r="M862" s="105"/>
      <c r="N862" s="106"/>
    </row>
    <row r="863" customFormat="false" ht="12.75" hidden="false" customHeight="false" outlineLevel="0" collapsed="false">
      <c r="H863" s="83" t="n">
        <f aca="false">+H555</f>
        <v>43862</v>
      </c>
      <c r="I863" s="117" t="n">
        <f aca="false">+I862*(1+I$8/12)</f>
        <v>0.0338321311689582</v>
      </c>
      <c r="J863" s="105"/>
      <c r="K863" s="105"/>
      <c r="L863" s="105"/>
      <c r="M863" s="105"/>
      <c r="N863" s="106"/>
    </row>
    <row r="864" customFormat="false" ht="12.75" hidden="false" customHeight="false" outlineLevel="0" collapsed="false">
      <c r="H864" s="83" t="n">
        <f aca="false">+H556</f>
        <v>43891</v>
      </c>
      <c r="I864" s="117" t="n">
        <f aca="false">+I863*(1+I$8/12)</f>
        <v>0.0338673729722592</v>
      </c>
      <c r="J864" s="105"/>
      <c r="K864" s="105"/>
      <c r="L864" s="105"/>
      <c r="M864" s="105"/>
      <c r="N864" s="106"/>
    </row>
    <row r="865" customFormat="false" ht="12.75" hidden="false" customHeight="false" outlineLevel="0" collapsed="false">
      <c r="H865" s="83" t="n">
        <f aca="false">+H557</f>
        <v>43922</v>
      </c>
      <c r="I865" s="117" t="n">
        <f aca="false">+I864*(1+I$8/12)</f>
        <v>0.0339026514857719</v>
      </c>
      <c r="J865" s="105"/>
      <c r="K865" s="105"/>
      <c r="L865" s="105"/>
      <c r="M865" s="105"/>
      <c r="N865" s="106"/>
    </row>
    <row r="866" customFormat="false" ht="12.75" hidden="false" customHeight="false" outlineLevel="0" collapsed="false">
      <c r="H866" s="83" t="n">
        <f aca="false">+H558</f>
        <v>43952</v>
      </c>
      <c r="I866" s="117" t="n">
        <f aca="false">+I865*(1+I$8/12)</f>
        <v>0.0339379667477363</v>
      </c>
      <c r="J866" s="105"/>
      <c r="K866" s="105"/>
      <c r="L866" s="105"/>
      <c r="M866" s="105"/>
      <c r="N866" s="106"/>
    </row>
    <row r="867" customFormat="false" ht="12.75" hidden="false" customHeight="false" outlineLevel="0" collapsed="false">
      <c r="H867" s="83" t="n">
        <f aca="false">+H559</f>
        <v>43983</v>
      </c>
      <c r="I867" s="117" t="n">
        <f aca="false">+I866*(1+I$8/12)</f>
        <v>0.0339733187964318</v>
      </c>
      <c r="J867" s="105"/>
      <c r="K867" s="105"/>
      <c r="L867" s="105"/>
      <c r="M867" s="105"/>
      <c r="N867" s="106"/>
    </row>
    <row r="868" customFormat="false" ht="12.75" hidden="false" customHeight="false" outlineLevel="0" collapsed="false">
      <c r="H868" s="83" t="n">
        <f aca="false">+H560</f>
        <v>44013</v>
      </c>
      <c r="I868" s="117" t="n">
        <f aca="false">+I867*(1+I$8/12)</f>
        <v>0.0340087076701781</v>
      </c>
      <c r="J868" s="105"/>
      <c r="K868" s="105"/>
      <c r="L868" s="105"/>
      <c r="M868" s="105"/>
      <c r="N868" s="106"/>
    </row>
    <row r="869" customFormat="false" ht="12.75" hidden="false" customHeight="false" outlineLevel="0" collapsed="false">
      <c r="H869" s="83" t="n">
        <f aca="false">+H561</f>
        <v>44044</v>
      </c>
      <c r="I869" s="117" t="n">
        <f aca="false">+I868*(1+I$8/12)</f>
        <v>0.0340441334073345</v>
      </c>
      <c r="J869" s="105"/>
      <c r="K869" s="105"/>
      <c r="L869" s="105"/>
      <c r="M869" s="105"/>
      <c r="N869" s="106"/>
    </row>
    <row r="870" customFormat="false" ht="12.75" hidden="false" customHeight="false" outlineLevel="0" collapsed="false">
      <c r="H870" s="83" t="n">
        <f aca="false">+H562</f>
        <v>44075</v>
      </c>
      <c r="I870" s="117" t="n">
        <f aca="false">+I869*(1+I$8/12)</f>
        <v>0.0340795960463005</v>
      </c>
      <c r="J870" s="105"/>
      <c r="K870" s="105"/>
      <c r="L870" s="105"/>
      <c r="M870" s="105"/>
      <c r="N870" s="106"/>
    </row>
    <row r="871" customFormat="false" ht="12.75" hidden="false" customHeight="false" outlineLevel="0" collapsed="false">
      <c r="H871" s="83" t="n">
        <f aca="false">+H563</f>
        <v>44105</v>
      </c>
      <c r="I871" s="117" t="n">
        <f aca="false">+I870*(1+I$8/12)</f>
        <v>0.0341150956255154</v>
      </c>
      <c r="J871" s="105"/>
      <c r="K871" s="105"/>
      <c r="L871" s="105"/>
      <c r="M871" s="105"/>
      <c r="N871" s="106"/>
    </row>
    <row r="872" customFormat="false" ht="12.75" hidden="false" customHeight="false" outlineLevel="0" collapsed="false">
      <c r="H872" s="83" t="n">
        <f aca="false">+H564</f>
        <v>44136</v>
      </c>
      <c r="I872" s="117" t="n">
        <f aca="false">+I871*(1+I$8/12)</f>
        <v>0.0341506321834586</v>
      </c>
      <c r="J872" s="105"/>
      <c r="K872" s="105"/>
      <c r="L872" s="105"/>
      <c r="M872" s="105"/>
      <c r="N872" s="106"/>
    </row>
    <row r="873" customFormat="false" ht="12.75" hidden="false" customHeight="false" outlineLevel="0" collapsed="false">
      <c r="H873" s="83" t="n">
        <f aca="false">+H565</f>
        <v>44166</v>
      </c>
      <c r="I873" s="117" t="n">
        <f aca="false">+I872*(1+I$8/12)</f>
        <v>0.0341862057586497</v>
      </c>
      <c r="J873" s="105"/>
      <c r="K873" s="105"/>
      <c r="L873" s="105"/>
      <c r="M873" s="105"/>
      <c r="N873" s="106"/>
    </row>
    <row r="874" customFormat="false" ht="12.75" hidden="false" customHeight="false" outlineLevel="0" collapsed="false">
      <c r="H874" s="83" t="n">
        <f aca="false">+H566</f>
        <v>44197</v>
      </c>
      <c r="I874" s="117" t="n">
        <f aca="false">+I873*(1+I$8/12)</f>
        <v>0.0342218163896483</v>
      </c>
      <c r="J874" s="105"/>
      <c r="K874" s="105"/>
      <c r="L874" s="105"/>
      <c r="M874" s="105"/>
      <c r="N874" s="106"/>
    </row>
    <row r="875" customFormat="false" ht="12.75" hidden="false" customHeight="false" outlineLevel="0" collapsed="false">
      <c r="H875" s="83" t="n">
        <f aca="false">+H567</f>
        <v>44228</v>
      </c>
      <c r="I875" s="117" t="n">
        <f aca="false">+I874*(1+I$8/12)</f>
        <v>0.0342574641150542</v>
      </c>
      <c r="J875" s="105"/>
      <c r="K875" s="105"/>
      <c r="L875" s="105"/>
      <c r="M875" s="105"/>
      <c r="N875" s="106"/>
    </row>
    <row r="876" customFormat="false" ht="12.75" hidden="false" customHeight="false" outlineLevel="0" collapsed="false">
      <c r="H876" s="83" t="n">
        <f aca="false">+H568</f>
        <v>44256</v>
      </c>
      <c r="I876" s="117" t="n">
        <f aca="false">+I875*(1+I$8/12)</f>
        <v>0.0342931489735074</v>
      </c>
      <c r="J876" s="105"/>
      <c r="K876" s="105"/>
      <c r="L876" s="105"/>
      <c r="M876" s="105"/>
      <c r="N876" s="106"/>
    </row>
    <row r="877" customFormat="false" ht="12.75" hidden="false" customHeight="false" outlineLevel="0" collapsed="false">
      <c r="H877" s="83" t="n">
        <f aca="false">+H569</f>
        <v>44287</v>
      </c>
      <c r="I877" s="117" t="n">
        <f aca="false">+I876*(1+I$8/12)</f>
        <v>0.0343288710036881</v>
      </c>
      <c r="J877" s="105"/>
      <c r="K877" s="105"/>
      <c r="L877" s="105"/>
      <c r="M877" s="105"/>
      <c r="N877" s="106"/>
    </row>
    <row r="878" customFormat="false" ht="12.75" hidden="false" customHeight="false" outlineLevel="0" collapsed="false">
      <c r="H878" s="83" t="n">
        <f aca="false">+H570</f>
        <v>44317</v>
      </c>
      <c r="I878" s="117" t="n">
        <f aca="false">+I877*(1+I$8/12)</f>
        <v>0.034364630244317</v>
      </c>
      <c r="J878" s="105"/>
      <c r="K878" s="105"/>
      <c r="L878" s="105"/>
      <c r="M878" s="105"/>
      <c r="N878" s="106"/>
    </row>
    <row r="879" customFormat="false" ht="12.75" hidden="false" customHeight="false" outlineLevel="0" collapsed="false">
      <c r="H879" s="83" t="n">
        <f aca="false">+H571</f>
        <v>44348</v>
      </c>
      <c r="I879" s="117" t="n">
        <f aca="false">+I878*(1+I$8/12)</f>
        <v>0.0344004267341548</v>
      </c>
      <c r="J879" s="105"/>
      <c r="K879" s="105"/>
      <c r="L879" s="105"/>
      <c r="M879" s="105"/>
      <c r="N879" s="106"/>
    </row>
    <row r="880" customFormat="false" ht="12.75" hidden="false" customHeight="false" outlineLevel="0" collapsed="false">
      <c r="H880" s="83" t="n">
        <f aca="false">+H572</f>
        <v>44378</v>
      </c>
      <c r="I880" s="117" t="n">
        <f aca="false">+I879*(1+I$8/12)</f>
        <v>0.0344362605120029</v>
      </c>
      <c r="J880" s="105"/>
      <c r="K880" s="105"/>
      <c r="L880" s="105"/>
      <c r="M880" s="105"/>
      <c r="N880" s="106"/>
    </row>
    <row r="881" customFormat="false" ht="12.75" hidden="false" customHeight="false" outlineLevel="0" collapsed="false">
      <c r="H881" s="83" t="n">
        <f aca="false">+H573</f>
        <v>44409</v>
      </c>
      <c r="I881" s="117" t="n">
        <f aca="false">+I880*(1+I$8/12)</f>
        <v>0.0344721316167029</v>
      </c>
      <c r="J881" s="105"/>
      <c r="K881" s="105"/>
      <c r="L881" s="105"/>
      <c r="M881" s="105"/>
      <c r="N881" s="106"/>
    </row>
    <row r="882" customFormat="false" ht="12.75" hidden="false" customHeight="false" outlineLevel="0" collapsed="false">
      <c r="H882" s="83" t="n">
        <f aca="false">+H574</f>
        <v>44440</v>
      </c>
      <c r="I882" s="117" t="n">
        <f aca="false">+I881*(1+I$8/12)</f>
        <v>0.0345080400871369</v>
      </c>
      <c r="J882" s="105"/>
      <c r="K882" s="105"/>
      <c r="L882" s="105"/>
      <c r="M882" s="105"/>
      <c r="N882" s="106"/>
    </row>
    <row r="883" customFormat="false" ht="12.75" hidden="false" customHeight="false" outlineLevel="0" collapsed="false">
      <c r="H883" s="83" t="n">
        <f aca="false">+H575</f>
        <v>44470</v>
      </c>
      <c r="I883" s="117" t="n">
        <f aca="false">+I882*(1+I$8/12)</f>
        <v>0.0345439859622277</v>
      </c>
      <c r="J883" s="105"/>
      <c r="K883" s="105"/>
      <c r="L883" s="105"/>
      <c r="M883" s="105"/>
      <c r="N883" s="106"/>
    </row>
    <row r="884" customFormat="false" ht="12.75" hidden="false" customHeight="false" outlineLevel="0" collapsed="false">
      <c r="H884" s="83" t="n">
        <f aca="false">+H576</f>
        <v>44501</v>
      </c>
      <c r="I884" s="117" t="n">
        <f aca="false">+I883*(1+I$8/12)</f>
        <v>0.0345799692809383</v>
      </c>
      <c r="J884" s="105"/>
      <c r="K884" s="105"/>
      <c r="L884" s="105"/>
      <c r="M884" s="105"/>
      <c r="N884" s="106"/>
    </row>
    <row r="885" customFormat="false" ht="12.75" hidden="false" customHeight="false" outlineLevel="0" collapsed="false">
      <c r="H885" s="83" t="n">
        <f aca="false">+H577</f>
        <v>44531</v>
      </c>
      <c r="I885" s="117" t="n">
        <f aca="false">+I884*(1+I$8/12)</f>
        <v>0.0346159900822727</v>
      </c>
      <c r="J885" s="105"/>
      <c r="K885" s="105"/>
      <c r="L885" s="105"/>
      <c r="M885" s="105"/>
      <c r="N885" s="106"/>
    </row>
    <row r="886" customFormat="false" ht="12.75" hidden="false" customHeight="false" outlineLevel="0" collapsed="false">
      <c r="H886" s="83" t="n">
        <f aca="false">+H578</f>
        <v>44562</v>
      </c>
      <c r="I886" s="117" t="n">
        <f aca="false">+I885*(1+I$8/12)</f>
        <v>0.034652048405275</v>
      </c>
      <c r="J886" s="105"/>
      <c r="K886" s="105"/>
      <c r="L886" s="105"/>
      <c r="M886" s="105"/>
      <c r="N886" s="106"/>
    </row>
    <row r="887" customFormat="false" ht="12.75" hidden="false" customHeight="false" outlineLevel="0" collapsed="false">
      <c r="H887" s="83" t="n">
        <f aca="false">+H579</f>
        <v>44593</v>
      </c>
      <c r="I887" s="117" t="n">
        <f aca="false">+I886*(1+I$8/12)</f>
        <v>0.0346881442890305</v>
      </c>
      <c r="J887" s="105"/>
      <c r="K887" s="105"/>
      <c r="L887" s="105"/>
      <c r="M887" s="105"/>
      <c r="N887" s="106"/>
    </row>
    <row r="888" customFormat="false" ht="12.75" hidden="false" customHeight="false" outlineLevel="0" collapsed="false">
      <c r="H888" s="83" t="n">
        <f aca="false">+H580</f>
        <v>44621</v>
      </c>
      <c r="I888" s="117" t="n">
        <f aca="false">+I887*(1+I$8/12)</f>
        <v>0.0347242777726649</v>
      </c>
      <c r="J888" s="105"/>
      <c r="K888" s="105"/>
      <c r="L888" s="105"/>
      <c r="M888" s="105"/>
      <c r="N888" s="106"/>
    </row>
    <row r="889" customFormat="false" ht="12.75" hidden="false" customHeight="false" outlineLevel="0" collapsed="false">
      <c r="H889" s="83" t="n">
        <f aca="false">+H581</f>
        <v>44652</v>
      </c>
      <c r="I889" s="117" t="n">
        <f aca="false">+I888*(1+I$8/12)</f>
        <v>0.0347604488953448</v>
      </c>
      <c r="J889" s="105"/>
      <c r="K889" s="105"/>
      <c r="L889" s="105"/>
      <c r="M889" s="105"/>
      <c r="N889" s="106"/>
    </row>
    <row r="890" customFormat="false" ht="12.75" hidden="false" customHeight="false" outlineLevel="0" collapsed="false">
      <c r="H890" s="83" t="n">
        <f aca="false">+H582</f>
        <v>44682</v>
      </c>
      <c r="I890" s="117" t="n">
        <f aca="false">+I889*(1+I$8/12)</f>
        <v>0.0347966576962774</v>
      </c>
      <c r="J890" s="105"/>
      <c r="K890" s="105"/>
      <c r="L890" s="105"/>
      <c r="M890" s="105"/>
      <c r="N890" s="106"/>
    </row>
    <row r="891" customFormat="false" ht="12.75" hidden="false" customHeight="false" outlineLevel="0" collapsed="false">
      <c r="H891" s="83" t="n">
        <f aca="false">+H583</f>
        <v>44713</v>
      </c>
      <c r="I891" s="117" t="n">
        <f aca="false">+I890*(1+I$8/12)</f>
        <v>0.034832904214711</v>
      </c>
      <c r="J891" s="105"/>
      <c r="K891" s="105"/>
      <c r="L891" s="105"/>
      <c r="M891" s="105"/>
      <c r="N891" s="106"/>
    </row>
    <row r="892" customFormat="false" ht="12.75" hidden="false" customHeight="false" outlineLevel="0" collapsed="false">
      <c r="H892" s="83" t="n">
        <f aca="false">+H584</f>
        <v>44743</v>
      </c>
      <c r="I892" s="117" t="n">
        <f aca="false">+I891*(1+I$8/12)</f>
        <v>0.0348691884899347</v>
      </c>
      <c r="J892" s="105"/>
      <c r="K892" s="105"/>
      <c r="L892" s="105"/>
      <c r="M892" s="105"/>
      <c r="N892" s="106"/>
    </row>
    <row r="893" customFormat="false" ht="12.75" hidden="false" customHeight="false" outlineLevel="0" collapsed="false">
      <c r="H893" s="83" t="n">
        <f aca="false">+H585</f>
        <v>44774</v>
      </c>
      <c r="I893" s="117" t="n">
        <f aca="false">+I892*(1+I$8/12)</f>
        <v>0.0349055105612784</v>
      </c>
      <c r="J893" s="105"/>
      <c r="K893" s="105"/>
      <c r="L893" s="105"/>
      <c r="M893" s="105"/>
      <c r="N893" s="106"/>
    </row>
    <row r="894" customFormat="false" ht="12.75" hidden="false" customHeight="false" outlineLevel="0" collapsed="false">
      <c r="H894" s="83" t="n">
        <f aca="false">+H586</f>
        <v>44805</v>
      </c>
      <c r="I894" s="117" t="n">
        <f aca="false">+I893*(1+I$8/12)</f>
        <v>0.034941870468113</v>
      </c>
      <c r="J894" s="105"/>
      <c r="K894" s="105"/>
      <c r="L894" s="105"/>
      <c r="M894" s="105"/>
      <c r="N894" s="106"/>
    </row>
    <row r="895" customFormat="false" ht="12.75" hidden="false" customHeight="false" outlineLevel="0" collapsed="false">
      <c r="H895" s="83" t="n">
        <f aca="false">+H587</f>
        <v>44835</v>
      </c>
      <c r="I895" s="117" t="n">
        <f aca="false">+I894*(1+I$8/12)</f>
        <v>0.0349782682498507</v>
      </c>
      <c r="J895" s="105"/>
      <c r="K895" s="105"/>
      <c r="L895" s="105"/>
      <c r="M895" s="105"/>
      <c r="N895" s="106"/>
    </row>
    <row r="896" customFormat="false" ht="12.75" hidden="false" customHeight="false" outlineLevel="0" collapsed="false">
      <c r="H896" s="83" t="n">
        <f aca="false">+H588</f>
        <v>44866</v>
      </c>
      <c r="I896" s="117" t="n">
        <f aca="false">+I895*(1+I$8/12)</f>
        <v>0.0350147039459442</v>
      </c>
      <c r="J896" s="105"/>
      <c r="K896" s="105"/>
      <c r="L896" s="105"/>
      <c r="M896" s="105"/>
      <c r="N896" s="106"/>
    </row>
    <row r="897" customFormat="false" ht="12.75" hidden="false" customHeight="false" outlineLevel="0" collapsed="false">
      <c r="H897" s="83" t="n">
        <f aca="false">+H589</f>
        <v>44896</v>
      </c>
      <c r="I897" s="117" t="n">
        <f aca="false">+I896*(1+I$8/12)</f>
        <v>0.0350511775958879</v>
      </c>
      <c r="J897" s="105"/>
      <c r="K897" s="105"/>
      <c r="L897" s="105"/>
      <c r="M897" s="105"/>
      <c r="N897" s="106"/>
    </row>
    <row r="898" customFormat="false" ht="12.75" hidden="false" customHeight="false" outlineLevel="0" collapsed="false">
      <c r="H898" s="83" t="n">
        <f aca="false">+H590</f>
        <v>44927</v>
      </c>
      <c r="I898" s="117" t="n">
        <f aca="false">+I897*(1+I$8/12)</f>
        <v>0.035087689239217</v>
      </c>
      <c r="J898" s="105"/>
      <c r="K898" s="105"/>
      <c r="L898" s="105"/>
      <c r="M898" s="105"/>
      <c r="N898" s="106"/>
    </row>
    <row r="899" customFormat="false" ht="12.75" hidden="false" customHeight="false" outlineLevel="0" collapsed="false">
      <c r="H899" s="83" t="n">
        <f aca="false">+H591</f>
        <v>44958</v>
      </c>
      <c r="I899" s="117" t="n">
        <f aca="false">+I898*(1+I$8/12)</f>
        <v>0.0351242389155078</v>
      </c>
      <c r="J899" s="105"/>
      <c r="K899" s="105"/>
      <c r="L899" s="105"/>
      <c r="M899" s="105"/>
      <c r="N899" s="106"/>
    </row>
    <row r="900" customFormat="false" ht="12.75" hidden="false" customHeight="false" outlineLevel="0" collapsed="false">
      <c r="H900" s="83" t="n">
        <f aca="false">+H592</f>
        <v>44986</v>
      </c>
      <c r="I900" s="117" t="n">
        <f aca="false">+I899*(1+I$8/12)</f>
        <v>0.0351608266643781</v>
      </c>
      <c r="J900" s="105"/>
      <c r="K900" s="105"/>
      <c r="L900" s="105"/>
      <c r="M900" s="105"/>
      <c r="N900" s="106"/>
    </row>
    <row r="901" customFormat="false" ht="12.75" hidden="false" customHeight="false" outlineLevel="0" collapsed="false">
      <c r="H901" s="83" t="n">
        <f aca="false">+H593</f>
        <v>45017</v>
      </c>
      <c r="I901" s="117" t="n">
        <f aca="false">+I900*(1+I$8/12)</f>
        <v>0.0351974525254869</v>
      </c>
      <c r="J901" s="105"/>
      <c r="K901" s="105"/>
      <c r="L901" s="105"/>
      <c r="M901" s="105"/>
      <c r="N901" s="106"/>
    </row>
    <row r="902" customFormat="false" ht="12.75" hidden="false" customHeight="false" outlineLevel="0" collapsed="false">
      <c r="H902" s="83" t="n">
        <f aca="false">+H594</f>
        <v>45047</v>
      </c>
      <c r="I902" s="117" t="n">
        <f aca="false">+I901*(1+I$8/12)</f>
        <v>0.0352341165385343</v>
      </c>
      <c r="J902" s="105"/>
      <c r="K902" s="105"/>
      <c r="L902" s="105"/>
      <c r="M902" s="105"/>
      <c r="N902" s="106"/>
    </row>
    <row r="903" customFormat="false" ht="12.75" hidden="false" customHeight="false" outlineLevel="0" collapsed="false">
      <c r="H903" s="83" t="n">
        <f aca="false">+H595</f>
        <v>45078</v>
      </c>
      <c r="I903" s="117" t="n">
        <f aca="false">+I902*(1+I$8/12)</f>
        <v>0.0352708187432619</v>
      </c>
      <c r="J903" s="105"/>
      <c r="K903" s="105"/>
      <c r="L903" s="105"/>
      <c r="M903" s="105"/>
      <c r="N903" s="106"/>
    </row>
    <row r="904" customFormat="false" ht="12.75" hidden="false" customHeight="false" outlineLevel="0" collapsed="false">
      <c r="H904" s="83" t="n">
        <f aca="false">+H596</f>
        <v>45108</v>
      </c>
      <c r="I904" s="117" t="n">
        <f aca="false">+I903*(1+I$8/12)</f>
        <v>0.0353075591794528</v>
      </c>
      <c r="J904" s="105"/>
      <c r="K904" s="105"/>
      <c r="L904" s="105"/>
      <c r="M904" s="105"/>
      <c r="N904" s="106"/>
    </row>
    <row r="905" customFormat="false" ht="12.75" hidden="false" customHeight="false" outlineLevel="0" collapsed="false">
      <c r="H905" s="83" t="n">
        <f aca="false">+H597</f>
        <v>45139</v>
      </c>
      <c r="I905" s="117" t="n">
        <f aca="false">+I904*(1+I$8/12)</f>
        <v>0.0353443378869314</v>
      </c>
      <c r="J905" s="105"/>
      <c r="K905" s="105"/>
      <c r="L905" s="105"/>
      <c r="M905" s="105"/>
      <c r="N905" s="106"/>
    </row>
    <row r="906" customFormat="false" ht="12.75" hidden="false" customHeight="false" outlineLevel="0" collapsed="false">
      <c r="H906" s="83" t="n">
        <f aca="false">+H598</f>
        <v>45170</v>
      </c>
      <c r="I906" s="117" t="n">
        <f aca="false">+I905*(1+I$8/12)</f>
        <v>0.0353811549055636</v>
      </c>
      <c r="J906" s="105"/>
      <c r="K906" s="105"/>
      <c r="L906" s="105"/>
      <c r="M906" s="105"/>
      <c r="N906" s="106"/>
    </row>
    <row r="907" customFormat="false" ht="12.75" hidden="false" customHeight="false" outlineLevel="0" collapsed="false">
      <c r="H907" s="83" t="n">
        <f aca="false">+H599</f>
        <v>45200</v>
      </c>
      <c r="I907" s="117" t="n">
        <f aca="false">+I906*(1+I$8/12)</f>
        <v>0.0354180102752569</v>
      </c>
      <c r="J907" s="105"/>
      <c r="K907" s="105"/>
      <c r="L907" s="105"/>
      <c r="M907" s="105"/>
      <c r="N907" s="106"/>
    </row>
    <row r="908" customFormat="false" ht="12.75" hidden="false" customHeight="false" outlineLevel="0" collapsed="false">
      <c r="H908" s="83" t="n">
        <f aca="false">+H600</f>
        <v>45231</v>
      </c>
      <c r="I908" s="117" t="n">
        <f aca="false">+I907*(1+I$8/12)</f>
        <v>0.0354549040359603</v>
      </c>
      <c r="J908" s="105"/>
      <c r="K908" s="105"/>
      <c r="L908" s="105"/>
      <c r="M908" s="105"/>
      <c r="N908" s="106"/>
    </row>
    <row r="909" customFormat="false" ht="12.75" hidden="false" customHeight="false" outlineLevel="0" collapsed="false">
      <c r="H909" s="83" t="n">
        <f aca="false">+H601</f>
        <v>45261</v>
      </c>
      <c r="I909" s="117" t="n">
        <f aca="false">+I908*(1+I$8/12)</f>
        <v>0.0354918362276644</v>
      </c>
      <c r="J909" s="105"/>
      <c r="K909" s="105"/>
      <c r="L909" s="105"/>
      <c r="M909" s="105"/>
      <c r="N909" s="106"/>
    </row>
    <row r="910" customFormat="false" ht="12.75" hidden="false" customHeight="false" outlineLevel="0" collapsed="false">
      <c r="H910" s="83" t="n">
        <f aca="false">+H602</f>
        <v>45292</v>
      </c>
      <c r="I910" s="117" t="n">
        <f aca="false">+I909*(1+I$8/12)</f>
        <v>0.0355288068904016</v>
      </c>
      <c r="J910" s="105"/>
      <c r="K910" s="105"/>
      <c r="L910" s="105"/>
      <c r="M910" s="105"/>
      <c r="N910" s="106"/>
    </row>
    <row r="911" customFormat="false" ht="12.75" hidden="false" customHeight="false" outlineLevel="0" collapsed="false">
      <c r="H911" s="83" t="n">
        <f aca="false">+H603</f>
        <v>45323</v>
      </c>
      <c r="I911" s="117" t="n">
        <f aca="false">+I910*(1+I$8/12)</f>
        <v>0.0355658160642457</v>
      </c>
      <c r="J911" s="105"/>
      <c r="K911" s="105"/>
      <c r="L911" s="105"/>
      <c r="M911" s="105"/>
      <c r="N911" s="106"/>
    </row>
    <row r="912" customFormat="false" ht="12.75" hidden="false" customHeight="false" outlineLevel="0" collapsed="false">
      <c r="H912" s="83" t="n">
        <f aca="false">+H604</f>
        <v>45352</v>
      </c>
      <c r="I912" s="117" t="n">
        <f aca="false">+I911*(1+I$8/12)</f>
        <v>0.0356028637893126</v>
      </c>
      <c r="J912" s="105"/>
      <c r="K912" s="105"/>
      <c r="L912" s="105"/>
      <c r="M912" s="105"/>
      <c r="N912" s="106"/>
    </row>
    <row r="913" customFormat="false" ht="12.75" hidden="false" customHeight="false" outlineLevel="0" collapsed="false">
      <c r="H913" s="83" t="n">
        <f aca="false">+H605</f>
        <v>45383</v>
      </c>
      <c r="I913" s="117" t="n">
        <f aca="false">+I912*(1+I$8/12)</f>
        <v>0.0356399501057598</v>
      </c>
      <c r="J913" s="105"/>
      <c r="K913" s="105"/>
      <c r="L913" s="105"/>
      <c r="M913" s="105"/>
      <c r="N913" s="106"/>
    </row>
    <row r="914" customFormat="false" ht="12.75" hidden="false" customHeight="false" outlineLevel="0" collapsed="false">
      <c r="H914" s="83" t="n">
        <f aca="false">+H606</f>
        <v>45413</v>
      </c>
      <c r="I914" s="117" t="n">
        <f aca="false">+I913*(1+I$8/12)</f>
        <v>0.0356770750537867</v>
      </c>
      <c r="J914" s="105"/>
      <c r="K914" s="105"/>
      <c r="L914" s="105"/>
      <c r="M914" s="105"/>
      <c r="N914" s="106"/>
    </row>
    <row r="915" customFormat="false" ht="12.75" hidden="false" customHeight="false" outlineLevel="0" collapsed="false">
      <c r="H915" s="83" t="n">
        <f aca="false">+H607</f>
        <v>45444</v>
      </c>
      <c r="I915" s="117" t="n">
        <f aca="false">+I914*(1+I$8/12)</f>
        <v>0.0357142386736344</v>
      </c>
      <c r="J915" s="105"/>
      <c r="K915" s="105"/>
      <c r="L915" s="105"/>
      <c r="M915" s="105"/>
      <c r="N915" s="106"/>
    </row>
    <row r="916" customFormat="false" ht="12.75" hidden="false" customHeight="false" outlineLevel="0" collapsed="false">
      <c r="H916" s="83" t="n">
        <f aca="false">+H608</f>
        <v>45474</v>
      </c>
      <c r="I916" s="117" t="n">
        <f aca="false">+I915*(1+I$8/12)</f>
        <v>0.0357514410055861</v>
      </c>
      <c r="J916" s="105"/>
      <c r="K916" s="105"/>
      <c r="L916" s="105"/>
      <c r="M916" s="105"/>
      <c r="N916" s="106"/>
    </row>
    <row r="917" customFormat="false" ht="12.75" hidden="false" customHeight="false" outlineLevel="0" collapsed="false">
      <c r="H917" s="83" t="n">
        <f aca="false">+H609</f>
        <v>45505</v>
      </c>
      <c r="I917" s="117" t="n">
        <f aca="false">+I916*(1+I$8/12)</f>
        <v>0.0357886820899669</v>
      </c>
      <c r="J917" s="105"/>
      <c r="K917" s="105"/>
      <c r="L917" s="105"/>
      <c r="M917" s="105"/>
      <c r="N917" s="106"/>
    </row>
    <row r="918" customFormat="false" ht="12.75" hidden="false" customHeight="false" outlineLevel="0" collapsed="false">
      <c r="H918" s="83" t="n">
        <f aca="false">+H610</f>
        <v>45536</v>
      </c>
      <c r="I918" s="117" t="n">
        <f aca="false">+I917*(1+I$8/12)</f>
        <v>0.0358259619671439</v>
      </c>
      <c r="J918" s="105"/>
      <c r="K918" s="105"/>
      <c r="L918" s="105"/>
      <c r="M918" s="105"/>
      <c r="N918" s="106"/>
    </row>
    <row r="919" customFormat="false" ht="12.75" hidden="false" customHeight="false" outlineLevel="0" collapsed="false">
      <c r="H919" s="83" t="n">
        <f aca="false">+H611</f>
        <v>45566</v>
      </c>
      <c r="I919" s="117" t="n">
        <f aca="false">+I918*(1+I$8/12)</f>
        <v>0.0358632806775264</v>
      </c>
      <c r="J919" s="105"/>
      <c r="K919" s="105"/>
      <c r="L919" s="105"/>
      <c r="M919" s="105"/>
      <c r="N919" s="106"/>
    </row>
    <row r="920" customFormat="false" ht="12.75" hidden="false" customHeight="false" outlineLevel="0" collapsed="false">
      <c r="H920" s="83" t="n">
        <f aca="false">+H612</f>
        <v>45597</v>
      </c>
      <c r="I920" s="117" t="n">
        <f aca="false">+I919*(1+I$8/12)</f>
        <v>0.0359006382615655</v>
      </c>
      <c r="J920" s="105"/>
      <c r="K920" s="105"/>
      <c r="L920" s="105"/>
      <c r="M920" s="105"/>
      <c r="N920" s="106"/>
    </row>
    <row r="921" customFormat="false" ht="12.75" hidden="false" customHeight="false" outlineLevel="0" collapsed="false">
      <c r="H921" s="83" t="n">
        <f aca="false">+H613</f>
        <v>45627</v>
      </c>
      <c r="I921" s="117" t="n">
        <f aca="false">+I920*(1+I$8/12)</f>
        <v>0.0359380347597546</v>
      </c>
      <c r="J921" s="105"/>
      <c r="K921" s="105"/>
      <c r="L921" s="105"/>
      <c r="M921" s="105"/>
      <c r="N921" s="106"/>
    </row>
    <row r="922" customFormat="false" ht="12.75" hidden="false" customHeight="false" outlineLevel="0" collapsed="false">
      <c r="H922" s="83" t="n">
        <f aca="false">+H614</f>
        <v>45658</v>
      </c>
      <c r="I922" s="117" t="n">
        <f aca="false">+I921*(1+I$8/12)</f>
        <v>0.0359754702126293</v>
      </c>
      <c r="J922" s="105"/>
      <c r="K922" s="105"/>
      <c r="L922" s="105"/>
      <c r="M922" s="105"/>
      <c r="N922" s="106"/>
    </row>
    <row r="923" customFormat="false" ht="12.75" hidden="false" customHeight="false" outlineLevel="0" collapsed="false">
      <c r="H923" s="83" t="n">
        <f aca="false">+H615</f>
        <v>45689</v>
      </c>
      <c r="I923" s="117" t="n">
        <f aca="false">+I922*(1+I$8/12)</f>
        <v>0.0360129446607675</v>
      </c>
      <c r="J923" s="105"/>
      <c r="K923" s="105"/>
      <c r="L923" s="105"/>
      <c r="M923" s="105"/>
      <c r="N923" s="106"/>
    </row>
    <row r="924" customFormat="false" ht="12.75" hidden="false" customHeight="false" outlineLevel="0" collapsed="false">
      <c r="H924" s="83" t="n">
        <f aca="false">+H616</f>
        <v>45717</v>
      </c>
      <c r="I924" s="117" t="n">
        <f aca="false">+I923*(1+I$8/12)</f>
        <v>0.0360504581447891</v>
      </c>
      <c r="J924" s="105"/>
      <c r="K924" s="105"/>
      <c r="L924" s="105"/>
      <c r="M924" s="105"/>
      <c r="N924" s="106"/>
    </row>
    <row r="925" customFormat="false" ht="12.75" hidden="false" customHeight="false" outlineLevel="0" collapsed="false">
      <c r="H925" s="83" t="n">
        <f aca="false">+H617</f>
        <v>45748</v>
      </c>
      <c r="I925" s="117" t="n">
        <f aca="false">+I924*(1+I$8/12)</f>
        <v>0.0360880107053566</v>
      </c>
      <c r="J925" s="105"/>
      <c r="K925" s="105"/>
      <c r="L925" s="105"/>
      <c r="M925" s="105"/>
      <c r="N925" s="106"/>
    </row>
    <row r="926" customFormat="false" ht="12.75" hidden="false" customHeight="false" outlineLevel="0" collapsed="false">
      <c r="H926" s="83" t="n">
        <f aca="false">+H618</f>
        <v>45778</v>
      </c>
      <c r="I926" s="117" t="n">
        <f aca="false">+I925*(1+I$8/12)</f>
        <v>0.0361256023831747</v>
      </c>
      <c r="J926" s="105"/>
      <c r="K926" s="105"/>
      <c r="L926" s="105"/>
      <c r="M926" s="105"/>
      <c r="N926" s="106"/>
    </row>
    <row r="927" customFormat="false" ht="12.75" hidden="false" customHeight="false" outlineLevel="0" collapsed="false">
      <c r="H927" s="83" t="n">
        <f aca="false">+H619</f>
        <v>45809</v>
      </c>
      <c r="I927" s="117" t="n">
        <f aca="false">+I926*(1+I$8/12)</f>
        <v>0.0361632332189905</v>
      </c>
      <c r="J927" s="105"/>
      <c r="K927" s="105"/>
      <c r="L927" s="105"/>
      <c r="M927" s="105"/>
      <c r="N927" s="106"/>
    </row>
    <row r="928" customFormat="false" ht="12.75" hidden="false" customHeight="false" outlineLevel="0" collapsed="false">
      <c r="H928" s="83" t="n">
        <f aca="false">+H620</f>
        <v>45839</v>
      </c>
      <c r="I928" s="117" t="n">
        <f aca="false">+I927*(1+I$8/12)</f>
        <v>0.0362009032535936</v>
      </c>
      <c r="J928" s="105"/>
      <c r="K928" s="105"/>
      <c r="L928" s="105"/>
      <c r="M928" s="105"/>
      <c r="N928" s="106"/>
    </row>
    <row r="929" customFormat="false" ht="12.75" hidden="false" customHeight="false" outlineLevel="0" collapsed="false">
      <c r="H929" s="83" t="n">
        <f aca="false">+H621</f>
        <v>45870</v>
      </c>
      <c r="I929" s="117" t="n">
        <f aca="false">+I928*(1+I$8/12)</f>
        <v>0.0362386125278161</v>
      </c>
      <c r="J929" s="105"/>
      <c r="K929" s="105"/>
      <c r="L929" s="105"/>
      <c r="M929" s="105"/>
      <c r="N929" s="106"/>
    </row>
    <row r="930" customFormat="false" ht="12.75" hidden="false" customHeight="false" outlineLevel="0" collapsed="false">
      <c r="H930" s="83" t="n">
        <f aca="false">+H622</f>
        <v>45901</v>
      </c>
      <c r="I930" s="117" t="n">
        <f aca="false">+I929*(1+I$8/12)</f>
        <v>0.0362763610825326</v>
      </c>
      <c r="J930" s="105"/>
      <c r="K930" s="105"/>
      <c r="L930" s="105"/>
      <c r="M930" s="105"/>
      <c r="N930" s="106"/>
    </row>
    <row r="931" customFormat="false" ht="12.75" hidden="false" customHeight="false" outlineLevel="0" collapsed="false">
      <c r="H931" s="83" t="n">
        <f aca="false">+H623</f>
        <v>45931</v>
      </c>
      <c r="I931" s="117" t="n">
        <f aca="false">+I930*(1+I$8/12)</f>
        <v>0.0363141489586602</v>
      </c>
      <c r="J931" s="105"/>
      <c r="K931" s="105"/>
      <c r="L931" s="105"/>
      <c r="M931" s="105"/>
      <c r="N931" s="106"/>
    </row>
    <row r="932" customFormat="false" ht="12.75" hidden="false" customHeight="false" outlineLevel="0" collapsed="false">
      <c r="H932" s="83" t="n">
        <f aca="false">+H624</f>
        <v>45962</v>
      </c>
      <c r="I932" s="117" t="n">
        <f aca="false">+I931*(1+I$8/12)</f>
        <v>0.0363519761971588</v>
      </c>
      <c r="J932" s="105"/>
      <c r="K932" s="105"/>
      <c r="L932" s="105"/>
      <c r="M932" s="105"/>
      <c r="N932" s="106"/>
    </row>
    <row r="933" customFormat="false" ht="12.75" hidden="false" customHeight="false" outlineLevel="0" collapsed="false">
      <c r="H933" s="107" t="n">
        <f aca="false">+H625</f>
        <v>45992</v>
      </c>
      <c r="I933" s="120" t="n">
        <f aca="false">+I932*(1+I$8/12)</f>
        <v>0.0363898428390308</v>
      </c>
      <c r="J933" s="109"/>
      <c r="K933" s="109"/>
      <c r="L933" s="109"/>
      <c r="M933" s="109"/>
      <c r="N933" s="110"/>
    </row>
  </sheetData>
  <mergeCells count="2">
    <mergeCell ref="A1:F1"/>
    <mergeCell ref="H1:N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H212"/>
  <sheetViews>
    <sheetView showFormulas="false" showGridLines="false" showRowColHeaders="true" showZeros="true" rightToLeft="false" tabSelected="false" showOutlineSymbols="true" defaultGridColor="true" view="normal" topLeftCell="AB1" colorId="64" zoomScale="75" zoomScaleNormal="75" zoomScalePageLayoutView="100" workbookViewId="0">
      <selection pane="topLeft" activeCell="AF12" activeCellId="0" sqref="AF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99"/>
    <col collapsed="false" customWidth="true" hidden="false" outlineLevel="0" max="4" min="2" style="0" width="18.7"/>
    <col collapsed="false" customWidth="true" hidden="false" outlineLevel="0" max="6" min="5" style="0" width="13.99"/>
    <col collapsed="false" customWidth="true" hidden="false" outlineLevel="0" max="7" min="7" style="0" width="28.7"/>
    <col collapsed="false" customWidth="true" hidden="false" outlineLevel="0" max="13" min="8" style="0" width="11.85"/>
    <col collapsed="false" customWidth="true" hidden="false" outlineLevel="0" max="14" min="14" style="0" width="8.7"/>
    <col collapsed="false" customWidth="true" hidden="false" outlineLevel="0" max="15" min="15" style="0" width="28.7"/>
    <col collapsed="false" customWidth="true" hidden="false" outlineLevel="0" max="17" min="16" style="0" width="12.14"/>
    <col collapsed="false" customWidth="true" hidden="false" outlineLevel="0" max="21" min="18" style="0" width="7.14"/>
    <col collapsed="false" customWidth="true" hidden="false" outlineLevel="0" max="22" min="22" style="0" width="8.7"/>
    <col collapsed="false" customWidth="true" hidden="false" outlineLevel="0" max="23" min="23" style="0" width="28.7"/>
    <col collapsed="false" customWidth="true" hidden="false" outlineLevel="0" max="25" min="24" style="0" width="12.14"/>
    <col collapsed="false" customWidth="true" hidden="false" outlineLevel="0" max="26" min="26" style="0" width="7.14"/>
    <col collapsed="false" customWidth="true" hidden="false" outlineLevel="0" max="27" min="27" style="0" width="10.71"/>
    <col collapsed="false" customWidth="true" hidden="false" outlineLevel="0" max="30" min="28" style="0" width="7.14"/>
    <col collapsed="false" customWidth="true" hidden="false" outlineLevel="0" max="31" min="31" style="0" width="28.7"/>
    <col collapsed="false" customWidth="true" hidden="false" outlineLevel="0" max="37" min="32" style="0" width="13.99"/>
    <col collapsed="false" customWidth="true" hidden="false" outlineLevel="0" max="39" min="39" style="0" width="26.56"/>
    <col collapsed="false" customWidth="true" hidden="false" outlineLevel="0" max="40" min="40" style="0" width="13.7"/>
    <col collapsed="false" customWidth="true" hidden="false" outlineLevel="0" max="41" min="41" style="0" width="12.14"/>
  </cols>
  <sheetData>
    <row r="2" customFormat="false" ht="12.75" hidden="false" customHeight="false" outlineLevel="0" collapsed="false">
      <c r="A2" s="121" t="s">
        <v>32</v>
      </c>
      <c r="B2" s="122"/>
      <c r="C2" s="122"/>
      <c r="D2" s="122"/>
      <c r="E2" s="123"/>
      <c r="F2" s="124"/>
      <c r="G2" s="125"/>
      <c r="H2" s="126" t="s">
        <v>33</v>
      </c>
      <c r="I2" s="34"/>
      <c r="J2" s="34"/>
      <c r="K2" s="34"/>
      <c r="L2" s="34"/>
      <c r="M2" s="35"/>
      <c r="N2" s="31"/>
      <c r="O2" s="125"/>
      <c r="P2" s="126" t="s">
        <v>34</v>
      </c>
      <c r="Q2" s="34"/>
      <c r="R2" s="34"/>
      <c r="S2" s="34"/>
      <c r="T2" s="34"/>
      <c r="U2" s="35"/>
      <c r="V2" s="31"/>
      <c r="W2" s="125"/>
      <c r="X2" s="126" t="s">
        <v>35</v>
      </c>
      <c r="Y2" s="34"/>
      <c r="Z2" s="34"/>
      <c r="AA2" s="34"/>
      <c r="AB2" s="34"/>
      <c r="AC2" s="35"/>
      <c r="AD2" s="31"/>
      <c r="AE2" s="125"/>
      <c r="AF2" s="126" t="s">
        <v>36</v>
      </c>
      <c r="AG2" s="34"/>
      <c r="AH2" s="34"/>
      <c r="AI2" s="34"/>
      <c r="AJ2" s="34"/>
      <c r="AK2" s="35"/>
      <c r="AM2" s="125"/>
      <c r="AN2" s="126" t="s">
        <v>37</v>
      </c>
      <c r="AO2" s="34"/>
      <c r="AP2" s="34"/>
      <c r="AQ2" s="34"/>
      <c r="AR2" s="34"/>
      <c r="AS2" s="35"/>
    </row>
    <row r="3" customFormat="false" ht="12.75" hidden="false" customHeight="false" outlineLevel="0" collapsed="false">
      <c r="A3" s="127"/>
      <c r="B3" s="43"/>
      <c r="C3" s="43"/>
      <c r="D3" s="43"/>
      <c r="E3" s="43"/>
      <c r="F3" s="128"/>
      <c r="G3" s="129"/>
      <c r="H3" s="130" t="str">
        <f aca="false">+SHIPS!C5</f>
        <v>HG</v>
      </c>
      <c r="I3" s="131" t="str">
        <f aca="false">+SHIPS!D5</f>
        <v>EXMAR</v>
      </c>
      <c r="J3" s="131" t="n">
        <f aca="false">+SHIPS!E5</f>
        <v>0</v>
      </c>
      <c r="K3" s="131" t="n">
        <f aca="false">+SHIPS!F5</f>
        <v>0</v>
      </c>
      <c r="L3" s="131" t="n">
        <f aca="false">+SHIPS!G5</f>
        <v>0</v>
      </c>
      <c r="M3" s="132" t="n">
        <f aca="false">+SHIPS!H5</f>
        <v>0</v>
      </c>
      <c r="N3" s="31"/>
      <c r="O3" s="133"/>
      <c r="P3" s="130" t="str">
        <f aca="false">+H3</f>
        <v>HG</v>
      </c>
      <c r="Q3" s="131" t="str">
        <f aca="false">+I3</f>
        <v>EXMAR</v>
      </c>
      <c r="R3" s="131" t="n">
        <f aca="false">+J3</f>
        <v>0</v>
      </c>
      <c r="S3" s="131" t="n">
        <f aca="false">+K3</f>
        <v>0</v>
      </c>
      <c r="T3" s="131" t="n">
        <f aca="false">+L3</f>
        <v>0</v>
      </c>
      <c r="U3" s="132" t="n">
        <f aca="false">+M3</f>
        <v>0</v>
      </c>
      <c r="V3" s="31"/>
      <c r="W3" s="133"/>
      <c r="X3" s="130" t="str">
        <f aca="false">+H3</f>
        <v>HG</v>
      </c>
      <c r="Y3" s="131" t="str">
        <f aca="false">+I3</f>
        <v>EXMAR</v>
      </c>
      <c r="Z3" s="131" t="n">
        <f aca="false">+J3</f>
        <v>0</v>
      </c>
      <c r="AA3" s="131" t="n">
        <f aca="false">+K3</f>
        <v>0</v>
      </c>
      <c r="AB3" s="131" t="n">
        <f aca="false">+L3</f>
        <v>0</v>
      </c>
      <c r="AC3" s="132" t="n">
        <f aca="false">+M3</f>
        <v>0</v>
      </c>
      <c r="AD3" s="31"/>
      <c r="AE3" s="133"/>
      <c r="AF3" s="130" t="str">
        <f aca="false">+X3</f>
        <v>HG</v>
      </c>
      <c r="AG3" s="131" t="str">
        <f aca="false">+Y3</f>
        <v>EXMAR</v>
      </c>
      <c r="AH3" s="131" t="n">
        <f aca="false">+Z3</f>
        <v>0</v>
      </c>
      <c r="AI3" s="131" t="n">
        <f aca="false">+AA3</f>
        <v>0</v>
      </c>
      <c r="AJ3" s="131" t="n">
        <f aca="false">+AB3</f>
        <v>0</v>
      </c>
      <c r="AK3" s="132" t="n">
        <f aca="false">+AC3</f>
        <v>0</v>
      </c>
      <c r="AL3" s="127"/>
      <c r="AM3" s="133"/>
      <c r="AN3" s="130" t="str">
        <f aca="false">+AF3</f>
        <v>HG</v>
      </c>
      <c r="AO3" s="131" t="str">
        <f aca="false">+AG3</f>
        <v>EXMAR</v>
      </c>
      <c r="AP3" s="131" t="n">
        <f aca="false">+AH3</f>
        <v>0</v>
      </c>
      <c r="AQ3" s="131" t="n">
        <f aca="false">+AI3</f>
        <v>0</v>
      </c>
      <c r="AR3" s="131" t="n">
        <f aca="false">+AJ3</f>
        <v>0</v>
      </c>
      <c r="AS3" s="132" t="n">
        <f aca="false">+AK3</f>
        <v>0</v>
      </c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</row>
    <row r="4" customFormat="false" ht="12.75" hidden="false" customHeight="false" outlineLevel="0" collapsed="false">
      <c r="A4" s="30" t="s">
        <v>13</v>
      </c>
      <c r="B4" s="131" t="s">
        <v>1</v>
      </c>
      <c r="C4" s="131" t="s">
        <v>5</v>
      </c>
      <c r="D4" s="131" t="s">
        <v>8</v>
      </c>
      <c r="E4" s="132" t="s">
        <v>38</v>
      </c>
      <c r="F4" s="31"/>
      <c r="G4" s="134"/>
      <c r="H4" s="135" t="n">
        <f aca="false">+SHIPS!C6</f>
        <v>1</v>
      </c>
      <c r="I4" s="136" t="n">
        <f aca="false">+SHIPS!D6</f>
        <v>2</v>
      </c>
      <c r="J4" s="136" t="n">
        <f aca="false">+SHIPS!E6</f>
        <v>3</v>
      </c>
      <c r="K4" s="136" t="n">
        <f aca="false">+SHIPS!F6</f>
        <v>4</v>
      </c>
      <c r="L4" s="136" t="n">
        <f aca="false">+SHIPS!G6</f>
        <v>5</v>
      </c>
      <c r="M4" s="137" t="n">
        <f aca="false">+SHIPS!H6</f>
        <v>6</v>
      </c>
      <c r="N4" s="138"/>
      <c r="O4" s="134"/>
      <c r="P4" s="135" t="n">
        <f aca="false">+H4</f>
        <v>1</v>
      </c>
      <c r="Q4" s="136" t="n">
        <f aca="false">+I4</f>
        <v>2</v>
      </c>
      <c r="R4" s="136" t="n">
        <f aca="false">+J4</f>
        <v>3</v>
      </c>
      <c r="S4" s="136" t="n">
        <f aca="false">+K4</f>
        <v>4</v>
      </c>
      <c r="T4" s="136" t="n">
        <f aca="false">+L4</f>
        <v>5</v>
      </c>
      <c r="U4" s="137" t="n">
        <f aca="false">+M4</f>
        <v>6</v>
      </c>
      <c r="V4" s="138"/>
      <c r="W4" s="134"/>
      <c r="X4" s="135" t="n">
        <f aca="false">+H4</f>
        <v>1</v>
      </c>
      <c r="Y4" s="136" t="n">
        <f aca="false">+I4</f>
        <v>2</v>
      </c>
      <c r="Z4" s="136" t="n">
        <f aca="false">+J4</f>
        <v>3</v>
      </c>
      <c r="AA4" s="136" t="n">
        <f aca="false">+K4</f>
        <v>4</v>
      </c>
      <c r="AB4" s="136" t="n">
        <f aca="false">+L4</f>
        <v>5</v>
      </c>
      <c r="AC4" s="137" t="n">
        <f aca="false">+M4</f>
        <v>6</v>
      </c>
      <c r="AD4" s="138"/>
      <c r="AE4" s="134"/>
      <c r="AF4" s="135" t="n">
        <f aca="false">+X4</f>
        <v>1</v>
      </c>
      <c r="AG4" s="136" t="n">
        <f aca="false">+Y4</f>
        <v>2</v>
      </c>
      <c r="AH4" s="136" t="n">
        <f aca="false">+Z4</f>
        <v>3</v>
      </c>
      <c r="AI4" s="136" t="n">
        <f aca="false">+AA4</f>
        <v>4</v>
      </c>
      <c r="AJ4" s="136" t="n">
        <f aca="false">+AB4</f>
        <v>5</v>
      </c>
      <c r="AK4" s="137" t="n">
        <f aca="false">+AC4</f>
        <v>6</v>
      </c>
      <c r="AM4" s="134"/>
      <c r="AN4" s="135" t="n">
        <f aca="false">+AF4</f>
        <v>1</v>
      </c>
      <c r="AO4" s="136" t="n">
        <f aca="false">+AG4</f>
        <v>2</v>
      </c>
      <c r="AP4" s="136" t="n">
        <f aca="false">+AH4</f>
        <v>3</v>
      </c>
      <c r="AQ4" s="136" t="n">
        <f aca="false">+AI4</f>
        <v>4</v>
      </c>
      <c r="AR4" s="136" t="n">
        <f aca="false">+AJ4</f>
        <v>5</v>
      </c>
      <c r="AS4" s="137" t="n">
        <f aca="false">+AK4</f>
        <v>6</v>
      </c>
    </row>
    <row r="5" customFormat="false" ht="12.75" hidden="false" customHeight="false" outlineLevel="0" collapsed="false">
      <c r="A5" s="139" t="str">
        <f aca="false">+CONCATENATE(B5,C5,D5)</f>
        <v>QATARELBA</v>
      </c>
      <c r="B5" s="140" t="s">
        <v>2</v>
      </c>
      <c r="C5" s="141" t="s">
        <v>6</v>
      </c>
      <c r="D5" s="141"/>
      <c r="E5" s="142" t="n">
        <v>11772</v>
      </c>
      <c r="F5" s="143"/>
      <c r="G5" s="144" t="str">
        <f aca="false">+A5</f>
        <v>QATARELBA</v>
      </c>
      <c r="H5" s="145" t="n">
        <f aca="false">IF($E5=0,0,+VLOOKUP(SHIPS!$A$7,SHIPS,HLOOKUP(H$3,SHIPS,2,0)+2,0)/X5)</f>
        <v>34021.1066666667</v>
      </c>
      <c r="I5" s="146" t="n">
        <f aca="false">IF($E5=0,0,+VLOOKUP(SHIPS!$A$7,SHIPS,HLOOKUP(I$3,SHIPS,2,0)+2,0)/Y5)</f>
        <v>56410.5263157895</v>
      </c>
      <c r="J5" s="146"/>
      <c r="K5" s="146"/>
      <c r="L5" s="146"/>
      <c r="M5" s="147"/>
      <c r="N5" s="148"/>
      <c r="O5" s="144" t="str">
        <f aca="false">+G5</f>
        <v>QATARELBA</v>
      </c>
      <c r="P5" s="145" t="n">
        <f aca="false">+ROUNDUP($E5/SHIPS!$C$10+SHIPS!$C$13+SHIPS!$C$14/2+IF($D5="SUEZ",SHIPS!$C$15/2,0),0)</f>
        <v>31</v>
      </c>
      <c r="Q5" s="146" t="n">
        <f aca="false">+ROUNDUP($E5/SHIPS!$C$10+SHIPS!$C$13+SHIPS!$C$14/2+IF($D5="SUEZ",SHIPS!$C$15/2,0),0)</f>
        <v>31</v>
      </c>
      <c r="R5" s="146"/>
      <c r="S5" s="146"/>
      <c r="T5" s="146"/>
      <c r="U5" s="147"/>
      <c r="V5" s="148"/>
      <c r="W5" s="144" t="str">
        <f aca="false">+A5</f>
        <v>QATARELBA</v>
      </c>
      <c r="X5" s="145" t="n">
        <f aca="false">ROUNDUP(((+$E5*2)/SHIPS!C$10)+(SHIPS!C$13+SHIPS!C$14+IF(ROUTES!$D5="SUEZ",SHIPS!C$15,0)),0)</f>
        <v>60</v>
      </c>
      <c r="Y5" s="146" t="n">
        <f aca="false">ROUNDUP(((+$E5*2)/SHIPS!D$10)+(SHIPS!D$13+SHIPS!D$14+IF(ROUTES!$D5="SUEZ",SHIPS!D$15,0)),0)</f>
        <v>57</v>
      </c>
      <c r="Z5" s="149"/>
      <c r="AA5" s="146"/>
      <c r="AB5" s="146"/>
      <c r="AC5" s="147"/>
      <c r="AD5" s="150"/>
      <c r="AE5" s="144" t="str">
        <f aca="false">+A5</f>
        <v>QATARELBA</v>
      </c>
      <c r="AF5" s="151" t="n">
        <f aca="false">+CURVELOAD!$G$11*(($E5/SHIPS!C$10)*SHIPS!C$16+($E5/SHIPS!C$10)*SHIPS!C$17+(SHIPS!C$13+SHIPS!C$14)*SHIPS!C$18+IF($D5="suez",SHIPS!C$15*SHIPS!C$18,0))</f>
        <v>993247.5</v>
      </c>
      <c r="AG5" s="152" t="n">
        <f aca="false">+CURVELOAD!$G$11*(($E5/SHIPS!D$10)*SHIPS!D$16+($E5/SHIPS!D$10)*SHIPS!D$17+(SHIPS!D$13+SHIPS!D$14)*SHIPS!D$18+IF($D5="suez",SHIPS!D$15*SHIPS!D$18,0))</f>
        <v>1096008.83152174</v>
      </c>
      <c r="AH5" s="152"/>
      <c r="AI5" s="152"/>
      <c r="AJ5" s="152"/>
      <c r="AK5" s="153"/>
      <c r="AM5" s="144" t="str">
        <f aca="false">+AE5</f>
        <v>QATARELBA</v>
      </c>
      <c r="AN5" s="145" t="n">
        <f aca="false">+H5*365.25*(1-(SHIPS!C$11*P5))</f>
        <v>11366874.8748475</v>
      </c>
      <c r="AO5" s="146" t="n">
        <f aca="false">+I5*365.25*(1-(SHIPS!D$11*Q5))</f>
        <v>19645861.3065789</v>
      </c>
      <c r="AP5" s="146"/>
      <c r="AQ5" s="154"/>
      <c r="AR5" s="146"/>
      <c r="AS5" s="147"/>
    </row>
    <row r="6" customFormat="false" ht="12.75" hidden="false" customHeight="false" outlineLevel="0" collapsed="false">
      <c r="A6" s="155" t="str">
        <f aca="false">+CONCATENATE(B6,C6,D6)</f>
        <v>QATARELBASUEZ</v>
      </c>
      <c r="B6" s="156" t="s">
        <v>2</v>
      </c>
      <c r="C6" s="157" t="s">
        <v>6</v>
      </c>
      <c r="D6" s="157" t="s">
        <v>9</v>
      </c>
      <c r="E6" s="158" t="n">
        <v>8666</v>
      </c>
      <c r="F6" s="143"/>
      <c r="G6" s="159" t="str">
        <f aca="false">+A6</f>
        <v>QATARELBASUEZ</v>
      </c>
      <c r="H6" s="145" t="n">
        <f aca="false">IF($E6=0,0,+VLOOKUP(SHIPS!$A$7,SHIPS,HLOOKUP(H$3,SHIPS,2,0)+2,0)/X6)</f>
        <v>42526.3833333333</v>
      </c>
      <c r="I6" s="160" t="n">
        <f aca="false">IF($E6=0,0,+VLOOKUP(SHIPS!$A$7,SHIPS,HLOOKUP(I$3,SHIPS,2,0)+2,0)/Y6)</f>
        <v>69900</v>
      </c>
      <c r="J6" s="160"/>
      <c r="K6" s="160"/>
      <c r="L6" s="160"/>
      <c r="M6" s="161"/>
      <c r="N6" s="148"/>
      <c r="O6" s="159" t="str">
        <f aca="false">+G6</f>
        <v>QATARELBASUEZ</v>
      </c>
      <c r="P6" s="162" t="n">
        <f aca="false">+ROUNDUP($E6/SHIPS!$C$10+SHIPS!$C$13+SHIPS!$C$14/2+IF($D6="SUEZ",SHIPS!$C$15/2,0),0)</f>
        <v>25</v>
      </c>
      <c r="Q6" s="160" t="n">
        <f aca="false">+ROUNDUP($E6/SHIPS!$C$10+SHIPS!$C$13+SHIPS!$C$14/2+IF($D6="SUEZ",SHIPS!$C$15/2,0),0)</f>
        <v>25</v>
      </c>
      <c r="R6" s="160"/>
      <c r="S6" s="160"/>
      <c r="T6" s="160"/>
      <c r="U6" s="161"/>
      <c r="V6" s="148"/>
      <c r="W6" s="159" t="str">
        <f aca="false">+A6</f>
        <v>QATARELBASUEZ</v>
      </c>
      <c r="X6" s="162" t="n">
        <f aca="false">ROUNDUP(((+$E6*2)/SHIPS!C$10)+(SHIPS!C$13+SHIPS!C$14+IF(ROUTES!$D6="SUEZ",SHIPS!C$15,0)),0)</f>
        <v>48</v>
      </c>
      <c r="Y6" s="160" t="n">
        <f aca="false">ROUNDUP(((+$E6*2)/SHIPS!D$10)+(SHIPS!D$13+SHIPS!D$14+IF(ROUTES!$D6="SUEZ",SHIPS!D$15,0)),0)</f>
        <v>46</v>
      </c>
      <c r="Z6" s="160"/>
      <c r="AA6" s="160"/>
      <c r="AB6" s="160"/>
      <c r="AC6" s="161"/>
      <c r="AD6" s="150"/>
      <c r="AE6" s="159" t="str">
        <f aca="false">+A6</f>
        <v>QATARELBASUEZ</v>
      </c>
      <c r="AF6" s="163" t="n">
        <f aca="false">+CURVELOAD!$G$11*(($E6/SHIPS!C$10)*SHIPS!C$16+($E6/SHIPS!C$10)*SHIPS!C$17+(SHIPS!C$13+SHIPS!C$14)*SHIPS!C$18+IF($D6="suez",SHIPS!C$15*SHIPS!C$18,0))</f>
        <v>749761.25</v>
      </c>
      <c r="AG6" s="164" t="n">
        <f aca="false">+CURVELOAD!$G$11*(($E6/SHIPS!D$10)*SHIPS!D$16+($E6/SHIPS!D$10)*SHIPS!D$17+(SHIPS!D$13+SHIPS!D$14)*SHIPS!D$18+IF($D6="suez",SHIPS!D$15*SHIPS!D$18,0))</f>
        <v>830054.008152174</v>
      </c>
      <c r="AH6" s="164"/>
      <c r="AI6" s="164"/>
      <c r="AJ6" s="164"/>
      <c r="AK6" s="165"/>
      <c r="AM6" s="159" t="str">
        <f aca="false">+AE6</f>
        <v>QATARELBASUEZ</v>
      </c>
      <c r="AN6" s="162" t="n">
        <f aca="false">+H6*365.25*(1-(SHIPS!C$11*P6))</f>
        <v>14464884.1585156</v>
      </c>
      <c r="AO6" s="160" t="n">
        <f aca="false">+I6*365.25*(1-(SHIPS!D$11*Q6))</f>
        <v>24573563.4375</v>
      </c>
      <c r="AP6" s="160"/>
      <c r="AQ6" s="160"/>
      <c r="AR6" s="160"/>
      <c r="AS6" s="161"/>
    </row>
    <row r="7" customFormat="false" ht="12.75" hidden="false" customHeight="false" outlineLevel="0" collapsed="false">
      <c r="A7" s="155" t="str">
        <f aca="false">+CONCATENATE(B7,C7,D7)</f>
        <v>QATARLAKE CHARLES</v>
      </c>
      <c r="B7" s="156" t="s">
        <v>2</v>
      </c>
      <c r="C7" s="157" t="s">
        <v>7</v>
      </c>
      <c r="D7" s="157"/>
      <c r="E7" s="158" t="n">
        <v>12346</v>
      </c>
      <c r="F7" s="143"/>
      <c r="G7" s="159" t="str">
        <f aca="false">+A7</f>
        <v>QATARLAKE CHARLES</v>
      </c>
      <c r="H7" s="162" t="n">
        <f aca="false">IF($E7=0,0,+VLOOKUP(SHIPS!$A$7,SHIPS,HLOOKUP(H$3,SHIPS,2,0)+2,0)/X7)</f>
        <v>32923.6516129032</v>
      </c>
      <c r="I7" s="160" t="n">
        <f aca="false">IF($E7=0,0,+VLOOKUP(SHIPS!$A$7,SHIPS,HLOOKUP(I$3,SHIPS,2,0)+2,0)/Y7)</f>
        <v>54498.3050847458</v>
      </c>
      <c r="J7" s="160"/>
      <c r="K7" s="160"/>
      <c r="L7" s="166"/>
      <c r="M7" s="167"/>
      <c r="N7" s="168"/>
      <c r="O7" s="159" t="str">
        <f aca="false">+G7</f>
        <v>QATARLAKE CHARLES</v>
      </c>
      <c r="P7" s="162" t="n">
        <f aca="false">+ROUNDUP($E7/SHIPS!$C$10+SHIPS!$C$13+SHIPS!$C$14/2+IF($D7="SUEZ",SHIPS!$C$15/2,0),0)</f>
        <v>32</v>
      </c>
      <c r="Q7" s="160" t="n">
        <f aca="false">+ROUNDUP($E7/SHIPS!$C$10+SHIPS!$C$13+SHIPS!$C$14/2+IF($D7="SUEZ",SHIPS!$C$15/2,0),0)</f>
        <v>32</v>
      </c>
      <c r="R7" s="160"/>
      <c r="S7" s="160"/>
      <c r="T7" s="166"/>
      <c r="U7" s="167"/>
      <c r="V7" s="168"/>
      <c r="W7" s="159" t="str">
        <f aca="false">+A7</f>
        <v>QATARLAKE CHARLES</v>
      </c>
      <c r="X7" s="162" t="n">
        <f aca="false">ROUNDUP(((+$E7*2)/SHIPS!C$10)+(SHIPS!C$13+SHIPS!C$14+IF(ROUTES!$D7="SUEZ",SHIPS!C$15,0)),0)</f>
        <v>62</v>
      </c>
      <c r="Y7" s="160" t="n">
        <f aca="false">ROUNDUP(((+$E7*2)/SHIPS!D$10)+(SHIPS!D$13+SHIPS!D$14+IF(ROUTES!$D7="SUEZ",SHIPS!D$15,0)),0)</f>
        <v>59</v>
      </c>
      <c r="Z7" s="160"/>
      <c r="AA7" s="160"/>
      <c r="AB7" s="166"/>
      <c r="AC7" s="167"/>
      <c r="AD7" s="169"/>
      <c r="AE7" s="159" t="str">
        <f aca="false">+A7</f>
        <v>QATARLAKE CHARLES</v>
      </c>
      <c r="AF7" s="163" t="n">
        <f aca="false">+CURVELOAD!$G$11*(($E7/SHIPS!C$10)*SHIPS!C$16+($E7/SHIPS!C$10)*SHIPS!C$17+(SHIPS!C$13+SHIPS!C$14)*SHIPS!C$18+IF($D7="suez",SHIPS!C$15*SHIPS!C$18,0))</f>
        <v>1040961.25</v>
      </c>
      <c r="AG7" s="164" t="n">
        <f aca="false">+CURVELOAD!$G$11*(($E7/SHIPS!D$10)*SHIPS!D$16+($E7/SHIPS!D$10)*SHIPS!D$17+(SHIPS!D$13+SHIPS!D$14)*SHIPS!D$18+IF($D7="suez",SHIPS!D$15*SHIPS!D$18,0))</f>
        <v>1148554.00815217</v>
      </c>
      <c r="AH7" s="164"/>
      <c r="AI7" s="164"/>
      <c r="AJ7" s="170"/>
      <c r="AK7" s="171"/>
      <c r="AM7" s="159" t="str">
        <f aca="false">+AE7</f>
        <v>QATARLAKE CHARLES</v>
      </c>
      <c r="AN7" s="162" t="n">
        <f aca="false">+H7*365.25*(1-(SHIPS!C$11*P7))</f>
        <v>10967131.741471</v>
      </c>
      <c r="AO7" s="160" t="n">
        <f aca="false">+I7*365.25*(1-(SHIPS!D$11*Q7))</f>
        <v>18950041.6474576</v>
      </c>
      <c r="AP7" s="160"/>
      <c r="AQ7" s="160"/>
      <c r="AR7" s="166"/>
      <c r="AS7" s="167"/>
    </row>
    <row r="8" customFormat="false" ht="12.75" hidden="false" customHeight="false" outlineLevel="0" collapsed="false">
      <c r="A8" s="155" t="str">
        <f aca="false">+CONCATENATE(B8,C8,D8)</f>
        <v>QATARLAKE CHARLESSUEZ</v>
      </c>
      <c r="B8" s="156" t="s">
        <v>2</v>
      </c>
      <c r="C8" s="157" t="s">
        <v>7</v>
      </c>
      <c r="D8" s="157" t="s">
        <v>9</v>
      </c>
      <c r="E8" s="158" t="n">
        <v>9687</v>
      </c>
      <c r="F8" s="143"/>
      <c r="G8" s="159" t="str">
        <f aca="false">+A8</f>
        <v>QATARLAKE CHARLESSUEZ</v>
      </c>
      <c r="H8" s="162" t="n">
        <f aca="false">IF($E8=0,0,+VLOOKUP(SHIPS!$A$7,SHIPS,HLOOKUP(H$3,SHIPS,2,0)+2,0)/X8)</f>
        <v>38514.4603773585</v>
      </c>
      <c r="I8" s="160" t="n">
        <f aca="false">IF($E8=0,0,+VLOOKUP(SHIPS!$A$7,SHIPS,HLOOKUP(I$3,SHIPS,2,0)+2,0)/Y8)</f>
        <v>64308</v>
      </c>
      <c r="J8" s="160"/>
      <c r="K8" s="160"/>
      <c r="L8" s="166"/>
      <c r="M8" s="167"/>
      <c r="N8" s="168"/>
      <c r="O8" s="159" t="str">
        <f aca="false">+G8</f>
        <v>QATARLAKE CHARLESSUEZ</v>
      </c>
      <c r="P8" s="162" t="n">
        <f aca="false">+ROUNDUP($E8/SHIPS!$C$10+SHIPS!$C$13+SHIPS!$C$14/2+IF($D8="SUEZ",SHIPS!$C$15/2,0),0)</f>
        <v>27</v>
      </c>
      <c r="Q8" s="160" t="n">
        <f aca="false">+ROUNDUP($E8/SHIPS!$C$10+SHIPS!$C$13+SHIPS!$C$14/2+IF($D8="SUEZ",SHIPS!$C$15/2,0),0)</f>
        <v>27</v>
      </c>
      <c r="R8" s="160"/>
      <c r="S8" s="160"/>
      <c r="T8" s="166"/>
      <c r="U8" s="167"/>
      <c r="V8" s="168"/>
      <c r="W8" s="159" t="str">
        <f aca="false">+A8</f>
        <v>QATARLAKE CHARLESSUEZ</v>
      </c>
      <c r="X8" s="162" t="n">
        <f aca="false">ROUNDUP(((+$E8*2)/SHIPS!C$10)+(SHIPS!C$13+SHIPS!C$14+IF(ROUTES!$D8="SUEZ",SHIPS!C$15,0)),0)</f>
        <v>53</v>
      </c>
      <c r="Y8" s="160" t="n">
        <f aca="false">ROUNDUP(((+$E8*2)/SHIPS!D$10)+(SHIPS!D$13+SHIPS!D$14+IF(ROUTES!$D8="SUEZ",SHIPS!D$15,0)),0)</f>
        <v>50</v>
      </c>
      <c r="Z8" s="160"/>
      <c r="AA8" s="160"/>
      <c r="AB8" s="166"/>
      <c r="AC8" s="167"/>
      <c r="AD8" s="169"/>
      <c r="AE8" s="159" t="str">
        <f aca="false">+A8</f>
        <v>QATARLAKE CHARLESSUEZ</v>
      </c>
      <c r="AF8" s="163" t="n">
        <f aca="false">+CURVELOAD!$G$11*(($E8/SHIPS!C$10)*SHIPS!C$16+($E8/SHIPS!C$10)*SHIPS!C$17+(SHIPS!C$13+SHIPS!C$14)*SHIPS!C$18+IF($D8="suez",SHIPS!C$15*SHIPS!C$18,0))</f>
        <v>834631.875</v>
      </c>
      <c r="AG8" s="164" t="n">
        <f aca="false">+CURVELOAD!$G$11*(($E8/SHIPS!D$10)*SHIPS!D$16+($E8/SHIPS!D$10)*SHIPS!D$17+(SHIPS!D$13+SHIPS!D$14)*SHIPS!D$18+IF($D8="suez",SHIPS!D$15*SHIPS!D$18,0))</f>
        <v>923518.512228261</v>
      </c>
      <c r="AH8" s="164"/>
      <c r="AI8" s="164"/>
      <c r="AJ8" s="170"/>
      <c r="AK8" s="171"/>
      <c r="AM8" s="159" t="str">
        <f aca="false">+AE8</f>
        <v>QATARLAKE CHARLESSUEZ</v>
      </c>
      <c r="AN8" s="162" t="n">
        <f aca="false">+H8*365.25*(1-(SHIPS!C$11*P8))</f>
        <v>13022901.7088576</v>
      </c>
      <c r="AO8" s="160" t="n">
        <f aca="false">+I8*365.25*(1-(SHIPS!D$11*Q8))</f>
        <v>22537212.8715</v>
      </c>
      <c r="AP8" s="160"/>
      <c r="AQ8" s="160"/>
      <c r="AR8" s="166"/>
      <c r="AS8" s="167"/>
    </row>
    <row r="9" customFormat="false" ht="12.75" hidden="false" customHeight="false" outlineLevel="0" collapsed="false">
      <c r="A9" s="155" t="str">
        <f aca="false">+CONCATENATE(B9,C9,D9)</f>
        <v>QATARCABOT</v>
      </c>
      <c r="B9" s="156" t="s">
        <v>2</v>
      </c>
      <c r="C9" s="157" t="s">
        <v>21</v>
      </c>
      <c r="D9" s="157"/>
      <c r="E9" s="158" t="n">
        <v>11618</v>
      </c>
      <c r="F9" s="143"/>
      <c r="G9" s="159" t="str">
        <f aca="false">+A9</f>
        <v>QATARCABOT</v>
      </c>
      <c r="H9" s="162" t="n">
        <f aca="false">IF($E9=0,0,+VLOOKUP(SHIPS!$A$7,SHIPS,HLOOKUP(H$3,SHIPS,2,0)+2,0)/X9)</f>
        <v>34597.7355932203</v>
      </c>
      <c r="I9" s="160" t="n">
        <f aca="false">IF($E9=0,0,+VLOOKUP(SHIPS!$A$7,SHIPS,HLOOKUP(I$3,SHIPS,2,0)+2,0)/Y9)</f>
        <v>57417.8571428571</v>
      </c>
      <c r="J9" s="160"/>
      <c r="K9" s="160"/>
      <c r="L9" s="166"/>
      <c r="M9" s="167"/>
      <c r="N9" s="168"/>
      <c r="O9" s="159" t="str">
        <f aca="false">+G9</f>
        <v>QATARCABOT</v>
      </c>
      <c r="P9" s="162" t="n">
        <f aca="false">+ROUNDUP($E9/SHIPS!$C$10+SHIPS!$C$13+SHIPS!$C$14/2+IF($D9="SUEZ",SHIPS!$C$15/2,0),0)</f>
        <v>30</v>
      </c>
      <c r="Q9" s="160" t="n">
        <f aca="false">+ROUNDUP($E9/SHIPS!$C$10+SHIPS!$C$13+SHIPS!$C$14/2+IF($D9="SUEZ",SHIPS!$C$15/2,0),0)</f>
        <v>30</v>
      </c>
      <c r="R9" s="160"/>
      <c r="S9" s="160"/>
      <c r="T9" s="166"/>
      <c r="U9" s="167"/>
      <c r="V9" s="168"/>
      <c r="W9" s="159" t="str">
        <f aca="false">+A9</f>
        <v>QATARCABOT</v>
      </c>
      <c r="X9" s="162" t="n">
        <f aca="false">ROUNDUP(((+$E9*2)/SHIPS!C$10)+(SHIPS!C$13+SHIPS!C$14+IF(ROUTES!$D9="SUEZ",SHIPS!C$15,0)),0)</f>
        <v>59</v>
      </c>
      <c r="Y9" s="160" t="n">
        <f aca="false">ROUNDUP(((+$E9*2)/SHIPS!D$10)+(SHIPS!D$13+SHIPS!D$14+IF(ROUTES!$D9="SUEZ",SHIPS!D$15,0)),0)</f>
        <v>56</v>
      </c>
      <c r="Z9" s="160"/>
      <c r="AA9" s="160"/>
      <c r="AB9" s="166"/>
      <c r="AC9" s="167"/>
      <c r="AD9" s="169"/>
      <c r="AE9" s="159" t="str">
        <f aca="false">+A9</f>
        <v>QATARCABOT</v>
      </c>
      <c r="AF9" s="163" t="n">
        <f aca="false">+CURVELOAD!$G$11*(($E9/SHIPS!C$10)*SHIPS!C$16+($E9/SHIPS!C$10)*SHIPS!C$17+(SHIPS!C$13+SHIPS!C$14)*SHIPS!C$18+IF($D9="suez",SHIPS!C$15*SHIPS!C$18,0))</f>
        <v>980446.25</v>
      </c>
      <c r="AG9" s="164" t="n">
        <f aca="false">+CURVELOAD!$G$11*(($E9/SHIPS!D$10)*SHIPS!D$16+($E9/SHIPS!D$10)*SHIPS!D$17+(SHIPS!D$13+SHIPS!D$14)*SHIPS!D$18+IF($D9="suez",SHIPS!D$15*SHIPS!D$18,0))</f>
        <v>1081911.3451087</v>
      </c>
      <c r="AH9" s="164"/>
      <c r="AI9" s="164"/>
      <c r="AJ9" s="170"/>
      <c r="AK9" s="171"/>
      <c r="AM9" s="159" t="str">
        <f aca="false">+AE9</f>
        <v>QATARCABOT</v>
      </c>
      <c r="AN9" s="162" t="n">
        <f aca="false">+H9*365.25*(1-(SHIPS!C$11*P9))</f>
        <v>11594285.0340763</v>
      </c>
      <c r="AO9" s="160" t="n">
        <f aca="false">+I9*365.25*(1-(SHIPS!D$11*Q9))</f>
        <v>20028138.0669643</v>
      </c>
      <c r="AP9" s="160"/>
      <c r="AQ9" s="160"/>
      <c r="AR9" s="166"/>
      <c r="AS9" s="167"/>
    </row>
    <row r="10" customFormat="false" ht="12.75" hidden="false" customHeight="false" outlineLevel="0" collapsed="false">
      <c r="A10" s="155" t="str">
        <f aca="false">+CONCATENATE(B10,C10,D10)</f>
        <v>QATARCABOTSUEZ</v>
      </c>
      <c r="B10" s="156" t="s">
        <v>2</v>
      </c>
      <c r="C10" s="157" t="s">
        <v>21</v>
      </c>
      <c r="D10" s="157" t="s">
        <v>9</v>
      </c>
      <c r="E10" s="158" t="n">
        <v>8025</v>
      </c>
      <c r="F10" s="143"/>
      <c r="G10" s="159" t="str">
        <f aca="false">+A10</f>
        <v>QATARCABOTSUEZ</v>
      </c>
      <c r="H10" s="162" t="n">
        <f aca="false">IF($E10=0,0,+VLOOKUP(SHIPS!$A$7,SHIPS,HLOOKUP(H$3,SHIPS,2,0)+2,0)/X10)</f>
        <v>45361.4755555556</v>
      </c>
      <c r="I10" s="160" t="n">
        <f aca="false">IF($E10=0,0,+VLOOKUP(SHIPS!$A$7,SHIPS,HLOOKUP(I$3,SHIPS,2,0)+2,0)/Y10)</f>
        <v>74776.7441860465</v>
      </c>
      <c r="J10" s="160"/>
      <c r="K10" s="160"/>
      <c r="L10" s="166"/>
      <c r="M10" s="167"/>
      <c r="N10" s="168"/>
      <c r="O10" s="159" t="str">
        <f aca="false">+G10</f>
        <v>QATARCABOTSUEZ</v>
      </c>
      <c r="P10" s="162" t="n">
        <f aca="false">+ROUNDUP($E10/SHIPS!$C$10+SHIPS!$C$13+SHIPS!$C$14/2+IF($D10="SUEZ",SHIPS!$C$15/2,0),0)</f>
        <v>23</v>
      </c>
      <c r="Q10" s="160" t="n">
        <f aca="false">+ROUNDUP($E10/SHIPS!$C$10+SHIPS!$C$13+SHIPS!$C$14/2+IF($D10="SUEZ",SHIPS!$C$15/2,0),0)</f>
        <v>23</v>
      </c>
      <c r="R10" s="160"/>
      <c r="S10" s="160"/>
      <c r="T10" s="166"/>
      <c r="U10" s="167"/>
      <c r="V10" s="168"/>
      <c r="W10" s="159" t="str">
        <f aca="false">+A10</f>
        <v>QATARCABOTSUEZ</v>
      </c>
      <c r="X10" s="162" t="n">
        <f aca="false">ROUNDUP(((+$E10*2)/SHIPS!C$10)+(SHIPS!C$13+SHIPS!C$14+IF(ROUTES!$D10="SUEZ",SHIPS!C$15,0)),0)</f>
        <v>45</v>
      </c>
      <c r="Y10" s="160" t="n">
        <f aca="false">ROUNDUP(((+$E10*2)/SHIPS!D$10)+(SHIPS!D$13+SHIPS!D$14+IF(ROUTES!$D10="SUEZ",SHIPS!D$15,0)),0)</f>
        <v>43</v>
      </c>
      <c r="Z10" s="160"/>
      <c r="AA10" s="160"/>
      <c r="AB10" s="166"/>
      <c r="AC10" s="167"/>
      <c r="AD10" s="169"/>
      <c r="AE10" s="159" t="str">
        <f aca="false">+A10</f>
        <v>QATARCABOTSUEZ</v>
      </c>
      <c r="AF10" s="163" t="n">
        <f aca="false">+CURVELOAD!$G$11*(($E10/SHIPS!C$10)*SHIPS!C$16+($E10/SHIPS!C$10)*SHIPS!C$17+(SHIPS!C$13+SHIPS!C$14)*SHIPS!C$18+IF($D10="suez",SHIPS!C$15*SHIPS!C$18,0))</f>
        <v>696478.125</v>
      </c>
      <c r="AG10" s="164" t="n">
        <f aca="false">+CURVELOAD!$G$11*(($E10/SHIPS!D$10)*SHIPS!D$16+($E10/SHIPS!D$10)*SHIPS!D$17+(SHIPS!D$13+SHIPS!D$14)*SHIPS!D$18+IF($D10="suez",SHIPS!D$15*SHIPS!D$18,0))</f>
        <v>771375.50951087</v>
      </c>
      <c r="AH10" s="164"/>
      <c r="AI10" s="164"/>
      <c r="AJ10" s="170"/>
      <c r="AK10" s="171"/>
      <c r="AM10" s="159" t="str">
        <f aca="false">+AE10</f>
        <v>QATARCABOTSUEZ</v>
      </c>
      <c r="AN10" s="162" t="n">
        <f aca="false">+H10*365.25*(1-(SHIPS!C$11*P10))</f>
        <v>15520335.30329</v>
      </c>
      <c r="AO10" s="160" t="n">
        <f aca="false">+I10*365.25*(1-(SHIPS!D$11*Q10))</f>
        <v>26369934.7133721</v>
      </c>
      <c r="AP10" s="160"/>
      <c r="AQ10" s="160"/>
      <c r="AR10" s="166"/>
      <c r="AS10" s="167"/>
    </row>
    <row r="11" customFormat="false" ht="12.75" hidden="false" customHeight="false" outlineLevel="0" collapsed="false">
      <c r="A11" s="155" t="str">
        <f aca="false">+CONCATENATE(B11,C11,D11)</f>
        <v>QATARCOVE POINT</v>
      </c>
      <c r="B11" s="156" t="s">
        <v>2</v>
      </c>
      <c r="C11" s="157" t="s">
        <v>22</v>
      </c>
      <c r="D11" s="157"/>
      <c r="E11" s="158" t="n">
        <v>11822</v>
      </c>
      <c r="F11" s="143"/>
      <c r="G11" s="159" t="str">
        <f aca="false">+A11</f>
        <v>QATARCOVE POINT</v>
      </c>
      <c r="H11" s="162" t="n">
        <f aca="false">IF($E11=0,0,+VLOOKUP(SHIPS!$A$7,SHIPS,HLOOKUP(H$3,SHIPS,2,0)+2,0)/X11)</f>
        <v>34021.1066666667</v>
      </c>
      <c r="I11" s="160" t="n">
        <f aca="false">IF($E11=0,0,+VLOOKUP(SHIPS!$A$7,SHIPS,HLOOKUP(I$3,SHIPS,2,0)+2,0)/Y11)</f>
        <v>56410.5263157895</v>
      </c>
      <c r="J11" s="160"/>
      <c r="K11" s="160"/>
      <c r="L11" s="166"/>
      <c r="M11" s="167"/>
      <c r="N11" s="168"/>
      <c r="O11" s="159" t="str">
        <f aca="false">+G11</f>
        <v>QATARCOVE POINT</v>
      </c>
      <c r="P11" s="162" t="n">
        <f aca="false">+ROUNDUP($E11/SHIPS!$C$10+SHIPS!$C$13+SHIPS!$C$14/2+IF($D11="SUEZ",SHIPS!$C$15/2,0),0)</f>
        <v>31</v>
      </c>
      <c r="Q11" s="160" t="n">
        <f aca="false">+ROUNDUP($E11/SHIPS!$C$10+SHIPS!$C$13+SHIPS!$C$14/2+IF($D11="SUEZ",SHIPS!$C$15/2,0),0)</f>
        <v>31</v>
      </c>
      <c r="R11" s="160"/>
      <c r="S11" s="160"/>
      <c r="T11" s="166"/>
      <c r="U11" s="167"/>
      <c r="V11" s="168"/>
      <c r="W11" s="159" t="str">
        <f aca="false">+A11</f>
        <v>QATARCOVE POINT</v>
      </c>
      <c r="X11" s="162" t="n">
        <f aca="false">ROUNDUP(((+$E11*2)/SHIPS!C$10)+(SHIPS!C$13+SHIPS!C$14+IF(ROUTES!$D11="SUEZ",SHIPS!C$15,0)),0)</f>
        <v>60</v>
      </c>
      <c r="Y11" s="160" t="n">
        <f aca="false">ROUNDUP(((+$E11*2)/SHIPS!D$10)+(SHIPS!D$13+SHIPS!D$14+IF(ROUTES!$D11="SUEZ",SHIPS!D$15,0)),0)</f>
        <v>57</v>
      </c>
      <c r="Z11" s="160"/>
      <c r="AA11" s="160"/>
      <c r="AB11" s="166"/>
      <c r="AC11" s="167"/>
      <c r="AD11" s="169"/>
      <c r="AE11" s="159" t="str">
        <f aca="false">+A11</f>
        <v>QATARCOVE POINT</v>
      </c>
      <c r="AF11" s="163" t="n">
        <f aca="false">+CURVELOAD!$G$11*(($E11/SHIPS!C$10)*SHIPS!C$16+($E11/SHIPS!C$10)*SHIPS!C$17+(SHIPS!C$13+SHIPS!C$14)*SHIPS!C$18+IF($D11="suez",SHIPS!C$15*SHIPS!C$18,0))</f>
        <v>997403.75</v>
      </c>
      <c r="AG11" s="164" t="n">
        <f aca="false">+CURVELOAD!$G$11*(($E11/SHIPS!D$10)*SHIPS!D$16+($E11/SHIPS!D$10)*SHIPS!D$17+(SHIPS!D$13+SHIPS!D$14)*SHIPS!D$18+IF($D11="suez",SHIPS!D$15*SHIPS!D$18,0))</f>
        <v>1100585.9375</v>
      </c>
      <c r="AH11" s="164"/>
      <c r="AI11" s="164"/>
      <c r="AJ11" s="170"/>
      <c r="AK11" s="171"/>
      <c r="AM11" s="159" t="str">
        <f aca="false">+AE11</f>
        <v>QATARCOVE POINT</v>
      </c>
      <c r="AN11" s="162" t="n">
        <f aca="false">+H11*365.25*(1-(SHIPS!C$11*P11))</f>
        <v>11366874.8748475</v>
      </c>
      <c r="AO11" s="160" t="n">
        <f aca="false">+I11*365.25*(1-(SHIPS!D$11*Q11))</f>
        <v>19645861.3065789</v>
      </c>
      <c r="AP11" s="160"/>
      <c r="AQ11" s="160"/>
      <c r="AR11" s="166"/>
      <c r="AS11" s="167"/>
    </row>
    <row r="12" customFormat="false" ht="12.75" hidden="false" customHeight="false" outlineLevel="0" collapsed="false">
      <c r="A12" s="155" t="str">
        <f aca="false">+CONCATENATE(B12,C12,D12)</f>
        <v>QATARCOVE POINTSUEZ</v>
      </c>
      <c r="B12" s="156" t="s">
        <v>2</v>
      </c>
      <c r="C12" s="157" t="s">
        <v>22</v>
      </c>
      <c r="D12" s="157" t="s">
        <v>9</v>
      </c>
      <c r="E12" s="158" t="n">
        <v>8467</v>
      </c>
      <c r="F12" s="143"/>
      <c r="G12" s="159" t="str">
        <f aca="false">+A12</f>
        <v>QATARCOVE POINTSUEZ</v>
      </c>
      <c r="H12" s="162" t="n">
        <f aca="false">IF($E12=0,0,+VLOOKUP(SHIPS!$A$7,SHIPS,HLOOKUP(H$3,SHIPS,2,0)+2,0)/X12)</f>
        <v>43431.2</v>
      </c>
      <c r="I12" s="160" t="n">
        <f aca="false">IF($E12=0,0,+VLOOKUP(SHIPS!$A$7,SHIPS,HLOOKUP(I$3,SHIPS,2,0)+2,0)/Y12)</f>
        <v>71453.3333333333</v>
      </c>
      <c r="J12" s="160"/>
      <c r="K12" s="160"/>
      <c r="L12" s="166"/>
      <c r="M12" s="167"/>
      <c r="N12" s="168"/>
      <c r="O12" s="159" t="str">
        <f aca="false">+G12</f>
        <v>QATARCOVE POINTSUEZ</v>
      </c>
      <c r="P12" s="162" t="n">
        <f aca="false">+ROUNDUP($E12/SHIPS!$C$10+SHIPS!$C$13+SHIPS!$C$14/2+IF($D12="SUEZ",SHIPS!$C$15/2,0),0)</f>
        <v>24</v>
      </c>
      <c r="Q12" s="160" t="n">
        <f aca="false">+ROUNDUP($E12/SHIPS!$C$10+SHIPS!$C$13+SHIPS!$C$14/2+IF($D12="SUEZ",SHIPS!$C$15/2,0),0)</f>
        <v>24</v>
      </c>
      <c r="R12" s="160"/>
      <c r="S12" s="160"/>
      <c r="T12" s="166"/>
      <c r="U12" s="167"/>
      <c r="V12" s="168"/>
      <c r="W12" s="159" t="str">
        <f aca="false">+A12</f>
        <v>QATARCOVE POINTSUEZ</v>
      </c>
      <c r="X12" s="162" t="n">
        <f aca="false">ROUNDUP(((+$E12*2)/SHIPS!C$10)+(SHIPS!C$13+SHIPS!C$14+IF(ROUTES!$D12="SUEZ",SHIPS!C$15,0)),0)</f>
        <v>47</v>
      </c>
      <c r="Y12" s="160" t="n">
        <f aca="false">ROUNDUP(((+$E12*2)/SHIPS!D$10)+(SHIPS!D$13+SHIPS!D$14+IF(ROUTES!$D12="SUEZ",SHIPS!D$15,0)),0)</f>
        <v>45</v>
      </c>
      <c r="Z12" s="160"/>
      <c r="AA12" s="160"/>
      <c r="AB12" s="166"/>
      <c r="AC12" s="167"/>
      <c r="AD12" s="169"/>
      <c r="AE12" s="159" t="str">
        <f aca="false">+A12</f>
        <v>QATARCOVE POINTSUEZ</v>
      </c>
      <c r="AF12" s="163" t="n">
        <f aca="false">+CURVELOAD!$G$11*(($E12/SHIPS!C$10)*SHIPS!C$16+($E12/SHIPS!C$10)*SHIPS!C$17+(SHIPS!C$13+SHIPS!C$14)*SHIPS!C$18+IF($D12="suez",SHIPS!C$15*SHIPS!C$18,0))</f>
        <v>733219.375</v>
      </c>
      <c r="AG12" s="164" t="n">
        <f aca="false">+CURVELOAD!$G$11*(($E12/SHIPS!D$10)*SHIPS!D$16+($E12/SHIPS!D$10)*SHIPS!D$17+(SHIPS!D$13+SHIPS!D$14)*SHIPS!D$18+IF($D12="suez",SHIPS!D$15*SHIPS!D$18,0))</f>
        <v>811837.126358696</v>
      </c>
      <c r="AH12" s="164"/>
      <c r="AI12" s="164"/>
      <c r="AJ12" s="170"/>
      <c r="AK12" s="171"/>
      <c r="AM12" s="159" t="str">
        <f aca="false">+AE12</f>
        <v>QATARCOVE POINTSUEZ</v>
      </c>
      <c r="AN12" s="162" t="n">
        <f aca="false">+H12*365.25*(1-(SHIPS!C$11*P12))</f>
        <v>14816271.5772</v>
      </c>
      <c r="AO12" s="160" t="n">
        <f aca="false">+I12*365.25*(1-(SHIPS!D$11*Q12))</f>
        <v>25158790.12</v>
      </c>
      <c r="AP12" s="160"/>
      <c r="AQ12" s="160"/>
      <c r="AR12" s="166"/>
      <c r="AS12" s="167"/>
    </row>
    <row r="13" customFormat="false" ht="12.75" hidden="false" customHeight="false" outlineLevel="0" collapsed="false">
      <c r="A13" s="155" t="str">
        <f aca="false">+CONCATENATE(B13,C13,D13)</f>
        <v>QATARBARCELONASUEZ</v>
      </c>
      <c r="B13" s="156" t="s">
        <v>2</v>
      </c>
      <c r="C13" s="157" t="s">
        <v>17</v>
      </c>
      <c r="D13" s="157" t="s">
        <v>9</v>
      </c>
      <c r="E13" s="158" t="n">
        <v>4657</v>
      </c>
      <c r="F13" s="143"/>
      <c r="G13" s="159" t="str">
        <f aca="false">+A13</f>
        <v>QATARBARCELONASUEZ</v>
      </c>
      <c r="H13" s="162" t="n">
        <f aca="false">IF($E13=0,0,+VLOOKUP(SHIPS!$A$7,SHIPS,HLOOKUP(H$3,SHIPS,2,0)+2,0)/X13)</f>
        <v>70388.4965517241</v>
      </c>
      <c r="I13" s="160" t="n">
        <f aca="false">IF($E13=0,0,+VLOOKUP(SHIPS!$A$7,SHIPS,HLOOKUP(I$3,SHIPS,2,0)+2,0)/Y13)</f>
        <v>114835.714285714</v>
      </c>
      <c r="J13" s="160"/>
      <c r="K13" s="160"/>
      <c r="L13" s="166"/>
      <c r="M13" s="167"/>
      <c r="N13" s="168"/>
      <c r="O13" s="159" t="str">
        <f aca="false">+G13</f>
        <v>QATARBARCELONASUEZ</v>
      </c>
      <c r="P13" s="162" t="n">
        <f aca="false">+ROUNDUP($E13/SHIPS!$C$10+SHIPS!$C$13+SHIPS!$C$14/2+IF($D13="SUEZ",SHIPS!$C$15/2,0),0)</f>
        <v>15</v>
      </c>
      <c r="Q13" s="160" t="n">
        <f aca="false">+ROUNDUP($E13/SHIPS!$C$10+SHIPS!$C$13+SHIPS!$C$14/2+IF($D13="SUEZ",SHIPS!$C$15/2,0),0)</f>
        <v>15</v>
      </c>
      <c r="R13" s="160"/>
      <c r="S13" s="160"/>
      <c r="T13" s="166"/>
      <c r="U13" s="167"/>
      <c r="V13" s="168"/>
      <c r="W13" s="159" t="str">
        <f aca="false">+A13</f>
        <v>QATARBARCELONASUEZ</v>
      </c>
      <c r="X13" s="162" t="n">
        <f aca="false">ROUNDUP(((+$E13*2)/SHIPS!C$10)+(SHIPS!C$13+SHIPS!C$14+IF(ROUTES!$D13="SUEZ",SHIPS!C$15,0)),0)</f>
        <v>29</v>
      </c>
      <c r="Y13" s="160" t="n">
        <f aca="false">ROUNDUP(((+$E13*2)/SHIPS!D$10)+(SHIPS!D$13+SHIPS!D$14+IF(ROUTES!$D13="SUEZ",SHIPS!D$15,0)),0)</f>
        <v>28</v>
      </c>
      <c r="Z13" s="160"/>
      <c r="AA13" s="160"/>
      <c r="AB13" s="166"/>
      <c r="AC13" s="167"/>
      <c r="AD13" s="169"/>
      <c r="AE13" s="159" t="str">
        <f aca="false">+A13</f>
        <v>QATARBARCELONASUEZ</v>
      </c>
      <c r="AF13" s="163" t="n">
        <f aca="false">+CURVELOAD!$G$11*(($E13/SHIPS!C$10)*SHIPS!C$16+($E13/SHIPS!C$10)*SHIPS!C$17+(SHIPS!C$13+SHIPS!C$14)*SHIPS!C$18+IF($D13="suez",SHIPS!C$15*SHIPS!C$18,0))</f>
        <v>416513.125</v>
      </c>
      <c r="AG13" s="164" t="n">
        <f aca="false">+CURVELOAD!$G$11*(($E13/SHIPS!D$10)*SHIPS!D$16+($E13/SHIPS!D$10)*SHIPS!D$17+(SHIPS!D$13+SHIPS!D$14)*SHIPS!D$18+IF($D13="suez",SHIPS!D$15*SHIPS!D$18,0))</f>
        <v>463061.650815217</v>
      </c>
      <c r="AH13" s="164"/>
      <c r="AI13" s="164"/>
      <c r="AJ13" s="170"/>
      <c r="AK13" s="171"/>
      <c r="AM13" s="159" t="str">
        <f aca="false">+AE13</f>
        <v>QATARBARCELONASUEZ</v>
      </c>
      <c r="AN13" s="162" t="n">
        <f aca="false">+H13*365.25*(1-(SHIPS!C$11*P13))</f>
        <v>24648885.6829397</v>
      </c>
      <c r="AO13" s="160" t="n">
        <f aca="false">+I13*365.25*(1-(SHIPS!D$11*Q13))</f>
        <v>41000010.3883929</v>
      </c>
      <c r="AP13" s="160"/>
      <c r="AQ13" s="160"/>
      <c r="AR13" s="166"/>
      <c r="AS13" s="167"/>
    </row>
    <row r="14" customFormat="false" ht="12.75" hidden="false" customHeight="false" outlineLevel="0" collapsed="false">
      <c r="A14" s="155" t="str">
        <f aca="false">+CONCATENATE(B14,C14,D14)</f>
        <v>ALGERIAELBA</v>
      </c>
      <c r="B14" s="156" t="s">
        <v>4</v>
      </c>
      <c r="C14" s="157" t="s">
        <v>6</v>
      </c>
      <c r="D14" s="157"/>
      <c r="E14" s="158" t="n">
        <v>3941</v>
      </c>
      <c r="F14" s="143"/>
      <c r="G14" s="159" t="str">
        <f aca="false">+A14</f>
        <v>ALGERIAELBA</v>
      </c>
      <c r="H14" s="162" t="n">
        <f aca="false">IF($E14=0,0,+VLOOKUP(SHIPS!$A$7,SHIPS,HLOOKUP(H$3,SHIPS,2,0)+2,0)/X14)</f>
        <v>92784.8363636364</v>
      </c>
      <c r="I14" s="160" t="n">
        <f aca="false">IF($E14=0,0,+VLOOKUP(SHIPS!$A$7,SHIPS,HLOOKUP(I$3,SHIPS,2,0)+2,0)/Y14)</f>
        <v>153114.285714286</v>
      </c>
      <c r="J14" s="160"/>
      <c r="K14" s="160"/>
      <c r="L14" s="166"/>
      <c r="M14" s="167"/>
      <c r="N14" s="168"/>
      <c r="O14" s="159" t="str">
        <f aca="false">+G14</f>
        <v>ALGERIAELBA</v>
      </c>
      <c r="P14" s="162" t="n">
        <f aca="false">+ROUNDUP($E14/SHIPS!$C$10+SHIPS!$C$13+SHIPS!$C$14/2+IF($D14="SUEZ",SHIPS!$C$15/2,0),0)</f>
        <v>12</v>
      </c>
      <c r="Q14" s="160" t="n">
        <f aca="false">+ROUNDUP($E14/SHIPS!$C$10+SHIPS!$C$13+SHIPS!$C$14/2+IF($D14="SUEZ",SHIPS!$C$15/2,0),0)</f>
        <v>12</v>
      </c>
      <c r="R14" s="160"/>
      <c r="S14" s="160"/>
      <c r="T14" s="166"/>
      <c r="U14" s="167"/>
      <c r="V14" s="168"/>
      <c r="W14" s="159" t="str">
        <f aca="false">+A14</f>
        <v>ALGERIAELBA</v>
      </c>
      <c r="X14" s="162" t="n">
        <f aca="false">ROUNDUP(((+$E14*2)/SHIPS!C$10)+(SHIPS!C$13+SHIPS!C$14+IF(ROUTES!$D14="SUEZ",SHIPS!C$15,0)),0)</f>
        <v>22</v>
      </c>
      <c r="Y14" s="160" t="n">
        <f aca="false">ROUNDUP(((+$E14*2)/SHIPS!D$10)+(SHIPS!D$13+SHIPS!D$14+IF(ROUTES!$D14="SUEZ",SHIPS!D$15,0)),0)</f>
        <v>21</v>
      </c>
      <c r="Z14" s="160"/>
      <c r="AA14" s="160"/>
      <c r="AB14" s="166"/>
      <c r="AC14" s="167"/>
      <c r="AD14" s="169"/>
      <c r="AE14" s="159" t="str">
        <f aca="false">+A14</f>
        <v>ALGERIAELBA</v>
      </c>
      <c r="AF14" s="163" t="n">
        <f aca="false">+CURVELOAD!$G$11*(($E14/SHIPS!C$10)*SHIPS!C$16+($E14/SHIPS!C$10)*SHIPS!C$17+(SHIPS!C$13+SHIPS!C$14)*SHIPS!C$18+IF($D14="suez",SHIPS!C$15*SHIPS!C$18,0))</f>
        <v>342295.625</v>
      </c>
      <c r="AG14" s="164" t="n">
        <f aca="false">+CURVELOAD!$G$11*(($E14/SHIPS!D$10)*SHIPS!D$16+($E14/SHIPS!D$10)*SHIPS!D$17+(SHIPS!D$13+SHIPS!D$14)*SHIPS!D$18+IF($D14="suez",SHIPS!D$15*SHIPS!D$18,0))</f>
        <v>379142.493206522</v>
      </c>
      <c r="AH14" s="164"/>
      <c r="AI14" s="164"/>
      <c r="AJ14" s="170"/>
      <c r="AK14" s="171"/>
      <c r="AM14" s="159" t="str">
        <f aca="false">+AE14</f>
        <v>ALGERIAELBA</v>
      </c>
      <c r="AN14" s="162" t="n">
        <f aca="false">+H14*365.25*(1-(SHIPS!C$11*P14))</f>
        <v>32771302.6529182</v>
      </c>
      <c r="AO14" s="160" t="n">
        <f aca="false">+I14*365.25*(1-(SHIPS!D$11*Q14))</f>
        <v>54918342.9857143</v>
      </c>
      <c r="AP14" s="160"/>
      <c r="AQ14" s="160"/>
      <c r="AR14" s="166"/>
      <c r="AS14" s="167"/>
    </row>
    <row r="15" customFormat="false" ht="12.75" hidden="false" customHeight="false" outlineLevel="0" collapsed="false">
      <c r="A15" s="155" t="str">
        <f aca="false">+CONCATENATE(B15,C15,D15)</f>
        <v>ALGERIALAKE CHARLES</v>
      </c>
      <c r="B15" s="156" t="s">
        <v>4</v>
      </c>
      <c r="C15" s="157" t="s">
        <v>7</v>
      </c>
      <c r="D15" s="157"/>
      <c r="E15" s="158" t="n">
        <v>4962</v>
      </c>
      <c r="F15" s="143"/>
      <c r="G15" s="159" t="str">
        <f aca="false">+A15</f>
        <v>ALGERIALAKE CHARLES</v>
      </c>
      <c r="H15" s="162" t="n">
        <f aca="false">IF($E15=0,0,+VLOOKUP(SHIPS!$A$7,SHIPS,HLOOKUP(H$3,SHIPS,2,0)+2,0)/X15)</f>
        <v>75602.4592592593</v>
      </c>
      <c r="I15" s="160" t="n">
        <f aca="false">IF($E15=0,0,+VLOOKUP(SHIPS!$A$7,SHIPS,HLOOKUP(I$3,SHIPS,2,0)+2,0)/Y15)</f>
        <v>123669.230769231</v>
      </c>
      <c r="J15" s="160"/>
      <c r="K15" s="160"/>
      <c r="L15" s="166"/>
      <c r="M15" s="167"/>
      <c r="N15" s="168"/>
      <c r="O15" s="159" t="str">
        <f aca="false">+G15</f>
        <v>ALGERIALAKE CHARLES</v>
      </c>
      <c r="P15" s="162" t="n">
        <f aca="false">+ROUNDUP($E15/SHIPS!$C$10+SHIPS!$C$13+SHIPS!$C$14/2+IF($D15="SUEZ",SHIPS!$C$15/2,0),0)</f>
        <v>14</v>
      </c>
      <c r="Q15" s="160" t="n">
        <f aca="false">+ROUNDUP($E15/SHIPS!$C$10+SHIPS!$C$13+SHIPS!$C$14/2+IF($D15="SUEZ",SHIPS!$C$15/2,0),0)</f>
        <v>14</v>
      </c>
      <c r="R15" s="160"/>
      <c r="S15" s="160"/>
      <c r="T15" s="166"/>
      <c r="U15" s="167"/>
      <c r="V15" s="168"/>
      <c r="W15" s="159" t="str">
        <f aca="false">+A15</f>
        <v>ALGERIALAKE CHARLES</v>
      </c>
      <c r="X15" s="162" t="n">
        <f aca="false">ROUNDUP(((+$E15*2)/SHIPS!C$10)+(SHIPS!C$13+SHIPS!C$14+IF(ROUTES!$D15="SUEZ",SHIPS!C$15,0)),0)</f>
        <v>27</v>
      </c>
      <c r="Y15" s="160" t="n">
        <f aca="false">ROUNDUP(((+$E15*2)/SHIPS!D$10)+(SHIPS!D$13+SHIPS!D$14+IF(ROUTES!$D15="SUEZ",SHIPS!D$15,0)),0)</f>
        <v>26</v>
      </c>
      <c r="Z15" s="160"/>
      <c r="AA15" s="160"/>
      <c r="AB15" s="166"/>
      <c r="AC15" s="167"/>
      <c r="AD15" s="169"/>
      <c r="AE15" s="159" t="str">
        <f aca="false">+A15</f>
        <v>ALGERIALAKE CHARLES</v>
      </c>
      <c r="AF15" s="163" t="n">
        <f aca="false">+CURVELOAD!$G$11*(($E15/SHIPS!C$10)*SHIPS!C$16+($E15/SHIPS!C$10)*SHIPS!C$17+(SHIPS!C$13+SHIPS!C$14)*SHIPS!C$18+IF($D15="suez",SHIPS!C$15*SHIPS!C$18,0))</f>
        <v>427166.25</v>
      </c>
      <c r="AG15" s="164" t="n">
        <f aca="false">+CURVELOAD!$G$11*(($E15/SHIPS!D$10)*SHIPS!D$16+($E15/SHIPS!D$10)*SHIPS!D$17+(SHIPS!D$13+SHIPS!D$14)*SHIPS!D$18+IF($D15="suez",SHIPS!D$15*SHIPS!D$18,0))</f>
        <v>472606.997282609</v>
      </c>
      <c r="AH15" s="164"/>
      <c r="AI15" s="164"/>
      <c r="AJ15" s="170"/>
      <c r="AK15" s="171"/>
      <c r="AM15" s="159" t="str">
        <f aca="false">+AE15</f>
        <v>ALGERIALAKE CHARLES</v>
      </c>
      <c r="AN15" s="162" t="n">
        <f aca="false">+H15*365.25*(1-(SHIPS!C$11*P15))</f>
        <v>26550667.0120333</v>
      </c>
      <c r="AO15" s="160" t="n">
        <f aca="false">+I15*365.25*(1-(SHIPS!D$11*Q15))</f>
        <v>44221612.6211539</v>
      </c>
      <c r="AP15" s="160"/>
      <c r="AQ15" s="160"/>
      <c r="AR15" s="166"/>
      <c r="AS15" s="167"/>
    </row>
    <row r="16" customFormat="false" ht="12.75" hidden="false" customHeight="false" outlineLevel="0" collapsed="false">
      <c r="A16" s="155" t="str">
        <f aca="false">+CONCATENATE(B16,C16,D16)</f>
        <v>ALGERIACABOT</v>
      </c>
      <c r="B16" s="156" t="s">
        <v>4</v>
      </c>
      <c r="C16" s="157" t="s">
        <v>21</v>
      </c>
      <c r="D16" s="157"/>
      <c r="E16" s="158" t="n">
        <v>3300</v>
      </c>
      <c r="F16" s="143"/>
      <c r="G16" s="159" t="str">
        <f aca="false">+A16</f>
        <v>ALGERIACABOT</v>
      </c>
      <c r="H16" s="162" t="n">
        <f aca="false">IF($E16=0,0,+VLOOKUP(SHIPS!$A$7,SHIPS,HLOOKUP(H$3,SHIPS,2,0)+2,0)/X16)</f>
        <v>107435.073684211</v>
      </c>
      <c r="I16" s="160" t="n">
        <f aca="false">IF($E16=0,0,+VLOOKUP(SHIPS!$A$7,SHIPS,HLOOKUP(I$3,SHIPS,2,0)+2,0)/Y16)</f>
        <v>178633.333333333</v>
      </c>
      <c r="J16" s="160"/>
      <c r="K16" s="160"/>
      <c r="L16" s="166"/>
      <c r="M16" s="167"/>
      <c r="N16" s="168"/>
      <c r="O16" s="159" t="str">
        <f aca="false">+G16</f>
        <v>ALGERIACABOT</v>
      </c>
      <c r="P16" s="162" t="n">
        <f aca="false">+ROUNDUP($E16/SHIPS!$C$10+SHIPS!$C$13+SHIPS!$C$14/2+IF($D16="SUEZ",SHIPS!$C$15/2,0),0)</f>
        <v>10</v>
      </c>
      <c r="Q16" s="160" t="n">
        <f aca="false">+ROUNDUP($E16/SHIPS!$C$10+SHIPS!$C$13+SHIPS!$C$14/2+IF($D16="SUEZ",SHIPS!$C$15/2,0),0)</f>
        <v>10</v>
      </c>
      <c r="R16" s="160"/>
      <c r="S16" s="160"/>
      <c r="T16" s="166"/>
      <c r="U16" s="167"/>
      <c r="V16" s="168"/>
      <c r="W16" s="159" t="str">
        <f aca="false">+A16</f>
        <v>ALGERIACABOT</v>
      </c>
      <c r="X16" s="162" t="n">
        <f aca="false">ROUNDUP(((+$E16*2)/SHIPS!C$10)+(SHIPS!C$13+SHIPS!C$14+IF(ROUTES!$D16="SUEZ",SHIPS!C$15,0)),0)</f>
        <v>19</v>
      </c>
      <c r="Y16" s="160" t="n">
        <f aca="false">ROUNDUP(((+$E16*2)/SHIPS!D$10)+(SHIPS!D$13+SHIPS!D$14+IF(ROUTES!$D16="SUEZ",SHIPS!D$15,0)),0)</f>
        <v>18</v>
      </c>
      <c r="Z16" s="160"/>
      <c r="AA16" s="160"/>
      <c r="AB16" s="166"/>
      <c r="AC16" s="167"/>
      <c r="AD16" s="169"/>
      <c r="AE16" s="159" t="str">
        <f aca="false">+A16</f>
        <v>ALGERIACABOT</v>
      </c>
      <c r="AF16" s="163" t="n">
        <f aca="false">+CURVELOAD!$G$11*(($E16/SHIPS!C$10)*SHIPS!C$16+($E16/SHIPS!C$10)*SHIPS!C$17+(SHIPS!C$13+SHIPS!C$14)*SHIPS!C$18+IF($D16="suez",SHIPS!C$15*SHIPS!C$18,0))</f>
        <v>289012.5</v>
      </c>
      <c r="AG16" s="164" t="n">
        <f aca="false">+CURVELOAD!$G$11*(($E16/SHIPS!D$10)*SHIPS!D$16+($E16/SHIPS!D$10)*SHIPS!D$17+(SHIPS!D$13+SHIPS!D$14)*SHIPS!D$18+IF($D16="suez",SHIPS!D$15*SHIPS!D$18,0))</f>
        <v>320463.994565217</v>
      </c>
      <c r="AH16" s="164"/>
      <c r="AI16" s="164"/>
      <c r="AJ16" s="170"/>
      <c r="AK16" s="171"/>
      <c r="AM16" s="159" t="str">
        <f aca="false">+AE16</f>
        <v>ALGERIACABOT</v>
      </c>
      <c r="AN16" s="162" t="n">
        <f aca="false">+H16*365.25*(1-(SHIPS!C$11*P16))</f>
        <v>38161542.4949211</v>
      </c>
      <c r="AO16" s="160" t="n">
        <f aca="false">+I16*365.25*(1-(SHIPS!D$11*Q16))</f>
        <v>64267137.625</v>
      </c>
      <c r="AP16" s="160"/>
      <c r="AQ16" s="160"/>
      <c r="AR16" s="166"/>
      <c r="AS16" s="167"/>
    </row>
    <row r="17" customFormat="false" ht="12.75" hidden="false" customHeight="false" outlineLevel="0" collapsed="false">
      <c r="A17" s="155" t="str">
        <f aca="false">+CONCATENATE(B17,C17,D17)</f>
        <v>ALGERIACOVE POINT</v>
      </c>
      <c r="B17" s="156" t="s">
        <v>4</v>
      </c>
      <c r="C17" s="157" t="s">
        <v>22</v>
      </c>
      <c r="D17" s="157"/>
      <c r="E17" s="158" t="n">
        <v>3742</v>
      </c>
      <c r="F17" s="143"/>
      <c r="G17" s="159" t="str">
        <f aca="false">+A17</f>
        <v>ALGERIACOVE POINT</v>
      </c>
      <c r="H17" s="162" t="n">
        <f aca="false">IF($E17=0,0,+VLOOKUP(SHIPS!$A$7,SHIPS,HLOOKUP(H$3,SHIPS,2,0)+2,0)/X17)</f>
        <v>97203.1619047619</v>
      </c>
      <c r="I17" s="160" t="n">
        <f aca="false">IF($E17=0,0,+VLOOKUP(SHIPS!$A$7,SHIPS,HLOOKUP(I$3,SHIPS,2,0)+2,0)/Y17)</f>
        <v>160770</v>
      </c>
      <c r="J17" s="160"/>
      <c r="K17" s="160"/>
      <c r="L17" s="166"/>
      <c r="M17" s="167"/>
      <c r="N17" s="168"/>
      <c r="O17" s="159" t="str">
        <f aca="false">+G17</f>
        <v>ALGERIACOVE POINT</v>
      </c>
      <c r="P17" s="162" t="n">
        <f aca="false">+ROUNDUP($E17/SHIPS!$C$10+SHIPS!$C$13+SHIPS!$C$14/2+IF($D17="SUEZ",SHIPS!$C$15/2,0),0)</f>
        <v>11</v>
      </c>
      <c r="Q17" s="160" t="n">
        <f aca="false">+ROUNDUP($E17/SHIPS!$C$10+SHIPS!$C$13+SHIPS!$C$14/2+IF($D17="SUEZ",SHIPS!$C$15/2,0),0)</f>
        <v>11</v>
      </c>
      <c r="R17" s="160"/>
      <c r="S17" s="160"/>
      <c r="T17" s="166"/>
      <c r="U17" s="167"/>
      <c r="V17" s="168"/>
      <c r="W17" s="159" t="str">
        <f aca="false">+A17</f>
        <v>ALGERIACOVE POINT</v>
      </c>
      <c r="X17" s="162" t="n">
        <f aca="false">ROUNDUP(((+$E17*2)/SHIPS!C$10)+(SHIPS!C$13+SHIPS!C$14+IF(ROUTES!$D17="SUEZ",SHIPS!C$15,0)),0)</f>
        <v>21</v>
      </c>
      <c r="Y17" s="160" t="n">
        <f aca="false">ROUNDUP(((+$E17*2)/SHIPS!D$10)+(SHIPS!D$13+SHIPS!D$14+IF(ROUTES!$D17="SUEZ",SHIPS!D$15,0)),0)</f>
        <v>20</v>
      </c>
      <c r="Z17" s="160"/>
      <c r="AA17" s="160"/>
      <c r="AB17" s="166"/>
      <c r="AC17" s="167"/>
      <c r="AD17" s="169"/>
      <c r="AE17" s="159" t="str">
        <f aca="false">+A17</f>
        <v>ALGERIACOVE POINT</v>
      </c>
      <c r="AF17" s="163" t="n">
        <f aca="false">+CURVELOAD!$G$11*(($E17/SHIPS!C$10)*SHIPS!C$16+($E17/SHIPS!C$10)*SHIPS!C$17+(SHIPS!C$13+SHIPS!C$14)*SHIPS!C$18+IF($D17="suez",SHIPS!C$15*SHIPS!C$18,0))</f>
        <v>325753.75</v>
      </c>
      <c r="AG17" s="164" t="n">
        <f aca="false">+CURVELOAD!$G$11*(($E17/SHIPS!D$10)*SHIPS!D$16+($E17/SHIPS!D$10)*SHIPS!D$17+(SHIPS!D$13+SHIPS!D$14)*SHIPS!D$18+IF($D17="suez",SHIPS!D$15*SHIPS!D$18,0))</f>
        <v>360925.611413044</v>
      </c>
      <c r="AH17" s="164"/>
      <c r="AI17" s="164"/>
      <c r="AJ17" s="170"/>
      <c r="AK17" s="171"/>
      <c r="AM17" s="159" t="str">
        <f aca="false">+AE17</f>
        <v>ALGERIACOVE POINT</v>
      </c>
      <c r="AN17" s="162" t="n">
        <f aca="false">+H17*365.25*(1-(SHIPS!C$11*P17))</f>
        <v>34429475.3754214</v>
      </c>
      <c r="AO17" s="160" t="n">
        <f aca="false">+I17*365.25*(1-(SHIPS!D$11*Q17))</f>
        <v>57752341.99875</v>
      </c>
      <c r="AP17" s="160"/>
      <c r="AQ17" s="160"/>
      <c r="AR17" s="166"/>
      <c r="AS17" s="167"/>
    </row>
    <row r="18" customFormat="false" ht="12.75" hidden="false" customHeight="false" outlineLevel="0" collapsed="false">
      <c r="A18" s="155" t="str">
        <f aca="false">+CONCATENATE(B18,C18,D18)</f>
        <v>ALGERIASPAIN</v>
      </c>
      <c r="B18" s="156" t="s">
        <v>4</v>
      </c>
      <c r="C18" s="157" t="s">
        <v>39</v>
      </c>
      <c r="D18" s="157"/>
      <c r="E18" s="158" t="n">
        <v>343</v>
      </c>
      <c r="F18" s="143"/>
      <c r="G18" s="159" t="str">
        <f aca="false">+A18</f>
        <v>ALGERIASPAIN</v>
      </c>
      <c r="H18" s="162" t="n">
        <f aca="false">IF($E18=0,0,+VLOOKUP(SHIPS!$A$7,SHIPS,HLOOKUP(H$3,SHIPS,2,0)+2,0)/X18)</f>
        <v>408253.28</v>
      </c>
      <c r="I18" s="160" t="n">
        <f aca="false">IF($E18=0,0,+VLOOKUP(SHIPS!$A$7,SHIPS,HLOOKUP(I$3,SHIPS,2,0)+2,0)/Y18)</f>
        <v>643080</v>
      </c>
      <c r="J18" s="160"/>
      <c r="K18" s="160"/>
      <c r="L18" s="166"/>
      <c r="M18" s="167"/>
      <c r="N18" s="168"/>
      <c r="O18" s="159" t="str">
        <f aca="false">+G18</f>
        <v>ALGERIASPAIN</v>
      </c>
      <c r="P18" s="162" t="n">
        <f aca="false">+ROUNDUP($E18/SHIPS!$C$10+SHIPS!$C$13+SHIPS!$C$14/2+IF($D18="SUEZ",SHIPS!$C$15/2,0),0)</f>
        <v>3</v>
      </c>
      <c r="Q18" s="160" t="n">
        <f aca="false">+ROUNDUP($E18/SHIPS!$C$10+SHIPS!$C$13+SHIPS!$C$14/2+IF($D18="SUEZ",SHIPS!$C$15/2,0),0)</f>
        <v>3</v>
      </c>
      <c r="R18" s="160"/>
      <c r="S18" s="160"/>
      <c r="T18" s="166"/>
      <c r="U18" s="167"/>
      <c r="V18" s="168"/>
      <c r="W18" s="159" t="str">
        <f aca="false">+A18</f>
        <v>ALGERIASPAIN</v>
      </c>
      <c r="X18" s="162" t="n">
        <f aca="false">ROUNDUP(((+$E18*2)/SHIPS!C$10)+(SHIPS!C$13+SHIPS!C$14+IF(ROUTES!$D18="SUEZ",SHIPS!C$15,0)),0)</f>
        <v>5</v>
      </c>
      <c r="Y18" s="160" t="n">
        <f aca="false">ROUNDUP(((+$E18*2)/SHIPS!D$10)+(SHIPS!D$13+SHIPS!D$14+IF(ROUTES!$D18="SUEZ",SHIPS!D$15,0)),0)</f>
        <v>5</v>
      </c>
      <c r="Z18" s="160"/>
      <c r="AA18" s="160"/>
      <c r="AB18" s="166"/>
      <c r="AC18" s="167"/>
      <c r="AD18" s="169"/>
      <c r="AE18" s="159" t="str">
        <f aca="false">+A18</f>
        <v>ALGERIASPAIN</v>
      </c>
      <c r="AF18" s="163" t="n">
        <f aca="false">+CURVELOAD!$G$11*(($E18/SHIPS!C$10)*SHIPS!C$16+($E18/SHIPS!C$10)*SHIPS!C$17+(SHIPS!C$13+SHIPS!C$14)*SHIPS!C$18+IF($D18="suez",SHIPS!C$15*SHIPS!C$18,0))</f>
        <v>43211.875</v>
      </c>
      <c r="AG18" s="164" t="n">
        <f aca="false">+CURVELOAD!$G$11*(($E18/SHIPS!D$10)*SHIPS!D$16+($E18/SHIPS!D$10)*SHIPS!D$17+(SHIPS!D$13+SHIPS!D$14)*SHIPS!D$18+IF($D18="suez",SHIPS!D$15*SHIPS!D$18,0))</f>
        <v>49773.9470108696</v>
      </c>
      <c r="AH18" s="164"/>
      <c r="AI18" s="164"/>
      <c r="AJ18" s="170"/>
      <c r="AK18" s="171"/>
      <c r="AM18" s="159" t="str">
        <f aca="false">+AE18</f>
        <v>ALGERIASPAIN</v>
      </c>
      <c r="AN18" s="162" t="n">
        <f aca="false">+H18*365.25*(1-(SHIPS!C$11*P18))</f>
        <v>147884315.80821</v>
      </c>
      <c r="AO18" s="160" t="n">
        <f aca="false">+I18*365.25*(1-(SHIPS!D$11*Q18))</f>
        <v>233827987.635</v>
      </c>
      <c r="AP18" s="160"/>
      <c r="AQ18" s="160"/>
      <c r="AR18" s="166"/>
      <c r="AS18" s="167"/>
    </row>
    <row r="19" customFormat="false" ht="12.75" hidden="false" customHeight="false" outlineLevel="0" collapsed="false">
      <c r="A19" s="155" t="str">
        <f aca="false">+CONCATENATE(B19,C19,D19)</f>
        <v>VENEZUELAELBA</v>
      </c>
      <c r="B19" s="156" t="s">
        <v>3</v>
      </c>
      <c r="C19" s="157" t="s">
        <v>6</v>
      </c>
      <c r="D19" s="157"/>
      <c r="E19" s="158" t="n">
        <v>1774</v>
      </c>
      <c r="F19" s="143"/>
      <c r="G19" s="159" t="str">
        <f aca="false">+A19</f>
        <v>VENEZUELAELBA</v>
      </c>
      <c r="H19" s="162" t="n">
        <f aca="false">IF($E19=0,0,+VLOOKUP(SHIPS!$A$7,SHIPS,HLOOKUP(H$3,SHIPS,2,0)+2,0)/X19)</f>
        <v>170105.533333333</v>
      </c>
      <c r="I19" s="160" t="n">
        <f aca="false">IF($E19=0,0,+VLOOKUP(SHIPS!$A$7,SHIPS,HLOOKUP(I$3,SHIPS,2,0)+2,0)/Y19)</f>
        <v>267950</v>
      </c>
      <c r="J19" s="160"/>
      <c r="K19" s="160"/>
      <c r="L19" s="166"/>
      <c r="M19" s="167"/>
      <c r="N19" s="168"/>
      <c r="O19" s="159" t="str">
        <f aca="false">+G19</f>
        <v>VENEZUELAELBA</v>
      </c>
      <c r="P19" s="162" t="n">
        <f aca="false">+ROUNDUP($E19/SHIPS!$C$10+SHIPS!$C$13+SHIPS!$C$14/2+IF($D19="SUEZ",SHIPS!$C$15/2,0),0)</f>
        <v>7</v>
      </c>
      <c r="Q19" s="160" t="n">
        <f aca="false">+ROUNDUP($E19/SHIPS!$C$10+SHIPS!$C$13+SHIPS!$C$14/2+IF($D19="SUEZ",SHIPS!$C$15/2,0),0)</f>
        <v>7</v>
      </c>
      <c r="R19" s="160"/>
      <c r="S19" s="160"/>
      <c r="T19" s="166"/>
      <c r="U19" s="167"/>
      <c r="V19" s="168"/>
      <c r="W19" s="159" t="str">
        <f aca="false">+A19</f>
        <v>VENEZUELAELBA</v>
      </c>
      <c r="X19" s="162" t="n">
        <f aca="false">ROUNDUP(((+$E19*2)/SHIPS!C$10)+(SHIPS!C$13+SHIPS!C$14+IF(ROUTES!$D19="SUEZ",SHIPS!C$15,0)),0)</f>
        <v>12</v>
      </c>
      <c r="Y19" s="160" t="n">
        <f aca="false">ROUNDUP(((+$E19*2)/SHIPS!D$10)+(SHIPS!D$13+SHIPS!D$14+IF(ROUTES!$D19="SUEZ",SHIPS!D$15,0)),0)</f>
        <v>12</v>
      </c>
      <c r="Z19" s="172"/>
      <c r="AA19" s="160"/>
      <c r="AB19" s="166"/>
      <c r="AC19" s="167"/>
      <c r="AD19" s="169"/>
      <c r="AE19" s="159" t="str">
        <f aca="false">+A19</f>
        <v>VENEZUELAELBA</v>
      </c>
      <c r="AF19" s="163" t="n">
        <f aca="false">+CURVELOAD!$G$11*(($E19/SHIPS!C$10)*SHIPS!C$16+($E19/SHIPS!C$10)*SHIPS!C$17+(SHIPS!C$13+SHIPS!C$14)*SHIPS!C$18+IF($D19="suez",SHIPS!C$15*SHIPS!C$18,0))</f>
        <v>162163.75</v>
      </c>
      <c r="AG19" s="164" t="n">
        <f aca="false">+CURVELOAD!$G$11*(($E19/SHIPS!D$10)*SHIPS!D$16+($E19/SHIPS!D$10)*SHIPS!D$17+(SHIPS!D$13+SHIPS!D$14)*SHIPS!D$18+IF($D19="suez",SHIPS!D$15*SHIPS!D$18,0))</f>
        <v>180770.720108696</v>
      </c>
      <c r="AH19" s="164"/>
      <c r="AI19" s="164"/>
      <c r="AJ19" s="170"/>
      <c r="AK19" s="171"/>
      <c r="AM19" s="159" t="str">
        <f aca="false">+AE19</f>
        <v>VENEZUELAELBA</v>
      </c>
      <c r="AN19" s="162" t="n">
        <f aca="false">+H19*365.25*(1-(SHIPS!C$11*P19))</f>
        <v>60935023.4135375</v>
      </c>
      <c r="AO19" s="160" t="n">
        <f aca="false">+I19*365.25*(1-(SHIPS!D$11*Q19))</f>
        <v>96841115.75625</v>
      </c>
      <c r="AP19" s="160"/>
      <c r="AQ19" s="160"/>
      <c r="AR19" s="166"/>
      <c r="AS19" s="167"/>
    </row>
    <row r="20" customFormat="false" ht="12.75" hidden="false" customHeight="false" outlineLevel="0" collapsed="false">
      <c r="A20" s="155" t="str">
        <f aca="false">+CONCATENATE(B20,C20,D20)</f>
        <v>VENEZUELALAKE CHARLES</v>
      </c>
      <c r="B20" s="156" t="s">
        <v>3</v>
      </c>
      <c r="C20" s="157" t="s">
        <v>7</v>
      </c>
      <c r="D20" s="157"/>
      <c r="E20" s="158" t="n">
        <v>2080</v>
      </c>
      <c r="F20" s="143"/>
      <c r="G20" s="159" t="str">
        <f aca="false">+A20</f>
        <v>VENEZUELALAKE CHARLES</v>
      </c>
      <c r="H20" s="162" t="n">
        <f aca="false">IF($E20=0,0,+VLOOKUP(SHIPS!$A$7,SHIPS,HLOOKUP(H$3,SHIPS,2,0)+2,0)/X20)</f>
        <v>157020.492307692</v>
      </c>
      <c r="I20" s="160" t="n">
        <f aca="false">IF($E20=0,0,+VLOOKUP(SHIPS!$A$7,SHIPS,HLOOKUP(I$3,SHIPS,2,0)+2,0)/Y20)</f>
        <v>247338.461538462</v>
      </c>
      <c r="J20" s="160"/>
      <c r="K20" s="160"/>
      <c r="L20" s="166"/>
      <c r="M20" s="167"/>
      <c r="N20" s="168"/>
      <c r="O20" s="159" t="str">
        <f aca="false">+G20</f>
        <v>VENEZUELALAKE CHARLES</v>
      </c>
      <c r="P20" s="162" t="n">
        <f aca="false">+ROUNDUP($E20/SHIPS!$C$10+SHIPS!$C$13+SHIPS!$C$14/2+IF($D20="SUEZ",SHIPS!$C$15/2,0),0)</f>
        <v>7</v>
      </c>
      <c r="Q20" s="160" t="n">
        <f aca="false">+ROUNDUP($E20/SHIPS!$C$10+SHIPS!$C$13+SHIPS!$C$14/2+IF($D20="SUEZ",SHIPS!$C$15/2,0),0)</f>
        <v>7</v>
      </c>
      <c r="R20" s="160"/>
      <c r="S20" s="160"/>
      <c r="T20" s="166"/>
      <c r="U20" s="167"/>
      <c r="V20" s="168"/>
      <c r="W20" s="159" t="str">
        <f aca="false">+A20</f>
        <v>VENEZUELALAKE CHARLES</v>
      </c>
      <c r="X20" s="162" t="n">
        <f aca="false">ROUNDUP(((+$E20*2)/SHIPS!C$10)+(SHIPS!C$13+SHIPS!C$14+IF(ROUTES!$D20="SUEZ",SHIPS!C$15,0)),0)</f>
        <v>13</v>
      </c>
      <c r="Y20" s="160" t="n">
        <f aca="false">ROUNDUP(((+$E20*2)/SHIPS!D$10)+(SHIPS!D$13+SHIPS!D$14+IF(ROUTES!$D20="SUEZ",SHIPS!D$15,0)),0)</f>
        <v>13</v>
      </c>
      <c r="Z20" s="160"/>
      <c r="AA20" s="160"/>
      <c r="AB20" s="166"/>
      <c r="AC20" s="167"/>
      <c r="AD20" s="169"/>
      <c r="AE20" s="159" t="str">
        <f aca="false">+A20</f>
        <v>VENEZUELALAKE CHARLES</v>
      </c>
      <c r="AF20" s="163" t="n">
        <f aca="false">+CURVELOAD!$G$11*(($E20/SHIPS!C$10)*SHIPS!C$16+($E20/SHIPS!C$10)*SHIPS!C$17+(SHIPS!C$13+SHIPS!C$14)*SHIPS!C$18+IF($D20="suez",SHIPS!C$15*SHIPS!C$18,0))</f>
        <v>187600</v>
      </c>
      <c r="AG20" s="164" t="n">
        <f aca="false">+CURVELOAD!$G$11*(($E20/SHIPS!D$10)*SHIPS!D$16+($E20/SHIPS!D$10)*SHIPS!D$17+(SHIPS!D$13+SHIPS!D$14)*SHIPS!D$18+IF($D20="suez",SHIPS!D$15*SHIPS!D$18,0))</f>
        <v>208782.608695652</v>
      </c>
      <c r="AH20" s="164"/>
      <c r="AI20" s="164"/>
      <c r="AJ20" s="170"/>
      <c r="AK20" s="171"/>
      <c r="AM20" s="159" t="str">
        <f aca="false">+AE20</f>
        <v>VENEZUELALAKE CHARLES</v>
      </c>
      <c r="AN20" s="162" t="n">
        <f aca="false">+H20*365.25*(1-(SHIPS!C$11*P20))</f>
        <v>56247713.9201885</v>
      </c>
      <c r="AO20" s="160" t="n">
        <f aca="false">+I20*365.25*(1-(SHIPS!D$11*Q20))</f>
        <v>89391799.1596154</v>
      </c>
      <c r="AP20" s="160"/>
      <c r="AQ20" s="160"/>
      <c r="AR20" s="166"/>
      <c r="AS20" s="167"/>
    </row>
    <row r="21" customFormat="false" ht="12.75" hidden="false" customHeight="false" outlineLevel="0" collapsed="false">
      <c r="A21" s="155" t="str">
        <f aca="false">+CONCATENATE(B21,C21,D21)</f>
        <v>VENEZUELACABOT</v>
      </c>
      <c r="B21" s="156" t="s">
        <v>3</v>
      </c>
      <c r="C21" s="157" t="s">
        <v>21</v>
      </c>
      <c r="D21" s="157"/>
      <c r="E21" s="158" t="n">
        <v>2085</v>
      </c>
      <c r="F21" s="143"/>
      <c r="G21" s="159" t="str">
        <f aca="false">+A21</f>
        <v>VENEZUELACABOT</v>
      </c>
      <c r="H21" s="162" t="n">
        <f aca="false">IF($E21=0,0,+VLOOKUP(SHIPS!$A$7,SHIPS,HLOOKUP(H$3,SHIPS,2,0)+2,0)/X21)</f>
        <v>157020.492307692</v>
      </c>
      <c r="I21" s="160" t="n">
        <f aca="false">IF($E21=0,0,+VLOOKUP(SHIPS!$A$7,SHIPS,HLOOKUP(I$3,SHIPS,2,0)+2,0)/Y21)</f>
        <v>247338.461538462</v>
      </c>
      <c r="J21" s="160"/>
      <c r="K21" s="160"/>
      <c r="L21" s="166"/>
      <c r="M21" s="167"/>
      <c r="N21" s="168"/>
      <c r="O21" s="159" t="str">
        <f aca="false">+G21</f>
        <v>VENEZUELACABOT</v>
      </c>
      <c r="P21" s="162" t="n">
        <f aca="false">+ROUNDUP($E21/SHIPS!$C$10+SHIPS!$C$13+SHIPS!$C$14/2+IF($D21="SUEZ",SHIPS!$C$15/2,0),0)</f>
        <v>7</v>
      </c>
      <c r="Q21" s="160" t="n">
        <f aca="false">+ROUNDUP($E21/SHIPS!$C$10+SHIPS!$C$13+SHIPS!$C$14/2+IF($D21="SUEZ",SHIPS!$C$15/2,0),0)</f>
        <v>7</v>
      </c>
      <c r="R21" s="160"/>
      <c r="S21" s="160"/>
      <c r="T21" s="166"/>
      <c r="U21" s="167"/>
      <c r="V21" s="168"/>
      <c r="W21" s="159" t="str">
        <f aca="false">+A21</f>
        <v>VENEZUELACABOT</v>
      </c>
      <c r="X21" s="162" t="n">
        <f aca="false">ROUNDUP(((+$E21*2)/SHIPS!C$10)+(SHIPS!C$13+SHIPS!C$14+IF(ROUTES!$D21="SUEZ",SHIPS!C$15,0)),0)</f>
        <v>13</v>
      </c>
      <c r="Y21" s="160" t="n">
        <f aca="false">ROUNDUP(((+$E21*2)/SHIPS!D$10)+(SHIPS!D$13+SHIPS!D$14+IF(ROUTES!$D21="SUEZ",SHIPS!D$15,0)),0)</f>
        <v>13</v>
      </c>
      <c r="Z21" s="160"/>
      <c r="AA21" s="160"/>
      <c r="AB21" s="166"/>
      <c r="AC21" s="167"/>
      <c r="AD21" s="169"/>
      <c r="AE21" s="159" t="str">
        <f aca="false">+A21</f>
        <v>VENEZUELACABOT</v>
      </c>
      <c r="AF21" s="163" t="n">
        <f aca="false">+CURVELOAD!$G$11*(($E21/SHIPS!C$10)*SHIPS!C$16+($E21/SHIPS!C$10)*SHIPS!C$17+(SHIPS!C$13+SHIPS!C$14)*SHIPS!C$18+IF($D21="suez",SHIPS!C$15*SHIPS!C$18,0))</f>
        <v>188015.625</v>
      </c>
      <c r="AG21" s="164" t="n">
        <f aca="false">+CURVELOAD!$G$11*(($E21/SHIPS!D$10)*SHIPS!D$16+($E21/SHIPS!D$10)*SHIPS!D$17+(SHIPS!D$13+SHIPS!D$14)*SHIPS!D$18+IF($D21="suez",SHIPS!D$15*SHIPS!D$18,0))</f>
        <v>209240.319293478</v>
      </c>
      <c r="AH21" s="164"/>
      <c r="AI21" s="164"/>
      <c r="AJ21" s="170"/>
      <c r="AK21" s="171"/>
      <c r="AM21" s="159" t="str">
        <f aca="false">+AE21</f>
        <v>VENEZUELACABOT</v>
      </c>
      <c r="AN21" s="162" t="n">
        <f aca="false">+H21*365.25*(1-(SHIPS!C$11*P21))</f>
        <v>56247713.9201885</v>
      </c>
      <c r="AO21" s="160" t="n">
        <f aca="false">+I21*365.25*(1-(SHIPS!D$11*Q21))</f>
        <v>89391799.1596154</v>
      </c>
      <c r="AP21" s="160"/>
      <c r="AQ21" s="160"/>
      <c r="AR21" s="166"/>
      <c r="AS21" s="167"/>
    </row>
    <row r="22" customFormat="false" ht="12.75" hidden="false" customHeight="false" outlineLevel="0" collapsed="false">
      <c r="A22" s="155" t="str">
        <f aca="false">+CONCATENATE(B22,C22,D22)</f>
        <v>VENEZUELACOVE POINT</v>
      </c>
      <c r="B22" s="156" t="s">
        <v>3</v>
      </c>
      <c r="C22" s="157" t="s">
        <v>22</v>
      </c>
      <c r="D22" s="157"/>
      <c r="E22" s="158" t="n">
        <v>2003</v>
      </c>
      <c r="F22" s="143"/>
      <c r="G22" s="159" t="str">
        <f aca="false">+A22</f>
        <v>VENEZUELACOVE POINT</v>
      </c>
      <c r="H22" s="162" t="n">
        <f aca="false">IF($E22=0,0,+VLOOKUP(SHIPS!$A$7,SHIPS,HLOOKUP(H$3,SHIPS,2,0)+2,0)/X22)</f>
        <v>157020.492307692</v>
      </c>
      <c r="I22" s="160" t="n">
        <f aca="false">IF($E22=0,0,+VLOOKUP(SHIPS!$A$7,SHIPS,HLOOKUP(I$3,SHIPS,2,0)+2,0)/Y22)</f>
        <v>247338.461538462</v>
      </c>
      <c r="J22" s="160"/>
      <c r="K22" s="160"/>
      <c r="L22" s="166"/>
      <c r="M22" s="167"/>
      <c r="N22" s="168"/>
      <c r="O22" s="159" t="str">
        <f aca="false">+G22</f>
        <v>VENEZUELACOVE POINT</v>
      </c>
      <c r="P22" s="162" t="n">
        <f aca="false">+ROUNDUP($E22/SHIPS!$C$10+SHIPS!$C$13+SHIPS!$C$14/2+IF($D22="SUEZ",SHIPS!$C$15/2,0),0)</f>
        <v>7</v>
      </c>
      <c r="Q22" s="160" t="n">
        <f aca="false">+ROUNDUP($E22/SHIPS!$C$10+SHIPS!$C$13+SHIPS!$C$14/2+IF($D22="SUEZ",SHIPS!$C$15/2,0),0)</f>
        <v>7</v>
      </c>
      <c r="R22" s="160"/>
      <c r="S22" s="160"/>
      <c r="T22" s="166"/>
      <c r="U22" s="167"/>
      <c r="V22" s="168"/>
      <c r="W22" s="159" t="str">
        <f aca="false">+A22</f>
        <v>VENEZUELACOVE POINT</v>
      </c>
      <c r="X22" s="162" t="n">
        <f aca="false">ROUNDUP(((+$E22*2)/SHIPS!C$10)+(SHIPS!C$13+SHIPS!C$14+IF(ROUTES!$D22="SUEZ",SHIPS!C$15,0)),0)</f>
        <v>13</v>
      </c>
      <c r="Y22" s="160" t="n">
        <f aca="false">ROUNDUP(((+$E22*2)/SHIPS!D$10)+(SHIPS!D$13+SHIPS!D$14+IF(ROUTES!$D22="SUEZ",SHIPS!D$15,0)),0)</f>
        <v>13</v>
      </c>
      <c r="Z22" s="160"/>
      <c r="AA22" s="160"/>
      <c r="AB22" s="166"/>
      <c r="AC22" s="167"/>
      <c r="AD22" s="169"/>
      <c r="AE22" s="159" t="str">
        <f aca="false">+A22</f>
        <v>VENEZUELACOVE POINT</v>
      </c>
      <c r="AF22" s="163" t="n">
        <f aca="false">+CURVELOAD!$G$11*(($E22/SHIPS!C$10)*SHIPS!C$16+($E22/SHIPS!C$10)*SHIPS!C$17+(SHIPS!C$13+SHIPS!C$14)*SHIPS!C$18+IF($D22="suez",SHIPS!C$15*SHIPS!C$18,0))</f>
        <v>181199.375</v>
      </c>
      <c r="AG22" s="164" t="n">
        <f aca="false">+CURVELOAD!$G$11*(($E22/SHIPS!D$10)*SHIPS!D$16+($E22/SHIPS!D$10)*SHIPS!D$17+(SHIPS!D$13+SHIPS!D$14)*SHIPS!D$18+IF($D22="suez",SHIPS!D$15*SHIPS!D$18,0))</f>
        <v>201733.86548913</v>
      </c>
      <c r="AH22" s="164"/>
      <c r="AI22" s="164"/>
      <c r="AJ22" s="170"/>
      <c r="AK22" s="171"/>
      <c r="AM22" s="159" t="str">
        <f aca="false">+AE22</f>
        <v>VENEZUELACOVE POINT</v>
      </c>
      <c r="AN22" s="162" t="n">
        <f aca="false">+H22*365.25*(1-(SHIPS!C$11*P22))</f>
        <v>56247713.9201885</v>
      </c>
      <c r="AO22" s="160" t="n">
        <f aca="false">+I22*365.25*(1-(SHIPS!D$11*Q22))</f>
        <v>89391799.1596154</v>
      </c>
      <c r="AP22" s="160"/>
      <c r="AQ22" s="160"/>
      <c r="AR22" s="166"/>
      <c r="AS22" s="167"/>
    </row>
    <row r="23" customFormat="false" ht="12.75" hidden="false" customHeight="false" outlineLevel="0" collapsed="false">
      <c r="A23" s="155" t="str">
        <f aca="false">+CONCATENATE(B23,C23,D23)</f>
        <v>VENEZUELAPUERTO RICO</v>
      </c>
      <c r="B23" s="156" t="s">
        <v>3</v>
      </c>
      <c r="C23" s="157" t="s">
        <v>28</v>
      </c>
      <c r="D23" s="157"/>
      <c r="E23" s="158" t="n">
        <v>622</v>
      </c>
      <c r="F23" s="143"/>
      <c r="G23" s="159" t="str">
        <f aca="false">+A23</f>
        <v>VENEZUELAPUERTO RICO</v>
      </c>
      <c r="H23" s="162" t="n">
        <f aca="false">IF($E23=0,0,+VLOOKUP(SHIPS!$A$7,SHIPS,HLOOKUP(H$3,SHIPS,2,0)+2,0)/X23)</f>
        <v>340211.066666667</v>
      </c>
      <c r="I23" s="160" t="n">
        <f aca="false">IF($E23=0,0,+VLOOKUP(SHIPS!$A$7,SHIPS,HLOOKUP(I$3,SHIPS,2,0)+2,0)/Y23)</f>
        <v>535900</v>
      </c>
      <c r="J23" s="160"/>
      <c r="K23" s="160"/>
      <c r="L23" s="166"/>
      <c r="M23" s="167"/>
      <c r="N23" s="168"/>
      <c r="O23" s="159" t="str">
        <f aca="false">+G23</f>
        <v>VENEZUELAPUERTO RICO</v>
      </c>
      <c r="P23" s="162" t="n">
        <f aca="false">+ROUNDUP($E23/SHIPS!$C$10+SHIPS!$C$13+SHIPS!$C$14/2+IF($D23="SUEZ",SHIPS!$C$15/2,0),0)</f>
        <v>4</v>
      </c>
      <c r="Q23" s="160" t="n">
        <f aca="false">+ROUNDUP($E23/SHIPS!$C$10+SHIPS!$C$13+SHIPS!$C$14/2+IF($D23="SUEZ",SHIPS!$C$15/2,0),0)</f>
        <v>4</v>
      </c>
      <c r="R23" s="160"/>
      <c r="S23" s="160"/>
      <c r="T23" s="166"/>
      <c r="U23" s="167"/>
      <c r="V23" s="168"/>
      <c r="W23" s="159" t="str">
        <f aca="false">+A23</f>
        <v>VENEZUELAPUERTO RICO</v>
      </c>
      <c r="X23" s="162" t="n">
        <f aca="false">ROUNDUP(((+$E23*2)/SHIPS!C$10)+(SHIPS!C$13+SHIPS!C$14+IF(ROUTES!$D23="SUEZ",SHIPS!C$15,0)),0)</f>
        <v>6</v>
      </c>
      <c r="Y23" s="160" t="n">
        <f aca="false">ROUNDUP(((+$E23*2)/SHIPS!D$10)+(SHIPS!D$13+SHIPS!D$14+IF(ROUTES!$D23="SUEZ",SHIPS!D$15,0)),0)</f>
        <v>6</v>
      </c>
      <c r="Z23" s="160"/>
      <c r="AA23" s="160"/>
      <c r="AB23" s="166"/>
      <c r="AC23" s="167"/>
      <c r="AD23" s="169"/>
      <c r="AE23" s="159" t="str">
        <f aca="false">+A23</f>
        <v>VENEZUELAPUERTO RICO</v>
      </c>
      <c r="AF23" s="163" t="n">
        <f aca="false">+CURVELOAD!$G$11*(($E23/SHIPS!C$10)*SHIPS!C$16+($E23/SHIPS!C$10)*SHIPS!C$17+(SHIPS!C$13+SHIPS!C$14)*SHIPS!C$18+IF($D23="suez",SHIPS!C$15*SHIPS!C$18,0))</f>
        <v>66403.75</v>
      </c>
      <c r="AG23" s="164" t="n">
        <f aca="false">+CURVELOAD!$G$11*(($E23/SHIPS!D$10)*SHIPS!D$16+($E23/SHIPS!D$10)*SHIPS!D$17+(SHIPS!D$13+SHIPS!D$14)*SHIPS!D$18+IF($D23="suez",SHIPS!D$15*SHIPS!D$18,0))</f>
        <v>75314.1983695652</v>
      </c>
      <c r="AH23" s="164"/>
      <c r="AI23" s="164"/>
      <c r="AJ23" s="170"/>
      <c r="AK23" s="171"/>
      <c r="AM23" s="159" t="str">
        <f aca="false">+AE23</f>
        <v>VENEZUELAPUERTO RICO</v>
      </c>
      <c r="AN23" s="162" t="n">
        <f aca="false">+H23*365.25*(1-(SHIPS!C$11*P23))</f>
        <v>122895209.0869</v>
      </c>
      <c r="AO23" s="160" t="n">
        <f aca="false">+I23*365.25*(1-(SHIPS!D$11*Q23))</f>
        <v>194563050.15</v>
      </c>
      <c r="AP23" s="160"/>
      <c r="AQ23" s="160"/>
      <c r="AR23" s="166"/>
      <c r="AS23" s="167"/>
    </row>
    <row r="24" customFormat="false" ht="12.75" hidden="false" customHeight="false" outlineLevel="0" collapsed="false">
      <c r="A24" s="155" t="str">
        <f aca="false">+CONCATENATE(B24,C24,D24)</f>
        <v>VENEZUELASPAIN</v>
      </c>
      <c r="B24" s="156" t="s">
        <v>3</v>
      </c>
      <c r="C24" s="157" t="s">
        <v>39</v>
      </c>
      <c r="D24" s="157"/>
      <c r="E24" s="158" t="n">
        <v>4010</v>
      </c>
      <c r="F24" s="143"/>
      <c r="G24" s="159" t="str">
        <f aca="false">+A24</f>
        <v>VENEZUELASPAIN</v>
      </c>
      <c r="H24" s="162" t="n">
        <f aca="false">IF($E24=0,0,+VLOOKUP(SHIPS!$A$7,SHIPS,HLOOKUP(H$3,SHIPS,2,0)+2,0)/X24)</f>
        <v>88750.7130434783</v>
      </c>
      <c r="I24" s="160" t="n">
        <f aca="false">IF($E24=0,0,+VLOOKUP(SHIPS!$A$7,SHIPS,HLOOKUP(I$3,SHIPS,2,0)+2,0)/Y24)</f>
        <v>146154.545454545</v>
      </c>
      <c r="J24" s="160"/>
      <c r="K24" s="160"/>
      <c r="L24" s="166"/>
      <c r="M24" s="167"/>
      <c r="N24" s="168"/>
      <c r="O24" s="159" t="str">
        <f aca="false">+G24</f>
        <v>VENEZUELASPAIN</v>
      </c>
      <c r="P24" s="162" t="n">
        <f aca="false">+ROUNDUP($E24/SHIPS!$C$10+SHIPS!$C$13+SHIPS!$C$14/2+IF($D24="SUEZ",SHIPS!$C$15/2,0),0)</f>
        <v>12</v>
      </c>
      <c r="Q24" s="160" t="n">
        <f aca="false">+ROUNDUP($E24/SHIPS!$C$10+SHIPS!$C$13+SHIPS!$C$14/2+IF($D24="SUEZ",SHIPS!$C$15/2,0),0)</f>
        <v>12</v>
      </c>
      <c r="R24" s="160"/>
      <c r="S24" s="160"/>
      <c r="T24" s="166"/>
      <c r="U24" s="167"/>
      <c r="V24" s="168"/>
      <c r="W24" s="159" t="str">
        <f aca="false">+A24</f>
        <v>VENEZUELASPAIN</v>
      </c>
      <c r="X24" s="162" t="n">
        <f aca="false">ROUNDUP(((+$E24*2)/SHIPS!C$10)+(SHIPS!C$13+SHIPS!C$14+IF(ROUTES!$D24="SUEZ",SHIPS!C$15,0)),0)</f>
        <v>23</v>
      </c>
      <c r="Y24" s="160" t="n">
        <f aca="false">ROUNDUP(((+$E24*2)/SHIPS!D$10)+(SHIPS!D$13+SHIPS!D$14+IF(ROUTES!$D24="SUEZ",SHIPS!D$15,0)),0)</f>
        <v>22</v>
      </c>
      <c r="Z24" s="160"/>
      <c r="AA24" s="160"/>
      <c r="AB24" s="166"/>
      <c r="AC24" s="167"/>
      <c r="AD24" s="169"/>
      <c r="AE24" s="159" t="str">
        <f aca="false">+A24</f>
        <v>VENEZUELASPAIN</v>
      </c>
      <c r="AF24" s="163" t="n">
        <f aca="false">+CURVELOAD!$G$11*(($E24/SHIPS!C$10)*SHIPS!C$16+($E24/SHIPS!C$10)*SHIPS!C$17+(SHIPS!C$13+SHIPS!C$14)*SHIPS!C$18+IF($D24="suez",SHIPS!C$15*SHIPS!C$18,0))</f>
        <v>348031.25</v>
      </c>
      <c r="AG24" s="164" t="n">
        <f aca="false">+CURVELOAD!$G$11*(($E24/SHIPS!D$10)*SHIPS!D$16+($E24/SHIPS!D$10)*SHIPS!D$17+(SHIPS!D$13+SHIPS!D$14)*SHIPS!D$18+IF($D24="suez",SHIPS!D$15*SHIPS!D$18,0))</f>
        <v>385458.899456522</v>
      </c>
      <c r="AH24" s="164"/>
      <c r="AI24" s="164"/>
      <c r="AJ24" s="170"/>
      <c r="AK24" s="171"/>
      <c r="AM24" s="159" t="str">
        <f aca="false">+AE24</f>
        <v>VENEZUELASPAIN</v>
      </c>
      <c r="AN24" s="162" t="n">
        <f aca="false">+H24*365.25*(1-(SHIPS!C$11*P24))</f>
        <v>31346463.4071391</v>
      </c>
      <c r="AO24" s="160" t="n">
        <f aca="false">+I24*365.25*(1-(SHIPS!D$11*Q24))</f>
        <v>52422054.6681818</v>
      </c>
      <c r="AP24" s="160"/>
      <c r="AQ24" s="160"/>
      <c r="AR24" s="166"/>
      <c r="AS24" s="167"/>
    </row>
    <row r="25" customFormat="false" ht="12.75" hidden="false" customHeight="false" outlineLevel="0" collapsed="false">
      <c r="A25" s="173"/>
      <c r="B25" s="156"/>
      <c r="C25" s="157"/>
      <c r="D25" s="157"/>
      <c r="E25" s="158"/>
      <c r="F25" s="174"/>
      <c r="G25" s="175"/>
      <c r="H25" s="176"/>
      <c r="I25" s="166"/>
      <c r="J25" s="166"/>
      <c r="K25" s="166"/>
      <c r="L25" s="166"/>
      <c r="M25" s="167"/>
      <c r="N25" s="168"/>
      <c r="O25" s="175"/>
      <c r="P25" s="176"/>
      <c r="Q25" s="166"/>
      <c r="R25" s="166"/>
      <c r="S25" s="166"/>
      <c r="T25" s="166"/>
      <c r="U25" s="167"/>
      <c r="V25" s="168"/>
      <c r="W25" s="175"/>
      <c r="X25" s="176"/>
      <c r="Y25" s="166"/>
      <c r="Z25" s="166"/>
      <c r="AA25" s="166"/>
      <c r="AB25" s="166"/>
      <c r="AC25" s="167"/>
      <c r="AD25" s="168"/>
      <c r="AE25" s="175"/>
      <c r="AF25" s="177"/>
      <c r="AG25" s="170"/>
      <c r="AH25" s="170"/>
      <c r="AI25" s="170"/>
      <c r="AJ25" s="170"/>
      <c r="AK25" s="171"/>
      <c r="AM25" s="175"/>
      <c r="AN25" s="176"/>
      <c r="AO25" s="166"/>
      <c r="AP25" s="166"/>
      <c r="AQ25" s="166"/>
      <c r="AR25" s="166"/>
      <c r="AS25" s="167"/>
    </row>
    <row r="26" customFormat="false" ht="12.75" hidden="false" customHeight="false" outlineLevel="0" collapsed="false">
      <c r="A26" s="173"/>
      <c r="B26" s="156"/>
      <c r="C26" s="157"/>
      <c r="D26" s="157"/>
      <c r="E26" s="158"/>
      <c r="F26" s="174"/>
      <c r="G26" s="175"/>
      <c r="H26" s="176"/>
      <c r="I26" s="166"/>
      <c r="J26" s="166"/>
      <c r="K26" s="166"/>
      <c r="L26" s="166"/>
      <c r="M26" s="167"/>
      <c r="N26" s="168"/>
      <c r="O26" s="175"/>
      <c r="P26" s="176"/>
      <c r="Q26" s="166"/>
      <c r="R26" s="166"/>
      <c r="S26" s="166"/>
      <c r="T26" s="166"/>
      <c r="U26" s="167"/>
      <c r="V26" s="168"/>
      <c r="W26" s="175"/>
      <c r="X26" s="176"/>
      <c r="Y26" s="166"/>
      <c r="Z26" s="166"/>
      <c r="AA26" s="166"/>
      <c r="AB26" s="166"/>
      <c r="AC26" s="167"/>
      <c r="AE26" s="175"/>
      <c r="AF26" s="177"/>
      <c r="AG26" s="170"/>
      <c r="AH26" s="170"/>
      <c r="AI26" s="170"/>
      <c r="AJ26" s="170"/>
      <c r="AK26" s="171"/>
      <c r="AM26" s="175"/>
      <c r="AN26" s="176"/>
      <c r="AO26" s="166"/>
      <c r="AP26" s="166"/>
      <c r="AQ26" s="166"/>
      <c r="AR26" s="166"/>
      <c r="AS26" s="167"/>
    </row>
    <row r="27" customFormat="false" ht="12.75" hidden="false" customHeight="false" outlineLevel="0" collapsed="false">
      <c r="A27" s="173"/>
      <c r="B27" s="156"/>
      <c r="C27" s="157"/>
      <c r="D27" s="157"/>
      <c r="E27" s="158"/>
      <c r="F27" s="174"/>
      <c r="G27" s="175"/>
      <c r="H27" s="176"/>
      <c r="I27" s="166"/>
      <c r="J27" s="166"/>
      <c r="K27" s="166"/>
      <c r="L27" s="166"/>
      <c r="M27" s="167"/>
      <c r="N27" s="168"/>
      <c r="O27" s="175"/>
      <c r="P27" s="176"/>
      <c r="Q27" s="166"/>
      <c r="R27" s="166"/>
      <c r="S27" s="166"/>
      <c r="T27" s="166"/>
      <c r="U27" s="167"/>
      <c r="V27" s="168"/>
      <c r="W27" s="175"/>
      <c r="X27" s="176"/>
      <c r="Y27" s="166"/>
      <c r="Z27" s="166"/>
      <c r="AA27" s="166"/>
      <c r="AB27" s="166"/>
      <c r="AC27" s="167"/>
      <c r="AE27" s="175"/>
      <c r="AF27" s="177"/>
      <c r="AG27" s="170"/>
      <c r="AH27" s="170"/>
      <c r="AI27" s="170"/>
      <c r="AJ27" s="170"/>
      <c r="AK27" s="171"/>
      <c r="AM27" s="175"/>
      <c r="AN27" s="176"/>
      <c r="AO27" s="166"/>
      <c r="AP27" s="166"/>
      <c r="AQ27" s="166"/>
      <c r="AR27" s="166"/>
      <c r="AS27" s="167"/>
    </row>
    <row r="28" customFormat="false" ht="12.75" hidden="false" customHeight="false" outlineLevel="0" collapsed="false">
      <c r="A28" s="173"/>
      <c r="B28" s="156"/>
      <c r="C28" s="157"/>
      <c r="D28" s="157"/>
      <c r="E28" s="158"/>
      <c r="F28" s="174"/>
      <c r="G28" s="175"/>
      <c r="H28" s="176"/>
      <c r="I28" s="166"/>
      <c r="J28" s="166"/>
      <c r="K28" s="166"/>
      <c r="L28" s="166"/>
      <c r="M28" s="167"/>
      <c r="N28" s="168"/>
      <c r="O28" s="175"/>
      <c r="P28" s="176"/>
      <c r="Q28" s="166"/>
      <c r="R28" s="166"/>
      <c r="S28" s="166"/>
      <c r="T28" s="166"/>
      <c r="U28" s="167"/>
      <c r="V28" s="168"/>
      <c r="W28" s="175"/>
      <c r="X28" s="176"/>
      <c r="Y28" s="166"/>
      <c r="Z28" s="166"/>
      <c r="AA28" s="166"/>
      <c r="AB28" s="166"/>
      <c r="AC28" s="167"/>
      <c r="AE28" s="175"/>
      <c r="AF28" s="177"/>
      <c r="AG28" s="170"/>
      <c r="AH28" s="170"/>
      <c r="AI28" s="170"/>
      <c r="AJ28" s="170"/>
      <c r="AK28" s="171"/>
      <c r="AM28" s="175"/>
      <c r="AN28" s="176"/>
      <c r="AO28" s="166"/>
      <c r="AP28" s="166"/>
      <c r="AQ28" s="166"/>
      <c r="AR28" s="166"/>
      <c r="AS28" s="167"/>
    </row>
    <row r="29" customFormat="false" ht="12.75" hidden="false" customHeight="false" outlineLevel="0" collapsed="false">
      <c r="A29" s="173"/>
      <c r="B29" s="156"/>
      <c r="C29" s="157"/>
      <c r="D29" s="157"/>
      <c r="E29" s="158"/>
      <c r="F29" s="174"/>
      <c r="G29" s="175"/>
      <c r="H29" s="176"/>
      <c r="I29" s="166"/>
      <c r="J29" s="166"/>
      <c r="K29" s="166"/>
      <c r="L29" s="166"/>
      <c r="M29" s="167"/>
      <c r="N29" s="168"/>
      <c r="O29" s="175"/>
      <c r="P29" s="176"/>
      <c r="Q29" s="166"/>
      <c r="R29" s="166"/>
      <c r="S29" s="166"/>
      <c r="T29" s="166"/>
      <c r="U29" s="167"/>
      <c r="V29" s="168"/>
      <c r="W29" s="175"/>
      <c r="X29" s="176"/>
      <c r="Y29" s="166"/>
      <c r="Z29" s="166"/>
      <c r="AA29" s="166"/>
      <c r="AB29" s="166"/>
      <c r="AC29" s="167"/>
      <c r="AE29" s="175"/>
      <c r="AF29" s="177"/>
      <c r="AG29" s="170"/>
      <c r="AH29" s="170"/>
      <c r="AI29" s="170"/>
      <c r="AJ29" s="170"/>
      <c r="AK29" s="171"/>
      <c r="AM29" s="175"/>
      <c r="AN29" s="176"/>
      <c r="AO29" s="166"/>
      <c r="AP29" s="166"/>
      <c r="AQ29" s="166"/>
      <c r="AR29" s="166"/>
      <c r="AS29" s="167"/>
    </row>
    <row r="30" customFormat="false" ht="12.75" hidden="false" customHeight="false" outlineLevel="0" collapsed="false">
      <c r="A30" s="173"/>
      <c r="B30" s="156"/>
      <c r="C30" s="157"/>
      <c r="D30" s="157"/>
      <c r="E30" s="158"/>
      <c r="F30" s="174"/>
      <c r="G30" s="175"/>
      <c r="H30" s="176"/>
      <c r="I30" s="166"/>
      <c r="J30" s="166"/>
      <c r="K30" s="166"/>
      <c r="L30" s="166"/>
      <c r="M30" s="167"/>
      <c r="N30" s="168"/>
      <c r="O30" s="175"/>
      <c r="P30" s="176"/>
      <c r="Q30" s="166"/>
      <c r="R30" s="166"/>
      <c r="S30" s="166"/>
      <c r="T30" s="166"/>
      <c r="U30" s="167"/>
      <c r="V30" s="168"/>
      <c r="W30" s="175"/>
      <c r="X30" s="176"/>
      <c r="Y30" s="166"/>
      <c r="Z30" s="166"/>
      <c r="AA30" s="166"/>
      <c r="AB30" s="166"/>
      <c r="AC30" s="167"/>
      <c r="AE30" s="175"/>
      <c r="AF30" s="177"/>
      <c r="AG30" s="170"/>
      <c r="AH30" s="170"/>
      <c r="AI30" s="170"/>
      <c r="AJ30" s="170"/>
      <c r="AK30" s="171"/>
      <c r="AM30" s="175"/>
      <c r="AN30" s="176"/>
      <c r="AO30" s="166"/>
      <c r="AP30" s="166"/>
      <c r="AQ30" s="166"/>
      <c r="AR30" s="166"/>
      <c r="AS30" s="167"/>
    </row>
    <row r="31" customFormat="false" ht="12.75" hidden="false" customHeight="false" outlineLevel="0" collapsed="false">
      <c r="A31" s="173"/>
      <c r="B31" s="156"/>
      <c r="C31" s="157"/>
      <c r="D31" s="157"/>
      <c r="E31" s="158"/>
      <c r="F31" s="174"/>
      <c r="G31" s="175"/>
      <c r="H31" s="176"/>
      <c r="I31" s="166"/>
      <c r="J31" s="166"/>
      <c r="K31" s="166"/>
      <c r="L31" s="166"/>
      <c r="M31" s="167"/>
      <c r="N31" s="168"/>
      <c r="O31" s="175"/>
      <c r="P31" s="176"/>
      <c r="Q31" s="166"/>
      <c r="R31" s="166"/>
      <c r="S31" s="166"/>
      <c r="T31" s="166"/>
      <c r="U31" s="167"/>
      <c r="V31" s="168"/>
      <c r="W31" s="175"/>
      <c r="X31" s="176"/>
      <c r="Y31" s="166"/>
      <c r="Z31" s="166"/>
      <c r="AA31" s="166"/>
      <c r="AB31" s="166"/>
      <c r="AC31" s="167"/>
      <c r="AE31" s="175"/>
      <c r="AF31" s="177"/>
      <c r="AG31" s="170"/>
      <c r="AH31" s="170"/>
      <c r="AI31" s="170"/>
      <c r="AJ31" s="170"/>
      <c r="AK31" s="171"/>
      <c r="AM31" s="175"/>
      <c r="AN31" s="176"/>
      <c r="AO31" s="166"/>
      <c r="AP31" s="166"/>
      <c r="AQ31" s="166"/>
      <c r="AR31" s="166"/>
      <c r="AS31" s="167"/>
    </row>
    <row r="32" customFormat="false" ht="12.75" hidden="false" customHeight="false" outlineLevel="0" collapsed="false">
      <c r="A32" s="173"/>
      <c r="B32" s="156"/>
      <c r="C32" s="157"/>
      <c r="D32" s="157"/>
      <c r="E32" s="158"/>
      <c r="F32" s="174"/>
      <c r="G32" s="175"/>
      <c r="H32" s="176"/>
      <c r="I32" s="166"/>
      <c r="J32" s="166"/>
      <c r="K32" s="166"/>
      <c r="L32" s="166"/>
      <c r="M32" s="167"/>
      <c r="N32" s="168"/>
      <c r="O32" s="175"/>
      <c r="P32" s="176"/>
      <c r="Q32" s="166"/>
      <c r="R32" s="166"/>
      <c r="S32" s="166"/>
      <c r="T32" s="166"/>
      <c r="U32" s="167"/>
      <c r="V32" s="168"/>
      <c r="W32" s="175"/>
      <c r="X32" s="176"/>
      <c r="Y32" s="166"/>
      <c r="Z32" s="166"/>
      <c r="AA32" s="166"/>
      <c r="AB32" s="166"/>
      <c r="AC32" s="167"/>
      <c r="AE32" s="175"/>
      <c r="AF32" s="177"/>
      <c r="AG32" s="170"/>
      <c r="AH32" s="170"/>
      <c r="AI32" s="170"/>
      <c r="AJ32" s="170"/>
      <c r="AK32" s="171"/>
      <c r="AM32" s="175"/>
      <c r="AN32" s="176"/>
      <c r="AO32" s="166"/>
      <c r="AP32" s="166"/>
      <c r="AQ32" s="166"/>
      <c r="AR32" s="166"/>
      <c r="AS32" s="167"/>
    </row>
    <row r="33" customFormat="false" ht="12.75" hidden="false" customHeight="false" outlineLevel="0" collapsed="false">
      <c r="A33" s="173"/>
      <c r="B33" s="156"/>
      <c r="C33" s="157"/>
      <c r="D33" s="157"/>
      <c r="E33" s="158"/>
      <c r="F33" s="174"/>
      <c r="G33" s="175"/>
      <c r="H33" s="176"/>
      <c r="I33" s="166"/>
      <c r="J33" s="166"/>
      <c r="K33" s="166"/>
      <c r="L33" s="166"/>
      <c r="M33" s="167"/>
      <c r="N33" s="168"/>
      <c r="O33" s="175"/>
      <c r="P33" s="176"/>
      <c r="Q33" s="166"/>
      <c r="R33" s="166"/>
      <c r="S33" s="166"/>
      <c r="T33" s="166"/>
      <c r="U33" s="167"/>
      <c r="V33" s="168"/>
      <c r="W33" s="175"/>
      <c r="X33" s="176"/>
      <c r="Y33" s="166"/>
      <c r="Z33" s="166"/>
      <c r="AA33" s="166"/>
      <c r="AB33" s="166"/>
      <c r="AC33" s="167"/>
      <c r="AE33" s="175"/>
      <c r="AF33" s="177"/>
      <c r="AG33" s="170"/>
      <c r="AH33" s="170"/>
      <c r="AI33" s="170"/>
      <c r="AJ33" s="170"/>
      <c r="AK33" s="171"/>
      <c r="AM33" s="175"/>
      <c r="AN33" s="176"/>
      <c r="AO33" s="166"/>
      <c r="AP33" s="166"/>
      <c r="AQ33" s="166"/>
      <c r="AR33" s="166"/>
      <c r="AS33" s="167"/>
    </row>
    <row r="34" customFormat="false" ht="12.75" hidden="false" customHeight="false" outlineLevel="0" collapsed="false">
      <c r="A34" s="173"/>
      <c r="B34" s="156"/>
      <c r="C34" s="157"/>
      <c r="D34" s="157"/>
      <c r="E34" s="158"/>
      <c r="F34" s="174"/>
      <c r="G34" s="175"/>
      <c r="H34" s="176"/>
      <c r="I34" s="166"/>
      <c r="J34" s="166"/>
      <c r="K34" s="166"/>
      <c r="L34" s="166"/>
      <c r="M34" s="167"/>
      <c r="N34" s="168"/>
      <c r="O34" s="175"/>
      <c r="P34" s="176"/>
      <c r="Q34" s="166"/>
      <c r="R34" s="166"/>
      <c r="S34" s="166"/>
      <c r="T34" s="166"/>
      <c r="U34" s="167"/>
      <c r="V34" s="168"/>
      <c r="W34" s="175"/>
      <c r="X34" s="176"/>
      <c r="Y34" s="166"/>
      <c r="Z34" s="166"/>
      <c r="AA34" s="166"/>
      <c r="AB34" s="166"/>
      <c r="AC34" s="167"/>
      <c r="AE34" s="175"/>
      <c r="AF34" s="177"/>
      <c r="AG34" s="170"/>
      <c r="AH34" s="170"/>
      <c r="AI34" s="170"/>
      <c r="AJ34" s="170"/>
      <c r="AK34" s="171"/>
      <c r="AM34" s="175"/>
      <c r="AN34" s="176"/>
      <c r="AO34" s="166"/>
      <c r="AP34" s="166"/>
      <c r="AQ34" s="166"/>
      <c r="AR34" s="166"/>
      <c r="AS34" s="167"/>
    </row>
    <row r="35" customFormat="false" ht="12.75" hidden="false" customHeight="false" outlineLevel="0" collapsed="false">
      <c r="A35" s="173"/>
      <c r="B35" s="156"/>
      <c r="C35" s="157"/>
      <c r="D35" s="157"/>
      <c r="E35" s="158"/>
      <c r="F35" s="174"/>
      <c r="G35" s="175"/>
      <c r="H35" s="176"/>
      <c r="I35" s="166"/>
      <c r="J35" s="166"/>
      <c r="K35" s="166"/>
      <c r="L35" s="166"/>
      <c r="M35" s="167"/>
      <c r="N35" s="168"/>
      <c r="O35" s="175"/>
      <c r="P35" s="176"/>
      <c r="Q35" s="166"/>
      <c r="R35" s="166"/>
      <c r="S35" s="166"/>
      <c r="T35" s="166"/>
      <c r="U35" s="167"/>
      <c r="V35" s="168"/>
      <c r="W35" s="175"/>
      <c r="X35" s="176"/>
      <c r="Y35" s="166"/>
      <c r="Z35" s="166"/>
      <c r="AA35" s="166"/>
      <c r="AB35" s="166"/>
      <c r="AC35" s="167"/>
      <c r="AE35" s="175"/>
      <c r="AF35" s="177"/>
      <c r="AG35" s="170"/>
      <c r="AH35" s="170"/>
      <c r="AI35" s="170"/>
      <c r="AJ35" s="170"/>
      <c r="AK35" s="171"/>
      <c r="AM35" s="175"/>
      <c r="AN35" s="176"/>
      <c r="AO35" s="166"/>
      <c r="AP35" s="166"/>
      <c r="AQ35" s="166"/>
      <c r="AR35" s="166"/>
      <c r="AS35" s="167"/>
    </row>
    <row r="36" customFormat="false" ht="12.75" hidden="false" customHeight="false" outlineLevel="0" collapsed="false">
      <c r="A36" s="173"/>
      <c r="B36" s="156"/>
      <c r="C36" s="157"/>
      <c r="D36" s="157"/>
      <c r="E36" s="158"/>
      <c r="F36" s="174"/>
      <c r="G36" s="175"/>
      <c r="H36" s="176"/>
      <c r="I36" s="166"/>
      <c r="J36" s="166"/>
      <c r="K36" s="166"/>
      <c r="L36" s="166"/>
      <c r="M36" s="167"/>
      <c r="N36" s="168"/>
      <c r="O36" s="175"/>
      <c r="P36" s="176"/>
      <c r="Q36" s="166"/>
      <c r="R36" s="166"/>
      <c r="S36" s="166"/>
      <c r="T36" s="166"/>
      <c r="U36" s="167"/>
      <c r="V36" s="168"/>
      <c r="W36" s="175"/>
      <c r="X36" s="176"/>
      <c r="Y36" s="166"/>
      <c r="Z36" s="166"/>
      <c r="AA36" s="166"/>
      <c r="AB36" s="166"/>
      <c r="AC36" s="167"/>
      <c r="AE36" s="175"/>
      <c r="AF36" s="177"/>
      <c r="AG36" s="170"/>
      <c r="AH36" s="170"/>
      <c r="AI36" s="170"/>
      <c r="AJ36" s="170"/>
      <c r="AK36" s="171"/>
      <c r="AM36" s="175"/>
      <c r="AN36" s="176"/>
      <c r="AO36" s="166"/>
      <c r="AP36" s="166"/>
      <c r="AQ36" s="166"/>
      <c r="AR36" s="166"/>
      <c r="AS36" s="167"/>
    </row>
    <row r="37" customFormat="false" ht="12.75" hidden="false" customHeight="false" outlineLevel="0" collapsed="false">
      <c r="A37" s="173"/>
      <c r="B37" s="156"/>
      <c r="C37" s="157"/>
      <c r="D37" s="157"/>
      <c r="E37" s="158"/>
      <c r="F37" s="174"/>
      <c r="G37" s="175"/>
      <c r="H37" s="176"/>
      <c r="I37" s="166"/>
      <c r="J37" s="166"/>
      <c r="K37" s="166"/>
      <c r="L37" s="166"/>
      <c r="M37" s="167"/>
      <c r="N37" s="168"/>
      <c r="O37" s="175"/>
      <c r="P37" s="176"/>
      <c r="Q37" s="166"/>
      <c r="R37" s="166"/>
      <c r="S37" s="166"/>
      <c r="T37" s="166"/>
      <c r="U37" s="167"/>
      <c r="V37" s="168"/>
      <c r="W37" s="175"/>
      <c r="X37" s="176"/>
      <c r="Y37" s="166"/>
      <c r="Z37" s="166"/>
      <c r="AA37" s="166"/>
      <c r="AB37" s="166"/>
      <c r="AC37" s="167"/>
      <c r="AE37" s="175"/>
      <c r="AF37" s="177"/>
      <c r="AG37" s="170"/>
      <c r="AH37" s="170"/>
      <c r="AI37" s="170"/>
      <c r="AJ37" s="170"/>
      <c r="AK37" s="171"/>
      <c r="AM37" s="175"/>
      <c r="AN37" s="176"/>
      <c r="AO37" s="166"/>
      <c r="AP37" s="166"/>
      <c r="AQ37" s="166"/>
      <c r="AR37" s="166"/>
      <c r="AS37" s="167"/>
    </row>
    <row r="38" customFormat="false" ht="12.75" hidden="false" customHeight="false" outlineLevel="0" collapsed="false">
      <c r="A38" s="173"/>
      <c r="B38" s="156"/>
      <c r="C38" s="157"/>
      <c r="D38" s="157"/>
      <c r="E38" s="158"/>
      <c r="F38" s="174"/>
      <c r="G38" s="175"/>
      <c r="H38" s="176"/>
      <c r="I38" s="166"/>
      <c r="J38" s="166"/>
      <c r="K38" s="166"/>
      <c r="L38" s="166"/>
      <c r="M38" s="167"/>
      <c r="N38" s="168"/>
      <c r="O38" s="175"/>
      <c r="P38" s="176"/>
      <c r="Q38" s="166"/>
      <c r="R38" s="166"/>
      <c r="S38" s="166"/>
      <c r="T38" s="166"/>
      <c r="U38" s="167"/>
      <c r="V38" s="168"/>
      <c r="W38" s="175"/>
      <c r="X38" s="176"/>
      <c r="Y38" s="166"/>
      <c r="Z38" s="166"/>
      <c r="AA38" s="166"/>
      <c r="AB38" s="166"/>
      <c r="AC38" s="167"/>
      <c r="AE38" s="175"/>
      <c r="AF38" s="177"/>
      <c r="AG38" s="170"/>
      <c r="AH38" s="170"/>
      <c r="AI38" s="170"/>
      <c r="AJ38" s="170"/>
      <c r="AK38" s="171"/>
      <c r="AM38" s="175"/>
      <c r="AN38" s="176"/>
      <c r="AO38" s="166"/>
      <c r="AP38" s="166"/>
      <c r="AQ38" s="166"/>
      <c r="AR38" s="166"/>
      <c r="AS38" s="167"/>
    </row>
    <row r="39" customFormat="false" ht="12.75" hidden="false" customHeight="false" outlineLevel="0" collapsed="false">
      <c r="A39" s="173"/>
      <c r="B39" s="156"/>
      <c r="C39" s="157"/>
      <c r="D39" s="157"/>
      <c r="E39" s="158"/>
      <c r="F39" s="174"/>
      <c r="G39" s="175"/>
      <c r="H39" s="176"/>
      <c r="I39" s="166"/>
      <c r="J39" s="166"/>
      <c r="K39" s="166"/>
      <c r="L39" s="166"/>
      <c r="M39" s="167"/>
      <c r="N39" s="168"/>
      <c r="O39" s="175"/>
      <c r="P39" s="176"/>
      <c r="Q39" s="166"/>
      <c r="R39" s="166"/>
      <c r="S39" s="166"/>
      <c r="T39" s="166"/>
      <c r="U39" s="167"/>
      <c r="V39" s="168"/>
      <c r="W39" s="175"/>
      <c r="X39" s="176"/>
      <c r="Y39" s="166"/>
      <c r="Z39" s="166"/>
      <c r="AA39" s="166"/>
      <c r="AB39" s="166"/>
      <c r="AC39" s="167"/>
      <c r="AE39" s="175"/>
      <c r="AF39" s="177"/>
      <c r="AG39" s="170"/>
      <c r="AH39" s="170"/>
      <c r="AI39" s="170"/>
      <c r="AJ39" s="170"/>
      <c r="AK39" s="171"/>
      <c r="AM39" s="175"/>
      <c r="AN39" s="176"/>
      <c r="AO39" s="166"/>
      <c r="AP39" s="166"/>
      <c r="AQ39" s="166"/>
      <c r="AR39" s="166"/>
      <c r="AS39" s="167"/>
    </row>
    <row r="40" customFormat="false" ht="12.75" hidden="false" customHeight="false" outlineLevel="0" collapsed="false">
      <c r="A40" s="173"/>
      <c r="B40" s="156"/>
      <c r="C40" s="157"/>
      <c r="D40" s="157"/>
      <c r="E40" s="158"/>
      <c r="F40" s="174"/>
      <c r="G40" s="175"/>
      <c r="H40" s="176"/>
      <c r="I40" s="166"/>
      <c r="J40" s="166"/>
      <c r="K40" s="166"/>
      <c r="L40" s="166"/>
      <c r="M40" s="167"/>
      <c r="N40" s="168"/>
      <c r="O40" s="175"/>
      <c r="P40" s="176"/>
      <c r="Q40" s="166"/>
      <c r="R40" s="166"/>
      <c r="S40" s="166"/>
      <c r="T40" s="166"/>
      <c r="U40" s="167"/>
      <c r="V40" s="168"/>
      <c r="W40" s="175"/>
      <c r="X40" s="176"/>
      <c r="Y40" s="166"/>
      <c r="Z40" s="166"/>
      <c r="AA40" s="166"/>
      <c r="AB40" s="166"/>
      <c r="AC40" s="167"/>
      <c r="AE40" s="175"/>
      <c r="AF40" s="177"/>
      <c r="AG40" s="170"/>
      <c r="AH40" s="170"/>
      <c r="AI40" s="170"/>
      <c r="AJ40" s="170"/>
      <c r="AK40" s="171"/>
      <c r="AM40" s="175"/>
      <c r="AN40" s="176"/>
      <c r="AO40" s="166"/>
      <c r="AP40" s="166"/>
      <c r="AQ40" s="166"/>
      <c r="AR40" s="166"/>
      <c r="AS40" s="167"/>
    </row>
    <row r="41" customFormat="false" ht="12.75" hidden="false" customHeight="false" outlineLevel="0" collapsed="false">
      <c r="A41" s="173"/>
      <c r="B41" s="156"/>
      <c r="C41" s="157"/>
      <c r="D41" s="157"/>
      <c r="E41" s="158"/>
      <c r="F41" s="174"/>
      <c r="G41" s="175"/>
      <c r="H41" s="176"/>
      <c r="I41" s="166"/>
      <c r="J41" s="166"/>
      <c r="K41" s="166"/>
      <c r="L41" s="166"/>
      <c r="M41" s="167"/>
      <c r="N41" s="168"/>
      <c r="O41" s="175"/>
      <c r="P41" s="176"/>
      <c r="Q41" s="166"/>
      <c r="R41" s="166"/>
      <c r="S41" s="166"/>
      <c r="T41" s="166"/>
      <c r="U41" s="167"/>
      <c r="V41" s="168"/>
      <c r="W41" s="175"/>
      <c r="X41" s="176"/>
      <c r="Y41" s="166"/>
      <c r="Z41" s="166"/>
      <c r="AA41" s="166"/>
      <c r="AB41" s="166"/>
      <c r="AC41" s="167"/>
      <c r="AE41" s="175"/>
      <c r="AF41" s="177"/>
      <c r="AG41" s="170"/>
      <c r="AH41" s="170"/>
      <c r="AI41" s="170"/>
      <c r="AJ41" s="170"/>
      <c r="AK41" s="171"/>
      <c r="AM41" s="175"/>
      <c r="AN41" s="176"/>
      <c r="AO41" s="166"/>
      <c r="AP41" s="166"/>
      <c r="AQ41" s="166"/>
      <c r="AR41" s="166"/>
      <c r="AS41" s="167"/>
    </row>
    <row r="42" customFormat="false" ht="12.75" hidden="false" customHeight="false" outlineLevel="0" collapsed="false">
      <c r="A42" s="173"/>
      <c r="B42" s="156"/>
      <c r="C42" s="157"/>
      <c r="D42" s="157"/>
      <c r="E42" s="158"/>
      <c r="F42" s="174"/>
      <c r="G42" s="175"/>
      <c r="H42" s="176"/>
      <c r="I42" s="166"/>
      <c r="J42" s="166"/>
      <c r="K42" s="166"/>
      <c r="L42" s="166"/>
      <c r="M42" s="167"/>
      <c r="N42" s="168"/>
      <c r="O42" s="175"/>
      <c r="P42" s="176"/>
      <c r="Q42" s="166"/>
      <c r="R42" s="166"/>
      <c r="S42" s="166"/>
      <c r="T42" s="166"/>
      <c r="U42" s="167"/>
      <c r="V42" s="168"/>
      <c r="W42" s="175"/>
      <c r="X42" s="176"/>
      <c r="Y42" s="166"/>
      <c r="Z42" s="166"/>
      <c r="AA42" s="166"/>
      <c r="AB42" s="166"/>
      <c r="AC42" s="167"/>
      <c r="AE42" s="175"/>
      <c r="AF42" s="177"/>
      <c r="AG42" s="170"/>
      <c r="AH42" s="170"/>
      <c r="AI42" s="170"/>
      <c r="AJ42" s="170"/>
      <c r="AK42" s="171"/>
      <c r="AM42" s="175"/>
      <c r="AN42" s="176"/>
      <c r="AO42" s="166"/>
      <c r="AP42" s="166"/>
      <c r="AQ42" s="166"/>
      <c r="AR42" s="166"/>
      <c r="AS42" s="167"/>
    </row>
    <row r="43" customFormat="false" ht="12.75" hidden="false" customHeight="false" outlineLevel="0" collapsed="false">
      <c r="A43" s="173"/>
      <c r="B43" s="156"/>
      <c r="C43" s="157"/>
      <c r="D43" s="157"/>
      <c r="E43" s="158"/>
      <c r="F43" s="174"/>
      <c r="G43" s="175"/>
      <c r="H43" s="176"/>
      <c r="I43" s="166"/>
      <c r="J43" s="166"/>
      <c r="K43" s="166"/>
      <c r="L43" s="166"/>
      <c r="M43" s="167"/>
      <c r="N43" s="168"/>
      <c r="O43" s="175"/>
      <c r="P43" s="176"/>
      <c r="Q43" s="166"/>
      <c r="R43" s="166"/>
      <c r="S43" s="166"/>
      <c r="T43" s="166"/>
      <c r="U43" s="167"/>
      <c r="V43" s="168"/>
      <c r="W43" s="175"/>
      <c r="X43" s="176"/>
      <c r="Y43" s="166"/>
      <c r="Z43" s="166"/>
      <c r="AA43" s="166"/>
      <c r="AB43" s="166"/>
      <c r="AC43" s="167"/>
      <c r="AE43" s="175"/>
      <c r="AF43" s="177"/>
      <c r="AG43" s="170"/>
      <c r="AH43" s="170"/>
      <c r="AI43" s="170"/>
      <c r="AJ43" s="170"/>
      <c r="AK43" s="171"/>
      <c r="AM43" s="175"/>
      <c r="AN43" s="176"/>
      <c r="AO43" s="166"/>
      <c r="AP43" s="166"/>
      <c r="AQ43" s="166"/>
      <c r="AR43" s="166"/>
      <c r="AS43" s="167"/>
    </row>
    <row r="44" customFormat="false" ht="12.75" hidden="false" customHeight="false" outlineLevel="0" collapsed="false">
      <c r="A44" s="173"/>
      <c r="B44" s="156"/>
      <c r="C44" s="157"/>
      <c r="D44" s="157"/>
      <c r="E44" s="158"/>
      <c r="F44" s="174"/>
      <c r="G44" s="175"/>
      <c r="H44" s="176"/>
      <c r="I44" s="166"/>
      <c r="J44" s="166"/>
      <c r="K44" s="166"/>
      <c r="L44" s="166"/>
      <c r="M44" s="167"/>
      <c r="N44" s="168"/>
      <c r="O44" s="175"/>
      <c r="P44" s="176"/>
      <c r="Q44" s="166"/>
      <c r="R44" s="166"/>
      <c r="S44" s="166"/>
      <c r="T44" s="166"/>
      <c r="U44" s="167"/>
      <c r="V44" s="168"/>
      <c r="W44" s="175"/>
      <c r="X44" s="176"/>
      <c r="Y44" s="166"/>
      <c r="Z44" s="166"/>
      <c r="AA44" s="166"/>
      <c r="AB44" s="166"/>
      <c r="AC44" s="167"/>
      <c r="AE44" s="175"/>
      <c r="AF44" s="177"/>
      <c r="AG44" s="170"/>
      <c r="AH44" s="170"/>
      <c r="AI44" s="170"/>
      <c r="AJ44" s="170"/>
      <c r="AK44" s="171"/>
      <c r="AM44" s="175"/>
      <c r="AN44" s="176"/>
      <c r="AO44" s="166"/>
      <c r="AP44" s="166"/>
      <c r="AQ44" s="166"/>
      <c r="AR44" s="166"/>
      <c r="AS44" s="167"/>
    </row>
    <row r="45" customFormat="false" ht="12.75" hidden="false" customHeight="false" outlineLevel="0" collapsed="false">
      <c r="A45" s="173"/>
      <c r="B45" s="156"/>
      <c r="C45" s="157"/>
      <c r="D45" s="157"/>
      <c r="E45" s="158"/>
      <c r="F45" s="174"/>
      <c r="G45" s="175"/>
      <c r="H45" s="176"/>
      <c r="I45" s="166"/>
      <c r="J45" s="166"/>
      <c r="K45" s="166"/>
      <c r="L45" s="166"/>
      <c r="M45" s="167"/>
      <c r="N45" s="168"/>
      <c r="O45" s="175"/>
      <c r="P45" s="176"/>
      <c r="Q45" s="166"/>
      <c r="R45" s="166"/>
      <c r="S45" s="166"/>
      <c r="T45" s="166"/>
      <c r="U45" s="167"/>
      <c r="V45" s="168"/>
      <c r="W45" s="175"/>
      <c r="X45" s="176"/>
      <c r="Y45" s="166"/>
      <c r="Z45" s="166"/>
      <c r="AA45" s="166"/>
      <c r="AB45" s="166"/>
      <c r="AC45" s="167"/>
      <c r="AE45" s="175"/>
      <c r="AF45" s="177"/>
      <c r="AG45" s="170"/>
      <c r="AH45" s="170"/>
      <c r="AI45" s="170"/>
      <c r="AJ45" s="170"/>
      <c r="AK45" s="171"/>
      <c r="AM45" s="175"/>
      <c r="AN45" s="176"/>
      <c r="AO45" s="166"/>
      <c r="AP45" s="166"/>
      <c r="AQ45" s="166"/>
      <c r="AR45" s="166"/>
      <c r="AS45" s="167"/>
    </row>
    <row r="46" customFormat="false" ht="12.75" hidden="false" customHeight="false" outlineLevel="0" collapsed="false">
      <c r="A46" s="173"/>
      <c r="B46" s="156"/>
      <c r="C46" s="157"/>
      <c r="D46" s="157"/>
      <c r="E46" s="158"/>
      <c r="F46" s="174"/>
      <c r="G46" s="175"/>
      <c r="H46" s="176"/>
      <c r="I46" s="166"/>
      <c r="J46" s="166"/>
      <c r="K46" s="166"/>
      <c r="L46" s="166"/>
      <c r="M46" s="167"/>
      <c r="N46" s="168"/>
      <c r="O46" s="175"/>
      <c r="P46" s="176"/>
      <c r="Q46" s="166"/>
      <c r="R46" s="166"/>
      <c r="S46" s="166"/>
      <c r="T46" s="166"/>
      <c r="U46" s="167"/>
      <c r="V46" s="168"/>
      <c r="W46" s="175"/>
      <c r="X46" s="176"/>
      <c r="Y46" s="166"/>
      <c r="Z46" s="166"/>
      <c r="AA46" s="166"/>
      <c r="AB46" s="166"/>
      <c r="AC46" s="167"/>
      <c r="AE46" s="175"/>
      <c r="AF46" s="177"/>
      <c r="AG46" s="170"/>
      <c r="AH46" s="170"/>
      <c r="AI46" s="170"/>
      <c r="AJ46" s="170"/>
      <c r="AK46" s="171"/>
      <c r="AM46" s="175"/>
      <c r="AN46" s="176"/>
      <c r="AO46" s="166"/>
      <c r="AP46" s="166"/>
      <c r="AQ46" s="166"/>
      <c r="AR46" s="166"/>
      <c r="AS46" s="167"/>
    </row>
    <row r="47" customFormat="false" ht="12.75" hidden="false" customHeight="false" outlineLevel="0" collapsed="false">
      <c r="A47" s="173"/>
      <c r="B47" s="156"/>
      <c r="C47" s="157"/>
      <c r="D47" s="157"/>
      <c r="E47" s="158"/>
      <c r="F47" s="174"/>
      <c r="G47" s="175"/>
      <c r="H47" s="176"/>
      <c r="I47" s="166"/>
      <c r="J47" s="166"/>
      <c r="K47" s="166"/>
      <c r="L47" s="166"/>
      <c r="M47" s="167"/>
      <c r="N47" s="168"/>
      <c r="O47" s="175"/>
      <c r="P47" s="176"/>
      <c r="Q47" s="166"/>
      <c r="R47" s="166"/>
      <c r="S47" s="166"/>
      <c r="T47" s="166"/>
      <c r="U47" s="167"/>
      <c r="V47" s="168"/>
      <c r="W47" s="175"/>
      <c r="X47" s="176"/>
      <c r="Y47" s="166"/>
      <c r="Z47" s="166"/>
      <c r="AA47" s="166"/>
      <c r="AB47" s="166"/>
      <c r="AC47" s="167"/>
      <c r="AE47" s="175"/>
      <c r="AF47" s="177"/>
      <c r="AG47" s="170"/>
      <c r="AH47" s="170"/>
      <c r="AI47" s="170"/>
      <c r="AJ47" s="170"/>
      <c r="AK47" s="171"/>
      <c r="AM47" s="175"/>
      <c r="AN47" s="176"/>
      <c r="AO47" s="166"/>
      <c r="AP47" s="166"/>
      <c r="AQ47" s="166"/>
      <c r="AR47" s="166"/>
      <c r="AS47" s="167"/>
    </row>
    <row r="48" customFormat="false" ht="12.75" hidden="false" customHeight="false" outlineLevel="0" collapsed="false">
      <c r="A48" s="173"/>
      <c r="B48" s="156"/>
      <c r="C48" s="157"/>
      <c r="D48" s="157"/>
      <c r="E48" s="158"/>
      <c r="F48" s="174"/>
      <c r="G48" s="175"/>
      <c r="H48" s="176"/>
      <c r="I48" s="166"/>
      <c r="J48" s="166"/>
      <c r="K48" s="166"/>
      <c r="L48" s="166"/>
      <c r="M48" s="167"/>
      <c r="N48" s="168"/>
      <c r="O48" s="175"/>
      <c r="P48" s="176"/>
      <c r="Q48" s="166"/>
      <c r="R48" s="166"/>
      <c r="S48" s="166"/>
      <c r="T48" s="166"/>
      <c r="U48" s="167"/>
      <c r="V48" s="168"/>
      <c r="W48" s="175"/>
      <c r="X48" s="176"/>
      <c r="Y48" s="166"/>
      <c r="Z48" s="166"/>
      <c r="AA48" s="166"/>
      <c r="AB48" s="166"/>
      <c r="AC48" s="167"/>
      <c r="AE48" s="175"/>
      <c r="AF48" s="177"/>
      <c r="AG48" s="170"/>
      <c r="AH48" s="170"/>
      <c r="AI48" s="170"/>
      <c r="AJ48" s="170"/>
      <c r="AK48" s="171"/>
      <c r="AM48" s="175"/>
      <c r="AN48" s="176"/>
      <c r="AO48" s="166"/>
      <c r="AP48" s="166"/>
      <c r="AQ48" s="166"/>
      <c r="AR48" s="166"/>
      <c r="AS48" s="167"/>
    </row>
    <row r="49" customFormat="false" ht="12.75" hidden="false" customHeight="false" outlineLevel="0" collapsed="false">
      <c r="A49" s="173"/>
      <c r="B49" s="156"/>
      <c r="C49" s="157"/>
      <c r="D49" s="157"/>
      <c r="E49" s="158"/>
      <c r="F49" s="174"/>
      <c r="G49" s="175"/>
      <c r="H49" s="176"/>
      <c r="I49" s="166"/>
      <c r="J49" s="166"/>
      <c r="K49" s="166"/>
      <c r="L49" s="166"/>
      <c r="M49" s="167"/>
      <c r="N49" s="168"/>
      <c r="O49" s="175"/>
      <c r="P49" s="176"/>
      <c r="Q49" s="166"/>
      <c r="R49" s="166"/>
      <c r="S49" s="166"/>
      <c r="T49" s="166"/>
      <c r="U49" s="167"/>
      <c r="V49" s="168"/>
      <c r="W49" s="175"/>
      <c r="X49" s="176"/>
      <c r="Y49" s="166"/>
      <c r="Z49" s="166"/>
      <c r="AA49" s="166"/>
      <c r="AB49" s="166"/>
      <c r="AC49" s="167"/>
      <c r="AE49" s="175"/>
      <c r="AF49" s="177"/>
      <c r="AG49" s="170"/>
      <c r="AH49" s="170"/>
      <c r="AI49" s="170"/>
      <c r="AJ49" s="170"/>
      <c r="AK49" s="171"/>
      <c r="AM49" s="175"/>
      <c r="AN49" s="176"/>
      <c r="AO49" s="166"/>
      <c r="AP49" s="166"/>
      <c r="AQ49" s="166"/>
      <c r="AR49" s="166"/>
      <c r="AS49" s="167"/>
    </row>
    <row r="50" customFormat="false" ht="12.75" hidden="false" customHeight="false" outlineLevel="0" collapsed="false">
      <c r="A50" s="173"/>
      <c r="B50" s="156"/>
      <c r="C50" s="157"/>
      <c r="D50" s="157"/>
      <c r="E50" s="158"/>
      <c r="F50" s="174"/>
      <c r="G50" s="175"/>
      <c r="H50" s="176"/>
      <c r="I50" s="166"/>
      <c r="J50" s="166"/>
      <c r="K50" s="166"/>
      <c r="L50" s="166"/>
      <c r="M50" s="167"/>
      <c r="N50" s="168"/>
      <c r="O50" s="175"/>
      <c r="P50" s="176"/>
      <c r="Q50" s="166"/>
      <c r="R50" s="166"/>
      <c r="S50" s="166"/>
      <c r="T50" s="166"/>
      <c r="U50" s="167"/>
      <c r="V50" s="168"/>
      <c r="W50" s="175"/>
      <c r="X50" s="176"/>
      <c r="Y50" s="166"/>
      <c r="Z50" s="166"/>
      <c r="AA50" s="166"/>
      <c r="AB50" s="166"/>
      <c r="AC50" s="167"/>
      <c r="AE50" s="175"/>
      <c r="AF50" s="177"/>
      <c r="AG50" s="170"/>
      <c r="AH50" s="170"/>
      <c r="AI50" s="170"/>
      <c r="AJ50" s="170"/>
      <c r="AK50" s="171"/>
      <c r="AM50" s="175"/>
      <c r="AN50" s="176"/>
      <c r="AO50" s="166"/>
      <c r="AP50" s="166"/>
      <c r="AQ50" s="166"/>
      <c r="AR50" s="166"/>
      <c r="AS50" s="167"/>
    </row>
    <row r="51" customFormat="false" ht="12.75" hidden="false" customHeight="false" outlineLevel="0" collapsed="false">
      <c r="A51" s="173"/>
      <c r="B51" s="156"/>
      <c r="C51" s="157"/>
      <c r="D51" s="157"/>
      <c r="E51" s="158"/>
      <c r="F51" s="174"/>
      <c r="G51" s="175"/>
      <c r="H51" s="176"/>
      <c r="I51" s="166"/>
      <c r="J51" s="166"/>
      <c r="K51" s="166"/>
      <c r="L51" s="166"/>
      <c r="M51" s="167"/>
      <c r="N51" s="168"/>
      <c r="O51" s="175"/>
      <c r="P51" s="176"/>
      <c r="Q51" s="166"/>
      <c r="R51" s="166"/>
      <c r="S51" s="166"/>
      <c r="T51" s="166"/>
      <c r="U51" s="167"/>
      <c r="V51" s="168"/>
      <c r="W51" s="175"/>
      <c r="X51" s="176"/>
      <c r="Y51" s="166"/>
      <c r="Z51" s="166"/>
      <c r="AA51" s="166"/>
      <c r="AB51" s="166"/>
      <c r="AC51" s="167"/>
      <c r="AE51" s="175"/>
      <c r="AF51" s="177"/>
      <c r="AG51" s="170"/>
      <c r="AH51" s="170"/>
      <c r="AI51" s="170"/>
      <c r="AJ51" s="170"/>
      <c r="AK51" s="171"/>
      <c r="AM51" s="175"/>
      <c r="AN51" s="176"/>
      <c r="AO51" s="166"/>
      <c r="AP51" s="166"/>
      <c r="AQ51" s="166"/>
      <c r="AR51" s="166"/>
      <c r="AS51" s="167"/>
    </row>
    <row r="52" customFormat="false" ht="12.75" hidden="false" customHeight="false" outlineLevel="0" collapsed="false">
      <c r="A52" s="173"/>
      <c r="B52" s="156"/>
      <c r="C52" s="157"/>
      <c r="D52" s="157"/>
      <c r="E52" s="158"/>
      <c r="F52" s="174"/>
      <c r="G52" s="175"/>
      <c r="H52" s="176"/>
      <c r="I52" s="166"/>
      <c r="J52" s="166"/>
      <c r="K52" s="166"/>
      <c r="L52" s="166"/>
      <c r="M52" s="167"/>
      <c r="N52" s="168"/>
      <c r="O52" s="175"/>
      <c r="P52" s="176"/>
      <c r="Q52" s="166"/>
      <c r="R52" s="166"/>
      <c r="S52" s="166"/>
      <c r="T52" s="166"/>
      <c r="U52" s="167"/>
      <c r="V52" s="168"/>
      <c r="W52" s="175"/>
      <c r="X52" s="176"/>
      <c r="Y52" s="166"/>
      <c r="Z52" s="166"/>
      <c r="AA52" s="166"/>
      <c r="AB52" s="166"/>
      <c r="AC52" s="167"/>
      <c r="AE52" s="175"/>
      <c r="AF52" s="177"/>
      <c r="AG52" s="170"/>
      <c r="AH52" s="170"/>
      <c r="AI52" s="170"/>
      <c r="AJ52" s="170"/>
      <c r="AK52" s="171"/>
      <c r="AM52" s="175"/>
      <c r="AN52" s="176"/>
      <c r="AO52" s="166"/>
      <c r="AP52" s="166"/>
      <c r="AQ52" s="166"/>
      <c r="AR52" s="166"/>
      <c r="AS52" s="167"/>
    </row>
    <row r="53" customFormat="false" ht="12.75" hidden="false" customHeight="false" outlineLevel="0" collapsed="false">
      <c r="A53" s="173"/>
      <c r="B53" s="156"/>
      <c r="C53" s="157"/>
      <c r="D53" s="157"/>
      <c r="E53" s="158"/>
      <c r="F53" s="174"/>
      <c r="G53" s="175"/>
      <c r="H53" s="176"/>
      <c r="I53" s="166"/>
      <c r="J53" s="166"/>
      <c r="K53" s="166"/>
      <c r="L53" s="166"/>
      <c r="M53" s="167"/>
      <c r="N53" s="168"/>
      <c r="O53" s="175"/>
      <c r="P53" s="176"/>
      <c r="Q53" s="166"/>
      <c r="R53" s="166"/>
      <c r="S53" s="166"/>
      <c r="T53" s="166"/>
      <c r="U53" s="167"/>
      <c r="V53" s="168"/>
      <c r="W53" s="175"/>
      <c r="X53" s="176"/>
      <c r="Y53" s="166"/>
      <c r="Z53" s="166"/>
      <c r="AA53" s="166"/>
      <c r="AB53" s="166"/>
      <c r="AC53" s="167"/>
      <c r="AE53" s="175"/>
      <c r="AF53" s="177"/>
      <c r="AG53" s="170"/>
      <c r="AH53" s="170"/>
      <c r="AI53" s="170"/>
      <c r="AJ53" s="170"/>
      <c r="AK53" s="171"/>
      <c r="AM53" s="175"/>
      <c r="AN53" s="176"/>
      <c r="AO53" s="166"/>
      <c r="AP53" s="166"/>
      <c r="AQ53" s="166"/>
      <c r="AR53" s="166"/>
      <c r="AS53" s="167"/>
    </row>
    <row r="54" customFormat="false" ht="12.75" hidden="false" customHeight="false" outlineLevel="0" collapsed="false">
      <c r="A54" s="173"/>
      <c r="B54" s="156"/>
      <c r="C54" s="157"/>
      <c r="D54" s="157"/>
      <c r="E54" s="158"/>
      <c r="F54" s="174"/>
      <c r="G54" s="175"/>
      <c r="H54" s="176"/>
      <c r="I54" s="166"/>
      <c r="J54" s="166"/>
      <c r="K54" s="166"/>
      <c r="L54" s="166"/>
      <c r="M54" s="167"/>
      <c r="N54" s="168"/>
      <c r="O54" s="175"/>
      <c r="P54" s="176"/>
      <c r="Q54" s="166"/>
      <c r="R54" s="166"/>
      <c r="S54" s="166"/>
      <c r="T54" s="166"/>
      <c r="U54" s="167"/>
      <c r="V54" s="168"/>
      <c r="W54" s="175"/>
      <c r="X54" s="176"/>
      <c r="Y54" s="166"/>
      <c r="Z54" s="166"/>
      <c r="AA54" s="166"/>
      <c r="AB54" s="166"/>
      <c r="AC54" s="167"/>
      <c r="AE54" s="175"/>
      <c r="AF54" s="177"/>
      <c r="AG54" s="170"/>
      <c r="AH54" s="170"/>
      <c r="AI54" s="170"/>
      <c r="AJ54" s="170"/>
      <c r="AK54" s="171"/>
      <c r="AM54" s="175"/>
      <c r="AN54" s="176"/>
      <c r="AO54" s="166"/>
      <c r="AP54" s="166"/>
      <c r="AQ54" s="166"/>
      <c r="AR54" s="166"/>
      <c r="AS54" s="167"/>
    </row>
    <row r="55" customFormat="false" ht="12.75" hidden="false" customHeight="false" outlineLevel="0" collapsed="false">
      <c r="A55" s="173"/>
      <c r="B55" s="156"/>
      <c r="C55" s="157"/>
      <c r="D55" s="157"/>
      <c r="E55" s="158"/>
      <c r="F55" s="174"/>
      <c r="G55" s="175"/>
      <c r="H55" s="176"/>
      <c r="I55" s="166"/>
      <c r="J55" s="166"/>
      <c r="K55" s="166"/>
      <c r="L55" s="166"/>
      <c r="M55" s="167"/>
      <c r="N55" s="168"/>
      <c r="O55" s="175"/>
      <c r="P55" s="176"/>
      <c r="Q55" s="166"/>
      <c r="R55" s="166"/>
      <c r="S55" s="166"/>
      <c r="T55" s="166"/>
      <c r="U55" s="167"/>
      <c r="V55" s="168"/>
      <c r="W55" s="175"/>
      <c r="X55" s="176"/>
      <c r="Y55" s="166"/>
      <c r="Z55" s="166"/>
      <c r="AA55" s="166"/>
      <c r="AB55" s="166"/>
      <c r="AC55" s="167"/>
      <c r="AE55" s="175"/>
      <c r="AF55" s="177"/>
      <c r="AG55" s="170"/>
      <c r="AH55" s="170"/>
      <c r="AI55" s="170"/>
      <c r="AJ55" s="170"/>
      <c r="AK55" s="171"/>
      <c r="AM55" s="175"/>
      <c r="AN55" s="176"/>
      <c r="AO55" s="166"/>
      <c r="AP55" s="166"/>
      <c r="AQ55" s="166"/>
      <c r="AR55" s="166"/>
      <c r="AS55" s="167"/>
    </row>
    <row r="56" customFormat="false" ht="12.75" hidden="false" customHeight="false" outlineLevel="0" collapsed="false">
      <c r="A56" s="175"/>
      <c r="B56" s="178"/>
      <c r="C56" s="179"/>
      <c r="D56" s="179"/>
      <c r="E56" s="180"/>
      <c r="F56" s="181"/>
      <c r="G56" s="175"/>
      <c r="H56" s="176"/>
      <c r="I56" s="166"/>
      <c r="J56" s="166"/>
      <c r="K56" s="166"/>
      <c r="L56" s="166"/>
      <c r="M56" s="167"/>
      <c r="N56" s="168"/>
      <c r="O56" s="175"/>
      <c r="P56" s="176"/>
      <c r="Q56" s="166"/>
      <c r="R56" s="166"/>
      <c r="S56" s="166"/>
      <c r="T56" s="166"/>
      <c r="U56" s="167"/>
      <c r="V56" s="168"/>
      <c r="W56" s="175"/>
      <c r="X56" s="176"/>
      <c r="Y56" s="166"/>
      <c r="Z56" s="166"/>
      <c r="AA56" s="166"/>
      <c r="AB56" s="166"/>
      <c r="AC56" s="167"/>
      <c r="AE56" s="175"/>
      <c r="AF56" s="177"/>
      <c r="AG56" s="170"/>
      <c r="AH56" s="170"/>
      <c r="AI56" s="170"/>
      <c r="AJ56" s="170"/>
      <c r="AK56" s="171"/>
      <c r="AM56" s="175"/>
      <c r="AN56" s="176"/>
      <c r="AO56" s="166"/>
      <c r="AP56" s="166"/>
      <c r="AQ56" s="166"/>
      <c r="AR56" s="166"/>
      <c r="AS56" s="167"/>
    </row>
    <row r="57" customFormat="false" ht="12.75" hidden="false" customHeight="false" outlineLevel="0" collapsed="false">
      <c r="A57" s="175"/>
      <c r="B57" s="178"/>
      <c r="C57" s="179"/>
      <c r="D57" s="179"/>
      <c r="E57" s="180"/>
      <c r="F57" s="181"/>
      <c r="G57" s="175"/>
      <c r="H57" s="176"/>
      <c r="I57" s="166"/>
      <c r="J57" s="166"/>
      <c r="K57" s="166"/>
      <c r="L57" s="166"/>
      <c r="M57" s="167"/>
      <c r="N57" s="168"/>
      <c r="O57" s="175"/>
      <c r="P57" s="176"/>
      <c r="Q57" s="166"/>
      <c r="R57" s="166"/>
      <c r="S57" s="166"/>
      <c r="T57" s="166"/>
      <c r="U57" s="167"/>
      <c r="V57" s="168"/>
      <c r="W57" s="175"/>
      <c r="X57" s="176"/>
      <c r="Y57" s="166"/>
      <c r="Z57" s="166"/>
      <c r="AA57" s="166"/>
      <c r="AB57" s="166"/>
      <c r="AC57" s="167"/>
      <c r="AE57" s="175"/>
      <c r="AF57" s="177"/>
      <c r="AG57" s="170"/>
      <c r="AH57" s="170"/>
      <c r="AI57" s="170"/>
      <c r="AJ57" s="170"/>
      <c r="AK57" s="171"/>
      <c r="AM57" s="175"/>
      <c r="AN57" s="176"/>
      <c r="AO57" s="166"/>
      <c r="AP57" s="166"/>
      <c r="AQ57" s="166"/>
      <c r="AR57" s="166"/>
      <c r="AS57" s="167"/>
    </row>
    <row r="58" customFormat="false" ht="12.75" hidden="false" customHeight="false" outlineLevel="0" collapsed="false">
      <c r="A58" s="175"/>
      <c r="B58" s="178"/>
      <c r="C58" s="179"/>
      <c r="D58" s="179"/>
      <c r="E58" s="180"/>
      <c r="F58" s="181"/>
      <c r="G58" s="175"/>
      <c r="H58" s="176"/>
      <c r="I58" s="166"/>
      <c r="J58" s="166"/>
      <c r="K58" s="166"/>
      <c r="L58" s="166"/>
      <c r="M58" s="167"/>
      <c r="N58" s="168"/>
      <c r="O58" s="175"/>
      <c r="P58" s="176"/>
      <c r="Q58" s="166"/>
      <c r="R58" s="166"/>
      <c r="S58" s="166"/>
      <c r="T58" s="166"/>
      <c r="U58" s="167"/>
      <c r="V58" s="168"/>
      <c r="W58" s="175"/>
      <c r="X58" s="176"/>
      <c r="Y58" s="166"/>
      <c r="Z58" s="166"/>
      <c r="AA58" s="166"/>
      <c r="AB58" s="166"/>
      <c r="AC58" s="167"/>
      <c r="AE58" s="175"/>
      <c r="AF58" s="177"/>
      <c r="AG58" s="170"/>
      <c r="AH58" s="170"/>
      <c r="AI58" s="170"/>
      <c r="AJ58" s="170"/>
      <c r="AK58" s="171"/>
      <c r="AM58" s="175"/>
      <c r="AN58" s="176"/>
      <c r="AO58" s="166"/>
      <c r="AP58" s="166"/>
      <c r="AQ58" s="166"/>
      <c r="AR58" s="166"/>
      <c r="AS58" s="167"/>
    </row>
    <row r="59" customFormat="false" ht="12.75" hidden="false" customHeight="false" outlineLevel="0" collapsed="false">
      <c r="A59" s="175"/>
      <c r="B59" s="178"/>
      <c r="C59" s="179"/>
      <c r="D59" s="179"/>
      <c r="E59" s="180"/>
      <c r="F59" s="181"/>
      <c r="G59" s="175"/>
      <c r="H59" s="176"/>
      <c r="I59" s="166"/>
      <c r="J59" s="166"/>
      <c r="K59" s="166"/>
      <c r="L59" s="166"/>
      <c r="M59" s="167"/>
      <c r="N59" s="168"/>
      <c r="O59" s="175"/>
      <c r="P59" s="176"/>
      <c r="Q59" s="166"/>
      <c r="R59" s="166"/>
      <c r="S59" s="166"/>
      <c r="T59" s="166"/>
      <c r="U59" s="167"/>
      <c r="V59" s="168"/>
      <c r="W59" s="175"/>
      <c r="X59" s="176"/>
      <c r="Y59" s="166"/>
      <c r="Z59" s="166"/>
      <c r="AA59" s="166"/>
      <c r="AB59" s="166"/>
      <c r="AC59" s="167"/>
      <c r="AE59" s="175"/>
      <c r="AF59" s="177"/>
      <c r="AG59" s="170"/>
      <c r="AH59" s="170"/>
      <c r="AI59" s="170"/>
      <c r="AJ59" s="170"/>
      <c r="AK59" s="171"/>
      <c r="AM59" s="175"/>
      <c r="AN59" s="176"/>
      <c r="AO59" s="166"/>
      <c r="AP59" s="166"/>
      <c r="AQ59" s="166"/>
      <c r="AR59" s="166"/>
      <c r="AS59" s="167"/>
    </row>
    <row r="60" customFormat="false" ht="12.75" hidden="false" customHeight="false" outlineLevel="0" collapsed="false">
      <c r="A60" s="175"/>
      <c r="B60" s="178"/>
      <c r="C60" s="179"/>
      <c r="D60" s="179"/>
      <c r="E60" s="180"/>
      <c r="F60" s="181"/>
      <c r="G60" s="175"/>
      <c r="H60" s="176"/>
      <c r="I60" s="166"/>
      <c r="J60" s="166"/>
      <c r="K60" s="166"/>
      <c r="L60" s="166"/>
      <c r="M60" s="167"/>
      <c r="N60" s="168"/>
      <c r="O60" s="175"/>
      <c r="P60" s="176"/>
      <c r="Q60" s="166"/>
      <c r="R60" s="166"/>
      <c r="S60" s="166"/>
      <c r="T60" s="166"/>
      <c r="U60" s="167"/>
      <c r="V60" s="168"/>
      <c r="W60" s="175"/>
      <c r="X60" s="176"/>
      <c r="Y60" s="166"/>
      <c r="Z60" s="166"/>
      <c r="AA60" s="166"/>
      <c r="AB60" s="166"/>
      <c r="AC60" s="167"/>
      <c r="AE60" s="175"/>
      <c r="AF60" s="177"/>
      <c r="AG60" s="170"/>
      <c r="AH60" s="170"/>
      <c r="AI60" s="170"/>
      <c r="AJ60" s="170"/>
      <c r="AK60" s="171"/>
      <c r="AM60" s="175"/>
      <c r="AN60" s="176"/>
      <c r="AO60" s="166"/>
      <c r="AP60" s="166"/>
      <c r="AQ60" s="166"/>
      <c r="AR60" s="166"/>
      <c r="AS60" s="167"/>
    </row>
    <row r="61" customFormat="false" ht="12.75" hidden="false" customHeight="false" outlineLevel="0" collapsed="false">
      <c r="A61" s="175"/>
      <c r="B61" s="178"/>
      <c r="C61" s="179"/>
      <c r="D61" s="179"/>
      <c r="E61" s="180"/>
      <c r="F61" s="181"/>
      <c r="G61" s="175"/>
      <c r="H61" s="176"/>
      <c r="I61" s="166"/>
      <c r="J61" s="166"/>
      <c r="K61" s="166"/>
      <c r="L61" s="166"/>
      <c r="M61" s="167"/>
      <c r="N61" s="168"/>
      <c r="O61" s="175"/>
      <c r="P61" s="176"/>
      <c r="Q61" s="166"/>
      <c r="R61" s="166"/>
      <c r="S61" s="166"/>
      <c r="T61" s="166"/>
      <c r="U61" s="167"/>
      <c r="V61" s="168"/>
      <c r="W61" s="175"/>
      <c r="X61" s="176"/>
      <c r="Y61" s="166"/>
      <c r="Z61" s="166"/>
      <c r="AA61" s="166"/>
      <c r="AB61" s="166"/>
      <c r="AC61" s="167"/>
      <c r="AE61" s="175"/>
      <c r="AF61" s="177"/>
      <c r="AG61" s="170"/>
      <c r="AH61" s="170"/>
      <c r="AI61" s="170"/>
      <c r="AJ61" s="170"/>
      <c r="AK61" s="171"/>
      <c r="AM61" s="175"/>
      <c r="AN61" s="176"/>
      <c r="AO61" s="166"/>
      <c r="AP61" s="166"/>
      <c r="AQ61" s="166"/>
      <c r="AR61" s="166"/>
      <c r="AS61" s="167"/>
    </row>
    <row r="62" customFormat="false" ht="12.75" hidden="false" customHeight="false" outlineLevel="0" collapsed="false">
      <c r="A62" s="175"/>
      <c r="B62" s="178"/>
      <c r="C62" s="179"/>
      <c r="D62" s="179"/>
      <c r="E62" s="180"/>
      <c r="F62" s="181"/>
      <c r="G62" s="175"/>
      <c r="H62" s="176"/>
      <c r="I62" s="166"/>
      <c r="J62" s="166"/>
      <c r="K62" s="166"/>
      <c r="L62" s="166"/>
      <c r="M62" s="167"/>
      <c r="N62" s="168"/>
      <c r="O62" s="175"/>
      <c r="P62" s="176"/>
      <c r="Q62" s="166"/>
      <c r="R62" s="166"/>
      <c r="S62" s="166"/>
      <c r="T62" s="166"/>
      <c r="U62" s="167"/>
      <c r="V62" s="168"/>
      <c r="W62" s="175"/>
      <c r="X62" s="176"/>
      <c r="Y62" s="166"/>
      <c r="Z62" s="166"/>
      <c r="AA62" s="166"/>
      <c r="AB62" s="166"/>
      <c r="AC62" s="167"/>
      <c r="AE62" s="175"/>
      <c r="AF62" s="177"/>
      <c r="AG62" s="170"/>
      <c r="AH62" s="170"/>
      <c r="AI62" s="170"/>
      <c r="AJ62" s="170"/>
      <c r="AK62" s="171"/>
      <c r="AM62" s="175"/>
      <c r="AN62" s="176"/>
      <c r="AO62" s="166"/>
      <c r="AP62" s="166"/>
      <c r="AQ62" s="166"/>
      <c r="AR62" s="166"/>
      <c r="AS62" s="167"/>
    </row>
    <row r="63" customFormat="false" ht="12.75" hidden="false" customHeight="false" outlineLevel="0" collapsed="false">
      <c r="A63" s="175"/>
      <c r="B63" s="178"/>
      <c r="C63" s="179"/>
      <c r="D63" s="179"/>
      <c r="E63" s="180"/>
      <c r="F63" s="181"/>
      <c r="G63" s="175"/>
      <c r="H63" s="176"/>
      <c r="I63" s="166"/>
      <c r="J63" s="166"/>
      <c r="K63" s="166"/>
      <c r="L63" s="166"/>
      <c r="M63" s="167"/>
      <c r="N63" s="168"/>
      <c r="O63" s="175"/>
      <c r="P63" s="176"/>
      <c r="Q63" s="166"/>
      <c r="R63" s="166"/>
      <c r="S63" s="166"/>
      <c r="T63" s="166"/>
      <c r="U63" s="167"/>
      <c r="V63" s="168"/>
      <c r="W63" s="175"/>
      <c r="X63" s="176"/>
      <c r="Y63" s="166"/>
      <c r="Z63" s="166"/>
      <c r="AA63" s="166"/>
      <c r="AB63" s="166"/>
      <c r="AC63" s="167"/>
      <c r="AE63" s="175"/>
      <c r="AF63" s="177"/>
      <c r="AG63" s="170"/>
      <c r="AH63" s="170"/>
      <c r="AI63" s="170"/>
      <c r="AJ63" s="170"/>
      <c r="AK63" s="171"/>
      <c r="AM63" s="175"/>
      <c r="AN63" s="176"/>
      <c r="AO63" s="166"/>
      <c r="AP63" s="166"/>
      <c r="AQ63" s="166"/>
      <c r="AR63" s="166"/>
      <c r="AS63" s="167"/>
    </row>
    <row r="64" customFormat="false" ht="12.75" hidden="false" customHeight="false" outlineLevel="0" collapsed="false">
      <c r="A64" s="175"/>
      <c r="B64" s="178"/>
      <c r="C64" s="179"/>
      <c r="D64" s="179"/>
      <c r="E64" s="180"/>
      <c r="F64" s="181"/>
      <c r="G64" s="175"/>
      <c r="H64" s="176"/>
      <c r="I64" s="166"/>
      <c r="J64" s="166"/>
      <c r="K64" s="166"/>
      <c r="L64" s="166"/>
      <c r="M64" s="167"/>
      <c r="N64" s="168"/>
      <c r="O64" s="175"/>
      <c r="P64" s="176"/>
      <c r="Q64" s="166"/>
      <c r="R64" s="166"/>
      <c r="S64" s="166"/>
      <c r="T64" s="166"/>
      <c r="U64" s="167"/>
      <c r="V64" s="168"/>
      <c r="W64" s="175"/>
      <c r="X64" s="176"/>
      <c r="Y64" s="166"/>
      <c r="Z64" s="166"/>
      <c r="AA64" s="166"/>
      <c r="AB64" s="166"/>
      <c r="AC64" s="167"/>
      <c r="AE64" s="175"/>
      <c r="AF64" s="177"/>
      <c r="AG64" s="170"/>
      <c r="AH64" s="170"/>
      <c r="AI64" s="170"/>
      <c r="AJ64" s="170"/>
      <c r="AK64" s="171"/>
      <c r="AM64" s="175"/>
      <c r="AN64" s="176"/>
      <c r="AO64" s="166"/>
      <c r="AP64" s="166"/>
      <c r="AQ64" s="166"/>
      <c r="AR64" s="166"/>
      <c r="AS64" s="167"/>
    </row>
    <row r="65" customFormat="false" ht="12.75" hidden="false" customHeight="false" outlineLevel="0" collapsed="false">
      <c r="A65" s="175"/>
      <c r="B65" s="178"/>
      <c r="C65" s="179"/>
      <c r="D65" s="179"/>
      <c r="E65" s="180"/>
      <c r="F65" s="181"/>
      <c r="G65" s="175"/>
      <c r="H65" s="176"/>
      <c r="I65" s="166"/>
      <c r="J65" s="166"/>
      <c r="K65" s="166"/>
      <c r="L65" s="166"/>
      <c r="M65" s="167"/>
      <c r="N65" s="168"/>
      <c r="O65" s="175"/>
      <c r="P65" s="176"/>
      <c r="Q65" s="166"/>
      <c r="R65" s="166"/>
      <c r="S65" s="166"/>
      <c r="T65" s="166"/>
      <c r="U65" s="167"/>
      <c r="V65" s="168"/>
      <c r="W65" s="175"/>
      <c r="X65" s="176"/>
      <c r="Y65" s="166"/>
      <c r="Z65" s="166"/>
      <c r="AA65" s="166"/>
      <c r="AB65" s="166"/>
      <c r="AC65" s="167"/>
      <c r="AE65" s="175"/>
      <c r="AF65" s="177"/>
      <c r="AG65" s="170"/>
      <c r="AH65" s="170"/>
      <c r="AI65" s="170"/>
      <c r="AJ65" s="170"/>
      <c r="AK65" s="171"/>
      <c r="AM65" s="175"/>
      <c r="AN65" s="176"/>
      <c r="AO65" s="166"/>
      <c r="AP65" s="166"/>
      <c r="AQ65" s="166"/>
      <c r="AR65" s="166"/>
      <c r="AS65" s="167"/>
    </row>
    <row r="66" customFormat="false" ht="12.75" hidden="false" customHeight="false" outlineLevel="0" collapsed="false">
      <c r="A66" s="175"/>
      <c r="B66" s="178"/>
      <c r="C66" s="179"/>
      <c r="D66" s="179"/>
      <c r="E66" s="180"/>
      <c r="F66" s="181"/>
      <c r="G66" s="175"/>
      <c r="H66" s="176"/>
      <c r="I66" s="166"/>
      <c r="J66" s="166"/>
      <c r="K66" s="166"/>
      <c r="L66" s="166"/>
      <c r="M66" s="167"/>
      <c r="N66" s="168"/>
      <c r="O66" s="175"/>
      <c r="P66" s="176"/>
      <c r="Q66" s="166"/>
      <c r="R66" s="166"/>
      <c r="S66" s="166"/>
      <c r="T66" s="166"/>
      <c r="U66" s="167"/>
      <c r="V66" s="168"/>
      <c r="W66" s="175"/>
      <c r="X66" s="176"/>
      <c r="Y66" s="166"/>
      <c r="Z66" s="166"/>
      <c r="AA66" s="166"/>
      <c r="AB66" s="166"/>
      <c r="AC66" s="167"/>
      <c r="AE66" s="175"/>
      <c r="AF66" s="177"/>
      <c r="AG66" s="170"/>
      <c r="AH66" s="170"/>
      <c r="AI66" s="170"/>
      <c r="AJ66" s="170"/>
      <c r="AK66" s="171"/>
      <c r="AM66" s="175"/>
      <c r="AN66" s="176"/>
      <c r="AO66" s="166"/>
      <c r="AP66" s="166"/>
      <c r="AQ66" s="166"/>
      <c r="AR66" s="166"/>
      <c r="AS66" s="167"/>
    </row>
    <row r="67" customFormat="false" ht="12.75" hidden="false" customHeight="false" outlineLevel="0" collapsed="false">
      <c r="A67" s="175"/>
      <c r="B67" s="178"/>
      <c r="C67" s="179"/>
      <c r="D67" s="179"/>
      <c r="E67" s="180"/>
      <c r="F67" s="181"/>
      <c r="G67" s="175"/>
      <c r="H67" s="176"/>
      <c r="I67" s="166"/>
      <c r="J67" s="166"/>
      <c r="K67" s="166"/>
      <c r="L67" s="166"/>
      <c r="M67" s="167"/>
      <c r="N67" s="168"/>
      <c r="O67" s="175"/>
      <c r="P67" s="176"/>
      <c r="Q67" s="166"/>
      <c r="R67" s="166"/>
      <c r="S67" s="166"/>
      <c r="T67" s="166"/>
      <c r="U67" s="167"/>
      <c r="V67" s="168"/>
      <c r="W67" s="175"/>
      <c r="X67" s="176"/>
      <c r="Y67" s="166"/>
      <c r="Z67" s="166"/>
      <c r="AA67" s="166"/>
      <c r="AB67" s="166"/>
      <c r="AC67" s="167"/>
      <c r="AE67" s="175"/>
      <c r="AF67" s="177"/>
      <c r="AG67" s="170"/>
      <c r="AH67" s="170"/>
      <c r="AI67" s="170"/>
      <c r="AJ67" s="170"/>
      <c r="AK67" s="171"/>
      <c r="AM67" s="175"/>
      <c r="AN67" s="176"/>
      <c r="AO67" s="166"/>
      <c r="AP67" s="166"/>
      <c r="AQ67" s="166"/>
      <c r="AR67" s="166"/>
      <c r="AS67" s="167"/>
    </row>
    <row r="68" customFormat="false" ht="12.75" hidden="false" customHeight="false" outlineLevel="0" collapsed="false">
      <c r="A68" s="175"/>
      <c r="B68" s="178"/>
      <c r="C68" s="179"/>
      <c r="D68" s="179"/>
      <c r="E68" s="180"/>
      <c r="F68" s="181"/>
      <c r="G68" s="175"/>
      <c r="H68" s="176"/>
      <c r="I68" s="166"/>
      <c r="J68" s="166"/>
      <c r="K68" s="166"/>
      <c r="L68" s="166"/>
      <c r="M68" s="167"/>
      <c r="N68" s="168"/>
      <c r="O68" s="175"/>
      <c r="P68" s="176"/>
      <c r="Q68" s="166"/>
      <c r="R68" s="166"/>
      <c r="S68" s="166"/>
      <c r="T68" s="166"/>
      <c r="U68" s="167"/>
      <c r="V68" s="168"/>
      <c r="W68" s="175"/>
      <c r="X68" s="176"/>
      <c r="Y68" s="166"/>
      <c r="Z68" s="166"/>
      <c r="AA68" s="166"/>
      <c r="AB68" s="166"/>
      <c r="AC68" s="167"/>
      <c r="AE68" s="175"/>
      <c r="AF68" s="177"/>
      <c r="AG68" s="170"/>
      <c r="AH68" s="170"/>
      <c r="AI68" s="170"/>
      <c r="AJ68" s="170"/>
      <c r="AK68" s="171"/>
      <c r="AM68" s="175"/>
      <c r="AN68" s="176"/>
      <c r="AO68" s="166"/>
      <c r="AP68" s="166"/>
      <c r="AQ68" s="166"/>
      <c r="AR68" s="166"/>
      <c r="AS68" s="167"/>
    </row>
    <row r="69" customFormat="false" ht="12.75" hidden="false" customHeight="false" outlineLevel="0" collapsed="false">
      <c r="A69" s="175"/>
      <c r="B69" s="178"/>
      <c r="C69" s="179"/>
      <c r="D69" s="179"/>
      <c r="E69" s="180"/>
      <c r="F69" s="181"/>
      <c r="G69" s="175"/>
      <c r="H69" s="176"/>
      <c r="I69" s="166"/>
      <c r="J69" s="166"/>
      <c r="K69" s="166"/>
      <c r="L69" s="166"/>
      <c r="M69" s="167"/>
      <c r="N69" s="168"/>
      <c r="O69" s="175"/>
      <c r="P69" s="176"/>
      <c r="Q69" s="166"/>
      <c r="R69" s="166"/>
      <c r="S69" s="166"/>
      <c r="T69" s="166"/>
      <c r="U69" s="167"/>
      <c r="V69" s="168"/>
      <c r="W69" s="175"/>
      <c r="X69" s="176"/>
      <c r="Y69" s="166"/>
      <c r="Z69" s="166"/>
      <c r="AA69" s="166"/>
      <c r="AB69" s="166"/>
      <c r="AC69" s="167"/>
      <c r="AE69" s="175"/>
      <c r="AF69" s="177"/>
      <c r="AG69" s="170"/>
      <c r="AH69" s="170"/>
      <c r="AI69" s="170"/>
      <c r="AJ69" s="170"/>
      <c r="AK69" s="171"/>
      <c r="AM69" s="175"/>
      <c r="AN69" s="176"/>
      <c r="AO69" s="166"/>
      <c r="AP69" s="166"/>
      <c r="AQ69" s="166"/>
      <c r="AR69" s="166"/>
      <c r="AS69" s="167"/>
    </row>
    <row r="70" customFormat="false" ht="12.75" hidden="false" customHeight="false" outlineLevel="0" collapsed="false">
      <c r="A70" s="175"/>
      <c r="B70" s="178"/>
      <c r="C70" s="179"/>
      <c r="D70" s="179"/>
      <c r="E70" s="180"/>
      <c r="F70" s="181"/>
      <c r="G70" s="175"/>
      <c r="H70" s="176"/>
      <c r="I70" s="166"/>
      <c r="J70" s="166"/>
      <c r="K70" s="166"/>
      <c r="L70" s="166"/>
      <c r="M70" s="167"/>
      <c r="N70" s="168"/>
      <c r="O70" s="175"/>
      <c r="P70" s="176"/>
      <c r="Q70" s="166"/>
      <c r="R70" s="166"/>
      <c r="S70" s="166"/>
      <c r="T70" s="166"/>
      <c r="U70" s="167"/>
      <c r="V70" s="168"/>
      <c r="W70" s="175"/>
      <c r="X70" s="176"/>
      <c r="Y70" s="166"/>
      <c r="Z70" s="166"/>
      <c r="AA70" s="166"/>
      <c r="AB70" s="166"/>
      <c r="AC70" s="167"/>
      <c r="AE70" s="175"/>
      <c r="AF70" s="177"/>
      <c r="AG70" s="170"/>
      <c r="AH70" s="170"/>
      <c r="AI70" s="170"/>
      <c r="AJ70" s="170"/>
      <c r="AK70" s="171"/>
      <c r="AM70" s="175"/>
      <c r="AN70" s="176"/>
      <c r="AO70" s="166"/>
      <c r="AP70" s="166"/>
      <c r="AQ70" s="166"/>
      <c r="AR70" s="166"/>
      <c r="AS70" s="167"/>
    </row>
    <row r="71" customFormat="false" ht="12.75" hidden="false" customHeight="false" outlineLevel="0" collapsed="false">
      <c r="A71" s="175"/>
      <c r="B71" s="178"/>
      <c r="C71" s="179"/>
      <c r="D71" s="179"/>
      <c r="E71" s="180"/>
      <c r="F71" s="181"/>
      <c r="G71" s="175"/>
      <c r="H71" s="176"/>
      <c r="I71" s="166"/>
      <c r="J71" s="166"/>
      <c r="K71" s="166"/>
      <c r="L71" s="166"/>
      <c r="M71" s="167"/>
      <c r="N71" s="168"/>
      <c r="O71" s="175"/>
      <c r="P71" s="176"/>
      <c r="Q71" s="166"/>
      <c r="R71" s="166"/>
      <c r="S71" s="166"/>
      <c r="T71" s="166"/>
      <c r="U71" s="167"/>
      <c r="V71" s="168"/>
      <c r="W71" s="175"/>
      <c r="X71" s="176"/>
      <c r="Y71" s="166"/>
      <c r="Z71" s="166"/>
      <c r="AA71" s="166"/>
      <c r="AB71" s="166"/>
      <c r="AC71" s="167"/>
      <c r="AE71" s="175"/>
      <c r="AF71" s="177"/>
      <c r="AG71" s="170"/>
      <c r="AH71" s="170"/>
      <c r="AI71" s="170"/>
      <c r="AJ71" s="170"/>
      <c r="AK71" s="171"/>
      <c r="AM71" s="175"/>
      <c r="AN71" s="176"/>
      <c r="AO71" s="166"/>
      <c r="AP71" s="166"/>
      <c r="AQ71" s="166"/>
      <c r="AR71" s="166"/>
      <c r="AS71" s="167"/>
    </row>
    <row r="72" customFormat="false" ht="12.75" hidden="false" customHeight="false" outlineLevel="0" collapsed="false">
      <c r="A72" s="175"/>
      <c r="B72" s="178"/>
      <c r="C72" s="179"/>
      <c r="D72" s="179"/>
      <c r="E72" s="180"/>
      <c r="F72" s="181"/>
      <c r="G72" s="175"/>
      <c r="H72" s="176"/>
      <c r="I72" s="166"/>
      <c r="J72" s="166"/>
      <c r="K72" s="166"/>
      <c r="L72" s="166"/>
      <c r="M72" s="167"/>
      <c r="N72" s="168"/>
      <c r="O72" s="175"/>
      <c r="P72" s="176"/>
      <c r="Q72" s="166"/>
      <c r="R72" s="166"/>
      <c r="S72" s="166"/>
      <c r="T72" s="166"/>
      <c r="U72" s="167"/>
      <c r="V72" s="168"/>
      <c r="W72" s="175"/>
      <c r="X72" s="176"/>
      <c r="Y72" s="166"/>
      <c r="Z72" s="166"/>
      <c r="AA72" s="166"/>
      <c r="AB72" s="166"/>
      <c r="AC72" s="167"/>
      <c r="AE72" s="175"/>
      <c r="AF72" s="177"/>
      <c r="AG72" s="170"/>
      <c r="AH72" s="170"/>
      <c r="AI72" s="170"/>
      <c r="AJ72" s="170"/>
      <c r="AK72" s="171"/>
      <c r="AM72" s="175"/>
      <c r="AN72" s="176"/>
      <c r="AO72" s="166"/>
      <c r="AP72" s="166"/>
      <c r="AQ72" s="166"/>
      <c r="AR72" s="166"/>
      <c r="AS72" s="167"/>
    </row>
    <row r="73" customFormat="false" ht="12.75" hidden="false" customHeight="false" outlineLevel="0" collapsed="false">
      <c r="A73" s="175"/>
      <c r="B73" s="178"/>
      <c r="C73" s="179"/>
      <c r="D73" s="179"/>
      <c r="E73" s="180"/>
      <c r="F73" s="181"/>
      <c r="G73" s="175"/>
      <c r="H73" s="176"/>
      <c r="I73" s="166"/>
      <c r="J73" s="166"/>
      <c r="K73" s="166"/>
      <c r="L73" s="166"/>
      <c r="M73" s="167"/>
      <c r="N73" s="168"/>
      <c r="O73" s="175"/>
      <c r="P73" s="176"/>
      <c r="Q73" s="166"/>
      <c r="R73" s="166"/>
      <c r="S73" s="166"/>
      <c r="T73" s="166"/>
      <c r="U73" s="167"/>
      <c r="V73" s="168"/>
      <c r="W73" s="175"/>
      <c r="X73" s="176"/>
      <c r="Y73" s="166"/>
      <c r="Z73" s="166"/>
      <c r="AA73" s="166"/>
      <c r="AB73" s="166"/>
      <c r="AC73" s="167"/>
      <c r="AE73" s="175"/>
      <c r="AF73" s="177"/>
      <c r="AG73" s="170"/>
      <c r="AH73" s="170"/>
      <c r="AI73" s="170"/>
      <c r="AJ73" s="170"/>
      <c r="AK73" s="171"/>
      <c r="AM73" s="175"/>
      <c r="AN73" s="176"/>
      <c r="AO73" s="166"/>
      <c r="AP73" s="166"/>
      <c r="AQ73" s="166"/>
      <c r="AR73" s="166"/>
      <c r="AS73" s="167"/>
    </row>
    <row r="74" customFormat="false" ht="12.75" hidden="false" customHeight="false" outlineLevel="0" collapsed="false">
      <c r="A74" s="175"/>
      <c r="B74" s="178"/>
      <c r="C74" s="179"/>
      <c r="D74" s="179"/>
      <c r="E74" s="180"/>
      <c r="F74" s="181"/>
      <c r="G74" s="175"/>
      <c r="H74" s="176"/>
      <c r="I74" s="166"/>
      <c r="J74" s="166"/>
      <c r="K74" s="166"/>
      <c r="L74" s="166"/>
      <c r="M74" s="167"/>
      <c r="N74" s="168"/>
      <c r="O74" s="175"/>
      <c r="P74" s="176"/>
      <c r="Q74" s="166"/>
      <c r="R74" s="166"/>
      <c r="S74" s="166"/>
      <c r="T74" s="166"/>
      <c r="U74" s="167"/>
      <c r="V74" s="168"/>
      <c r="W74" s="175"/>
      <c r="X74" s="176"/>
      <c r="Y74" s="166"/>
      <c r="Z74" s="166"/>
      <c r="AA74" s="166"/>
      <c r="AB74" s="166"/>
      <c r="AC74" s="167"/>
      <c r="AE74" s="175"/>
      <c r="AF74" s="177"/>
      <c r="AG74" s="170"/>
      <c r="AH74" s="170"/>
      <c r="AI74" s="170"/>
      <c r="AJ74" s="170"/>
      <c r="AK74" s="171"/>
      <c r="AM74" s="175"/>
      <c r="AN74" s="176"/>
      <c r="AO74" s="166"/>
      <c r="AP74" s="166"/>
      <c r="AQ74" s="166"/>
      <c r="AR74" s="166"/>
      <c r="AS74" s="167"/>
    </row>
    <row r="75" customFormat="false" ht="12.75" hidden="false" customHeight="false" outlineLevel="0" collapsed="false">
      <c r="A75" s="175"/>
      <c r="B75" s="178"/>
      <c r="C75" s="179"/>
      <c r="D75" s="179"/>
      <c r="E75" s="180"/>
      <c r="F75" s="181"/>
      <c r="G75" s="175"/>
      <c r="H75" s="176"/>
      <c r="I75" s="166"/>
      <c r="J75" s="166"/>
      <c r="K75" s="166"/>
      <c r="L75" s="166"/>
      <c r="M75" s="167"/>
      <c r="N75" s="168"/>
      <c r="O75" s="175"/>
      <c r="P75" s="176"/>
      <c r="Q75" s="166"/>
      <c r="R75" s="166"/>
      <c r="S75" s="166"/>
      <c r="T75" s="166"/>
      <c r="U75" s="167"/>
      <c r="V75" s="168"/>
      <c r="W75" s="175"/>
      <c r="X75" s="176"/>
      <c r="Y75" s="166"/>
      <c r="Z75" s="166"/>
      <c r="AA75" s="166"/>
      <c r="AB75" s="166"/>
      <c r="AC75" s="167"/>
      <c r="AE75" s="175"/>
      <c r="AF75" s="177"/>
      <c r="AG75" s="170"/>
      <c r="AH75" s="170"/>
      <c r="AI75" s="170"/>
      <c r="AJ75" s="170"/>
      <c r="AK75" s="171"/>
      <c r="AM75" s="175"/>
      <c r="AN75" s="176"/>
      <c r="AO75" s="166"/>
      <c r="AP75" s="166"/>
      <c r="AQ75" s="166"/>
      <c r="AR75" s="166"/>
      <c r="AS75" s="167"/>
    </row>
    <row r="76" customFormat="false" ht="12.75" hidden="false" customHeight="false" outlineLevel="0" collapsed="false">
      <c r="A76" s="175"/>
      <c r="B76" s="178"/>
      <c r="C76" s="179"/>
      <c r="D76" s="179"/>
      <c r="E76" s="180"/>
      <c r="F76" s="181"/>
      <c r="G76" s="175"/>
      <c r="H76" s="176"/>
      <c r="I76" s="166"/>
      <c r="J76" s="166"/>
      <c r="K76" s="166"/>
      <c r="L76" s="166"/>
      <c r="M76" s="167"/>
      <c r="N76" s="168"/>
      <c r="O76" s="175"/>
      <c r="P76" s="176"/>
      <c r="Q76" s="166"/>
      <c r="R76" s="166"/>
      <c r="S76" s="166"/>
      <c r="T76" s="166"/>
      <c r="U76" s="167"/>
      <c r="V76" s="168"/>
      <c r="W76" s="175"/>
      <c r="X76" s="176"/>
      <c r="Y76" s="166"/>
      <c r="Z76" s="166"/>
      <c r="AA76" s="166"/>
      <c r="AB76" s="166"/>
      <c r="AC76" s="167"/>
      <c r="AE76" s="175"/>
      <c r="AF76" s="177"/>
      <c r="AG76" s="170"/>
      <c r="AH76" s="170"/>
      <c r="AI76" s="170"/>
      <c r="AJ76" s="170"/>
      <c r="AK76" s="171"/>
      <c r="AM76" s="175"/>
      <c r="AN76" s="176"/>
      <c r="AO76" s="166"/>
      <c r="AP76" s="166"/>
      <c r="AQ76" s="166"/>
      <c r="AR76" s="166"/>
      <c r="AS76" s="167"/>
    </row>
    <row r="77" customFormat="false" ht="12.75" hidden="false" customHeight="false" outlineLevel="0" collapsed="false">
      <c r="A77" s="175"/>
      <c r="B77" s="178"/>
      <c r="C77" s="179"/>
      <c r="D77" s="179"/>
      <c r="E77" s="180"/>
      <c r="F77" s="181"/>
      <c r="G77" s="175"/>
      <c r="H77" s="176"/>
      <c r="I77" s="166"/>
      <c r="J77" s="166"/>
      <c r="K77" s="166"/>
      <c r="L77" s="166"/>
      <c r="M77" s="167"/>
      <c r="N77" s="168"/>
      <c r="O77" s="175"/>
      <c r="P77" s="176"/>
      <c r="Q77" s="166"/>
      <c r="R77" s="166"/>
      <c r="S77" s="166"/>
      <c r="T77" s="166"/>
      <c r="U77" s="167"/>
      <c r="V77" s="168"/>
      <c r="W77" s="175"/>
      <c r="X77" s="176"/>
      <c r="Y77" s="166"/>
      <c r="Z77" s="166"/>
      <c r="AA77" s="166"/>
      <c r="AB77" s="166"/>
      <c r="AC77" s="167"/>
      <c r="AE77" s="175"/>
      <c r="AF77" s="177"/>
      <c r="AG77" s="170"/>
      <c r="AH77" s="170"/>
      <c r="AI77" s="170"/>
      <c r="AJ77" s="170"/>
      <c r="AK77" s="171"/>
      <c r="AM77" s="175"/>
      <c r="AN77" s="176"/>
      <c r="AO77" s="166"/>
      <c r="AP77" s="166"/>
      <c r="AQ77" s="166"/>
      <c r="AR77" s="166"/>
      <c r="AS77" s="167"/>
    </row>
    <row r="78" customFormat="false" ht="12.75" hidden="false" customHeight="false" outlineLevel="0" collapsed="false">
      <c r="A78" s="175"/>
      <c r="B78" s="178"/>
      <c r="C78" s="179"/>
      <c r="D78" s="179"/>
      <c r="E78" s="180"/>
      <c r="F78" s="181"/>
      <c r="G78" s="175"/>
      <c r="H78" s="176"/>
      <c r="I78" s="166"/>
      <c r="J78" s="166"/>
      <c r="K78" s="166"/>
      <c r="L78" s="166"/>
      <c r="M78" s="167"/>
      <c r="N78" s="168"/>
      <c r="O78" s="175"/>
      <c r="P78" s="176"/>
      <c r="Q78" s="166"/>
      <c r="R78" s="166"/>
      <c r="S78" s="166"/>
      <c r="T78" s="166"/>
      <c r="U78" s="167"/>
      <c r="V78" s="168"/>
      <c r="W78" s="175"/>
      <c r="X78" s="176"/>
      <c r="Y78" s="166"/>
      <c r="Z78" s="166"/>
      <c r="AA78" s="166"/>
      <c r="AB78" s="166"/>
      <c r="AC78" s="167"/>
      <c r="AE78" s="175"/>
      <c r="AF78" s="177"/>
      <c r="AG78" s="170"/>
      <c r="AH78" s="170"/>
      <c r="AI78" s="170"/>
      <c r="AJ78" s="170"/>
      <c r="AK78" s="171"/>
      <c r="AM78" s="175"/>
      <c r="AN78" s="176"/>
      <c r="AO78" s="166"/>
      <c r="AP78" s="166"/>
      <c r="AQ78" s="166"/>
      <c r="AR78" s="166"/>
      <c r="AS78" s="167"/>
    </row>
    <row r="79" customFormat="false" ht="12.75" hidden="false" customHeight="false" outlineLevel="0" collapsed="false">
      <c r="A79" s="175"/>
      <c r="B79" s="178"/>
      <c r="C79" s="179"/>
      <c r="D79" s="179"/>
      <c r="E79" s="180"/>
      <c r="F79" s="181"/>
      <c r="G79" s="175"/>
      <c r="H79" s="176"/>
      <c r="I79" s="166"/>
      <c r="J79" s="166"/>
      <c r="K79" s="166"/>
      <c r="L79" s="166"/>
      <c r="M79" s="167"/>
      <c r="N79" s="168"/>
      <c r="O79" s="175"/>
      <c r="P79" s="176"/>
      <c r="Q79" s="166"/>
      <c r="R79" s="166"/>
      <c r="S79" s="166"/>
      <c r="T79" s="166"/>
      <c r="U79" s="167"/>
      <c r="V79" s="168"/>
      <c r="W79" s="175"/>
      <c r="X79" s="176"/>
      <c r="Y79" s="166"/>
      <c r="Z79" s="166"/>
      <c r="AA79" s="166"/>
      <c r="AB79" s="166"/>
      <c r="AC79" s="167"/>
      <c r="AE79" s="175"/>
      <c r="AF79" s="177"/>
      <c r="AG79" s="170"/>
      <c r="AH79" s="170"/>
      <c r="AI79" s="170"/>
      <c r="AJ79" s="170"/>
      <c r="AK79" s="171"/>
      <c r="AM79" s="175"/>
      <c r="AN79" s="176"/>
      <c r="AO79" s="166"/>
      <c r="AP79" s="166"/>
      <c r="AQ79" s="166"/>
      <c r="AR79" s="166"/>
      <c r="AS79" s="167"/>
    </row>
    <row r="80" customFormat="false" ht="12.75" hidden="false" customHeight="false" outlineLevel="0" collapsed="false">
      <c r="A80" s="175"/>
      <c r="B80" s="178"/>
      <c r="C80" s="179"/>
      <c r="D80" s="179"/>
      <c r="E80" s="180"/>
      <c r="F80" s="181"/>
      <c r="G80" s="175"/>
      <c r="H80" s="176"/>
      <c r="I80" s="166"/>
      <c r="J80" s="166"/>
      <c r="K80" s="166"/>
      <c r="L80" s="166"/>
      <c r="M80" s="167"/>
      <c r="N80" s="168"/>
      <c r="O80" s="175"/>
      <c r="P80" s="176"/>
      <c r="Q80" s="166"/>
      <c r="R80" s="166"/>
      <c r="S80" s="166"/>
      <c r="T80" s="166"/>
      <c r="U80" s="167"/>
      <c r="V80" s="168"/>
      <c r="W80" s="175"/>
      <c r="X80" s="176"/>
      <c r="Y80" s="166"/>
      <c r="Z80" s="166"/>
      <c r="AA80" s="166"/>
      <c r="AB80" s="166"/>
      <c r="AC80" s="167"/>
      <c r="AE80" s="175"/>
      <c r="AF80" s="177"/>
      <c r="AG80" s="170"/>
      <c r="AH80" s="170"/>
      <c r="AI80" s="170"/>
      <c r="AJ80" s="170"/>
      <c r="AK80" s="171"/>
      <c r="AM80" s="175"/>
      <c r="AN80" s="176"/>
      <c r="AO80" s="166"/>
      <c r="AP80" s="166"/>
      <c r="AQ80" s="166"/>
      <c r="AR80" s="166"/>
      <c r="AS80" s="167"/>
    </row>
    <row r="81" customFormat="false" ht="12.75" hidden="false" customHeight="false" outlineLevel="0" collapsed="false">
      <c r="A81" s="175"/>
      <c r="B81" s="178"/>
      <c r="C81" s="179"/>
      <c r="D81" s="179"/>
      <c r="E81" s="180"/>
      <c r="F81" s="181"/>
      <c r="G81" s="175"/>
      <c r="H81" s="176"/>
      <c r="I81" s="166"/>
      <c r="J81" s="166"/>
      <c r="K81" s="166"/>
      <c r="L81" s="166"/>
      <c r="M81" s="167"/>
      <c r="N81" s="168"/>
      <c r="O81" s="175"/>
      <c r="P81" s="176"/>
      <c r="Q81" s="166"/>
      <c r="R81" s="166"/>
      <c r="S81" s="166"/>
      <c r="T81" s="166"/>
      <c r="U81" s="167"/>
      <c r="V81" s="168"/>
      <c r="W81" s="175"/>
      <c r="X81" s="176"/>
      <c r="Y81" s="166"/>
      <c r="Z81" s="166"/>
      <c r="AA81" s="166"/>
      <c r="AB81" s="166"/>
      <c r="AC81" s="167"/>
      <c r="AE81" s="175"/>
      <c r="AF81" s="177"/>
      <c r="AG81" s="170"/>
      <c r="AH81" s="170"/>
      <c r="AI81" s="170"/>
      <c r="AJ81" s="170"/>
      <c r="AK81" s="171"/>
      <c r="AM81" s="175"/>
      <c r="AN81" s="176"/>
      <c r="AO81" s="166"/>
      <c r="AP81" s="166"/>
      <c r="AQ81" s="166"/>
      <c r="AR81" s="166"/>
      <c r="AS81" s="167"/>
    </row>
    <row r="82" customFormat="false" ht="12.75" hidden="false" customHeight="false" outlineLevel="0" collapsed="false">
      <c r="A82" s="175"/>
      <c r="B82" s="178"/>
      <c r="C82" s="179"/>
      <c r="D82" s="179"/>
      <c r="E82" s="180"/>
      <c r="F82" s="181"/>
      <c r="G82" s="175"/>
      <c r="H82" s="176"/>
      <c r="I82" s="166"/>
      <c r="J82" s="166"/>
      <c r="K82" s="166"/>
      <c r="L82" s="166"/>
      <c r="M82" s="167"/>
      <c r="N82" s="168"/>
      <c r="O82" s="175"/>
      <c r="P82" s="176"/>
      <c r="Q82" s="166"/>
      <c r="R82" s="166"/>
      <c r="S82" s="166"/>
      <c r="T82" s="166"/>
      <c r="U82" s="167"/>
      <c r="V82" s="168"/>
      <c r="W82" s="175"/>
      <c r="X82" s="176"/>
      <c r="Y82" s="166"/>
      <c r="Z82" s="166"/>
      <c r="AA82" s="166"/>
      <c r="AB82" s="166"/>
      <c r="AC82" s="167"/>
      <c r="AE82" s="175"/>
      <c r="AF82" s="177"/>
      <c r="AG82" s="170"/>
      <c r="AH82" s="170"/>
      <c r="AI82" s="170"/>
      <c r="AJ82" s="170"/>
      <c r="AK82" s="171"/>
      <c r="AM82" s="175"/>
      <c r="AN82" s="176"/>
      <c r="AO82" s="166"/>
      <c r="AP82" s="166"/>
      <c r="AQ82" s="166"/>
      <c r="AR82" s="166"/>
      <c r="AS82" s="167"/>
    </row>
    <row r="83" customFormat="false" ht="12.75" hidden="false" customHeight="false" outlineLevel="0" collapsed="false">
      <c r="A83" s="175"/>
      <c r="B83" s="178"/>
      <c r="C83" s="179"/>
      <c r="D83" s="179"/>
      <c r="E83" s="180"/>
      <c r="F83" s="181"/>
      <c r="G83" s="175"/>
      <c r="H83" s="176"/>
      <c r="I83" s="166"/>
      <c r="J83" s="166"/>
      <c r="K83" s="166"/>
      <c r="L83" s="166"/>
      <c r="M83" s="167"/>
      <c r="N83" s="168"/>
      <c r="O83" s="175"/>
      <c r="P83" s="176"/>
      <c r="Q83" s="166"/>
      <c r="R83" s="166"/>
      <c r="S83" s="166"/>
      <c r="T83" s="166"/>
      <c r="U83" s="167"/>
      <c r="V83" s="168"/>
      <c r="W83" s="175"/>
      <c r="X83" s="176"/>
      <c r="Y83" s="166"/>
      <c r="Z83" s="166"/>
      <c r="AA83" s="166"/>
      <c r="AB83" s="166"/>
      <c r="AC83" s="167"/>
      <c r="AE83" s="175"/>
      <c r="AF83" s="177"/>
      <c r="AG83" s="170"/>
      <c r="AH83" s="170"/>
      <c r="AI83" s="170"/>
      <c r="AJ83" s="170"/>
      <c r="AK83" s="171"/>
      <c r="AM83" s="175"/>
      <c r="AN83" s="176"/>
      <c r="AO83" s="166"/>
      <c r="AP83" s="166"/>
      <c r="AQ83" s="166"/>
      <c r="AR83" s="166"/>
      <c r="AS83" s="167"/>
    </row>
    <row r="84" customFormat="false" ht="12.75" hidden="false" customHeight="false" outlineLevel="0" collapsed="false">
      <c r="A84" s="175"/>
      <c r="B84" s="178"/>
      <c r="C84" s="179"/>
      <c r="D84" s="179"/>
      <c r="E84" s="180"/>
      <c r="F84" s="181"/>
      <c r="G84" s="175"/>
      <c r="H84" s="176"/>
      <c r="I84" s="166"/>
      <c r="J84" s="166"/>
      <c r="K84" s="166"/>
      <c r="L84" s="166"/>
      <c r="M84" s="167"/>
      <c r="N84" s="168"/>
      <c r="O84" s="175"/>
      <c r="P84" s="176"/>
      <c r="Q84" s="166"/>
      <c r="R84" s="166"/>
      <c r="S84" s="166"/>
      <c r="T84" s="166"/>
      <c r="U84" s="167"/>
      <c r="V84" s="168"/>
      <c r="W84" s="175"/>
      <c r="X84" s="176"/>
      <c r="Y84" s="166"/>
      <c r="Z84" s="166"/>
      <c r="AA84" s="166"/>
      <c r="AB84" s="166"/>
      <c r="AC84" s="167"/>
      <c r="AE84" s="175"/>
      <c r="AF84" s="177"/>
      <c r="AG84" s="170"/>
      <c r="AH84" s="170"/>
      <c r="AI84" s="170"/>
      <c r="AJ84" s="170"/>
      <c r="AK84" s="171"/>
      <c r="AM84" s="175"/>
      <c r="AN84" s="176"/>
      <c r="AO84" s="166"/>
      <c r="AP84" s="166"/>
      <c r="AQ84" s="166"/>
      <c r="AR84" s="166"/>
      <c r="AS84" s="167"/>
    </row>
    <row r="85" customFormat="false" ht="12.75" hidden="false" customHeight="false" outlineLevel="0" collapsed="false">
      <c r="A85" s="175"/>
      <c r="B85" s="178"/>
      <c r="C85" s="179"/>
      <c r="D85" s="179"/>
      <c r="E85" s="180"/>
      <c r="F85" s="181"/>
      <c r="G85" s="175"/>
      <c r="H85" s="176"/>
      <c r="I85" s="166"/>
      <c r="J85" s="166"/>
      <c r="K85" s="166"/>
      <c r="L85" s="166"/>
      <c r="M85" s="167"/>
      <c r="N85" s="168"/>
      <c r="O85" s="175"/>
      <c r="P85" s="176"/>
      <c r="Q85" s="166"/>
      <c r="R85" s="166"/>
      <c r="S85" s="166"/>
      <c r="T85" s="166"/>
      <c r="U85" s="167"/>
      <c r="V85" s="168"/>
      <c r="W85" s="175"/>
      <c r="X85" s="176"/>
      <c r="Y85" s="166"/>
      <c r="Z85" s="166"/>
      <c r="AA85" s="166"/>
      <c r="AB85" s="166"/>
      <c r="AC85" s="167"/>
      <c r="AE85" s="175"/>
      <c r="AF85" s="177"/>
      <c r="AG85" s="170"/>
      <c r="AH85" s="170"/>
      <c r="AI85" s="170"/>
      <c r="AJ85" s="170"/>
      <c r="AK85" s="171"/>
      <c r="AM85" s="175"/>
      <c r="AN85" s="176"/>
      <c r="AO85" s="166"/>
      <c r="AP85" s="166"/>
      <c r="AQ85" s="166"/>
      <c r="AR85" s="166"/>
      <c r="AS85" s="167"/>
    </row>
    <row r="86" customFormat="false" ht="12.75" hidden="false" customHeight="false" outlineLevel="0" collapsed="false">
      <c r="A86" s="175"/>
      <c r="B86" s="178"/>
      <c r="C86" s="179"/>
      <c r="D86" s="179"/>
      <c r="E86" s="180"/>
      <c r="F86" s="181"/>
      <c r="G86" s="175"/>
      <c r="H86" s="176"/>
      <c r="I86" s="166"/>
      <c r="J86" s="166"/>
      <c r="K86" s="166"/>
      <c r="L86" s="166"/>
      <c r="M86" s="167"/>
      <c r="N86" s="168"/>
      <c r="O86" s="175"/>
      <c r="P86" s="176"/>
      <c r="Q86" s="166"/>
      <c r="R86" s="166"/>
      <c r="S86" s="166"/>
      <c r="T86" s="166"/>
      <c r="U86" s="167"/>
      <c r="V86" s="168"/>
      <c r="W86" s="175"/>
      <c r="X86" s="176"/>
      <c r="Y86" s="166"/>
      <c r="Z86" s="166"/>
      <c r="AA86" s="166"/>
      <c r="AB86" s="166"/>
      <c r="AC86" s="167"/>
      <c r="AE86" s="175"/>
      <c r="AF86" s="177"/>
      <c r="AG86" s="170"/>
      <c r="AH86" s="170"/>
      <c r="AI86" s="170"/>
      <c r="AJ86" s="170"/>
      <c r="AK86" s="171"/>
      <c r="AM86" s="175"/>
      <c r="AN86" s="176"/>
      <c r="AO86" s="166"/>
      <c r="AP86" s="166"/>
      <c r="AQ86" s="166"/>
      <c r="AR86" s="166"/>
      <c r="AS86" s="167"/>
    </row>
    <row r="87" customFormat="false" ht="12.75" hidden="false" customHeight="false" outlineLevel="0" collapsed="false">
      <c r="A87" s="175"/>
      <c r="B87" s="178"/>
      <c r="C87" s="179"/>
      <c r="D87" s="179"/>
      <c r="E87" s="180"/>
      <c r="F87" s="181"/>
      <c r="G87" s="175"/>
      <c r="H87" s="176"/>
      <c r="I87" s="166"/>
      <c r="J87" s="166"/>
      <c r="K87" s="166"/>
      <c r="L87" s="166"/>
      <c r="M87" s="167"/>
      <c r="N87" s="168"/>
      <c r="O87" s="175"/>
      <c r="P87" s="176"/>
      <c r="Q87" s="166"/>
      <c r="R87" s="166"/>
      <c r="S87" s="166"/>
      <c r="T87" s="166"/>
      <c r="U87" s="167"/>
      <c r="V87" s="168"/>
      <c r="W87" s="175"/>
      <c r="X87" s="176"/>
      <c r="Y87" s="166"/>
      <c r="Z87" s="166"/>
      <c r="AA87" s="166"/>
      <c r="AB87" s="166"/>
      <c r="AC87" s="167"/>
      <c r="AE87" s="175"/>
      <c r="AF87" s="177"/>
      <c r="AG87" s="170"/>
      <c r="AH87" s="170"/>
      <c r="AI87" s="170"/>
      <c r="AJ87" s="170"/>
      <c r="AK87" s="171"/>
      <c r="AM87" s="175"/>
      <c r="AN87" s="176"/>
      <c r="AO87" s="166"/>
      <c r="AP87" s="166"/>
      <c r="AQ87" s="166"/>
      <c r="AR87" s="166"/>
      <c r="AS87" s="167"/>
    </row>
    <row r="88" customFormat="false" ht="12.75" hidden="false" customHeight="false" outlineLevel="0" collapsed="false">
      <c r="A88" s="175"/>
      <c r="B88" s="178"/>
      <c r="C88" s="179"/>
      <c r="D88" s="179"/>
      <c r="E88" s="180"/>
      <c r="F88" s="181"/>
      <c r="G88" s="175"/>
      <c r="H88" s="176"/>
      <c r="I88" s="166"/>
      <c r="J88" s="166"/>
      <c r="K88" s="166"/>
      <c r="L88" s="166"/>
      <c r="M88" s="167"/>
      <c r="N88" s="168"/>
      <c r="O88" s="175"/>
      <c r="P88" s="176"/>
      <c r="Q88" s="166"/>
      <c r="R88" s="166"/>
      <c r="S88" s="166"/>
      <c r="T88" s="166"/>
      <c r="U88" s="167"/>
      <c r="V88" s="168"/>
      <c r="W88" s="175"/>
      <c r="X88" s="176"/>
      <c r="Y88" s="166"/>
      <c r="Z88" s="166"/>
      <c r="AA88" s="166"/>
      <c r="AB88" s="166"/>
      <c r="AC88" s="167"/>
      <c r="AE88" s="175"/>
      <c r="AF88" s="177"/>
      <c r="AG88" s="170"/>
      <c r="AH88" s="170"/>
      <c r="AI88" s="170"/>
      <c r="AJ88" s="170"/>
      <c r="AK88" s="171"/>
      <c r="AM88" s="175"/>
      <c r="AN88" s="176"/>
      <c r="AO88" s="166"/>
      <c r="AP88" s="166"/>
      <c r="AQ88" s="166"/>
      <c r="AR88" s="166"/>
      <c r="AS88" s="167"/>
    </row>
    <row r="89" customFormat="false" ht="12.75" hidden="false" customHeight="false" outlineLevel="0" collapsed="false">
      <c r="A89" s="175"/>
      <c r="B89" s="178"/>
      <c r="C89" s="179"/>
      <c r="D89" s="179"/>
      <c r="E89" s="180"/>
      <c r="F89" s="181"/>
      <c r="G89" s="175"/>
      <c r="H89" s="176"/>
      <c r="I89" s="166"/>
      <c r="J89" s="166"/>
      <c r="K89" s="166"/>
      <c r="L89" s="166"/>
      <c r="M89" s="167"/>
      <c r="N89" s="168"/>
      <c r="O89" s="175"/>
      <c r="P89" s="176"/>
      <c r="Q89" s="166"/>
      <c r="R89" s="166"/>
      <c r="S89" s="166"/>
      <c r="T89" s="166"/>
      <c r="U89" s="167"/>
      <c r="V89" s="168"/>
      <c r="W89" s="175"/>
      <c r="X89" s="176"/>
      <c r="Y89" s="166"/>
      <c r="Z89" s="166"/>
      <c r="AA89" s="166"/>
      <c r="AB89" s="166"/>
      <c r="AC89" s="167"/>
      <c r="AE89" s="175"/>
      <c r="AF89" s="177"/>
      <c r="AG89" s="170"/>
      <c r="AH89" s="170"/>
      <c r="AI89" s="170"/>
      <c r="AJ89" s="170"/>
      <c r="AK89" s="171"/>
      <c r="AM89" s="175"/>
      <c r="AN89" s="176"/>
      <c r="AO89" s="166"/>
      <c r="AP89" s="166"/>
      <c r="AQ89" s="166"/>
      <c r="AR89" s="166"/>
      <c r="AS89" s="167"/>
    </row>
    <row r="90" customFormat="false" ht="12.75" hidden="false" customHeight="false" outlineLevel="0" collapsed="false">
      <c r="A90" s="175"/>
      <c r="B90" s="178"/>
      <c r="C90" s="179"/>
      <c r="D90" s="179"/>
      <c r="E90" s="180"/>
      <c r="F90" s="181"/>
      <c r="G90" s="175"/>
      <c r="H90" s="176"/>
      <c r="I90" s="166"/>
      <c r="J90" s="166"/>
      <c r="K90" s="166"/>
      <c r="L90" s="166"/>
      <c r="M90" s="167"/>
      <c r="N90" s="168"/>
      <c r="O90" s="175"/>
      <c r="P90" s="176"/>
      <c r="Q90" s="166"/>
      <c r="R90" s="166"/>
      <c r="S90" s="166"/>
      <c r="T90" s="166"/>
      <c r="U90" s="167"/>
      <c r="V90" s="168"/>
      <c r="W90" s="175"/>
      <c r="X90" s="176"/>
      <c r="Y90" s="166"/>
      <c r="Z90" s="166"/>
      <c r="AA90" s="166"/>
      <c r="AB90" s="166"/>
      <c r="AC90" s="167"/>
      <c r="AE90" s="175"/>
      <c r="AF90" s="177"/>
      <c r="AG90" s="170"/>
      <c r="AH90" s="170"/>
      <c r="AI90" s="170"/>
      <c r="AJ90" s="170"/>
      <c r="AK90" s="171"/>
      <c r="AM90" s="175"/>
      <c r="AN90" s="176"/>
      <c r="AO90" s="166"/>
      <c r="AP90" s="166"/>
      <c r="AQ90" s="166"/>
      <c r="AR90" s="166"/>
      <c r="AS90" s="167"/>
    </row>
    <row r="91" customFormat="false" ht="12.75" hidden="false" customHeight="false" outlineLevel="0" collapsed="false">
      <c r="A91" s="175"/>
      <c r="B91" s="178"/>
      <c r="C91" s="179"/>
      <c r="D91" s="179"/>
      <c r="E91" s="180"/>
      <c r="F91" s="181"/>
      <c r="G91" s="175"/>
      <c r="H91" s="176"/>
      <c r="I91" s="166"/>
      <c r="J91" s="166"/>
      <c r="K91" s="166"/>
      <c r="L91" s="166"/>
      <c r="M91" s="167"/>
      <c r="N91" s="168"/>
      <c r="O91" s="175"/>
      <c r="P91" s="176"/>
      <c r="Q91" s="166"/>
      <c r="R91" s="166"/>
      <c r="S91" s="166"/>
      <c r="T91" s="166"/>
      <c r="U91" s="167"/>
      <c r="V91" s="168"/>
      <c r="W91" s="175"/>
      <c r="X91" s="176"/>
      <c r="Y91" s="166"/>
      <c r="Z91" s="166"/>
      <c r="AA91" s="166"/>
      <c r="AB91" s="166"/>
      <c r="AC91" s="167"/>
      <c r="AE91" s="175"/>
      <c r="AF91" s="177"/>
      <c r="AG91" s="170"/>
      <c r="AH91" s="170"/>
      <c r="AI91" s="170"/>
      <c r="AJ91" s="170"/>
      <c r="AK91" s="171"/>
      <c r="AM91" s="175"/>
      <c r="AN91" s="176"/>
      <c r="AO91" s="166"/>
      <c r="AP91" s="166"/>
      <c r="AQ91" s="166"/>
      <c r="AR91" s="166"/>
      <c r="AS91" s="167"/>
    </row>
    <row r="92" customFormat="false" ht="12.75" hidden="false" customHeight="false" outlineLevel="0" collapsed="false">
      <c r="A92" s="175"/>
      <c r="B92" s="178"/>
      <c r="C92" s="179"/>
      <c r="D92" s="179"/>
      <c r="E92" s="180"/>
      <c r="F92" s="181"/>
      <c r="G92" s="175"/>
      <c r="H92" s="176"/>
      <c r="I92" s="166"/>
      <c r="J92" s="166"/>
      <c r="K92" s="166"/>
      <c r="L92" s="166"/>
      <c r="M92" s="167"/>
      <c r="N92" s="168"/>
      <c r="O92" s="175"/>
      <c r="P92" s="176"/>
      <c r="Q92" s="166"/>
      <c r="R92" s="166"/>
      <c r="S92" s="166"/>
      <c r="T92" s="166"/>
      <c r="U92" s="167"/>
      <c r="V92" s="168"/>
      <c r="W92" s="175"/>
      <c r="X92" s="176"/>
      <c r="Y92" s="166"/>
      <c r="Z92" s="166"/>
      <c r="AA92" s="166"/>
      <c r="AB92" s="166"/>
      <c r="AC92" s="167"/>
      <c r="AE92" s="175"/>
      <c r="AF92" s="177"/>
      <c r="AG92" s="170"/>
      <c r="AH92" s="170"/>
      <c r="AI92" s="170"/>
      <c r="AJ92" s="170"/>
      <c r="AK92" s="171"/>
      <c r="AM92" s="175"/>
      <c r="AN92" s="176"/>
      <c r="AO92" s="166"/>
      <c r="AP92" s="166"/>
      <c r="AQ92" s="166"/>
      <c r="AR92" s="166"/>
      <c r="AS92" s="167"/>
    </row>
    <row r="93" customFormat="false" ht="12.75" hidden="false" customHeight="false" outlineLevel="0" collapsed="false">
      <c r="A93" s="175"/>
      <c r="B93" s="178"/>
      <c r="C93" s="179"/>
      <c r="D93" s="179"/>
      <c r="E93" s="180"/>
      <c r="F93" s="181"/>
      <c r="G93" s="175"/>
      <c r="H93" s="176"/>
      <c r="I93" s="166"/>
      <c r="J93" s="166"/>
      <c r="K93" s="166"/>
      <c r="L93" s="166"/>
      <c r="M93" s="167"/>
      <c r="N93" s="168"/>
      <c r="O93" s="175"/>
      <c r="P93" s="176"/>
      <c r="Q93" s="166"/>
      <c r="R93" s="166"/>
      <c r="S93" s="166"/>
      <c r="T93" s="166"/>
      <c r="U93" s="167"/>
      <c r="V93" s="168"/>
      <c r="W93" s="175"/>
      <c r="X93" s="176"/>
      <c r="Y93" s="166"/>
      <c r="Z93" s="166"/>
      <c r="AA93" s="166"/>
      <c r="AB93" s="166"/>
      <c r="AC93" s="167"/>
      <c r="AE93" s="175"/>
      <c r="AF93" s="177"/>
      <c r="AG93" s="170"/>
      <c r="AH93" s="170"/>
      <c r="AI93" s="170"/>
      <c r="AJ93" s="170"/>
      <c r="AK93" s="171"/>
      <c r="AM93" s="175"/>
      <c r="AN93" s="176"/>
      <c r="AO93" s="166"/>
      <c r="AP93" s="166"/>
      <c r="AQ93" s="166"/>
      <c r="AR93" s="166"/>
      <c r="AS93" s="167"/>
    </row>
    <row r="94" customFormat="false" ht="12.75" hidden="false" customHeight="false" outlineLevel="0" collapsed="false">
      <c r="A94" s="175"/>
      <c r="B94" s="178"/>
      <c r="C94" s="179"/>
      <c r="D94" s="179"/>
      <c r="E94" s="180"/>
      <c r="F94" s="181"/>
      <c r="G94" s="175"/>
      <c r="H94" s="176"/>
      <c r="I94" s="166"/>
      <c r="J94" s="166"/>
      <c r="K94" s="166"/>
      <c r="L94" s="166"/>
      <c r="M94" s="167"/>
      <c r="N94" s="168"/>
      <c r="O94" s="175"/>
      <c r="P94" s="176"/>
      <c r="Q94" s="166"/>
      <c r="R94" s="166"/>
      <c r="S94" s="166"/>
      <c r="T94" s="166"/>
      <c r="U94" s="167"/>
      <c r="V94" s="168"/>
      <c r="W94" s="175"/>
      <c r="X94" s="176"/>
      <c r="Y94" s="166"/>
      <c r="Z94" s="166"/>
      <c r="AA94" s="166"/>
      <c r="AB94" s="166"/>
      <c r="AC94" s="167"/>
      <c r="AE94" s="175"/>
      <c r="AF94" s="177"/>
      <c r="AG94" s="170"/>
      <c r="AH94" s="170"/>
      <c r="AI94" s="170"/>
      <c r="AJ94" s="170"/>
      <c r="AK94" s="171"/>
      <c r="AM94" s="175"/>
      <c r="AN94" s="176"/>
      <c r="AO94" s="166"/>
      <c r="AP94" s="166"/>
      <c r="AQ94" s="166"/>
      <c r="AR94" s="166"/>
      <c r="AS94" s="167"/>
    </row>
    <row r="95" customFormat="false" ht="12.75" hidden="false" customHeight="false" outlineLevel="0" collapsed="false">
      <c r="A95" s="175"/>
      <c r="B95" s="178"/>
      <c r="C95" s="179"/>
      <c r="D95" s="179"/>
      <c r="E95" s="180"/>
      <c r="F95" s="181"/>
      <c r="G95" s="175"/>
      <c r="H95" s="176"/>
      <c r="I95" s="166"/>
      <c r="J95" s="166"/>
      <c r="K95" s="166"/>
      <c r="L95" s="166"/>
      <c r="M95" s="167"/>
      <c r="N95" s="168"/>
      <c r="O95" s="175"/>
      <c r="P95" s="176"/>
      <c r="Q95" s="166"/>
      <c r="R95" s="166"/>
      <c r="S95" s="166"/>
      <c r="T95" s="166"/>
      <c r="U95" s="167"/>
      <c r="V95" s="168"/>
      <c r="W95" s="175"/>
      <c r="X95" s="176"/>
      <c r="Y95" s="166"/>
      <c r="Z95" s="166"/>
      <c r="AA95" s="166"/>
      <c r="AB95" s="166"/>
      <c r="AC95" s="167"/>
      <c r="AE95" s="175"/>
      <c r="AF95" s="177"/>
      <c r="AG95" s="170"/>
      <c r="AH95" s="170"/>
      <c r="AI95" s="170"/>
      <c r="AJ95" s="170"/>
      <c r="AK95" s="171"/>
      <c r="AM95" s="175"/>
      <c r="AN95" s="176"/>
      <c r="AO95" s="166"/>
      <c r="AP95" s="166"/>
      <c r="AQ95" s="166"/>
      <c r="AR95" s="166"/>
      <c r="AS95" s="167"/>
    </row>
    <row r="96" customFormat="false" ht="12.75" hidden="false" customHeight="false" outlineLevel="0" collapsed="false">
      <c r="A96" s="175"/>
      <c r="B96" s="178"/>
      <c r="C96" s="179"/>
      <c r="D96" s="179"/>
      <c r="E96" s="180"/>
      <c r="F96" s="181"/>
      <c r="G96" s="175"/>
      <c r="H96" s="176"/>
      <c r="I96" s="166"/>
      <c r="J96" s="166"/>
      <c r="K96" s="166"/>
      <c r="L96" s="166"/>
      <c r="M96" s="167"/>
      <c r="N96" s="168"/>
      <c r="O96" s="175"/>
      <c r="P96" s="176"/>
      <c r="Q96" s="166"/>
      <c r="R96" s="166"/>
      <c r="S96" s="166"/>
      <c r="T96" s="166"/>
      <c r="U96" s="167"/>
      <c r="V96" s="168"/>
      <c r="W96" s="175"/>
      <c r="X96" s="176"/>
      <c r="Y96" s="166"/>
      <c r="Z96" s="166"/>
      <c r="AA96" s="166"/>
      <c r="AB96" s="166"/>
      <c r="AC96" s="167"/>
      <c r="AE96" s="175"/>
      <c r="AF96" s="177"/>
      <c r="AG96" s="170"/>
      <c r="AH96" s="170"/>
      <c r="AI96" s="170"/>
      <c r="AJ96" s="170"/>
      <c r="AK96" s="171"/>
      <c r="AM96" s="175"/>
      <c r="AN96" s="176"/>
      <c r="AO96" s="166"/>
      <c r="AP96" s="166"/>
      <c r="AQ96" s="166"/>
      <c r="AR96" s="166"/>
      <c r="AS96" s="167"/>
    </row>
    <row r="97" customFormat="false" ht="12.75" hidden="false" customHeight="false" outlineLevel="0" collapsed="false">
      <c r="A97" s="175"/>
      <c r="B97" s="178"/>
      <c r="C97" s="179"/>
      <c r="D97" s="179"/>
      <c r="E97" s="180"/>
      <c r="F97" s="181"/>
      <c r="G97" s="175"/>
      <c r="H97" s="176"/>
      <c r="I97" s="166"/>
      <c r="J97" s="166"/>
      <c r="K97" s="166"/>
      <c r="L97" s="166"/>
      <c r="M97" s="167"/>
      <c r="N97" s="168"/>
      <c r="O97" s="175"/>
      <c r="P97" s="176"/>
      <c r="Q97" s="166"/>
      <c r="R97" s="166"/>
      <c r="S97" s="166"/>
      <c r="T97" s="166"/>
      <c r="U97" s="167"/>
      <c r="V97" s="168"/>
      <c r="W97" s="175"/>
      <c r="X97" s="176"/>
      <c r="Y97" s="166"/>
      <c r="Z97" s="166"/>
      <c r="AA97" s="166"/>
      <c r="AB97" s="166"/>
      <c r="AC97" s="167"/>
      <c r="AE97" s="175"/>
      <c r="AF97" s="177"/>
      <c r="AG97" s="170"/>
      <c r="AH97" s="170"/>
      <c r="AI97" s="170"/>
      <c r="AJ97" s="170"/>
      <c r="AK97" s="171"/>
      <c r="AM97" s="175"/>
      <c r="AN97" s="176"/>
      <c r="AO97" s="166"/>
      <c r="AP97" s="166"/>
      <c r="AQ97" s="166"/>
      <c r="AR97" s="166"/>
      <c r="AS97" s="167"/>
    </row>
    <row r="98" customFormat="false" ht="12.75" hidden="false" customHeight="false" outlineLevel="0" collapsed="false">
      <c r="A98" s="175"/>
      <c r="B98" s="178"/>
      <c r="C98" s="179"/>
      <c r="D98" s="179"/>
      <c r="E98" s="180"/>
      <c r="F98" s="181"/>
      <c r="G98" s="175"/>
      <c r="H98" s="176"/>
      <c r="I98" s="166"/>
      <c r="J98" s="166"/>
      <c r="K98" s="166"/>
      <c r="L98" s="166"/>
      <c r="M98" s="167"/>
      <c r="N98" s="168"/>
      <c r="O98" s="175"/>
      <c r="P98" s="176"/>
      <c r="Q98" s="166"/>
      <c r="R98" s="166"/>
      <c r="S98" s="166"/>
      <c r="T98" s="166"/>
      <c r="U98" s="167"/>
      <c r="V98" s="168"/>
      <c r="W98" s="175"/>
      <c r="X98" s="176"/>
      <c r="Y98" s="166"/>
      <c r="Z98" s="166"/>
      <c r="AA98" s="166"/>
      <c r="AB98" s="166"/>
      <c r="AC98" s="167"/>
      <c r="AE98" s="175"/>
      <c r="AF98" s="177"/>
      <c r="AG98" s="170"/>
      <c r="AH98" s="170"/>
      <c r="AI98" s="170"/>
      <c r="AJ98" s="170"/>
      <c r="AK98" s="171"/>
      <c r="AM98" s="175"/>
      <c r="AN98" s="176"/>
      <c r="AO98" s="166"/>
      <c r="AP98" s="166"/>
      <c r="AQ98" s="166"/>
      <c r="AR98" s="166"/>
      <c r="AS98" s="167"/>
    </row>
    <row r="99" customFormat="false" ht="12.75" hidden="false" customHeight="false" outlineLevel="0" collapsed="false">
      <c r="A99" s="175"/>
      <c r="B99" s="178"/>
      <c r="C99" s="179"/>
      <c r="D99" s="179"/>
      <c r="E99" s="180"/>
      <c r="F99" s="181"/>
      <c r="G99" s="175"/>
      <c r="H99" s="176"/>
      <c r="I99" s="166"/>
      <c r="J99" s="166"/>
      <c r="K99" s="166"/>
      <c r="L99" s="166"/>
      <c r="M99" s="167"/>
      <c r="N99" s="168"/>
      <c r="O99" s="175"/>
      <c r="P99" s="176"/>
      <c r="Q99" s="166"/>
      <c r="R99" s="166"/>
      <c r="S99" s="166"/>
      <c r="T99" s="166"/>
      <c r="U99" s="167"/>
      <c r="V99" s="168"/>
      <c r="W99" s="175"/>
      <c r="X99" s="176"/>
      <c r="Y99" s="166"/>
      <c r="Z99" s="166"/>
      <c r="AA99" s="166"/>
      <c r="AB99" s="166"/>
      <c r="AC99" s="167"/>
      <c r="AE99" s="175"/>
      <c r="AF99" s="177"/>
      <c r="AG99" s="170"/>
      <c r="AH99" s="170"/>
      <c r="AI99" s="170"/>
      <c r="AJ99" s="170"/>
      <c r="AK99" s="171"/>
      <c r="AM99" s="175"/>
      <c r="AN99" s="176"/>
      <c r="AO99" s="166"/>
      <c r="AP99" s="166"/>
      <c r="AQ99" s="166"/>
      <c r="AR99" s="166"/>
      <c r="AS99" s="167"/>
    </row>
    <row r="100" customFormat="false" ht="12.75" hidden="false" customHeight="false" outlineLevel="0" collapsed="false">
      <c r="A100" s="175"/>
      <c r="B100" s="178"/>
      <c r="C100" s="179"/>
      <c r="D100" s="179"/>
      <c r="E100" s="180"/>
      <c r="F100" s="181"/>
      <c r="G100" s="175"/>
      <c r="H100" s="176"/>
      <c r="I100" s="166"/>
      <c r="J100" s="166"/>
      <c r="K100" s="166"/>
      <c r="L100" s="166"/>
      <c r="M100" s="167"/>
      <c r="N100" s="168"/>
      <c r="O100" s="175"/>
      <c r="P100" s="176"/>
      <c r="Q100" s="166"/>
      <c r="R100" s="166"/>
      <c r="S100" s="166"/>
      <c r="T100" s="166"/>
      <c r="U100" s="167"/>
      <c r="V100" s="168"/>
      <c r="W100" s="175"/>
      <c r="X100" s="176"/>
      <c r="Y100" s="166"/>
      <c r="Z100" s="166"/>
      <c r="AA100" s="166"/>
      <c r="AB100" s="166"/>
      <c r="AC100" s="167"/>
      <c r="AE100" s="175"/>
      <c r="AF100" s="177"/>
      <c r="AG100" s="170"/>
      <c r="AH100" s="170"/>
      <c r="AI100" s="170"/>
      <c r="AJ100" s="170"/>
      <c r="AK100" s="171"/>
      <c r="AM100" s="175"/>
      <c r="AN100" s="176"/>
      <c r="AO100" s="166"/>
      <c r="AP100" s="166"/>
      <c r="AQ100" s="166"/>
      <c r="AR100" s="166"/>
      <c r="AS100" s="167"/>
    </row>
    <row r="101" customFormat="false" ht="12.75" hidden="false" customHeight="false" outlineLevel="0" collapsed="false">
      <c r="A101" s="175"/>
      <c r="B101" s="178"/>
      <c r="C101" s="179"/>
      <c r="D101" s="179"/>
      <c r="E101" s="180"/>
      <c r="F101" s="181"/>
      <c r="G101" s="175"/>
      <c r="H101" s="176"/>
      <c r="I101" s="166"/>
      <c r="J101" s="166"/>
      <c r="K101" s="166"/>
      <c r="L101" s="166"/>
      <c r="M101" s="167"/>
      <c r="N101" s="168"/>
      <c r="O101" s="175"/>
      <c r="P101" s="176"/>
      <c r="Q101" s="166"/>
      <c r="R101" s="166"/>
      <c r="S101" s="166"/>
      <c r="T101" s="166"/>
      <c r="U101" s="167"/>
      <c r="V101" s="168"/>
      <c r="W101" s="175"/>
      <c r="X101" s="176"/>
      <c r="Y101" s="166"/>
      <c r="Z101" s="166"/>
      <c r="AA101" s="166"/>
      <c r="AB101" s="166"/>
      <c r="AC101" s="167"/>
      <c r="AE101" s="175"/>
      <c r="AF101" s="177"/>
      <c r="AG101" s="170"/>
      <c r="AH101" s="170"/>
      <c r="AI101" s="170"/>
      <c r="AJ101" s="170"/>
      <c r="AK101" s="171"/>
      <c r="AM101" s="175"/>
      <c r="AN101" s="176"/>
      <c r="AO101" s="166"/>
      <c r="AP101" s="166"/>
      <c r="AQ101" s="166"/>
      <c r="AR101" s="166"/>
      <c r="AS101" s="167"/>
    </row>
    <row r="102" customFormat="false" ht="12.75" hidden="false" customHeight="false" outlineLevel="0" collapsed="false">
      <c r="A102" s="175"/>
      <c r="B102" s="178"/>
      <c r="C102" s="179"/>
      <c r="D102" s="179"/>
      <c r="E102" s="180"/>
      <c r="F102" s="181"/>
      <c r="G102" s="175"/>
      <c r="H102" s="176"/>
      <c r="I102" s="166"/>
      <c r="J102" s="166"/>
      <c r="K102" s="166"/>
      <c r="L102" s="166"/>
      <c r="M102" s="167"/>
      <c r="N102" s="168"/>
      <c r="O102" s="175"/>
      <c r="P102" s="176"/>
      <c r="Q102" s="166"/>
      <c r="R102" s="166"/>
      <c r="S102" s="166"/>
      <c r="T102" s="166"/>
      <c r="U102" s="167"/>
      <c r="V102" s="168"/>
      <c r="W102" s="175"/>
      <c r="X102" s="176"/>
      <c r="Y102" s="166"/>
      <c r="Z102" s="166"/>
      <c r="AA102" s="166"/>
      <c r="AB102" s="166"/>
      <c r="AC102" s="167"/>
      <c r="AE102" s="175"/>
      <c r="AF102" s="177"/>
      <c r="AG102" s="170"/>
      <c r="AH102" s="170"/>
      <c r="AI102" s="170"/>
      <c r="AJ102" s="170"/>
      <c r="AK102" s="171"/>
      <c r="AM102" s="175"/>
      <c r="AN102" s="176"/>
      <c r="AO102" s="166"/>
      <c r="AP102" s="166"/>
      <c r="AQ102" s="166"/>
      <c r="AR102" s="166"/>
      <c r="AS102" s="167"/>
    </row>
    <row r="103" customFormat="false" ht="12.75" hidden="false" customHeight="false" outlineLevel="0" collapsed="false">
      <c r="A103" s="175"/>
      <c r="B103" s="178"/>
      <c r="C103" s="179"/>
      <c r="D103" s="179"/>
      <c r="E103" s="180"/>
      <c r="F103" s="181"/>
      <c r="G103" s="175"/>
      <c r="H103" s="176"/>
      <c r="I103" s="166"/>
      <c r="J103" s="166"/>
      <c r="K103" s="166"/>
      <c r="L103" s="166"/>
      <c r="M103" s="167"/>
      <c r="N103" s="168"/>
      <c r="O103" s="175"/>
      <c r="P103" s="176"/>
      <c r="Q103" s="166"/>
      <c r="R103" s="166"/>
      <c r="S103" s="166"/>
      <c r="T103" s="166"/>
      <c r="U103" s="167"/>
      <c r="V103" s="168"/>
      <c r="W103" s="175"/>
      <c r="X103" s="176"/>
      <c r="Y103" s="166"/>
      <c r="Z103" s="166"/>
      <c r="AA103" s="166"/>
      <c r="AB103" s="166"/>
      <c r="AC103" s="167"/>
      <c r="AE103" s="175"/>
      <c r="AF103" s="177"/>
      <c r="AG103" s="170"/>
      <c r="AH103" s="170"/>
      <c r="AI103" s="170"/>
      <c r="AJ103" s="170"/>
      <c r="AK103" s="171"/>
      <c r="AM103" s="175"/>
      <c r="AN103" s="176"/>
      <c r="AO103" s="166"/>
      <c r="AP103" s="166"/>
      <c r="AQ103" s="166"/>
      <c r="AR103" s="166"/>
      <c r="AS103" s="167"/>
    </row>
    <row r="104" customFormat="false" ht="12.75" hidden="false" customHeight="false" outlineLevel="0" collapsed="false">
      <c r="A104" s="175"/>
      <c r="B104" s="178"/>
      <c r="C104" s="179"/>
      <c r="D104" s="179"/>
      <c r="E104" s="180"/>
      <c r="F104" s="181"/>
      <c r="G104" s="175"/>
      <c r="H104" s="176"/>
      <c r="I104" s="166"/>
      <c r="J104" s="166"/>
      <c r="K104" s="166"/>
      <c r="L104" s="166"/>
      <c r="M104" s="167"/>
      <c r="N104" s="168"/>
      <c r="O104" s="175"/>
      <c r="P104" s="176"/>
      <c r="Q104" s="166"/>
      <c r="R104" s="166"/>
      <c r="S104" s="166"/>
      <c r="T104" s="166"/>
      <c r="U104" s="167"/>
      <c r="V104" s="168"/>
      <c r="W104" s="175"/>
      <c r="X104" s="176"/>
      <c r="Y104" s="166"/>
      <c r="Z104" s="166"/>
      <c r="AA104" s="166"/>
      <c r="AB104" s="166"/>
      <c r="AC104" s="167"/>
      <c r="AE104" s="175"/>
      <c r="AF104" s="177"/>
      <c r="AG104" s="170"/>
      <c r="AH104" s="170"/>
      <c r="AI104" s="170"/>
      <c r="AJ104" s="170"/>
      <c r="AK104" s="171"/>
      <c r="AM104" s="175"/>
      <c r="AN104" s="176"/>
      <c r="AO104" s="166"/>
      <c r="AP104" s="166"/>
      <c r="AQ104" s="166"/>
      <c r="AR104" s="166"/>
      <c r="AS104" s="167"/>
    </row>
    <row r="105" customFormat="false" ht="12.75" hidden="false" customHeight="false" outlineLevel="0" collapsed="false">
      <c r="A105" s="175"/>
      <c r="B105" s="178"/>
      <c r="C105" s="179"/>
      <c r="D105" s="179"/>
      <c r="E105" s="180"/>
      <c r="F105" s="181"/>
      <c r="G105" s="175"/>
      <c r="H105" s="176"/>
      <c r="I105" s="166"/>
      <c r="J105" s="166"/>
      <c r="K105" s="166"/>
      <c r="L105" s="166"/>
      <c r="M105" s="167"/>
      <c r="N105" s="168"/>
      <c r="O105" s="175"/>
      <c r="P105" s="176"/>
      <c r="Q105" s="166"/>
      <c r="R105" s="166"/>
      <c r="S105" s="166"/>
      <c r="T105" s="166"/>
      <c r="U105" s="167"/>
      <c r="V105" s="168"/>
      <c r="W105" s="175"/>
      <c r="X105" s="176"/>
      <c r="Y105" s="166"/>
      <c r="Z105" s="166"/>
      <c r="AA105" s="166"/>
      <c r="AB105" s="166"/>
      <c r="AC105" s="167"/>
      <c r="AE105" s="175"/>
      <c r="AF105" s="177"/>
      <c r="AG105" s="170"/>
      <c r="AH105" s="170"/>
      <c r="AI105" s="170"/>
      <c r="AJ105" s="170"/>
      <c r="AK105" s="171"/>
      <c r="AM105" s="175"/>
      <c r="AN105" s="176"/>
      <c r="AO105" s="166"/>
      <c r="AP105" s="166"/>
      <c r="AQ105" s="166"/>
      <c r="AR105" s="166"/>
      <c r="AS105" s="167"/>
    </row>
    <row r="106" customFormat="false" ht="12.75" hidden="false" customHeight="false" outlineLevel="0" collapsed="false">
      <c r="A106" s="175"/>
      <c r="B106" s="178"/>
      <c r="C106" s="179"/>
      <c r="D106" s="179"/>
      <c r="E106" s="180"/>
      <c r="F106" s="181"/>
      <c r="G106" s="175"/>
      <c r="H106" s="176"/>
      <c r="I106" s="166"/>
      <c r="J106" s="166"/>
      <c r="K106" s="166"/>
      <c r="L106" s="166"/>
      <c r="M106" s="167"/>
      <c r="N106" s="168"/>
      <c r="O106" s="175"/>
      <c r="P106" s="176"/>
      <c r="Q106" s="166"/>
      <c r="R106" s="166"/>
      <c r="S106" s="166"/>
      <c r="T106" s="166"/>
      <c r="U106" s="167"/>
      <c r="V106" s="168"/>
      <c r="W106" s="175"/>
      <c r="X106" s="176"/>
      <c r="Y106" s="166"/>
      <c r="Z106" s="166"/>
      <c r="AA106" s="166"/>
      <c r="AB106" s="166"/>
      <c r="AC106" s="167"/>
      <c r="AE106" s="175"/>
      <c r="AF106" s="177"/>
      <c r="AG106" s="170"/>
      <c r="AH106" s="170"/>
      <c r="AI106" s="170"/>
      <c r="AJ106" s="170"/>
      <c r="AK106" s="171"/>
      <c r="AM106" s="175"/>
      <c r="AN106" s="176"/>
      <c r="AO106" s="166"/>
      <c r="AP106" s="166"/>
      <c r="AQ106" s="166"/>
      <c r="AR106" s="166"/>
      <c r="AS106" s="167"/>
    </row>
    <row r="107" customFormat="false" ht="12.75" hidden="false" customHeight="false" outlineLevel="0" collapsed="false">
      <c r="A107" s="175"/>
      <c r="B107" s="178"/>
      <c r="C107" s="179"/>
      <c r="D107" s="179"/>
      <c r="E107" s="180"/>
      <c r="F107" s="181"/>
      <c r="G107" s="175"/>
      <c r="H107" s="176"/>
      <c r="I107" s="166"/>
      <c r="J107" s="166"/>
      <c r="K107" s="166"/>
      <c r="L107" s="166"/>
      <c r="M107" s="167"/>
      <c r="N107" s="168"/>
      <c r="O107" s="175"/>
      <c r="P107" s="176"/>
      <c r="Q107" s="166"/>
      <c r="R107" s="166"/>
      <c r="S107" s="166"/>
      <c r="T107" s="166"/>
      <c r="U107" s="167"/>
      <c r="V107" s="168"/>
      <c r="W107" s="175"/>
      <c r="X107" s="176"/>
      <c r="Y107" s="166"/>
      <c r="Z107" s="166"/>
      <c r="AA107" s="166"/>
      <c r="AB107" s="166"/>
      <c r="AC107" s="167"/>
      <c r="AE107" s="175"/>
      <c r="AF107" s="177"/>
      <c r="AG107" s="170"/>
      <c r="AH107" s="170"/>
      <c r="AI107" s="170"/>
      <c r="AJ107" s="170"/>
      <c r="AK107" s="171"/>
      <c r="AM107" s="175"/>
      <c r="AN107" s="176"/>
      <c r="AO107" s="166"/>
      <c r="AP107" s="166"/>
      <c r="AQ107" s="166"/>
      <c r="AR107" s="166"/>
      <c r="AS107" s="167"/>
    </row>
    <row r="108" customFormat="false" ht="12.75" hidden="false" customHeight="false" outlineLevel="0" collapsed="false">
      <c r="A108" s="175"/>
      <c r="B108" s="178"/>
      <c r="C108" s="179"/>
      <c r="D108" s="179"/>
      <c r="E108" s="180"/>
      <c r="F108" s="181"/>
      <c r="G108" s="175"/>
      <c r="H108" s="176"/>
      <c r="I108" s="166"/>
      <c r="J108" s="166"/>
      <c r="K108" s="166"/>
      <c r="L108" s="166"/>
      <c r="M108" s="167"/>
      <c r="N108" s="168"/>
      <c r="O108" s="175"/>
      <c r="P108" s="176"/>
      <c r="Q108" s="166"/>
      <c r="R108" s="166"/>
      <c r="S108" s="166"/>
      <c r="T108" s="166"/>
      <c r="U108" s="167"/>
      <c r="V108" s="168"/>
      <c r="W108" s="175"/>
      <c r="X108" s="176"/>
      <c r="Y108" s="166"/>
      <c r="Z108" s="166"/>
      <c r="AA108" s="166"/>
      <c r="AB108" s="166"/>
      <c r="AC108" s="167"/>
      <c r="AE108" s="175"/>
      <c r="AF108" s="177"/>
      <c r="AG108" s="170"/>
      <c r="AH108" s="170"/>
      <c r="AI108" s="170"/>
      <c r="AJ108" s="170"/>
      <c r="AK108" s="171"/>
      <c r="AM108" s="175"/>
      <c r="AN108" s="176"/>
      <c r="AO108" s="166"/>
      <c r="AP108" s="166"/>
      <c r="AQ108" s="166"/>
      <c r="AR108" s="166"/>
      <c r="AS108" s="167"/>
    </row>
    <row r="109" customFormat="false" ht="12.75" hidden="false" customHeight="false" outlineLevel="0" collapsed="false">
      <c r="A109" s="175"/>
      <c r="B109" s="178"/>
      <c r="C109" s="179"/>
      <c r="D109" s="179"/>
      <c r="E109" s="180"/>
      <c r="F109" s="181"/>
      <c r="G109" s="175"/>
      <c r="H109" s="176"/>
      <c r="I109" s="166"/>
      <c r="J109" s="166"/>
      <c r="K109" s="166"/>
      <c r="L109" s="166"/>
      <c r="M109" s="167"/>
      <c r="N109" s="168"/>
      <c r="O109" s="175"/>
      <c r="P109" s="176"/>
      <c r="Q109" s="166"/>
      <c r="R109" s="166"/>
      <c r="S109" s="166"/>
      <c r="T109" s="166"/>
      <c r="U109" s="167"/>
      <c r="V109" s="168"/>
      <c r="W109" s="175"/>
      <c r="X109" s="176"/>
      <c r="Y109" s="166"/>
      <c r="Z109" s="166"/>
      <c r="AA109" s="166"/>
      <c r="AB109" s="166"/>
      <c r="AC109" s="167"/>
      <c r="AE109" s="175"/>
      <c r="AF109" s="177"/>
      <c r="AG109" s="170"/>
      <c r="AH109" s="170"/>
      <c r="AI109" s="170"/>
      <c r="AJ109" s="170"/>
      <c r="AK109" s="171"/>
      <c r="AM109" s="175"/>
      <c r="AN109" s="176"/>
      <c r="AO109" s="166"/>
      <c r="AP109" s="166"/>
      <c r="AQ109" s="166"/>
      <c r="AR109" s="166"/>
      <c r="AS109" s="167"/>
    </row>
    <row r="110" customFormat="false" ht="12.75" hidden="false" customHeight="false" outlineLevel="0" collapsed="false">
      <c r="A110" s="175"/>
      <c r="B110" s="178"/>
      <c r="C110" s="179"/>
      <c r="D110" s="179"/>
      <c r="E110" s="180"/>
      <c r="F110" s="181"/>
      <c r="G110" s="175"/>
      <c r="H110" s="176"/>
      <c r="I110" s="166"/>
      <c r="J110" s="166"/>
      <c r="K110" s="166"/>
      <c r="L110" s="166"/>
      <c r="M110" s="167"/>
      <c r="N110" s="168"/>
      <c r="O110" s="175"/>
      <c r="P110" s="176"/>
      <c r="Q110" s="166"/>
      <c r="R110" s="166"/>
      <c r="S110" s="166"/>
      <c r="T110" s="166"/>
      <c r="U110" s="167"/>
      <c r="V110" s="168"/>
      <c r="W110" s="175"/>
      <c r="X110" s="176"/>
      <c r="Y110" s="166"/>
      <c r="Z110" s="166"/>
      <c r="AA110" s="166"/>
      <c r="AB110" s="166"/>
      <c r="AC110" s="167"/>
      <c r="AE110" s="175"/>
      <c r="AF110" s="177"/>
      <c r="AG110" s="170"/>
      <c r="AH110" s="170"/>
      <c r="AI110" s="170"/>
      <c r="AJ110" s="170"/>
      <c r="AK110" s="171"/>
      <c r="AM110" s="175"/>
      <c r="AN110" s="176"/>
      <c r="AO110" s="166"/>
      <c r="AP110" s="166"/>
      <c r="AQ110" s="166"/>
      <c r="AR110" s="166"/>
      <c r="AS110" s="167"/>
    </row>
    <row r="111" customFormat="false" ht="12.75" hidden="false" customHeight="false" outlineLevel="0" collapsed="false">
      <c r="A111" s="175"/>
      <c r="B111" s="178"/>
      <c r="C111" s="179"/>
      <c r="D111" s="179"/>
      <c r="E111" s="180"/>
      <c r="F111" s="181"/>
      <c r="G111" s="175"/>
      <c r="H111" s="176"/>
      <c r="I111" s="166"/>
      <c r="J111" s="166"/>
      <c r="K111" s="166"/>
      <c r="L111" s="166"/>
      <c r="M111" s="167"/>
      <c r="N111" s="168"/>
      <c r="O111" s="175"/>
      <c r="P111" s="176"/>
      <c r="Q111" s="166"/>
      <c r="R111" s="166"/>
      <c r="S111" s="166"/>
      <c r="T111" s="166"/>
      <c r="U111" s="167"/>
      <c r="V111" s="168"/>
      <c r="W111" s="175"/>
      <c r="X111" s="176"/>
      <c r="Y111" s="166"/>
      <c r="Z111" s="166"/>
      <c r="AA111" s="166"/>
      <c r="AB111" s="166"/>
      <c r="AC111" s="167"/>
      <c r="AE111" s="175"/>
      <c r="AF111" s="177"/>
      <c r="AG111" s="170"/>
      <c r="AH111" s="170"/>
      <c r="AI111" s="170"/>
      <c r="AJ111" s="170"/>
      <c r="AK111" s="171"/>
      <c r="AM111" s="175"/>
      <c r="AN111" s="176"/>
      <c r="AO111" s="166"/>
      <c r="AP111" s="166"/>
      <c r="AQ111" s="166"/>
      <c r="AR111" s="166"/>
      <c r="AS111" s="167"/>
    </row>
    <row r="112" customFormat="false" ht="12.75" hidden="false" customHeight="false" outlineLevel="0" collapsed="false">
      <c r="A112" s="175"/>
      <c r="B112" s="178"/>
      <c r="C112" s="179"/>
      <c r="D112" s="179"/>
      <c r="E112" s="180"/>
      <c r="F112" s="181"/>
      <c r="G112" s="175"/>
      <c r="H112" s="176"/>
      <c r="I112" s="166"/>
      <c r="J112" s="166"/>
      <c r="K112" s="166"/>
      <c r="L112" s="166"/>
      <c r="M112" s="167"/>
      <c r="N112" s="168"/>
      <c r="O112" s="175"/>
      <c r="P112" s="176"/>
      <c r="Q112" s="166"/>
      <c r="R112" s="166"/>
      <c r="S112" s="166"/>
      <c r="T112" s="166"/>
      <c r="U112" s="167"/>
      <c r="V112" s="168"/>
      <c r="W112" s="175"/>
      <c r="X112" s="176"/>
      <c r="Y112" s="166"/>
      <c r="Z112" s="166"/>
      <c r="AA112" s="166"/>
      <c r="AB112" s="166"/>
      <c r="AC112" s="167"/>
      <c r="AE112" s="175"/>
      <c r="AF112" s="177"/>
      <c r="AG112" s="170"/>
      <c r="AH112" s="170"/>
      <c r="AI112" s="170"/>
      <c r="AJ112" s="170"/>
      <c r="AK112" s="171"/>
      <c r="AM112" s="175"/>
      <c r="AN112" s="176"/>
      <c r="AO112" s="166"/>
      <c r="AP112" s="166"/>
      <c r="AQ112" s="166"/>
      <c r="AR112" s="166"/>
      <c r="AS112" s="167"/>
    </row>
    <row r="113" customFormat="false" ht="12.75" hidden="false" customHeight="false" outlineLevel="0" collapsed="false">
      <c r="A113" s="175"/>
      <c r="B113" s="178"/>
      <c r="C113" s="179"/>
      <c r="D113" s="179"/>
      <c r="E113" s="180"/>
      <c r="F113" s="181"/>
      <c r="G113" s="175"/>
      <c r="H113" s="176"/>
      <c r="I113" s="166"/>
      <c r="J113" s="166"/>
      <c r="K113" s="166"/>
      <c r="L113" s="166"/>
      <c r="M113" s="167"/>
      <c r="N113" s="168"/>
      <c r="O113" s="175"/>
      <c r="P113" s="176"/>
      <c r="Q113" s="166"/>
      <c r="R113" s="166"/>
      <c r="S113" s="166"/>
      <c r="T113" s="166"/>
      <c r="U113" s="167"/>
      <c r="V113" s="168"/>
      <c r="W113" s="175"/>
      <c r="X113" s="176"/>
      <c r="Y113" s="166"/>
      <c r="Z113" s="166"/>
      <c r="AA113" s="166"/>
      <c r="AB113" s="166"/>
      <c r="AC113" s="167"/>
      <c r="AE113" s="175"/>
      <c r="AF113" s="177"/>
      <c r="AG113" s="170"/>
      <c r="AH113" s="170"/>
      <c r="AI113" s="170"/>
      <c r="AJ113" s="170"/>
      <c r="AK113" s="171"/>
      <c r="AM113" s="175"/>
      <c r="AN113" s="176"/>
      <c r="AO113" s="166"/>
      <c r="AP113" s="166"/>
      <c r="AQ113" s="166"/>
      <c r="AR113" s="166"/>
      <c r="AS113" s="167"/>
    </row>
    <row r="114" customFormat="false" ht="12.75" hidden="false" customHeight="false" outlineLevel="0" collapsed="false">
      <c r="A114" s="175"/>
      <c r="B114" s="178"/>
      <c r="C114" s="179"/>
      <c r="D114" s="179"/>
      <c r="E114" s="180"/>
      <c r="F114" s="181"/>
      <c r="G114" s="175"/>
      <c r="H114" s="176"/>
      <c r="I114" s="166"/>
      <c r="J114" s="166"/>
      <c r="K114" s="166"/>
      <c r="L114" s="166"/>
      <c r="M114" s="167"/>
      <c r="N114" s="168"/>
      <c r="O114" s="175"/>
      <c r="P114" s="176"/>
      <c r="Q114" s="166"/>
      <c r="R114" s="166"/>
      <c r="S114" s="166"/>
      <c r="T114" s="166"/>
      <c r="U114" s="167"/>
      <c r="V114" s="168"/>
      <c r="W114" s="175"/>
      <c r="X114" s="176"/>
      <c r="Y114" s="166"/>
      <c r="Z114" s="166"/>
      <c r="AA114" s="166"/>
      <c r="AB114" s="166"/>
      <c r="AC114" s="167"/>
      <c r="AE114" s="175"/>
      <c r="AF114" s="177"/>
      <c r="AG114" s="170"/>
      <c r="AH114" s="170"/>
      <c r="AI114" s="170"/>
      <c r="AJ114" s="170"/>
      <c r="AK114" s="171"/>
      <c r="AM114" s="175"/>
      <c r="AN114" s="176"/>
      <c r="AO114" s="166"/>
      <c r="AP114" s="166"/>
      <c r="AQ114" s="166"/>
      <c r="AR114" s="166"/>
      <c r="AS114" s="167"/>
    </row>
    <row r="115" customFormat="false" ht="12.75" hidden="false" customHeight="false" outlineLevel="0" collapsed="false">
      <c r="A115" s="175"/>
      <c r="B115" s="178"/>
      <c r="C115" s="179"/>
      <c r="D115" s="179"/>
      <c r="E115" s="180"/>
      <c r="F115" s="181"/>
      <c r="G115" s="175"/>
      <c r="H115" s="176"/>
      <c r="I115" s="166"/>
      <c r="J115" s="166"/>
      <c r="K115" s="166"/>
      <c r="L115" s="166"/>
      <c r="M115" s="167"/>
      <c r="N115" s="168"/>
      <c r="O115" s="175"/>
      <c r="P115" s="176"/>
      <c r="Q115" s="166"/>
      <c r="R115" s="166"/>
      <c r="S115" s="166"/>
      <c r="T115" s="166"/>
      <c r="U115" s="167"/>
      <c r="V115" s="168"/>
      <c r="W115" s="175"/>
      <c r="X115" s="176"/>
      <c r="Y115" s="166"/>
      <c r="Z115" s="166"/>
      <c r="AA115" s="166"/>
      <c r="AB115" s="166"/>
      <c r="AC115" s="167"/>
      <c r="AE115" s="175"/>
      <c r="AF115" s="177"/>
      <c r="AG115" s="170"/>
      <c r="AH115" s="170"/>
      <c r="AI115" s="170"/>
      <c r="AJ115" s="170"/>
      <c r="AK115" s="171"/>
      <c r="AM115" s="175"/>
      <c r="AN115" s="176"/>
      <c r="AO115" s="166"/>
      <c r="AP115" s="166"/>
      <c r="AQ115" s="166"/>
      <c r="AR115" s="166"/>
      <c r="AS115" s="167"/>
    </row>
    <row r="116" customFormat="false" ht="12.75" hidden="false" customHeight="false" outlineLevel="0" collapsed="false">
      <c r="A116" s="175"/>
      <c r="B116" s="178"/>
      <c r="C116" s="179"/>
      <c r="D116" s="179"/>
      <c r="E116" s="180"/>
      <c r="F116" s="181"/>
      <c r="G116" s="175"/>
      <c r="H116" s="176"/>
      <c r="I116" s="166"/>
      <c r="J116" s="166"/>
      <c r="K116" s="166"/>
      <c r="L116" s="166"/>
      <c r="M116" s="167"/>
      <c r="N116" s="168"/>
      <c r="O116" s="175"/>
      <c r="P116" s="176"/>
      <c r="Q116" s="166"/>
      <c r="R116" s="166"/>
      <c r="S116" s="166"/>
      <c r="T116" s="166"/>
      <c r="U116" s="167"/>
      <c r="V116" s="168"/>
      <c r="W116" s="175"/>
      <c r="X116" s="176"/>
      <c r="Y116" s="166"/>
      <c r="Z116" s="166"/>
      <c r="AA116" s="166"/>
      <c r="AB116" s="166"/>
      <c r="AC116" s="167"/>
      <c r="AE116" s="175"/>
      <c r="AF116" s="177"/>
      <c r="AG116" s="170"/>
      <c r="AH116" s="170"/>
      <c r="AI116" s="170"/>
      <c r="AJ116" s="170"/>
      <c r="AK116" s="171"/>
      <c r="AM116" s="175"/>
      <c r="AN116" s="176"/>
      <c r="AO116" s="166"/>
      <c r="AP116" s="166"/>
      <c r="AQ116" s="166"/>
      <c r="AR116" s="166"/>
      <c r="AS116" s="167"/>
    </row>
    <row r="117" customFormat="false" ht="12.75" hidden="false" customHeight="false" outlineLevel="0" collapsed="false">
      <c r="A117" s="175"/>
      <c r="B117" s="178"/>
      <c r="C117" s="179"/>
      <c r="D117" s="179"/>
      <c r="E117" s="180"/>
      <c r="F117" s="181"/>
      <c r="G117" s="175"/>
      <c r="H117" s="176"/>
      <c r="I117" s="166"/>
      <c r="J117" s="166"/>
      <c r="K117" s="166"/>
      <c r="L117" s="166"/>
      <c r="M117" s="167"/>
      <c r="N117" s="168"/>
      <c r="O117" s="175"/>
      <c r="P117" s="176"/>
      <c r="Q117" s="166"/>
      <c r="R117" s="166"/>
      <c r="S117" s="166"/>
      <c r="T117" s="166"/>
      <c r="U117" s="167"/>
      <c r="V117" s="168"/>
      <c r="W117" s="175"/>
      <c r="X117" s="176"/>
      <c r="Y117" s="166"/>
      <c r="Z117" s="166"/>
      <c r="AA117" s="166"/>
      <c r="AB117" s="166"/>
      <c r="AC117" s="167"/>
      <c r="AE117" s="175"/>
      <c r="AF117" s="177"/>
      <c r="AG117" s="170"/>
      <c r="AH117" s="170"/>
      <c r="AI117" s="170"/>
      <c r="AJ117" s="170"/>
      <c r="AK117" s="171"/>
      <c r="AM117" s="175"/>
      <c r="AN117" s="176"/>
      <c r="AO117" s="166"/>
      <c r="AP117" s="166"/>
      <c r="AQ117" s="166"/>
      <c r="AR117" s="166"/>
      <c r="AS117" s="167"/>
    </row>
    <row r="118" customFormat="false" ht="12.75" hidden="false" customHeight="false" outlineLevel="0" collapsed="false">
      <c r="A118" s="175"/>
      <c r="B118" s="178"/>
      <c r="C118" s="179"/>
      <c r="D118" s="179"/>
      <c r="E118" s="180"/>
      <c r="F118" s="181"/>
      <c r="G118" s="175"/>
      <c r="H118" s="176"/>
      <c r="I118" s="166"/>
      <c r="J118" s="166"/>
      <c r="K118" s="166"/>
      <c r="L118" s="166"/>
      <c r="M118" s="167"/>
      <c r="N118" s="168"/>
      <c r="O118" s="175"/>
      <c r="P118" s="176"/>
      <c r="Q118" s="166"/>
      <c r="R118" s="166"/>
      <c r="S118" s="166"/>
      <c r="T118" s="166"/>
      <c r="U118" s="167"/>
      <c r="V118" s="168"/>
      <c r="W118" s="175"/>
      <c r="X118" s="176"/>
      <c r="Y118" s="166"/>
      <c r="Z118" s="166"/>
      <c r="AA118" s="166"/>
      <c r="AB118" s="166"/>
      <c r="AC118" s="167"/>
      <c r="AE118" s="175"/>
      <c r="AF118" s="177"/>
      <c r="AG118" s="170"/>
      <c r="AH118" s="170"/>
      <c r="AI118" s="170"/>
      <c r="AJ118" s="170"/>
      <c r="AK118" s="171"/>
      <c r="AM118" s="175"/>
      <c r="AN118" s="176"/>
      <c r="AO118" s="166"/>
      <c r="AP118" s="166"/>
      <c r="AQ118" s="166"/>
      <c r="AR118" s="166"/>
      <c r="AS118" s="167"/>
    </row>
    <row r="119" customFormat="false" ht="12.75" hidden="false" customHeight="false" outlineLevel="0" collapsed="false">
      <c r="A119" s="175"/>
      <c r="B119" s="178"/>
      <c r="C119" s="179"/>
      <c r="D119" s="179"/>
      <c r="E119" s="180"/>
      <c r="F119" s="181"/>
      <c r="G119" s="175"/>
      <c r="H119" s="176"/>
      <c r="I119" s="166"/>
      <c r="J119" s="166"/>
      <c r="K119" s="166"/>
      <c r="L119" s="166"/>
      <c r="M119" s="167"/>
      <c r="N119" s="168"/>
      <c r="O119" s="175"/>
      <c r="P119" s="176"/>
      <c r="Q119" s="166"/>
      <c r="R119" s="166"/>
      <c r="S119" s="166"/>
      <c r="T119" s="166"/>
      <c r="U119" s="167"/>
      <c r="V119" s="168"/>
      <c r="W119" s="175"/>
      <c r="X119" s="176"/>
      <c r="Y119" s="166"/>
      <c r="Z119" s="166"/>
      <c r="AA119" s="166"/>
      <c r="AB119" s="166"/>
      <c r="AC119" s="167"/>
      <c r="AE119" s="175"/>
      <c r="AF119" s="177"/>
      <c r="AG119" s="170"/>
      <c r="AH119" s="170"/>
      <c r="AI119" s="170"/>
      <c r="AJ119" s="170"/>
      <c r="AK119" s="171"/>
      <c r="AM119" s="175"/>
      <c r="AN119" s="176"/>
      <c r="AO119" s="166"/>
      <c r="AP119" s="166"/>
      <c r="AQ119" s="166"/>
      <c r="AR119" s="166"/>
      <c r="AS119" s="167"/>
    </row>
    <row r="120" customFormat="false" ht="12.75" hidden="false" customHeight="false" outlineLevel="0" collapsed="false">
      <c r="A120" s="175"/>
      <c r="B120" s="178"/>
      <c r="C120" s="179"/>
      <c r="D120" s="179"/>
      <c r="E120" s="180"/>
      <c r="F120" s="181"/>
      <c r="G120" s="175"/>
      <c r="H120" s="176"/>
      <c r="I120" s="166"/>
      <c r="J120" s="166"/>
      <c r="K120" s="166"/>
      <c r="L120" s="166"/>
      <c r="M120" s="167"/>
      <c r="N120" s="168"/>
      <c r="O120" s="175"/>
      <c r="P120" s="176"/>
      <c r="Q120" s="166"/>
      <c r="R120" s="166"/>
      <c r="S120" s="166"/>
      <c r="T120" s="166"/>
      <c r="U120" s="167"/>
      <c r="V120" s="168"/>
      <c r="W120" s="175"/>
      <c r="X120" s="176"/>
      <c r="Y120" s="166"/>
      <c r="Z120" s="166"/>
      <c r="AA120" s="166"/>
      <c r="AB120" s="166"/>
      <c r="AC120" s="167"/>
      <c r="AE120" s="175"/>
      <c r="AF120" s="177"/>
      <c r="AG120" s="170"/>
      <c r="AH120" s="170"/>
      <c r="AI120" s="170"/>
      <c r="AJ120" s="170"/>
      <c r="AK120" s="171"/>
      <c r="AM120" s="175"/>
      <c r="AN120" s="176"/>
      <c r="AO120" s="166"/>
      <c r="AP120" s="166"/>
      <c r="AQ120" s="166"/>
      <c r="AR120" s="166"/>
      <c r="AS120" s="167"/>
    </row>
    <row r="121" customFormat="false" ht="12.75" hidden="false" customHeight="false" outlineLevel="0" collapsed="false">
      <c r="A121" s="175"/>
      <c r="B121" s="178"/>
      <c r="C121" s="179"/>
      <c r="D121" s="179"/>
      <c r="E121" s="180"/>
      <c r="F121" s="181"/>
      <c r="G121" s="175"/>
      <c r="H121" s="176"/>
      <c r="I121" s="166"/>
      <c r="J121" s="166"/>
      <c r="K121" s="166"/>
      <c r="L121" s="166"/>
      <c r="M121" s="167"/>
      <c r="N121" s="168"/>
      <c r="O121" s="175"/>
      <c r="P121" s="176"/>
      <c r="Q121" s="166"/>
      <c r="R121" s="166"/>
      <c r="S121" s="166"/>
      <c r="T121" s="166"/>
      <c r="U121" s="167"/>
      <c r="V121" s="168"/>
      <c r="W121" s="175"/>
      <c r="X121" s="176"/>
      <c r="Y121" s="166"/>
      <c r="Z121" s="166"/>
      <c r="AA121" s="166"/>
      <c r="AB121" s="166"/>
      <c r="AC121" s="167"/>
      <c r="AE121" s="175"/>
      <c r="AF121" s="177"/>
      <c r="AG121" s="170"/>
      <c r="AH121" s="170"/>
      <c r="AI121" s="170"/>
      <c r="AJ121" s="170"/>
      <c r="AK121" s="171"/>
      <c r="AM121" s="175"/>
      <c r="AN121" s="176"/>
      <c r="AO121" s="166"/>
      <c r="AP121" s="166"/>
      <c r="AQ121" s="166"/>
      <c r="AR121" s="166"/>
      <c r="AS121" s="167"/>
    </row>
    <row r="122" customFormat="false" ht="12.75" hidden="false" customHeight="false" outlineLevel="0" collapsed="false">
      <c r="A122" s="175"/>
      <c r="B122" s="178"/>
      <c r="C122" s="179"/>
      <c r="D122" s="179"/>
      <c r="E122" s="180"/>
      <c r="F122" s="181"/>
      <c r="G122" s="175"/>
      <c r="H122" s="176"/>
      <c r="I122" s="166"/>
      <c r="J122" s="166"/>
      <c r="K122" s="166"/>
      <c r="L122" s="166"/>
      <c r="M122" s="167"/>
      <c r="N122" s="168"/>
      <c r="O122" s="175"/>
      <c r="P122" s="176"/>
      <c r="Q122" s="166"/>
      <c r="R122" s="166"/>
      <c r="S122" s="166"/>
      <c r="T122" s="166"/>
      <c r="U122" s="167"/>
      <c r="V122" s="168"/>
      <c r="W122" s="175"/>
      <c r="X122" s="176"/>
      <c r="Y122" s="166"/>
      <c r="Z122" s="166"/>
      <c r="AA122" s="166"/>
      <c r="AB122" s="166"/>
      <c r="AC122" s="167"/>
      <c r="AE122" s="175"/>
      <c r="AF122" s="177"/>
      <c r="AG122" s="170"/>
      <c r="AH122" s="170"/>
      <c r="AI122" s="170"/>
      <c r="AJ122" s="170"/>
      <c r="AK122" s="171"/>
      <c r="AM122" s="175"/>
      <c r="AN122" s="176"/>
      <c r="AO122" s="166"/>
      <c r="AP122" s="166"/>
      <c r="AQ122" s="166"/>
      <c r="AR122" s="166"/>
      <c r="AS122" s="167"/>
    </row>
    <row r="123" customFormat="false" ht="12.75" hidden="false" customHeight="false" outlineLevel="0" collapsed="false">
      <c r="A123" s="175"/>
      <c r="B123" s="178"/>
      <c r="C123" s="179"/>
      <c r="D123" s="179"/>
      <c r="E123" s="180"/>
      <c r="F123" s="181"/>
      <c r="G123" s="175"/>
      <c r="H123" s="176"/>
      <c r="I123" s="166"/>
      <c r="J123" s="166"/>
      <c r="K123" s="166"/>
      <c r="L123" s="166"/>
      <c r="M123" s="167"/>
      <c r="N123" s="168"/>
      <c r="O123" s="175"/>
      <c r="P123" s="176"/>
      <c r="Q123" s="166"/>
      <c r="R123" s="166"/>
      <c r="S123" s="166"/>
      <c r="T123" s="166"/>
      <c r="U123" s="167"/>
      <c r="V123" s="168"/>
      <c r="W123" s="175"/>
      <c r="X123" s="176"/>
      <c r="Y123" s="166"/>
      <c r="Z123" s="166"/>
      <c r="AA123" s="166"/>
      <c r="AB123" s="166"/>
      <c r="AC123" s="167"/>
      <c r="AE123" s="175"/>
      <c r="AF123" s="177"/>
      <c r="AG123" s="170"/>
      <c r="AH123" s="170"/>
      <c r="AI123" s="170"/>
      <c r="AJ123" s="170"/>
      <c r="AK123" s="171"/>
      <c r="AM123" s="175"/>
      <c r="AN123" s="176"/>
      <c r="AO123" s="166"/>
      <c r="AP123" s="166"/>
      <c r="AQ123" s="166"/>
      <c r="AR123" s="166"/>
      <c r="AS123" s="167"/>
    </row>
    <row r="124" customFormat="false" ht="12.75" hidden="false" customHeight="false" outlineLevel="0" collapsed="false">
      <c r="A124" s="175"/>
      <c r="B124" s="178"/>
      <c r="C124" s="179"/>
      <c r="D124" s="179"/>
      <c r="E124" s="180"/>
      <c r="F124" s="181"/>
      <c r="G124" s="175"/>
      <c r="H124" s="176"/>
      <c r="I124" s="166"/>
      <c r="J124" s="166"/>
      <c r="K124" s="166"/>
      <c r="L124" s="166"/>
      <c r="M124" s="167"/>
      <c r="N124" s="168"/>
      <c r="O124" s="175"/>
      <c r="P124" s="176"/>
      <c r="Q124" s="166"/>
      <c r="R124" s="166"/>
      <c r="S124" s="166"/>
      <c r="T124" s="166"/>
      <c r="U124" s="167"/>
      <c r="V124" s="168"/>
      <c r="W124" s="175"/>
      <c r="X124" s="176"/>
      <c r="Y124" s="166"/>
      <c r="Z124" s="166"/>
      <c r="AA124" s="166"/>
      <c r="AB124" s="166"/>
      <c r="AC124" s="167"/>
      <c r="AE124" s="175"/>
      <c r="AF124" s="177"/>
      <c r="AG124" s="170"/>
      <c r="AH124" s="170"/>
      <c r="AI124" s="170"/>
      <c r="AJ124" s="170"/>
      <c r="AK124" s="171"/>
      <c r="AM124" s="175"/>
      <c r="AN124" s="176"/>
      <c r="AO124" s="166"/>
      <c r="AP124" s="166"/>
      <c r="AQ124" s="166"/>
      <c r="AR124" s="166"/>
      <c r="AS124" s="167"/>
    </row>
    <row r="125" customFormat="false" ht="12.75" hidden="false" customHeight="false" outlineLevel="0" collapsed="false">
      <c r="A125" s="175"/>
      <c r="B125" s="178"/>
      <c r="C125" s="179"/>
      <c r="D125" s="179"/>
      <c r="E125" s="180"/>
      <c r="F125" s="181"/>
      <c r="G125" s="175"/>
      <c r="H125" s="176"/>
      <c r="I125" s="166"/>
      <c r="J125" s="166"/>
      <c r="K125" s="166"/>
      <c r="L125" s="166"/>
      <c r="M125" s="167"/>
      <c r="N125" s="168"/>
      <c r="O125" s="175"/>
      <c r="P125" s="176"/>
      <c r="Q125" s="166"/>
      <c r="R125" s="166"/>
      <c r="S125" s="166"/>
      <c r="T125" s="166"/>
      <c r="U125" s="167"/>
      <c r="V125" s="168"/>
      <c r="W125" s="175"/>
      <c r="X125" s="176"/>
      <c r="Y125" s="166"/>
      <c r="Z125" s="166"/>
      <c r="AA125" s="166"/>
      <c r="AB125" s="166"/>
      <c r="AC125" s="167"/>
      <c r="AE125" s="175"/>
      <c r="AF125" s="177"/>
      <c r="AG125" s="170"/>
      <c r="AH125" s="170"/>
      <c r="AI125" s="170"/>
      <c r="AJ125" s="170"/>
      <c r="AK125" s="171"/>
      <c r="AM125" s="175"/>
      <c r="AN125" s="176"/>
      <c r="AO125" s="166"/>
      <c r="AP125" s="166"/>
      <c r="AQ125" s="166"/>
      <c r="AR125" s="166"/>
      <c r="AS125" s="167"/>
    </row>
    <row r="126" customFormat="false" ht="12.75" hidden="false" customHeight="false" outlineLevel="0" collapsed="false">
      <c r="A126" s="175"/>
      <c r="B126" s="178"/>
      <c r="C126" s="179"/>
      <c r="D126" s="179"/>
      <c r="E126" s="180"/>
      <c r="F126" s="181"/>
      <c r="G126" s="175"/>
      <c r="H126" s="176"/>
      <c r="I126" s="166"/>
      <c r="J126" s="166"/>
      <c r="K126" s="166"/>
      <c r="L126" s="166"/>
      <c r="M126" s="167"/>
      <c r="N126" s="168"/>
      <c r="O126" s="175"/>
      <c r="P126" s="176"/>
      <c r="Q126" s="166"/>
      <c r="R126" s="166"/>
      <c r="S126" s="166"/>
      <c r="T126" s="166"/>
      <c r="U126" s="167"/>
      <c r="V126" s="168"/>
      <c r="W126" s="175"/>
      <c r="X126" s="176"/>
      <c r="Y126" s="166"/>
      <c r="Z126" s="166"/>
      <c r="AA126" s="166"/>
      <c r="AB126" s="166"/>
      <c r="AC126" s="167"/>
      <c r="AE126" s="175"/>
      <c r="AF126" s="177"/>
      <c r="AG126" s="170"/>
      <c r="AH126" s="170"/>
      <c r="AI126" s="170"/>
      <c r="AJ126" s="170"/>
      <c r="AK126" s="171"/>
      <c r="AM126" s="175"/>
      <c r="AN126" s="176"/>
      <c r="AO126" s="166"/>
      <c r="AP126" s="166"/>
      <c r="AQ126" s="166"/>
      <c r="AR126" s="166"/>
      <c r="AS126" s="167"/>
    </row>
    <row r="127" customFormat="false" ht="12.75" hidden="false" customHeight="false" outlineLevel="0" collapsed="false">
      <c r="A127" s="175"/>
      <c r="B127" s="178"/>
      <c r="C127" s="179"/>
      <c r="D127" s="179"/>
      <c r="E127" s="180"/>
      <c r="F127" s="181"/>
      <c r="G127" s="175"/>
      <c r="H127" s="176"/>
      <c r="I127" s="166"/>
      <c r="J127" s="166"/>
      <c r="K127" s="166"/>
      <c r="L127" s="166"/>
      <c r="M127" s="167"/>
      <c r="N127" s="168"/>
      <c r="O127" s="175"/>
      <c r="P127" s="176"/>
      <c r="Q127" s="166"/>
      <c r="R127" s="166"/>
      <c r="S127" s="166"/>
      <c r="T127" s="166"/>
      <c r="U127" s="167"/>
      <c r="V127" s="168"/>
      <c r="W127" s="175"/>
      <c r="X127" s="176"/>
      <c r="Y127" s="166"/>
      <c r="Z127" s="166"/>
      <c r="AA127" s="166"/>
      <c r="AB127" s="166"/>
      <c r="AC127" s="167"/>
      <c r="AE127" s="175"/>
      <c r="AF127" s="177"/>
      <c r="AG127" s="170"/>
      <c r="AH127" s="170"/>
      <c r="AI127" s="170"/>
      <c r="AJ127" s="170"/>
      <c r="AK127" s="171"/>
      <c r="AM127" s="175"/>
      <c r="AN127" s="176"/>
      <c r="AO127" s="166"/>
      <c r="AP127" s="166"/>
      <c r="AQ127" s="166"/>
      <c r="AR127" s="166"/>
      <c r="AS127" s="167"/>
    </row>
    <row r="128" customFormat="false" ht="12.75" hidden="false" customHeight="false" outlineLevel="0" collapsed="false">
      <c r="A128" s="175"/>
      <c r="B128" s="178"/>
      <c r="C128" s="179"/>
      <c r="D128" s="179"/>
      <c r="E128" s="180"/>
      <c r="F128" s="181"/>
      <c r="G128" s="175"/>
      <c r="H128" s="176"/>
      <c r="I128" s="166"/>
      <c r="J128" s="166"/>
      <c r="K128" s="166"/>
      <c r="L128" s="166"/>
      <c r="M128" s="167"/>
      <c r="N128" s="168"/>
      <c r="O128" s="175"/>
      <c r="P128" s="176"/>
      <c r="Q128" s="166"/>
      <c r="R128" s="166"/>
      <c r="S128" s="166"/>
      <c r="T128" s="166"/>
      <c r="U128" s="167"/>
      <c r="V128" s="168"/>
      <c r="W128" s="175"/>
      <c r="X128" s="176"/>
      <c r="Y128" s="166"/>
      <c r="Z128" s="166"/>
      <c r="AA128" s="166"/>
      <c r="AB128" s="166"/>
      <c r="AC128" s="167"/>
      <c r="AE128" s="175"/>
      <c r="AF128" s="177"/>
      <c r="AG128" s="170"/>
      <c r="AH128" s="170"/>
      <c r="AI128" s="170"/>
      <c r="AJ128" s="170"/>
      <c r="AK128" s="171"/>
      <c r="AM128" s="175"/>
      <c r="AN128" s="176"/>
      <c r="AO128" s="166"/>
      <c r="AP128" s="166"/>
      <c r="AQ128" s="166"/>
      <c r="AR128" s="166"/>
      <c r="AS128" s="167"/>
    </row>
    <row r="129" customFormat="false" ht="12.75" hidden="false" customHeight="false" outlineLevel="0" collapsed="false">
      <c r="A129" s="175"/>
      <c r="B129" s="178"/>
      <c r="C129" s="179"/>
      <c r="D129" s="179"/>
      <c r="E129" s="180"/>
      <c r="F129" s="181"/>
      <c r="G129" s="175"/>
      <c r="H129" s="176"/>
      <c r="I129" s="166"/>
      <c r="J129" s="166"/>
      <c r="K129" s="166"/>
      <c r="L129" s="166"/>
      <c r="M129" s="167"/>
      <c r="N129" s="168"/>
      <c r="O129" s="175"/>
      <c r="P129" s="176"/>
      <c r="Q129" s="166"/>
      <c r="R129" s="166"/>
      <c r="S129" s="166"/>
      <c r="T129" s="166"/>
      <c r="U129" s="167"/>
      <c r="V129" s="168"/>
      <c r="W129" s="175"/>
      <c r="X129" s="176"/>
      <c r="Y129" s="166"/>
      <c r="Z129" s="166"/>
      <c r="AA129" s="166"/>
      <c r="AB129" s="166"/>
      <c r="AC129" s="167"/>
      <c r="AE129" s="175"/>
      <c r="AF129" s="177"/>
      <c r="AG129" s="170"/>
      <c r="AH129" s="170"/>
      <c r="AI129" s="170"/>
      <c r="AJ129" s="170"/>
      <c r="AK129" s="171"/>
      <c r="AM129" s="175"/>
      <c r="AN129" s="176"/>
      <c r="AO129" s="166"/>
      <c r="AP129" s="166"/>
      <c r="AQ129" s="166"/>
      <c r="AR129" s="166"/>
      <c r="AS129" s="167"/>
    </row>
    <row r="130" customFormat="false" ht="12.75" hidden="false" customHeight="false" outlineLevel="0" collapsed="false">
      <c r="A130" s="175"/>
      <c r="B130" s="178"/>
      <c r="C130" s="179"/>
      <c r="D130" s="179"/>
      <c r="E130" s="180"/>
      <c r="F130" s="181"/>
      <c r="G130" s="175"/>
      <c r="H130" s="176"/>
      <c r="I130" s="166"/>
      <c r="J130" s="166"/>
      <c r="K130" s="166"/>
      <c r="L130" s="166"/>
      <c r="M130" s="167"/>
      <c r="N130" s="168"/>
      <c r="O130" s="175"/>
      <c r="P130" s="176"/>
      <c r="Q130" s="166"/>
      <c r="R130" s="166"/>
      <c r="S130" s="166"/>
      <c r="T130" s="166"/>
      <c r="U130" s="167"/>
      <c r="V130" s="168"/>
      <c r="W130" s="175"/>
      <c r="X130" s="176"/>
      <c r="Y130" s="166"/>
      <c r="Z130" s="166"/>
      <c r="AA130" s="166"/>
      <c r="AB130" s="166"/>
      <c r="AC130" s="167"/>
      <c r="AE130" s="175"/>
      <c r="AF130" s="177"/>
      <c r="AG130" s="170"/>
      <c r="AH130" s="170"/>
      <c r="AI130" s="170"/>
      <c r="AJ130" s="170"/>
      <c r="AK130" s="171"/>
      <c r="AM130" s="175"/>
      <c r="AN130" s="176"/>
      <c r="AO130" s="166"/>
      <c r="AP130" s="166"/>
      <c r="AQ130" s="166"/>
      <c r="AR130" s="166"/>
      <c r="AS130" s="167"/>
    </row>
    <row r="131" customFormat="false" ht="12.75" hidden="false" customHeight="false" outlineLevel="0" collapsed="false">
      <c r="A131" s="175"/>
      <c r="B131" s="178"/>
      <c r="C131" s="179"/>
      <c r="D131" s="179"/>
      <c r="E131" s="180"/>
      <c r="F131" s="181"/>
      <c r="G131" s="175"/>
      <c r="H131" s="176"/>
      <c r="I131" s="166"/>
      <c r="J131" s="166"/>
      <c r="K131" s="166"/>
      <c r="L131" s="166"/>
      <c r="M131" s="167"/>
      <c r="N131" s="168"/>
      <c r="O131" s="175"/>
      <c r="P131" s="176"/>
      <c r="Q131" s="166"/>
      <c r="R131" s="166"/>
      <c r="S131" s="166"/>
      <c r="T131" s="166"/>
      <c r="U131" s="167"/>
      <c r="V131" s="168"/>
      <c r="W131" s="175"/>
      <c r="X131" s="176"/>
      <c r="Y131" s="166"/>
      <c r="Z131" s="166"/>
      <c r="AA131" s="166"/>
      <c r="AB131" s="166"/>
      <c r="AC131" s="167"/>
      <c r="AE131" s="175"/>
      <c r="AF131" s="177"/>
      <c r="AG131" s="170"/>
      <c r="AH131" s="170"/>
      <c r="AI131" s="170"/>
      <c r="AJ131" s="170"/>
      <c r="AK131" s="171"/>
      <c r="AM131" s="175"/>
      <c r="AN131" s="176"/>
      <c r="AO131" s="166"/>
      <c r="AP131" s="166"/>
      <c r="AQ131" s="166"/>
      <c r="AR131" s="166"/>
      <c r="AS131" s="167"/>
    </row>
    <row r="132" customFormat="false" ht="12.75" hidden="false" customHeight="false" outlineLevel="0" collapsed="false">
      <c r="A132" s="175"/>
      <c r="B132" s="178"/>
      <c r="C132" s="179"/>
      <c r="D132" s="179"/>
      <c r="E132" s="180"/>
      <c r="F132" s="181"/>
      <c r="G132" s="175"/>
      <c r="H132" s="176"/>
      <c r="I132" s="166"/>
      <c r="J132" s="166"/>
      <c r="K132" s="166"/>
      <c r="L132" s="166"/>
      <c r="M132" s="167"/>
      <c r="N132" s="168"/>
      <c r="O132" s="175"/>
      <c r="P132" s="176"/>
      <c r="Q132" s="166"/>
      <c r="R132" s="166"/>
      <c r="S132" s="166"/>
      <c r="T132" s="166"/>
      <c r="U132" s="167"/>
      <c r="V132" s="168"/>
      <c r="W132" s="175"/>
      <c r="X132" s="176"/>
      <c r="Y132" s="166"/>
      <c r="Z132" s="166"/>
      <c r="AA132" s="166"/>
      <c r="AB132" s="166"/>
      <c r="AC132" s="167"/>
      <c r="AE132" s="175"/>
      <c r="AF132" s="177"/>
      <c r="AG132" s="170"/>
      <c r="AH132" s="170"/>
      <c r="AI132" s="170"/>
      <c r="AJ132" s="170"/>
      <c r="AK132" s="171"/>
      <c r="AM132" s="175"/>
      <c r="AN132" s="176"/>
      <c r="AO132" s="166"/>
      <c r="AP132" s="166"/>
      <c r="AQ132" s="166"/>
      <c r="AR132" s="166"/>
      <c r="AS132" s="167"/>
    </row>
    <row r="133" customFormat="false" ht="12.75" hidden="false" customHeight="false" outlineLevel="0" collapsed="false">
      <c r="A133" s="175"/>
      <c r="B133" s="178"/>
      <c r="C133" s="179"/>
      <c r="D133" s="179"/>
      <c r="E133" s="180"/>
      <c r="F133" s="181"/>
      <c r="G133" s="175"/>
      <c r="H133" s="176"/>
      <c r="I133" s="166"/>
      <c r="J133" s="166"/>
      <c r="K133" s="166"/>
      <c r="L133" s="166"/>
      <c r="M133" s="167"/>
      <c r="N133" s="168"/>
      <c r="O133" s="175"/>
      <c r="P133" s="176"/>
      <c r="Q133" s="166"/>
      <c r="R133" s="166"/>
      <c r="S133" s="166"/>
      <c r="T133" s="166"/>
      <c r="U133" s="167"/>
      <c r="V133" s="168"/>
      <c r="W133" s="175"/>
      <c r="X133" s="176"/>
      <c r="Y133" s="166"/>
      <c r="Z133" s="166"/>
      <c r="AA133" s="166"/>
      <c r="AB133" s="166"/>
      <c r="AC133" s="167"/>
      <c r="AE133" s="175"/>
      <c r="AF133" s="177"/>
      <c r="AG133" s="170"/>
      <c r="AH133" s="170"/>
      <c r="AI133" s="170"/>
      <c r="AJ133" s="170"/>
      <c r="AK133" s="171"/>
      <c r="AM133" s="175"/>
      <c r="AN133" s="176"/>
      <c r="AO133" s="166"/>
      <c r="AP133" s="166"/>
      <c r="AQ133" s="166"/>
      <c r="AR133" s="166"/>
      <c r="AS133" s="167"/>
    </row>
    <row r="134" customFormat="false" ht="12.75" hidden="false" customHeight="false" outlineLevel="0" collapsed="false">
      <c r="A134" s="175"/>
      <c r="B134" s="178"/>
      <c r="C134" s="179"/>
      <c r="D134" s="179"/>
      <c r="E134" s="180"/>
      <c r="F134" s="181"/>
      <c r="G134" s="175"/>
      <c r="H134" s="176"/>
      <c r="I134" s="166"/>
      <c r="J134" s="166"/>
      <c r="K134" s="166"/>
      <c r="L134" s="166"/>
      <c r="M134" s="167"/>
      <c r="N134" s="168"/>
      <c r="O134" s="175"/>
      <c r="P134" s="176"/>
      <c r="Q134" s="166"/>
      <c r="R134" s="166"/>
      <c r="S134" s="166"/>
      <c r="T134" s="166"/>
      <c r="U134" s="167"/>
      <c r="V134" s="168"/>
      <c r="W134" s="175"/>
      <c r="X134" s="176"/>
      <c r="Y134" s="166"/>
      <c r="Z134" s="166"/>
      <c r="AA134" s="166"/>
      <c r="AB134" s="166"/>
      <c r="AC134" s="167"/>
      <c r="AE134" s="175"/>
      <c r="AF134" s="177"/>
      <c r="AG134" s="170"/>
      <c r="AH134" s="170"/>
      <c r="AI134" s="170"/>
      <c r="AJ134" s="170"/>
      <c r="AK134" s="171"/>
      <c r="AM134" s="175"/>
      <c r="AN134" s="176"/>
      <c r="AO134" s="166"/>
      <c r="AP134" s="166"/>
      <c r="AQ134" s="166"/>
      <c r="AR134" s="166"/>
      <c r="AS134" s="167"/>
    </row>
    <row r="135" customFormat="false" ht="12.75" hidden="false" customHeight="false" outlineLevel="0" collapsed="false">
      <c r="A135" s="175"/>
      <c r="B135" s="178"/>
      <c r="C135" s="179"/>
      <c r="D135" s="179"/>
      <c r="E135" s="180"/>
      <c r="F135" s="181"/>
      <c r="G135" s="175"/>
      <c r="H135" s="176"/>
      <c r="I135" s="166"/>
      <c r="J135" s="166"/>
      <c r="K135" s="166"/>
      <c r="L135" s="166"/>
      <c r="M135" s="167"/>
      <c r="N135" s="168"/>
      <c r="O135" s="175"/>
      <c r="P135" s="176"/>
      <c r="Q135" s="166"/>
      <c r="R135" s="166"/>
      <c r="S135" s="166"/>
      <c r="T135" s="166"/>
      <c r="U135" s="167"/>
      <c r="V135" s="168"/>
      <c r="W135" s="175"/>
      <c r="X135" s="176"/>
      <c r="Y135" s="166"/>
      <c r="Z135" s="166"/>
      <c r="AA135" s="166"/>
      <c r="AB135" s="166"/>
      <c r="AC135" s="167"/>
      <c r="AE135" s="175"/>
      <c r="AF135" s="177"/>
      <c r="AG135" s="170"/>
      <c r="AH135" s="170"/>
      <c r="AI135" s="170"/>
      <c r="AJ135" s="170"/>
      <c r="AK135" s="171"/>
      <c r="AM135" s="175"/>
      <c r="AN135" s="176"/>
      <c r="AO135" s="166"/>
      <c r="AP135" s="166"/>
      <c r="AQ135" s="166"/>
      <c r="AR135" s="166"/>
      <c r="AS135" s="167"/>
    </row>
    <row r="136" customFormat="false" ht="12.75" hidden="false" customHeight="false" outlineLevel="0" collapsed="false">
      <c r="A136" s="175"/>
      <c r="B136" s="178"/>
      <c r="C136" s="179"/>
      <c r="D136" s="179"/>
      <c r="E136" s="180"/>
      <c r="F136" s="181"/>
      <c r="G136" s="175"/>
      <c r="H136" s="176"/>
      <c r="I136" s="166"/>
      <c r="J136" s="166"/>
      <c r="K136" s="166"/>
      <c r="L136" s="166"/>
      <c r="M136" s="167"/>
      <c r="N136" s="168"/>
      <c r="O136" s="175"/>
      <c r="P136" s="176"/>
      <c r="Q136" s="166"/>
      <c r="R136" s="166"/>
      <c r="S136" s="166"/>
      <c r="T136" s="166"/>
      <c r="U136" s="167"/>
      <c r="V136" s="168"/>
      <c r="W136" s="175"/>
      <c r="X136" s="176"/>
      <c r="Y136" s="166"/>
      <c r="Z136" s="166"/>
      <c r="AA136" s="166"/>
      <c r="AB136" s="166"/>
      <c r="AC136" s="167"/>
      <c r="AE136" s="175"/>
      <c r="AF136" s="177"/>
      <c r="AG136" s="170"/>
      <c r="AH136" s="170"/>
      <c r="AI136" s="170"/>
      <c r="AJ136" s="170"/>
      <c r="AK136" s="171"/>
      <c r="AM136" s="175"/>
      <c r="AN136" s="176"/>
      <c r="AO136" s="166"/>
      <c r="AP136" s="166"/>
      <c r="AQ136" s="166"/>
      <c r="AR136" s="166"/>
      <c r="AS136" s="167"/>
    </row>
    <row r="137" customFormat="false" ht="12.75" hidden="false" customHeight="false" outlineLevel="0" collapsed="false">
      <c r="A137" s="175"/>
      <c r="B137" s="178"/>
      <c r="C137" s="179"/>
      <c r="D137" s="179"/>
      <c r="E137" s="180"/>
      <c r="F137" s="181"/>
      <c r="G137" s="175"/>
      <c r="H137" s="176"/>
      <c r="I137" s="166"/>
      <c r="J137" s="166"/>
      <c r="K137" s="166"/>
      <c r="L137" s="166"/>
      <c r="M137" s="167"/>
      <c r="N137" s="168"/>
      <c r="O137" s="175"/>
      <c r="P137" s="176"/>
      <c r="Q137" s="166"/>
      <c r="R137" s="166"/>
      <c r="S137" s="166"/>
      <c r="T137" s="166"/>
      <c r="U137" s="167"/>
      <c r="V137" s="168"/>
      <c r="W137" s="175"/>
      <c r="X137" s="176"/>
      <c r="Y137" s="166"/>
      <c r="Z137" s="166"/>
      <c r="AA137" s="166"/>
      <c r="AB137" s="166"/>
      <c r="AC137" s="167"/>
      <c r="AE137" s="175"/>
      <c r="AF137" s="177"/>
      <c r="AG137" s="170"/>
      <c r="AH137" s="170"/>
      <c r="AI137" s="170"/>
      <c r="AJ137" s="170"/>
      <c r="AK137" s="171"/>
      <c r="AM137" s="175"/>
      <c r="AN137" s="176"/>
      <c r="AO137" s="166"/>
      <c r="AP137" s="166"/>
      <c r="AQ137" s="166"/>
      <c r="AR137" s="166"/>
      <c r="AS137" s="167"/>
    </row>
    <row r="138" customFormat="false" ht="12.75" hidden="false" customHeight="false" outlineLevel="0" collapsed="false">
      <c r="A138" s="175"/>
      <c r="B138" s="178"/>
      <c r="C138" s="179"/>
      <c r="D138" s="179"/>
      <c r="E138" s="180"/>
      <c r="F138" s="181"/>
      <c r="G138" s="175"/>
      <c r="H138" s="176"/>
      <c r="I138" s="166"/>
      <c r="J138" s="166"/>
      <c r="K138" s="166"/>
      <c r="L138" s="166"/>
      <c r="M138" s="167"/>
      <c r="N138" s="168"/>
      <c r="O138" s="175"/>
      <c r="P138" s="176"/>
      <c r="Q138" s="166"/>
      <c r="R138" s="166"/>
      <c r="S138" s="166"/>
      <c r="T138" s="166"/>
      <c r="U138" s="167"/>
      <c r="V138" s="168"/>
      <c r="W138" s="175"/>
      <c r="X138" s="176"/>
      <c r="Y138" s="166"/>
      <c r="Z138" s="166"/>
      <c r="AA138" s="166"/>
      <c r="AB138" s="166"/>
      <c r="AC138" s="167"/>
      <c r="AE138" s="175"/>
      <c r="AF138" s="177"/>
      <c r="AG138" s="170"/>
      <c r="AH138" s="170"/>
      <c r="AI138" s="170"/>
      <c r="AJ138" s="170"/>
      <c r="AK138" s="171"/>
      <c r="AM138" s="175"/>
      <c r="AN138" s="176"/>
      <c r="AO138" s="166"/>
      <c r="AP138" s="166"/>
      <c r="AQ138" s="166"/>
      <c r="AR138" s="166"/>
      <c r="AS138" s="167"/>
    </row>
    <row r="139" customFormat="false" ht="12.75" hidden="false" customHeight="false" outlineLevel="0" collapsed="false">
      <c r="A139" s="175"/>
      <c r="B139" s="178"/>
      <c r="C139" s="179"/>
      <c r="D139" s="179"/>
      <c r="E139" s="180"/>
      <c r="F139" s="181"/>
      <c r="G139" s="175"/>
      <c r="H139" s="176"/>
      <c r="I139" s="166"/>
      <c r="J139" s="166"/>
      <c r="K139" s="166"/>
      <c r="L139" s="166"/>
      <c r="M139" s="167"/>
      <c r="N139" s="168"/>
      <c r="O139" s="175"/>
      <c r="P139" s="176"/>
      <c r="Q139" s="166"/>
      <c r="R139" s="166"/>
      <c r="S139" s="166"/>
      <c r="T139" s="166"/>
      <c r="U139" s="167"/>
      <c r="V139" s="168"/>
      <c r="W139" s="175"/>
      <c r="X139" s="176"/>
      <c r="Y139" s="166"/>
      <c r="Z139" s="166"/>
      <c r="AA139" s="166"/>
      <c r="AB139" s="166"/>
      <c r="AC139" s="167"/>
      <c r="AE139" s="175"/>
      <c r="AF139" s="177"/>
      <c r="AG139" s="170"/>
      <c r="AH139" s="170"/>
      <c r="AI139" s="170"/>
      <c r="AJ139" s="170"/>
      <c r="AK139" s="171"/>
      <c r="AM139" s="175"/>
      <c r="AN139" s="176"/>
      <c r="AO139" s="166"/>
      <c r="AP139" s="166"/>
      <c r="AQ139" s="166"/>
      <c r="AR139" s="166"/>
      <c r="AS139" s="167"/>
    </row>
    <row r="140" customFormat="false" ht="12.75" hidden="false" customHeight="false" outlineLevel="0" collapsed="false">
      <c r="A140" s="175"/>
      <c r="B140" s="178"/>
      <c r="C140" s="179"/>
      <c r="D140" s="179"/>
      <c r="E140" s="180"/>
      <c r="F140" s="181"/>
      <c r="G140" s="175"/>
      <c r="H140" s="176"/>
      <c r="I140" s="166"/>
      <c r="J140" s="166"/>
      <c r="K140" s="166"/>
      <c r="L140" s="166"/>
      <c r="M140" s="167"/>
      <c r="N140" s="168"/>
      <c r="O140" s="175"/>
      <c r="P140" s="176"/>
      <c r="Q140" s="166"/>
      <c r="R140" s="166"/>
      <c r="S140" s="166"/>
      <c r="T140" s="166"/>
      <c r="U140" s="167"/>
      <c r="V140" s="168"/>
      <c r="W140" s="175"/>
      <c r="X140" s="176"/>
      <c r="Y140" s="166"/>
      <c r="Z140" s="166"/>
      <c r="AA140" s="166"/>
      <c r="AB140" s="166"/>
      <c r="AC140" s="167"/>
      <c r="AE140" s="175"/>
      <c r="AF140" s="177"/>
      <c r="AG140" s="170"/>
      <c r="AH140" s="170"/>
      <c r="AI140" s="170"/>
      <c r="AJ140" s="170"/>
      <c r="AK140" s="171"/>
      <c r="AM140" s="175"/>
      <c r="AN140" s="176"/>
      <c r="AO140" s="166"/>
      <c r="AP140" s="166"/>
      <c r="AQ140" s="166"/>
      <c r="AR140" s="166"/>
      <c r="AS140" s="167"/>
    </row>
    <row r="141" customFormat="false" ht="12.75" hidden="false" customHeight="false" outlineLevel="0" collapsed="false">
      <c r="A141" s="175"/>
      <c r="B141" s="178"/>
      <c r="C141" s="179"/>
      <c r="D141" s="179"/>
      <c r="E141" s="180"/>
      <c r="F141" s="181"/>
      <c r="G141" s="175"/>
      <c r="H141" s="176"/>
      <c r="I141" s="166"/>
      <c r="J141" s="166"/>
      <c r="K141" s="166"/>
      <c r="L141" s="166"/>
      <c r="M141" s="167"/>
      <c r="N141" s="168"/>
      <c r="O141" s="175"/>
      <c r="P141" s="176"/>
      <c r="Q141" s="166"/>
      <c r="R141" s="166"/>
      <c r="S141" s="166"/>
      <c r="T141" s="166"/>
      <c r="U141" s="167"/>
      <c r="V141" s="168"/>
      <c r="W141" s="175"/>
      <c r="X141" s="176"/>
      <c r="Y141" s="166"/>
      <c r="Z141" s="166"/>
      <c r="AA141" s="166"/>
      <c r="AB141" s="166"/>
      <c r="AC141" s="167"/>
      <c r="AE141" s="175"/>
      <c r="AF141" s="177"/>
      <c r="AG141" s="170"/>
      <c r="AH141" s="170"/>
      <c r="AI141" s="170"/>
      <c r="AJ141" s="170"/>
      <c r="AK141" s="171"/>
      <c r="AM141" s="175"/>
      <c r="AN141" s="176"/>
      <c r="AO141" s="166"/>
      <c r="AP141" s="166"/>
      <c r="AQ141" s="166"/>
      <c r="AR141" s="166"/>
      <c r="AS141" s="167"/>
    </row>
    <row r="142" customFormat="false" ht="12.75" hidden="false" customHeight="false" outlineLevel="0" collapsed="false">
      <c r="A142" s="175"/>
      <c r="B142" s="178"/>
      <c r="C142" s="179"/>
      <c r="D142" s="179"/>
      <c r="E142" s="180"/>
      <c r="F142" s="181"/>
      <c r="G142" s="175"/>
      <c r="H142" s="176"/>
      <c r="I142" s="166"/>
      <c r="J142" s="166"/>
      <c r="K142" s="166"/>
      <c r="L142" s="166"/>
      <c r="M142" s="167"/>
      <c r="N142" s="168"/>
      <c r="O142" s="175"/>
      <c r="P142" s="176"/>
      <c r="Q142" s="166"/>
      <c r="R142" s="166"/>
      <c r="S142" s="166"/>
      <c r="T142" s="166"/>
      <c r="U142" s="167"/>
      <c r="V142" s="168"/>
      <c r="W142" s="175"/>
      <c r="X142" s="176"/>
      <c r="Y142" s="166"/>
      <c r="Z142" s="166"/>
      <c r="AA142" s="166"/>
      <c r="AB142" s="166"/>
      <c r="AC142" s="167"/>
      <c r="AE142" s="175"/>
      <c r="AF142" s="177"/>
      <c r="AG142" s="170"/>
      <c r="AH142" s="170"/>
      <c r="AI142" s="170"/>
      <c r="AJ142" s="170"/>
      <c r="AK142" s="171"/>
      <c r="AM142" s="175"/>
      <c r="AN142" s="176"/>
      <c r="AO142" s="166"/>
      <c r="AP142" s="166"/>
      <c r="AQ142" s="166"/>
      <c r="AR142" s="166"/>
      <c r="AS142" s="167"/>
    </row>
    <row r="143" customFormat="false" ht="12.75" hidden="false" customHeight="false" outlineLevel="0" collapsed="false">
      <c r="A143" s="175"/>
      <c r="B143" s="178"/>
      <c r="C143" s="179"/>
      <c r="D143" s="179"/>
      <c r="E143" s="180"/>
      <c r="F143" s="181"/>
      <c r="G143" s="175"/>
      <c r="H143" s="176"/>
      <c r="I143" s="166"/>
      <c r="J143" s="166"/>
      <c r="K143" s="166"/>
      <c r="L143" s="166"/>
      <c r="M143" s="167"/>
      <c r="N143" s="168"/>
      <c r="O143" s="175"/>
      <c r="P143" s="176"/>
      <c r="Q143" s="166"/>
      <c r="R143" s="166"/>
      <c r="S143" s="166"/>
      <c r="T143" s="166"/>
      <c r="U143" s="167"/>
      <c r="V143" s="168"/>
      <c r="W143" s="175"/>
      <c r="X143" s="176"/>
      <c r="Y143" s="166"/>
      <c r="Z143" s="166"/>
      <c r="AA143" s="166"/>
      <c r="AB143" s="166"/>
      <c r="AC143" s="167"/>
      <c r="AE143" s="175"/>
      <c r="AF143" s="177"/>
      <c r="AG143" s="170"/>
      <c r="AH143" s="170"/>
      <c r="AI143" s="170"/>
      <c r="AJ143" s="170"/>
      <c r="AK143" s="171"/>
      <c r="AM143" s="175"/>
      <c r="AN143" s="176"/>
      <c r="AO143" s="166"/>
      <c r="AP143" s="166"/>
      <c r="AQ143" s="166"/>
      <c r="AR143" s="166"/>
      <c r="AS143" s="167"/>
    </row>
    <row r="144" customFormat="false" ht="12.75" hidden="false" customHeight="false" outlineLevel="0" collapsed="false">
      <c r="A144" s="175"/>
      <c r="B144" s="178"/>
      <c r="C144" s="179"/>
      <c r="D144" s="179"/>
      <c r="E144" s="180"/>
      <c r="F144" s="181"/>
      <c r="G144" s="175"/>
      <c r="H144" s="176"/>
      <c r="I144" s="166"/>
      <c r="J144" s="166"/>
      <c r="K144" s="166"/>
      <c r="L144" s="166"/>
      <c r="M144" s="167"/>
      <c r="N144" s="168"/>
      <c r="O144" s="175"/>
      <c r="P144" s="176"/>
      <c r="Q144" s="166"/>
      <c r="R144" s="166"/>
      <c r="S144" s="166"/>
      <c r="T144" s="166"/>
      <c r="U144" s="167"/>
      <c r="V144" s="168"/>
      <c r="W144" s="175"/>
      <c r="X144" s="176"/>
      <c r="Y144" s="166"/>
      <c r="Z144" s="166"/>
      <c r="AA144" s="166"/>
      <c r="AB144" s="166"/>
      <c r="AC144" s="167"/>
      <c r="AE144" s="175"/>
      <c r="AF144" s="177"/>
      <c r="AG144" s="170"/>
      <c r="AH144" s="170"/>
      <c r="AI144" s="170"/>
      <c r="AJ144" s="170"/>
      <c r="AK144" s="171"/>
      <c r="AM144" s="175"/>
      <c r="AN144" s="176"/>
      <c r="AO144" s="166"/>
      <c r="AP144" s="166"/>
      <c r="AQ144" s="166"/>
      <c r="AR144" s="166"/>
      <c r="AS144" s="167"/>
    </row>
    <row r="145" customFormat="false" ht="12.75" hidden="false" customHeight="false" outlineLevel="0" collapsed="false">
      <c r="A145" s="175"/>
      <c r="B145" s="178"/>
      <c r="C145" s="179"/>
      <c r="D145" s="179"/>
      <c r="E145" s="180"/>
      <c r="F145" s="181"/>
      <c r="G145" s="175"/>
      <c r="H145" s="176"/>
      <c r="I145" s="166"/>
      <c r="J145" s="166"/>
      <c r="K145" s="166"/>
      <c r="L145" s="166"/>
      <c r="M145" s="167"/>
      <c r="N145" s="168"/>
      <c r="O145" s="175"/>
      <c r="P145" s="176"/>
      <c r="Q145" s="166"/>
      <c r="R145" s="166"/>
      <c r="S145" s="166"/>
      <c r="T145" s="166"/>
      <c r="U145" s="167"/>
      <c r="V145" s="168"/>
      <c r="W145" s="175"/>
      <c r="X145" s="176"/>
      <c r="Y145" s="166"/>
      <c r="Z145" s="166"/>
      <c r="AA145" s="166"/>
      <c r="AB145" s="166"/>
      <c r="AC145" s="167"/>
      <c r="AE145" s="175"/>
      <c r="AF145" s="177"/>
      <c r="AG145" s="170"/>
      <c r="AH145" s="170"/>
      <c r="AI145" s="170"/>
      <c r="AJ145" s="170"/>
      <c r="AK145" s="171"/>
      <c r="AM145" s="175"/>
      <c r="AN145" s="176"/>
      <c r="AO145" s="166"/>
      <c r="AP145" s="166"/>
      <c r="AQ145" s="166"/>
      <c r="AR145" s="166"/>
      <c r="AS145" s="167"/>
    </row>
    <row r="146" customFormat="false" ht="12.75" hidden="false" customHeight="false" outlineLevel="0" collapsed="false">
      <c r="A146" s="175"/>
      <c r="B146" s="178"/>
      <c r="C146" s="179"/>
      <c r="D146" s="179"/>
      <c r="E146" s="180"/>
      <c r="F146" s="181"/>
      <c r="G146" s="175"/>
      <c r="H146" s="176"/>
      <c r="I146" s="166"/>
      <c r="J146" s="166"/>
      <c r="K146" s="166"/>
      <c r="L146" s="166"/>
      <c r="M146" s="167"/>
      <c r="N146" s="168"/>
      <c r="O146" s="175"/>
      <c r="P146" s="176"/>
      <c r="Q146" s="166"/>
      <c r="R146" s="166"/>
      <c r="S146" s="166"/>
      <c r="T146" s="166"/>
      <c r="U146" s="167"/>
      <c r="V146" s="168"/>
      <c r="W146" s="175"/>
      <c r="X146" s="176"/>
      <c r="Y146" s="166"/>
      <c r="Z146" s="166"/>
      <c r="AA146" s="166"/>
      <c r="AB146" s="166"/>
      <c r="AC146" s="167"/>
      <c r="AE146" s="175"/>
      <c r="AF146" s="177"/>
      <c r="AG146" s="170"/>
      <c r="AH146" s="170"/>
      <c r="AI146" s="170"/>
      <c r="AJ146" s="170"/>
      <c r="AK146" s="171"/>
      <c r="AM146" s="175"/>
      <c r="AN146" s="176"/>
      <c r="AO146" s="166"/>
      <c r="AP146" s="166"/>
      <c r="AQ146" s="166"/>
      <c r="AR146" s="166"/>
      <c r="AS146" s="167"/>
    </row>
    <row r="147" customFormat="false" ht="12.75" hidden="false" customHeight="false" outlineLevel="0" collapsed="false">
      <c r="A147" s="175"/>
      <c r="B147" s="178"/>
      <c r="C147" s="179"/>
      <c r="D147" s="179"/>
      <c r="E147" s="180"/>
      <c r="F147" s="181"/>
      <c r="G147" s="175"/>
      <c r="H147" s="176"/>
      <c r="I147" s="166"/>
      <c r="J147" s="166"/>
      <c r="K147" s="166"/>
      <c r="L147" s="166"/>
      <c r="M147" s="167"/>
      <c r="N147" s="168"/>
      <c r="O147" s="175"/>
      <c r="P147" s="176"/>
      <c r="Q147" s="166"/>
      <c r="R147" s="166"/>
      <c r="S147" s="166"/>
      <c r="T147" s="166"/>
      <c r="U147" s="167"/>
      <c r="V147" s="168"/>
      <c r="W147" s="175"/>
      <c r="X147" s="176"/>
      <c r="Y147" s="166"/>
      <c r="Z147" s="166"/>
      <c r="AA147" s="166"/>
      <c r="AB147" s="166"/>
      <c r="AC147" s="167"/>
      <c r="AE147" s="175"/>
      <c r="AF147" s="177"/>
      <c r="AG147" s="170"/>
      <c r="AH147" s="170"/>
      <c r="AI147" s="170"/>
      <c r="AJ147" s="170"/>
      <c r="AK147" s="171"/>
      <c r="AM147" s="175"/>
      <c r="AN147" s="176"/>
      <c r="AO147" s="166"/>
      <c r="AP147" s="166"/>
      <c r="AQ147" s="166"/>
      <c r="AR147" s="166"/>
      <c r="AS147" s="167"/>
    </row>
    <row r="148" customFormat="false" ht="12.75" hidden="false" customHeight="false" outlineLevel="0" collapsed="false">
      <c r="A148" s="175"/>
      <c r="B148" s="178"/>
      <c r="C148" s="179"/>
      <c r="D148" s="179"/>
      <c r="E148" s="180"/>
      <c r="F148" s="181"/>
      <c r="G148" s="175"/>
      <c r="H148" s="176"/>
      <c r="I148" s="166"/>
      <c r="J148" s="166"/>
      <c r="K148" s="166"/>
      <c r="L148" s="166"/>
      <c r="M148" s="167"/>
      <c r="N148" s="168"/>
      <c r="O148" s="175"/>
      <c r="P148" s="176"/>
      <c r="Q148" s="166"/>
      <c r="R148" s="166"/>
      <c r="S148" s="166"/>
      <c r="T148" s="166"/>
      <c r="U148" s="167"/>
      <c r="V148" s="168"/>
      <c r="W148" s="175"/>
      <c r="X148" s="176"/>
      <c r="Y148" s="166"/>
      <c r="Z148" s="166"/>
      <c r="AA148" s="166"/>
      <c r="AB148" s="166"/>
      <c r="AC148" s="167"/>
      <c r="AE148" s="175"/>
      <c r="AF148" s="177"/>
      <c r="AG148" s="170"/>
      <c r="AH148" s="170"/>
      <c r="AI148" s="170"/>
      <c r="AJ148" s="170"/>
      <c r="AK148" s="171"/>
      <c r="AM148" s="175"/>
      <c r="AN148" s="176"/>
      <c r="AO148" s="166"/>
      <c r="AP148" s="166"/>
      <c r="AQ148" s="166"/>
      <c r="AR148" s="166"/>
      <c r="AS148" s="167"/>
    </row>
    <row r="149" customFormat="false" ht="12.75" hidden="false" customHeight="false" outlineLevel="0" collapsed="false">
      <c r="A149" s="175"/>
      <c r="B149" s="178"/>
      <c r="C149" s="179"/>
      <c r="D149" s="179"/>
      <c r="E149" s="180"/>
      <c r="F149" s="181"/>
      <c r="G149" s="175"/>
      <c r="H149" s="176"/>
      <c r="I149" s="166"/>
      <c r="J149" s="166"/>
      <c r="K149" s="166"/>
      <c r="L149" s="166"/>
      <c r="M149" s="167"/>
      <c r="N149" s="168"/>
      <c r="O149" s="175"/>
      <c r="P149" s="176"/>
      <c r="Q149" s="166"/>
      <c r="R149" s="166"/>
      <c r="S149" s="166"/>
      <c r="T149" s="166"/>
      <c r="U149" s="167"/>
      <c r="V149" s="168"/>
      <c r="W149" s="175"/>
      <c r="X149" s="176"/>
      <c r="Y149" s="166"/>
      <c r="Z149" s="166"/>
      <c r="AA149" s="166"/>
      <c r="AB149" s="166"/>
      <c r="AC149" s="167"/>
      <c r="AE149" s="175"/>
      <c r="AF149" s="177"/>
      <c r="AG149" s="170"/>
      <c r="AH149" s="170"/>
      <c r="AI149" s="170"/>
      <c r="AJ149" s="170"/>
      <c r="AK149" s="171"/>
      <c r="AM149" s="175"/>
      <c r="AN149" s="176"/>
      <c r="AO149" s="166"/>
      <c r="AP149" s="166"/>
      <c r="AQ149" s="166"/>
      <c r="AR149" s="166"/>
      <c r="AS149" s="167"/>
    </row>
    <row r="150" customFormat="false" ht="12.75" hidden="false" customHeight="false" outlineLevel="0" collapsed="false">
      <c r="A150" s="175"/>
      <c r="B150" s="178"/>
      <c r="C150" s="179"/>
      <c r="D150" s="179"/>
      <c r="E150" s="180"/>
      <c r="F150" s="181"/>
      <c r="G150" s="175"/>
      <c r="H150" s="176"/>
      <c r="I150" s="166"/>
      <c r="J150" s="166"/>
      <c r="K150" s="166"/>
      <c r="L150" s="166"/>
      <c r="M150" s="167"/>
      <c r="N150" s="168"/>
      <c r="O150" s="175"/>
      <c r="P150" s="176"/>
      <c r="Q150" s="166"/>
      <c r="R150" s="166"/>
      <c r="S150" s="166"/>
      <c r="T150" s="166"/>
      <c r="U150" s="167"/>
      <c r="V150" s="168"/>
      <c r="W150" s="175"/>
      <c r="X150" s="176"/>
      <c r="Y150" s="166"/>
      <c r="Z150" s="166"/>
      <c r="AA150" s="166"/>
      <c r="AB150" s="166"/>
      <c r="AC150" s="167"/>
      <c r="AE150" s="175"/>
      <c r="AF150" s="177"/>
      <c r="AG150" s="170"/>
      <c r="AH150" s="170"/>
      <c r="AI150" s="170"/>
      <c r="AJ150" s="170"/>
      <c r="AK150" s="171"/>
      <c r="AM150" s="175"/>
      <c r="AN150" s="176"/>
      <c r="AO150" s="166"/>
      <c r="AP150" s="166"/>
      <c r="AQ150" s="166"/>
      <c r="AR150" s="166"/>
      <c r="AS150" s="167"/>
    </row>
    <row r="151" customFormat="false" ht="12.75" hidden="false" customHeight="false" outlineLevel="0" collapsed="false">
      <c r="A151" s="175"/>
      <c r="B151" s="178"/>
      <c r="C151" s="179"/>
      <c r="D151" s="179"/>
      <c r="E151" s="180"/>
      <c r="F151" s="181"/>
      <c r="G151" s="175"/>
      <c r="H151" s="176"/>
      <c r="I151" s="166"/>
      <c r="J151" s="166"/>
      <c r="K151" s="166"/>
      <c r="L151" s="166"/>
      <c r="M151" s="167"/>
      <c r="N151" s="168"/>
      <c r="O151" s="175"/>
      <c r="P151" s="176"/>
      <c r="Q151" s="166"/>
      <c r="R151" s="166"/>
      <c r="S151" s="166"/>
      <c r="T151" s="166"/>
      <c r="U151" s="167"/>
      <c r="V151" s="168"/>
      <c r="W151" s="175"/>
      <c r="X151" s="176"/>
      <c r="Y151" s="166"/>
      <c r="Z151" s="166"/>
      <c r="AA151" s="166"/>
      <c r="AB151" s="166"/>
      <c r="AC151" s="167"/>
      <c r="AE151" s="175"/>
      <c r="AF151" s="177"/>
      <c r="AG151" s="170"/>
      <c r="AH151" s="170"/>
      <c r="AI151" s="170"/>
      <c r="AJ151" s="170"/>
      <c r="AK151" s="171"/>
      <c r="AM151" s="175"/>
      <c r="AN151" s="176"/>
      <c r="AO151" s="166"/>
      <c r="AP151" s="166"/>
      <c r="AQ151" s="166"/>
      <c r="AR151" s="166"/>
      <c r="AS151" s="167"/>
    </row>
    <row r="152" customFormat="false" ht="12.75" hidden="false" customHeight="false" outlineLevel="0" collapsed="false">
      <c r="A152" s="175"/>
      <c r="B152" s="178"/>
      <c r="C152" s="179"/>
      <c r="D152" s="179"/>
      <c r="E152" s="180"/>
      <c r="F152" s="181"/>
      <c r="G152" s="175"/>
      <c r="H152" s="176"/>
      <c r="I152" s="166"/>
      <c r="J152" s="166"/>
      <c r="K152" s="166"/>
      <c r="L152" s="166"/>
      <c r="M152" s="167"/>
      <c r="N152" s="168"/>
      <c r="O152" s="175"/>
      <c r="P152" s="176"/>
      <c r="Q152" s="166"/>
      <c r="R152" s="166"/>
      <c r="S152" s="166"/>
      <c r="T152" s="166"/>
      <c r="U152" s="167"/>
      <c r="V152" s="168"/>
      <c r="W152" s="175"/>
      <c r="X152" s="176"/>
      <c r="Y152" s="166"/>
      <c r="Z152" s="166"/>
      <c r="AA152" s="166"/>
      <c r="AB152" s="166"/>
      <c r="AC152" s="167"/>
      <c r="AE152" s="175"/>
      <c r="AF152" s="177"/>
      <c r="AG152" s="170"/>
      <c r="AH152" s="170"/>
      <c r="AI152" s="170"/>
      <c r="AJ152" s="170"/>
      <c r="AK152" s="171"/>
      <c r="AM152" s="175"/>
      <c r="AN152" s="176"/>
      <c r="AO152" s="166"/>
      <c r="AP152" s="166"/>
      <c r="AQ152" s="166"/>
      <c r="AR152" s="166"/>
      <c r="AS152" s="167"/>
    </row>
    <row r="153" customFormat="false" ht="12.75" hidden="false" customHeight="false" outlineLevel="0" collapsed="false">
      <c r="A153" s="175"/>
      <c r="B153" s="178"/>
      <c r="C153" s="179"/>
      <c r="D153" s="179"/>
      <c r="E153" s="180"/>
      <c r="F153" s="181"/>
      <c r="G153" s="175"/>
      <c r="H153" s="176"/>
      <c r="I153" s="166"/>
      <c r="J153" s="166"/>
      <c r="K153" s="166"/>
      <c r="L153" s="166"/>
      <c r="M153" s="167"/>
      <c r="N153" s="168"/>
      <c r="O153" s="175"/>
      <c r="P153" s="176"/>
      <c r="Q153" s="166"/>
      <c r="R153" s="166"/>
      <c r="S153" s="166"/>
      <c r="T153" s="166"/>
      <c r="U153" s="167"/>
      <c r="V153" s="168"/>
      <c r="W153" s="175"/>
      <c r="X153" s="176"/>
      <c r="Y153" s="166"/>
      <c r="Z153" s="166"/>
      <c r="AA153" s="166"/>
      <c r="AB153" s="166"/>
      <c r="AC153" s="167"/>
      <c r="AE153" s="175"/>
      <c r="AF153" s="177"/>
      <c r="AG153" s="170"/>
      <c r="AH153" s="170"/>
      <c r="AI153" s="170"/>
      <c r="AJ153" s="170"/>
      <c r="AK153" s="171"/>
      <c r="AM153" s="175"/>
      <c r="AN153" s="176"/>
      <c r="AO153" s="166"/>
      <c r="AP153" s="166"/>
      <c r="AQ153" s="166"/>
      <c r="AR153" s="166"/>
      <c r="AS153" s="167"/>
    </row>
    <row r="154" customFormat="false" ht="12.75" hidden="false" customHeight="false" outlineLevel="0" collapsed="false">
      <c r="A154" s="175"/>
      <c r="B154" s="178"/>
      <c r="C154" s="179"/>
      <c r="D154" s="179"/>
      <c r="E154" s="180"/>
      <c r="F154" s="181"/>
      <c r="G154" s="175"/>
      <c r="H154" s="176"/>
      <c r="I154" s="166"/>
      <c r="J154" s="166"/>
      <c r="K154" s="166"/>
      <c r="L154" s="166"/>
      <c r="M154" s="167"/>
      <c r="N154" s="168"/>
      <c r="O154" s="175"/>
      <c r="P154" s="176"/>
      <c r="Q154" s="166"/>
      <c r="R154" s="166"/>
      <c r="S154" s="166"/>
      <c r="T154" s="166"/>
      <c r="U154" s="167"/>
      <c r="V154" s="168"/>
      <c r="W154" s="175"/>
      <c r="X154" s="176"/>
      <c r="Y154" s="166"/>
      <c r="Z154" s="166"/>
      <c r="AA154" s="166"/>
      <c r="AB154" s="166"/>
      <c r="AC154" s="167"/>
      <c r="AE154" s="175"/>
      <c r="AF154" s="177"/>
      <c r="AG154" s="170"/>
      <c r="AH154" s="170"/>
      <c r="AI154" s="170"/>
      <c r="AJ154" s="170"/>
      <c r="AK154" s="171"/>
      <c r="AM154" s="175"/>
      <c r="AN154" s="176"/>
      <c r="AO154" s="166"/>
      <c r="AP154" s="166"/>
      <c r="AQ154" s="166"/>
      <c r="AR154" s="166"/>
      <c r="AS154" s="167"/>
    </row>
    <row r="155" customFormat="false" ht="12.75" hidden="false" customHeight="false" outlineLevel="0" collapsed="false">
      <c r="A155" s="175"/>
      <c r="B155" s="178"/>
      <c r="C155" s="179"/>
      <c r="D155" s="179"/>
      <c r="E155" s="180"/>
      <c r="F155" s="181"/>
      <c r="G155" s="175"/>
      <c r="H155" s="176"/>
      <c r="I155" s="166"/>
      <c r="J155" s="166"/>
      <c r="K155" s="166"/>
      <c r="L155" s="166"/>
      <c r="M155" s="167"/>
      <c r="N155" s="168"/>
      <c r="O155" s="175"/>
      <c r="P155" s="176"/>
      <c r="Q155" s="166"/>
      <c r="R155" s="166"/>
      <c r="S155" s="166"/>
      <c r="T155" s="166"/>
      <c r="U155" s="167"/>
      <c r="V155" s="168"/>
      <c r="W155" s="175"/>
      <c r="X155" s="176"/>
      <c r="Y155" s="166"/>
      <c r="Z155" s="166"/>
      <c r="AA155" s="166"/>
      <c r="AB155" s="166"/>
      <c r="AC155" s="167"/>
      <c r="AE155" s="175"/>
      <c r="AF155" s="177"/>
      <c r="AG155" s="170"/>
      <c r="AH155" s="170"/>
      <c r="AI155" s="170"/>
      <c r="AJ155" s="170"/>
      <c r="AK155" s="171"/>
      <c r="AM155" s="175"/>
      <c r="AN155" s="176"/>
      <c r="AO155" s="166"/>
      <c r="AP155" s="166"/>
      <c r="AQ155" s="166"/>
      <c r="AR155" s="166"/>
      <c r="AS155" s="167"/>
    </row>
    <row r="156" customFormat="false" ht="12.75" hidden="false" customHeight="false" outlineLevel="0" collapsed="false">
      <c r="A156" s="175"/>
      <c r="B156" s="178"/>
      <c r="C156" s="179"/>
      <c r="D156" s="179"/>
      <c r="E156" s="180"/>
      <c r="F156" s="181"/>
      <c r="G156" s="175"/>
      <c r="H156" s="176"/>
      <c r="I156" s="166"/>
      <c r="J156" s="166"/>
      <c r="K156" s="166"/>
      <c r="L156" s="166"/>
      <c r="M156" s="167"/>
      <c r="N156" s="168"/>
      <c r="O156" s="175"/>
      <c r="P156" s="176"/>
      <c r="Q156" s="166"/>
      <c r="R156" s="166"/>
      <c r="S156" s="166"/>
      <c r="T156" s="166"/>
      <c r="U156" s="167"/>
      <c r="V156" s="168"/>
      <c r="W156" s="175"/>
      <c r="X156" s="176"/>
      <c r="Y156" s="166"/>
      <c r="Z156" s="166"/>
      <c r="AA156" s="166"/>
      <c r="AB156" s="166"/>
      <c r="AC156" s="167"/>
      <c r="AE156" s="175"/>
      <c r="AF156" s="177"/>
      <c r="AG156" s="170"/>
      <c r="AH156" s="170"/>
      <c r="AI156" s="170"/>
      <c r="AJ156" s="170"/>
      <c r="AK156" s="171"/>
      <c r="AM156" s="175"/>
      <c r="AN156" s="176"/>
      <c r="AO156" s="166"/>
      <c r="AP156" s="166"/>
      <c r="AQ156" s="166"/>
      <c r="AR156" s="166"/>
      <c r="AS156" s="167"/>
    </row>
    <row r="157" customFormat="false" ht="12.75" hidden="false" customHeight="false" outlineLevel="0" collapsed="false">
      <c r="A157" s="175"/>
      <c r="B157" s="178"/>
      <c r="C157" s="179"/>
      <c r="D157" s="179"/>
      <c r="E157" s="180"/>
      <c r="F157" s="181"/>
      <c r="G157" s="175"/>
      <c r="H157" s="176"/>
      <c r="I157" s="166"/>
      <c r="J157" s="166"/>
      <c r="K157" s="166"/>
      <c r="L157" s="166"/>
      <c r="M157" s="167"/>
      <c r="N157" s="168"/>
      <c r="O157" s="175"/>
      <c r="P157" s="176"/>
      <c r="Q157" s="166"/>
      <c r="R157" s="166"/>
      <c r="S157" s="166"/>
      <c r="T157" s="166"/>
      <c r="U157" s="167"/>
      <c r="V157" s="168"/>
      <c r="W157" s="175"/>
      <c r="X157" s="176"/>
      <c r="Y157" s="166"/>
      <c r="Z157" s="166"/>
      <c r="AA157" s="166"/>
      <c r="AB157" s="166"/>
      <c r="AC157" s="167"/>
      <c r="AE157" s="175"/>
      <c r="AF157" s="177"/>
      <c r="AG157" s="170"/>
      <c r="AH157" s="170"/>
      <c r="AI157" s="170"/>
      <c r="AJ157" s="170"/>
      <c r="AK157" s="171"/>
      <c r="AM157" s="175"/>
      <c r="AN157" s="176"/>
      <c r="AO157" s="166"/>
      <c r="AP157" s="166"/>
      <c r="AQ157" s="166"/>
      <c r="AR157" s="166"/>
      <c r="AS157" s="167"/>
    </row>
    <row r="158" customFormat="false" ht="12.75" hidden="false" customHeight="false" outlineLevel="0" collapsed="false">
      <c r="A158" s="175"/>
      <c r="B158" s="178"/>
      <c r="C158" s="179"/>
      <c r="D158" s="179"/>
      <c r="E158" s="180"/>
      <c r="F158" s="181"/>
      <c r="G158" s="175"/>
      <c r="H158" s="176"/>
      <c r="I158" s="166"/>
      <c r="J158" s="166"/>
      <c r="K158" s="166"/>
      <c r="L158" s="166"/>
      <c r="M158" s="167"/>
      <c r="N158" s="168"/>
      <c r="O158" s="175"/>
      <c r="P158" s="176"/>
      <c r="Q158" s="166"/>
      <c r="R158" s="166"/>
      <c r="S158" s="166"/>
      <c r="T158" s="166"/>
      <c r="U158" s="167"/>
      <c r="V158" s="168"/>
      <c r="W158" s="175"/>
      <c r="X158" s="176"/>
      <c r="Y158" s="166"/>
      <c r="Z158" s="166"/>
      <c r="AA158" s="166"/>
      <c r="AB158" s="166"/>
      <c r="AC158" s="167"/>
      <c r="AE158" s="175"/>
      <c r="AF158" s="177"/>
      <c r="AG158" s="170"/>
      <c r="AH158" s="170"/>
      <c r="AI158" s="170"/>
      <c r="AJ158" s="170"/>
      <c r="AK158" s="171"/>
      <c r="AM158" s="175"/>
      <c r="AN158" s="176"/>
      <c r="AO158" s="166"/>
      <c r="AP158" s="166"/>
      <c r="AQ158" s="166"/>
      <c r="AR158" s="166"/>
      <c r="AS158" s="167"/>
    </row>
    <row r="159" customFormat="false" ht="12.75" hidden="false" customHeight="false" outlineLevel="0" collapsed="false">
      <c r="A159" s="175"/>
      <c r="B159" s="178"/>
      <c r="C159" s="179"/>
      <c r="D159" s="179"/>
      <c r="E159" s="180"/>
      <c r="F159" s="181"/>
      <c r="G159" s="175"/>
      <c r="H159" s="176"/>
      <c r="I159" s="166"/>
      <c r="J159" s="166"/>
      <c r="K159" s="166"/>
      <c r="L159" s="166"/>
      <c r="M159" s="167"/>
      <c r="N159" s="168"/>
      <c r="O159" s="175"/>
      <c r="P159" s="176"/>
      <c r="Q159" s="166"/>
      <c r="R159" s="166"/>
      <c r="S159" s="166"/>
      <c r="T159" s="166"/>
      <c r="U159" s="167"/>
      <c r="V159" s="168"/>
      <c r="W159" s="175"/>
      <c r="X159" s="176"/>
      <c r="Y159" s="166"/>
      <c r="Z159" s="166"/>
      <c r="AA159" s="166"/>
      <c r="AB159" s="166"/>
      <c r="AC159" s="167"/>
      <c r="AE159" s="175"/>
      <c r="AF159" s="177"/>
      <c r="AG159" s="170"/>
      <c r="AH159" s="170"/>
      <c r="AI159" s="170"/>
      <c r="AJ159" s="170"/>
      <c r="AK159" s="171"/>
      <c r="AM159" s="175"/>
      <c r="AN159" s="176"/>
      <c r="AO159" s="166"/>
      <c r="AP159" s="166"/>
      <c r="AQ159" s="166"/>
      <c r="AR159" s="166"/>
      <c r="AS159" s="167"/>
    </row>
    <row r="160" customFormat="false" ht="12.75" hidden="false" customHeight="false" outlineLevel="0" collapsed="false">
      <c r="A160" s="175"/>
      <c r="B160" s="178"/>
      <c r="C160" s="179"/>
      <c r="D160" s="179"/>
      <c r="E160" s="180"/>
      <c r="F160" s="181"/>
      <c r="G160" s="175"/>
      <c r="H160" s="176"/>
      <c r="I160" s="166"/>
      <c r="J160" s="166"/>
      <c r="K160" s="166"/>
      <c r="L160" s="166"/>
      <c r="M160" s="167"/>
      <c r="N160" s="168"/>
      <c r="O160" s="175"/>
      <c r="P160" s="176"/>
      <c r="Q160" s="166"/>
      <c r="R160" s="166"/>
      <c r="S160" s="166"/>
      <c r="T160" s="166"/>
      <c r="U160" s="167"/>
      <c r="V160" s="168"/>
      <c r="W160" s="175"/>
      <c r="X160" s="176"/>
      <c r="Y160" s="166"/>
      <c r="Z160" s="166"/>
      <c r="AA160" s="166"/>
      <c r="AB160" s="166"/>
      <c r="AC160" s="167"/>
      <c r="AE160" s="175"/>
      <c r="AF160" s="177"/>
      <c r="AG160" s="170"/>
      <c r="AH160" s="170"/>
      <c r="AI160" s="170"/>
      <c r="AJ160" s="170"/>
      <c r="AK160" s="171"/>
      <c r="AM160" s="175"/>
      <c r="AN160" s="176"/>
      <c r="AO160" s="166"/>
      <c r="AP160" s="166"/>
      <c r="AQ160" s="166"/>
      <c r="AR160" s="166"/>
      <c r="AS160" s="167"/>
    </row>
    <row r="161" customFormat="false" ht="12.75" hidden="false" customHeight="false" outlineLevel="0" collapsed="false">
      <c r="A161" s="175"/>
      <c r="B161" s="178"/>
      <c r="C161" s="179"/>
      <c r="D161" s="179"/>
      <c r="E161" s="180"/>
      <c r="F161" s="181"/>
      <c r="G161" s="175"/>
      <c r="H161" s="176"/>
      <c r="I161" s="166"/>
      <c r="J161" s="166"/>
      <c r="K161" s="166"/>
      <c r="L161" s="166"/>
      <c r="M161" s="167"/>
      <c r="N161" s="168"/>
      <c r="O161" s="175"/>
      <c r="P161" s="176"/>
      <c r="Q161" s="166"/>
      <c r="R161" s="166"/>
      <c r="S161" s="166"/>
      <c r="T161" s="166"/>
      <c r="U161" s="167"/>
      <c r="V161" s="168"/>
      <c r="W161" s="175"/>
      <c r="X161" s="176"/>
      <c r="Y161" s="166"/>
      <c r="Z161" s="166"/>
      <c r="AA161" s="166"/>
      <c r="AB161" s="166"/>
      <c r="AC161" s="167"/>
      <c r="AE161" s="175"/>
      <c r="AF161" s="177"/>
      <c r="AG161" s="170"/>
      <c r="AH161" s="170"/>
      <c r="AI161" s="170"/>
      <c r="AJ161" s="170"/>
      <c r="AK161" s="171"/>
      <c r="AM161" s="175"/>
      <c r="AN161" s="176"/>
      <c r="AO161" s="166"/>
      <c r="AP161" s="166"/>
      <c r="AQ161" s="166"/>
      <c r="AR161" s="166"/>
      <c r="AS161" s="167"/>
    </row>
    <row r="162" customFormat="false" ht="12.75" hidden="false" customHeight="false" outlineLevel="0" collapsed="false">
      <c r="A162" s="175"/>
      <c r="B162" s="178"/>
      <c r="C162" s="179"/>
      <c r="D162" s="179"/>
      <c r="E162" s="180"/>
      <c r="F162" s="181"/>
      <c r="G162" s="175"/>
      <c r="H162" s="176"/>
      <c r="I162" s="166"/>
      <c r="J162" s="166"/>
      <c r="K162" s="166"/>
      <c r="L162" s="166"/>
      <c r="M162" s="167"/>
      <c r="N162" s="168"/>
      <c r="O162" s="175"/>
      <c r="P162" s="176"/>
      <c r="Q162" s="166"/>
      <c r="R162" s="166"/>
      <c r="S162" s="166"/>
      <c r="T162" s="166"/>
      <c r="U162" s="167"/>
      <c r="V162" s="168"/>
      <c r="W162" s="175"/>
      <c r="X162" s="176"/>
      <c r="Y162" s="166"/>
      <c r="Z162" s="166"/>
      <c r="AA162" s="166"/>
      <c r="AB162" s="166"/>
      <c r="AC162" s="167"/>
      <c r="AE162" s="175"/>
      <c r="AF162" s="177"/>
      <c r="AG162" s="170"/>
      <c r="AH162" s="170"/>
      <c r="AI162" s="170"/>
      <c r="AJ162" s="170"/>
      <c r="AK162" s="171"/>
      <c r="AM162" s="175"/>
      <c r="AN162" s="176"/>
      <c r="AO162" s="166"/>
      <c r="AP162" s="166"/>
      <c r="AQ162" s="166"/>
      <c r="AR162" s="166"/>
      <c r="AS162" s="167"/>
    </row>
    <row r="163" customFormat="false" ht="12.75" hidden="false" customHeight="false" outlineLevel="0" collapsed="false">
      <c r="A163" s="175"/>
      <c r="B163" s="178"/>
      <c r="C163" s="179"/>
      <c r="D163" s="179"/>
      <c r="E163" s="180"/>
      <c r="F163" s="181"/>
      <c r="G163" s="175"/>
      <c r="H163" s="176"/>
      <c r="I163" s="166"/>
      <c r="J163" s="166"/>
      <c r="K163" s="166"/>
      <c r="L163" s="166"/>
      <c r="M163" s="167"/>
      <c r="N163" s="168"/>
      <c r="O163" s="175"/>
      <c r="P163" s="176"/>
      <c r="Q163" s="166"/>
      <c r="R163" s="166"/>
      <c r="S163" s="166"/>
      <c r="T163" s="166"/>
      <c r="U163" s="167"/>
      <c r="V163" s="168"/>
      <c r="W163" s="175"/>
      <c r="X163" s="176"/>
      <c r="Y163" s="166"/>
      <c r="Z163" s="166"/>
      <c r="AA163" s="166"/>
      <c r="AB163" s="166"/>
      <c r="AC163" s="167"/>
      <c r="AE163" s="175"/>
      <c r="AF163" s="177"/>
      <c r="AG163" s="170"/>
      <c r="AH163" s="170"/>
      <c r="AI163" s="170"/>
      <c r="AJ163" s="170"/>
      <c r="AK163" s="171"/>
      <c r="AM163" s="175"/>
      <c r="AN163" s="176"/>
      <c r="AO163" s="166"/>
      <c r="AP163" s="166"/>
      <c r="AQ163" s="166"/>
      <c r="AR163" s="166"/>
      <c r="AS163" s="167"/>
    </row>
    <row r="164" customFormat="false" ht="12.75" hidden="false" customHeight="false" outlineLevel="0" collapsed="false">
      <c r="A164" s="175"/>
      <c r="B164" s="178"/>
      <c r="C164" s="179"/>
      <c r="D164" s="179"/>
      <c r="E164" s="180"/>
      <c r="F164" s="181"/>
      <c r="G164" s="175"/>
      <c r="H164" s="176"/>
      <c r="I164" s="166"/>
      <c r="J164" s="166"/>
      <c r="K164" s="166"/>
      <c r="L164" s="166"/>
      <c r="M164" s="167"/>
      <c r="N164" s="168"/>
      <c r="O164" s="175"/>
      <c r="P164" s="176"/>
      <c r="Q164" s="166"/>
      <c r="R164" s="166"/>
      <c r="S164" s="166"/>
      <c r="T164" s="166"/>
      <c r="U164" s="167"/>
      <c r="V164" s="168"/>
      <c r="W164" s="175"/>
      <c r="X164" s="176"/>
      <c r="Y164" s="166"/>
      <c r="Z164" s="166"/>
      <c r="AA164" s="166"/>
      <c r="AB164" s="166"/>
      <c r="AC164" s="167"/>
      <c r="AE164" s="175"/>
      <c r="AF164" s="177"/>
      <c r="AG164" s="170"/>
      <c r="AH164" s="170"/>
      <c r="AI164" s="170"/>
      <c r="AJ164" s="170"/>
      <c r="AK164" s="171"/>
      <c r="AM164" s="175"/>
      <c r="AN164" s="176"/>
      <c r="AO164" s="166"/>
      <c r="AP164" s="166"/>
      <c r="AQ164" s="166"/>
      <c r="AR164" s="166"/>
      <c r="AS164" s="167"/>
    </row>
    <row r="165" customFormat="false" ht="12.75" hidden="false" customHeight="false" outlineLevel="0" collapsed="false">
      <c r="A165" s="175"/>
      <c r="B165" s="178"/>
      <c r="C165" s="179"/>
      <c r="D165" s="179"/>
      <c r="E165" s="180"/>
      <c r="F165" s="181"/>
      <c r="G165" s="175"/>
      <c r="H165" s="176"/>
      <c r="I165" s="166"/>
      <c r="J165" s="166"/>
      <c r="K165" s="166"/>
      <c r="L165" s="166"/>
      <c r="M165" s="167"/>
      <c r="N165" s="168"/>
      <c r="O165" s="175"/>
      <c r="P165" s="176"/>
      <c r="Q165" s="166"/>
      <c r="R165" s="166"/>
      <c r="S165" s="166"/>
      <c r="T165" s="166"/>
      <c r="U165" s="167"/>
      <c r="V165" s="168"/>
      <c r="W165" s="175"/>
      <c r="X165" s="176"/>
      <c r="Y165" s="166"/>
      <c r="Z165" s="166"/>
      <c r="AA165" s="166"/>
      <c r="AB165" s="166"/>
      <c r="AC165" s="167"/>
      <c r="AE165" s="175"/>
      <c r="AF165" s="177"/>
      <c r="AG165" s="170"/>
      <c r="AH165" s="170"/>
      <c r="AI165" s="170"/>
      <c r="AJ165" s="170"/>
      <c r="AK165" s="171"/>
      <c r="AM165" s="175"/>
      <c r="AN165" s="176"/>
      <c r="AO165" s="166"/>
      <c r="AP165" s="166"/>
      <c r="AQ165" s="166"/>
      <c r="AR165" s="166"/>
      <c r="AS165" s="167"/>
    </row>
    <row r="166" customFormat="false" ht="12.75" hidden="false" customHeight="false" outlineLevel="0" collapsed="false">
      <c r="A166" s="175"/>
      <c r="B166" s="178"/>
      <c r="C166" s="179"/>
      <c r="D166" s="179"/>
      <c r="E166" s="180"/>
      <c r="F166" s="181"/>
      <c r="G166" s="175"/>
      <c r="H166" s="176"/>
      <c r="I166" s="166"/>
      <c r="J166" s="166"/>
      <c r="K166" s="166"/>
      <c r="L166" s="166"/>
      <c r="M166" s="167"/>
      <c r="N166" s="168"/>
      <c r="O166" s="175"/>
      <c r="P166" s="176"/>
      <c r="Q166" s="166"/>
      <c r="R166" s="166"/>
      <c r="S166" s="166"/>
      <c r="T166" s="166"/>
      <c r="U166" s="167"/>
      <c r="V166" s="168"/>
      <c r="W166" s="175"/>
      <c r="X166" s="176"/>
      <c r="Y166" s="166"/>
      <c r="Z166" s="166"/>
      <c r="AA166" s="166"/>
      <c r="AB166" s="166"/>
      <c r="AC166" s="167"/>
      <c r="AE166" s="175"/>
      <c r="AF166" s="177"/>
      <c r="AG166" s="170"/>
      <c r="AH166" s="170"/>
      <c r="AI166" s="170"/>
      <c r="AJ166" s="170"/>
      <c r="AK166" s="171"/>
      <c r="AM166" s="175"/>
      <c r="AN166" s="176"/>
      <c r="AO166" s="166"/>
      <c r="AP166" s="166"/>
      <c r="AQ166" s="166"/>
      <c r="AR166" s="166"/>
      <c r="AS166" s="167"/>
    </row>
    <row r="167" customFormat="false" ht="12.75" hidden="false" customHeight="false" outlineLevel="0" collapsed="false">
      <c r="A167" s="175"/>
      <c r="B167" s="178"/>
      <c r="C167" s="179"/>
      <c r="D167" s="179"/>
      <c r="E167" s="180"/>
      <c r="F167" s="181"/>
      <c r="G167" s="175"/>
      <c r="H167" s="176"/>
      <c r="I167" s="166"/>
      <c r="J167" s="166"/>
      <c r="K167" s="166"/>
      <c r="L167" s="166"/>
      <c r="M167" s="167"/>
      <c r="N167" s="168"/>
      <c r="O167" s="175"/>
      <c r="P167" s="176"/>
      <c r="Q167" s="166"/>
      <c r="R167" s="166"/>
      <c r="S167" s="166"/>
      <c r="T167" s="166"/>
      <c r="U167" s="167"/>
      <c r="V167" s="168"/>
      <c r="W167" s="175"/>
      <c r="X167" s="176"/>
      <c r="Y167" s="166"/>
      <c r="Z167" s="166"/>
      <c r="AA167" s="166"/>
      <c r="AB167" s="166"/>
      <c r="AC167" s="167"/>
      <c r="AE167" s="175"/>
      <c r="AF167" s="177"/>
      <c r="AG167" s="170"/>
      <c r="AH167" s="170"/>
      <c r="AI167" s="170"/>
      <c r="AJ167" s="170"/>
      <c r="AK167" s="171"/>
      <c r="AM167" s="175"/>
      <c r="AN167" s="176"/>
      <c r="AO167" s="166"/>
      <c r="AP167" s="166"/>
      <c r="AQ167" s="166"/>
      <c r="AR167" s="166"/>
      <c r="AS167" s="167"/>
    </row>
    <row r="168" customFormat="false" ht="12.75" hidden="false" customHeight="false" outlineLevel="0" collapsed="false">
      <c r="A168" s="175"/>
      <c r="B168" s="178"/>
      <c r="C168" s="179"/>
      <c r="D168" s="179"/>
      <c r="E168" s="180"/>
      <c r="F168" s="181"/>
      <c r="G168" s="175"/>
      <c r="H168" s="176"/>
      <c r="I168" s="166"/>
      <c r="J168" s="166"/>
      <c r="K168" s="166"/>
      <c r="L168" s="166"/>
      <c r="M168" s="167"/>
      <c r="N168" s="168"/>
      <c r="O168" s="175"/>
      <c r="P168" s="176"/>
      <c r="Q168" s="166"/>
      <c r="R168" s="166"/>
      <c r="S168" s="166"/>
      <c r="T168" s="166"/>
      <c r="U168" s="167"/>
      <c r="V168" s="168"/>
      <c r="W168" s="175"/>
      <c r="X168" s="176"/>
      <c r="Y168" s="166"/>
      <c r="Z168" s="166"/>
      <c r="AA168" s="166"/>
      <c r="AB168" s="166"/>
      <c r="AC168" s="167"/>
      <c r="AE168" s="175"/>
      <c r="AF168" s="177"/>
      <c r="AG168" s="170"/>
      <c r="AH168" s="170"/>
      <c r="AI168" s="170"/>
      <c r="AJ168" s="170"/>
      <c r="AK168" s="171"/>
      <c r="AM168" s="175"/>
      <c r="AN168" s="176"/>
      <c r="AO168" s="166"/>
      <c r="AP168" s="166"/>
      <c r="AQ168" s="166"/>
      <c r="AR168" s="166"/>
      <c r="AS168" s="167"/>
    </row>
    <row r="169" customFormat="false" ht="12.75" hidden="false" customHeight="false" outlineLevel="0" collapsed="false">
      <c r="A169" s="175"/>
      <c r="B169" s="178"/>
      <c r="C169" s="179"/>
      <c r="D169" s="179"/>
      <c r="E169" s="180"/>
      <c r="F169" s="181"/>
      <c r="G169" s="175"/>
      <c r="H169" s="176"/>
      <c r="I169" s="166"/>
      <c r="J169" s="166"/>
      <c r="K169" s="166"/>
      <c r="L169" s="166"/>
      <c r="M169" s="167"/>
      <c r="N169" s="168"/>
      <c r="O169" s="175"/>
      <c r="P169" s="176"/>
      <c r="Q169" s="166"/>
      <c r="R169" s="166"/>
      <c r="S169" s="166"/>
      <c r="T169" s="166"/>
      <c r="U169" s="167"/>
      <c r="V169" s="168"/>
      <c r="W169" s="175"/>
      <c r="X169" s="176"/>
      <c r="Y169" s="166"/>
      <c r="Z169" s="166"/>
      <c r="AA169" s="166"/>
      <c r="AB169" s="166"/>
      <c r="AC169" s="167"/>
      <c r="AE169" s="175"/>
      <c r="AF169" s="177"/>
      <c r="AG169" s="170"/>
      <c r="AH169" s="170"/>
      <c r="AI169" s="170"/>
      <c r="AJ169" s="170"/>
      <c r="AK169" s="171"/>
      <c r="AM169" s="175"/>
      <c r="AN169" s="176"/>
      <c r="AO169" s="166"/>
      <c r="AP169" s="166"/>
      <c r="AQ169" s="166"/>
      <c r="AR169" s="166"/>
      <c r="AS169" s="167"/>
    </row>
    <row r="170" customFormat="false" ht="12.75" hidden="false" customHeight="false" outlineLevel="0" collapsed="false">
      <c r="A170" s="175"/>
      <c r="B170" s="178"/>
      <c r="C170" s="179"/>
      <c r="D170" s="179"/>
      <c r="E170" s="180"/>
      <c r="F170" s="181"/>
      <c r="G170" s="175"/>
      <c r="H170" s="176"/>
      <c r="I170" s="166"/>
      <c r="J170" s="166"/>
      <c r="K170" s="166"/>
      <c r="L170" s="166"/>
      <c r="M170" s="167"/>
      <c r="N170" s="168"/>
      <c r="O170" s="175"/>
      <c r="P170" s="176"/>
      <c r="Q170" s="166"/>
      <c r="R170" s="166"/>
      <c r="S170" s="166"/>
      <c r="T170" s="166"/>
      <c r="U170" s="167"/>
      <c r="V170" s="168"/>
      <c r="W170" s="175"/>
      <c r="X170" s="176"/>
      <c r="Y170" s="166"/>
      <c r="Z170" s="166"/>
      <c r="AA170" s="166"/>
      <c r="AB170" s="166"/>
      <c r="AC170" s="167"/>
      <c r="AE170" s="175"/>
      <c r="AF170" s="177"/>
      <c r="AG170" s="170"/>
      <c r="AH170" s="170"/>
      <c r="AI170" s="170"/>
      <c r="AJ170" s="170"/>
      <c r="AK170" s="171"/>
      <c r="AM170" s="175"/>
      <c r="AN170" s="176"/>
      <c r="AO170" s="166"/>
      <c r="AP170" s="166"/>
      <c r="AQ170" s="166"/>
      <c r="AR170" s="166"/>
      <c r="AS170" s="167"/>
    </row>
    <row r="171" customFormat="false" ht="12.75" hidden="false" customHeight="false" outlineLevel="0" collapsed="false">
      <c r="A171" s="175"/>
      <c r="B171" s="178"/>
      <c r="C171" s="179"/>
      <c r="D171" s="179"/>
      <c r="E171" s="180"/>
      <c r="F171" s="181"/>
      <c r="G171" s="175"/>
      <c r="H171" s="176"/>
      <c r="I171" s="166"/>
      <c r="J171" s="166"/>
      <c r="K171" s="166"/>
      <c r="L171" s="166"/>
      <c r="M171" s="167"/>
      <c r="N171" s="168"/>
      <c r="O171" s="175"/>
      <c r="P171" s="176"/>
      <c r="Q171" s="166"/>
      <c r="R171" s="166"/>
      <c r="S171" s="166"/>
      <c r="T171" s="166"/>
      <c r="U171" s="167"/>
      <c r="V171" s="168"/>
      <c r="W171" s="175"/>
      <c r="X171" s="176"/>
      <c r="Y171" s="166"/>
      <c r="Z171" s="166"/>
      <c r="AA171" s="166"/>
      <c r="AB171" s="166"/>
      <c r="AC171" s="167"/>
      <c r="AE171" s="175"/>
      <c r="AF171" s="177"/>
      <c r="AG171" s="170"/>
      <c r="AH171" s="170"/>
      <c r="AI171" s="170"/>
      <c r="AJ171" s="170"/>
      <c r="AK171" s="171"/>
      <c r="AM171" s="175"/>
      <c r="AN171" s="176"/>
      <c r="AO171" s="166"/>
      <c r="AP171" s="166"/>
      <c r="AQ171" s="166"/>
      <c r="AR171" s="166"/>
      <c r="AS171" s="167"/>
    </row>
    <row r="172" customFormat="false" ht="12.75" hidden="false" customHeight="false" outlineLevel="0" collapsed="false">
      <c r="A172" s="175"/>
      <c r="B172" s="178"/>
      <c r="C172" s="179"/>
      <c r="D172" s="179"/>
      <c r="E172" s="180"/>
      <c r="F172" s="181"/>
      <c r="G172" s="175"/>
      <c r="H172" s="176"/>
      <c r="I172" s="166"/>
      <c r="J172" s="166"/>
      <c r="K172" s="166"/>
      <c r="L172" s="166"/>
      <c r="M172" s="167"/>
      <c r="N172" s="168"/>
      <c r="O172" s="175"/>
      <c r="P172" s="176"/>
      <c r="Q172" s="166"/>
      <c r="R172" s="166"/>
      <c r="S172" s="166"/>
      <c r="T172" s="166"/>
      <c r="U172" s="167"/>
      <c r="V172" s="168"/>
      <c r="W172" s="175"/>
      <c r="X172" s="176"/>
      <c r="Y172" s="166"/>
      <c r="Z172" s="166"/>
      <c r="AA172" s="166"/>
      <c r="AB172" s="166"/>
      <c r="AC172" s="167"/>
      <c r="AE172" s="175"/>
      <c r="AF172" s="177"/>
      <c r="AG172" s="170"/>
      <c r="AH172" s="170"/>
      <c r="AI172" s="170"/>
      <c r="AJ172" s="170"/>
      <c r="AK172" s="171"/>
      <c r="AM172" s="175"/>
      <c r="AN172" s="176"/>
      <c r="AO172" s="166"/>
      <c r="AP172" s="166"/>
      <c r="AQ172" s="166"/>
      <c r="AR172" s="166"/>
      <c r="AS172" s="167"/>
    </row>
    <row r="173" customFormat="false" ht="12.75" hidden="false" customHeight="false" outlineLevel="0" collapsed="false">
      <c r="A173" s="175"/>
      <c r="B173" s="178"/>
      <c r="C173" s="179"/>
      <c r="D173" s="179"/>
      <c r="E173" s="180"/>
      <c r="F173" s="181"/>
      <c r="G173" s="175"/>
      <c r="H173" s="176"/>
      <c r="I173" s="166"/>
      <c r="J173" s="166"/>
      <c r="K173" s="166"/>
      <c r="L173" s="166"/>
      <c r="M173" s="167"/>
      <c r="N173" s="168"/>
      <c r="O173" s="175"/>
      <c r="P173" s="176"/>
      <c r="Q173" s="166"/>
      <c r="R173" s="166"/>
      <c r="S173" s="166"/>
      <c r="T173" s="166"/>
      <c r="U173" s="167"/>
      <c r="V173" s="168"/>
      <c r="W173" s="175"/>
      <c r="X173" s="176"/>
      <c r="Y173" s="166"/>
      <c r="Z173" s="166"/>
      <c r="AA173" s="166"/>
      <c r="AB173" s="166"/>
      <c r="AC173" s="167"/>
      <c r="AE173" s="175"/>
      <c r="AF173" s="177"/>
      <c r="AG173" s="170"/>
      <c r="AH173" s="170"/>
      <c r="AI173" s="170"/>
      <c r="AJ173" s="170"/>
      <c r="AK173" s="171"/>
      <c r="AM173" s="175"/>
      <c r="AN173" s="176"/>
      <c r="AO173" s="166"/>
      <c r="AP173" s="166"/>
      <c r="AQ173" s="166"/>
      <c r="AR173" s="166"/>
      <c r="AS173" s="167"/>
    </row>
    <row r="174" customFormat="false" ht="12.75" hidden="false" customHeight="false" outlineLevel="0" collapsed="false">
      <c r="A174" s="175"/>
      <c r="B174" s="178"/>
      <c r="C174" s="179"/>
      <c r="D174" s="179"/>
      <c r="E174" s="180"/>
      <c r="F174" s="181"/>
      <c r="G174" s="175"/>
      <c r="H174" s="176"/>
      <c r="I174" s="166"/>
      <c r="J174" s="166"/>
      <c r="K174" s="166"/>
      <c r="L174" s="166"/>
      <c r="M174" s="167"/>
      <c r="N174" s="168"/>
      <c r="O174" s="175"/>
      <c r="P174" s="176"/>
      <c r="Q174" s="166"/>
      <c r="R174" s="166"/>
      <c r="S174" s="166"/>
      <c r="T174" s="166"/>
      <c r="U174" s="167"/>
      <c r="V174" s="168"/>
      <c r="W174" s="175"/>
      <c r="X174" s="176"/>
      <c r="Y174" s="166"/>
      <c r="Z174" s="166"/>
      <c r="AA174" s="166"/>
      <c r="AB174" s="166"/>
      <c r="AC174" s="167"/>
      <c r="AE174" s="175"/>
      <c r="AF174" s="177"/>
      <c r="AG174" s="170"/>
      <c r="AH174" s="170"/>
      <c r="AI174" s="170"/>
      <c r="AJ174" s="170"/>
      <c r="AK174" s="171"/>
      <c r="AM174" s="175"/>
      <c r="AN174" s="176"/>
      <c r="AO174" s="166"/>
      <c r="AP174" s="166"/>
      <c r="AQ174" s="166"/>
      <c r="AR174" s="166"/>
      <c r="AS174" s="167"/>
    </row>
    <row r="175" customFormat="false" ht="12.75" hidden="false" customHeight="false" outlineLevel="0" collapsed="false">
      <c r="A175" s="175"/>
      <c r="B175" s="178"/>
      <c r="C175" s="179"/>
      <c r="D175" s="179"/>
      <c r="E175" s="180"/>
      <c r="F175" s="181"/>
      <c r="G175" s="175"/>
      <c r="H175" s="176"/>
      <c r="I175" s="166"/>
      <c r="J175" s="166"/>
      <c r="K175" s="166"/>
      <c r="L175" s="166"/>
      <c r="M175" s="167"/>
      <c r="N175" s="168"/>
      <c r="O175" s="175"/>
      <c r="P175" s="176"/>
      <c r="Q175" s="166"/>
      <c r="R175" s="166"/>
      <c r="S175" s="166"/>
      <c r="T175" s="166"/>
      <c r="U175" s="167"/>
      <c r="V175" s="168"/>
      <c r="W175" s="175"/>
      <c r="X175" s="176"/>
      <c r="Y175" s="166"/>
      <c r="Z175" s="166"/>
      <c r="AA175" s="166"/>
      <c r="AB175" s="166"/>
      <c r="AC175" s="167"/>
      <c r="AE175" s="175"/>
      <c r="AF175" s="177"/>
      <c r="AG175" s="170"/>
      <c r="AH175" s="170"/>
      <c r="AI175" s="170"/>
      <c r="AJ175" s="170"/>
      <c r="AK175" s="171"/>
      <c r="AM175" s="175"/>
      <c r="AN175" s="176"/>
      <c r="AO175" s="166"/>
      <c r="AP175" s="166"/>
      <c r="AQ175" s="166"/>
      <c r="AR175" s="166"/>
      <c r="AS175" s="167"/>
    </row>
    <row r="176" customFormat="false" ht="12.75" hidden="false" customHeight="false" outlineLevel="0" collapsed="false">
      <c r="A176" s="175"/>
      <c r="B176" s="178"/>
      <c r="C176" s="179"/>
      <c r="D176" s="179"/>
      <c r="E176" s="180"/>
      <c r="F176" s="181"/>
      <c r="G176" s="175"/>
      <c r="H176" s="176"/>
      <c r="I176" s="166"/>
      <c r="J176" s="166"/>
      <c r="K176" s="166"/>
      <c r="L176" s="166"/>
      <c r="M176" s="167"/>
      <c r="N176" s="168"/>
      <c r="O176" s="175"/>
      <c r="P176" s="176"/>
      <c r="Q176" s="166"/>
      <c r="R176" s="166"/>
      <c r="S176" s="166"/>
      <c r="T176" s="166"/>
      <c r="U176" s="167"/>
      <c r="V176" s="168"/>
      <c r="W176" s="175"/>
      <c r="X176" s="176"/>
      <c r="Y176" s="166"/>
      <c r="Z176" s="166"/>
      <c r="AA176" s="166"/>
      <c r="AB176" s="166"/>
      <c r="AC176" s="167"/>
      <c r="AE176" s="175"/>
      <c r="AF176" s="177"/>
      <c r="AG176" s="170"/>
      <c r="AH176" s="170"/>
      <c r="AI176" s="170"/>
      <c r="AJ176" s="170"/>
      <c r="AK176" s="171"/>
      <c r="AM176" s="175"/>
      <c r="AN176" s="176"/>
      <c r="AO176" s="166"/>
      <c r="AP176" s="166"/>
      <c r="AQ176" s="166"/>
      <c r="AR176" s="166"/>
      <c r="AS176" s="167"/>
    </row>
    <row r="177" customFormat="false" ht="12.75" hidden="false" customHeight="false" outlineLevel="0" collapsed="false">
      <c r="A177" s="175"/>
      <c r="B177" s="178"/>
      <c r="C177" s="179"/>
      <c r="D177" s="179"/>
      <c r="E177" s="180"/>
      <c r="F177" s="181"/>
      <c r="G177" s="175"/>
      <c r="H177" s="176"/>
      <c r="I177" s="166"/>
      <c r="J177" s="166"/>
      <c r="K177" s="166"/>
      <c r="L177" s="166"/>
      <c r="M177" s="167"/>
      <c r="N177" s="168"/>
      <c r="O177" s="175"/>
      <c r="P177" s="176"/>
      <c r="Q177" s="166"/>
      <c r="R177" s="166"/>
      <c r="S177" s="166"/>
      <c r="T177" s="166"/>
      <c r="U177" s="167"/>
      <c r="V177" s="168"/>
      <c r="W177" s="175"/>
      <c r="X177" s="176"/>
      <c r="Y177" s="166"/>
      <c r="Z177" s="166"/>
      <c r="AA177" s="166"/>
      <c r="AB177" s="166"/>
      <c r="AC177" s="167"/>
      <c r="AE177" s="175"/>
      <c r="AF177" s="177"/>
      <c r="AG177" s="170"/>
      <c r="AH177" s="170"/>
      <c r="AI177" s="170"/>
      <c r="AJ177" s="170"/>
      <c r="AK177" s="171"/>
      <c r="AM177" s="175"/>
      <c r="AN177" s="176"/>
      <c r="AO177" s="166"/>
      <c r="AP177" s="166"/>
      <c r="AQ177" s="166"/>
      <c r="AR177" s="166"/>
      <c r="AS177" s="167"/>
    </row>
    <row r="178" customFormat="false" ht="12.75" hidden="false" customHeight="false" outlineLevel="0" collapsed="false">
      <c r="A178" s="175"/>
      <c r="B178" s="178"/>
      <c r="C178" s="179"/>
      <c r="D178" s="179"/>
      <c r="E178" s="180"/>
      <c r="F178" s="181"/>
      <c r="G178" s="175"/>
      <c r="H178" s="176"/>
      <c r="I178" s="166"/>
      <c r="J178" s="166"/>
      <c r="K178" s="166"/>
      <c r="L178" s="166"/>
      <c r="M178" s="167"/>
      <c r="N178" s="168"/>
      <c r="O178" s="175"/>
      <c r="P178" s="176"/>
      <c r="Q178" s="166"/>
      <c r="R178" s="166"/>
      <c r="S178" s="166"/>
      <c r="T178" s="166"/>
      <c r="U178" s="167"/>
      <c r="V178" s="168"/>
      <c r="W178" s="175"/>
      <c r="X178" s="176"/>
      <c r="Y178" s="166"/>
      <c r="Z178" s="166"/>
      <c r="AA178" s="166"/>
      <c r="AB178" s="166"/>
      <c r="AC178" s="167"/>
      <c r="AE178" s="175"/>
      <c r="AF178" s="177"/>
      <c r="AG178" s="170"/>
      <c r="AH178" s="170"/>
      <c r="AI178" s="170"/>
      <c r="AJ178" s="170"/>
      <c r="AK178" s="171"/>
      <c r="AM178" s="175"/>
      <c r="AN178" s="176"/>
      <c r="AO178" s="166"/>
      <c r="AP178" s="166"/>
      <c r="AQ178" s="166"/>
      <c r="AR178" s="166"/>
      <c r="AS178" s="167"/>
    </row>
    <row r="179" customFormat="false" ht="12.75" hidden="false" customHeight="false" outlineLevel="0" collapsed="false">
      <c r="A179" s="175"/>
      <c r="B179" s="178"/>
      <c r="C179" s="179"/>
      <c r="D179" s="179"/>
      <c r="E179" s="180"/>
      <c r="F179" s="181"/>
      <c r="G179" s="175"/>
      <c r="H179" s="176"/>
      <c r="I179" s="166"/>
      <c r="J179" s="166"/>
      <c r="K179" s="166"/>
      <c r="L179" s="166"/>
      <c r="M179" s="167"/>
      <c r="N179" s="168"/>
      <c r="O179" s="175"/>
      <c r="P179" s="176"/>
      <c r="Q179" s="166"/>
      <c r="R179" s="166"/>
      <c r="S179" s="166"/>
      <c r="T179" s="166"/>
      <c r="U179" s="167"/>
      <c r="V179" s="168"/>
      <c r="W179" s="175"/>
      <c r="X179" s="176"/>
      <c r="Y179" s="166"/>
      <c r="Z179" s="166"/>
      <c r="AA179" s="166"/>
      <c r="AB179" s="166"/>
      <c r="AC179" s="167"/>
      <c r="AE179" s="175"/>
      <c r="AF179" s="177"/>
      <c r="AG179" s="170"/>
      <c r="AH179" s="170"/>
      <c r="AI179" s="170"/>
      <c r="AJ179" s="170"/>
      <c r="AK179" s="171"/>
      <c r="AM179" s="175"/>
      <c r="AN179" s="176"/>
      <c r="AO179" s="166"/>
      <c r="AP179" s="166"/>
      <c r="AQ179" s="166"/>
      <c r="AR179" s="166"/>
      <c r="AS179" s="167"/>
    </row>
    <row r="180" customFormat="false" ht="12.75" hidden="false" customHeight="false" outlineLevel="0" collapsed="false">
      <c r="A180" s="175"/>
      <c r="B180" s="178"/>
      <c r="C180" s="179"/>
      <c r="D180" s="179"/>
      <c r="E180" s="180"/>
      <c r="F180" s="181"/>
      <c r="G180" s="175"/>
      <c r="H180" s="176"/>
      <c r="I180" s="166"/>
      <c r="J180" s="166"/>
      <c r="K180" s="166"/>
      <c r="L180" s="166"/>
      <c r="M180" s="167"/>
      <c r="N180" s="168"/>
      <c r="O180" s="175"/>
      <c r="P180" s="176"/>
      <c r="Q180" s="166"/>
      <c r="R180" s="166"/>
      <c r="S180" s="166"/>
      <c r="T180" s="166"/>
      <c r="U180" s="167"/>
      <c r="V180" s="168"/>
      <c r="W180" s="175"/>
      <c r="X180" s="176"/>
      <c r="Y180" s="166"/>
      <c r="Z180" s="166"/>
      <c r="AA180" s="166"/>
      <c r="AB180" s="166"/>
      <c r="AC180" s="167"/>
      <c r="AE180" s="175"/>
      <c r="AF180" s="177"/>
      <c r="AG180" s="170"/>
      <c r="AH180" s="170"/>
      <c r="AI180" s="170"/>
      <c r="AJ180" s="170"/>
      <c r="AK180" s="171"/>
      <c r="AM180" s="175"/>
      <c r="AN180" s="176"/>
      <c r="AO180" s="166"/>
      <c r="AP180" s="166"/>
      <c r="AQ180" s="166"/>
      <c r="AR180" s="166"/>
      <c r="AS180" s="167"/>
    </row>
    <row r="181" customFormat="false" ht="12.75" hidden="false" customHeight="false" outlineLevel="0" collapsed="false">
      <c r="A181" s="175"/>
      <c r="B181" s="178"/>
      <c r="C181" s="179"/>
      <c r="D181" s="179"/>
      <c r="E181" s="180"/>
      <c r="F181" s="181"/>
      <c r="G181" s="175"/>
      <c r="H181" s="176"/>
      <c r="I181" s="166"/>
      <c r="J181" s="166"/>
      <c r="K181" s="166"/>
      <c r="L181" s="166"/>
      <c r="M181" s="167"/>
      <c r="N181" s="168"/>
      <c r="O181" s="175"/>
      <c r="P181" s="176"/>
      <c r="Q181" s="166"/>
      <c r="R181" s="166"/>
      <c r="S181" s="166"/>
      <c r="T181" s="166"/>
      <c r="U181" s="167"/>
      <c r="V181" s="168"/>
      <c r="W181" s="175"/>
      <c r="X181" s="176"/>
      <c r="Y181" s="166"/>
      <c r="Z181" s="166"/>
      <c r="AA181" s="166"/>
      <c r="AB181" s="166"/>
      <c r="AC181" s="167"/>
      <c r="AE181" s="175"/>
      <c r="AF181" s="177"/>
      <c r="AG181" s="170"/>
      <c r="AH181" s="170"/>
      <c r="AI181" s="170"/>
      <c r="AJ181" s="170"/>
      <c r="AK181" s="171"/>
      <c r="AM181" s="175"/>
      <c r="AN181" s="176"/>
      <c r="AO181" s="166"/>
      <c r="AP181" s="166"/>
      <c r="AQ181" s="166"/>
      <c r="AR181" s="166"/>
      <c r="AS181" s="167"/>
    </row>
    <row r="182" customFormat="false" ht="12.75" hidden="false" customHeight="false" outlineLevel="0" collapsed="false">
      <c r="A182" s="175"/>
      <c r="B182" s="178"/>
      <c r="C182" s="179"/>
      <c r="D182" s="179"/>
      <c r="E182" s="180"/>
      <c r="F182" s="181"/>
      <c r="G182" s="175"/>
      <c r="H182" s="176"/>
      <c r="I182" s="166"/>
      <c r="J182" s="166"/>
      <c r="K182" s="166"/>
      <c r="L182" s="166"/>
      <c r="M182" s="167"/>
      <c r="N182" s="168"/>
      <c r="O182" s="175"/>
      <c r="P182" s="176"/>
      <c r="Q182" s="166"/>
      <c r="R182" s="166"/>
      <c r="S182" s="166"/>
      <c r="T182" s="166"/>
      <c r="U182" s="167"/>
      <c r="V182" s="168"/>
      <c r="W182" s="175"/>
      <c r="X182" s="176"/>
      <c r="Y182" s="166"/>
      <c r="Z182" s="166"/>
      <c r="AA182" s="166"/>
      <c r="AB182" s="166"/>
      <c r="AC182" s="167"/>
      <c r="AE182" s="175"/>
      <c r="AF182" s="177"/>
      <c r="AG182" s="170"/>
      <c r="AH182" s="170"/>
      <c r="AI182" s="170"/>
      <c r="AJ182" s="170"/>
      <c r="AK182" s="171"/>
      <c r="AM182" s="175"/>
      <c r="AN182" s="176"/>
      <c r="AO182" s="166"/>
      <c r="AP182" s="166"/>
      <c r="AQ182" s="166"/>
      <c r="AR182" s="166"/>
      <c r="AS182" s="167"/>
    </row>
    <row r="183" customFormat="false" ht="12.75" hidden="false" customHeight="false" outlineLevel="0" collapsed="false">
      <c r="A183" s="175"/>
      <c r="B183" s="178"/>
      <c r="C183" s="179"/>
      <c r="D183" s="179"/>
      <c r="E183" s="180"/>
      <c r="F183" s="181"/>
      <c r="G183" s="175"/>
      <c r="H183" s="176"/>
      <c r="I183" s="166"/>
      <c r="J183" s="166"/>
      <c r="K183" s="166"/>
      <c r="L183" s="166"/>
      <c r="M183" s="167"/>
      <c r="N183" s="168"/>
      <c r="O183" s="175"/>
      <c r="P183" s="176"/>
      <c r="Q183" s="166"/>
      <c r="R183" s="166"/>
      <c r="S183" s="166"/>
      <c r="T183" s="166"/>
      <c r="U183" s="167"/>
      <c r="V183" s="168"/>
      <c r="W183" s="175"/>
      <c r="X183" s="176"/>
      <c r="Y183" s="166"/>
      <c r="Z183" s="166"/>
      <c r="AA183" s="166"/>
      <c r="AB183" s="166"/>
      <c r="AC183" s="167"/>
      <c r="AE183" s="175"/>
      <c r="AF183" s="177"/>
      <c r="AG183" s="170"/>
      <c r="AH183" s="170"/>
      <c r="AI183" s="170"/>
      <c r="AJ183" s="170"/>
      <c r="AK183" s="171"/>
      <c r="AM183" s="175"/>
      <c r="AN183" s="176"/>
      <c r="AO183" s="166"/>
      <c r="AP183" s="166"/>
      <c r="AQ183" s="166"/>
      <c r="AR183" s="166"/>
      <c r="AS183" s="167"/>
    </row>
    <row r="184" customFormat="false" ht="12.75" hidden="false" customHeight="false" outlineLevel="0" collapsed="false">
      <c r="A184" s="175"/>
      <c r="B184" s="178"/>
      <c r="C184" s="179"/>
      <c r="D184" s="179"/>
      <c r="E184" s="180"/>
      <c r="F184" s="181"/>
      <c r="G184" s="175"/>
      <c r="H184" s="176"/>
      <c r="I184" s="166"/>
      <c r="J184" s="166"/>
      <c r="K184" s="166"/>
      <c r="L184" s="166"/>
      <c r="M184" s="167"/>
      <c r="N184" s="168"/>
      <c r="O184" s="175"/>
      <c r="P184" s="176"/>
      <c r="Q184" s="166"/>
      <c r="R184" s="166"/>
      <c r="S184" s="166"/>
      <c r="T184" s="166"/>
      <c r="U184" s="167"/>
      <c r="V184" s="168"/>
      <c r="W184" s="175"/>
      <c r="X184" s="176"/>
      <c r="Y184" s="166"/>
      <c r="Z184" s="166"/>
      <c r="AA184" s="166"/>
      <c r="AB184" s="166"/>
      <c r="AC184" s="167"/>
      <c r="AE184" s="175"/>
      <c r="AF184" s="177"/>
      <c r="AG184" s="170"/>
      <c r="AH184" s="170"/>
      <c r="AI184" s="170"/>
      <c r="AJ184" s="170"/>
      <c r="AK184" s="171"/>
      <c r="AM184" s="175"/>
      <c r="AN184" s="176"/>
      <c r="AO184" s="166"/>
      <c r="AP184" s="166"/>
      <c r="AQ184" s="166"/>
      <c r="AR184" s="166"/>
      <c r="AS184" s="167"/>
    </row>
    <row r="185" customFormat="false" ht="12.75" hidden="false" customHeight="false" outlineLevel="0" collapsed="false">
      <c r="A185" s="175"/>
      <c r="B185" s="178"/>
      <c r="C185" s="179"/>
      <c r="D185" s="179"/>
      <c r="E185" s="180"/>
      <c r="F185" s="181"/>
      <c r="G185" s="175"/>
      <c r="H185" s="176"/>
      <c r="I185" s="166"/>
      <c r="J185" s="166"/>
      <c r="K185" s="166"/>
      <c r="L185" s="166"/>
      <c r="M185" s="167"/>
      <c r="N185" s="168"/>
      <c r="O185" s="175"/>
      <c r="P185" s="176"/>
      <c r="Q185" s="166"/>
      <c r="R185" s="166"/>
      <c r="S185" s="166"/>
      <c r="T185" s="166"/>
      <c r="U185" s="167"/>
      <c r="V185" s="168"/>
      <c r="W185" s="175"/>
      <c r="X185" s="176"/>
      <c r="Y185" s="166"/>
      <c r="Z185" s="166"/>
      <c r="AA185" s="166"/>
      <c r="AB185" s="166"/>
      <c r="AC185" s="167"/>
      <c r="AE185" s="175"/>
      <c r="AF185" s="177"/>
      <c r="AG185" s="170"/>
      <c r="AH185" s="170"/>
      <c r="AI185" s="170"/>
      <c r="AJ185" s="170"/>
      <c r="AK185" s="171"/>
      <c r="AM185" s="175"/>
      <c r="AN185" s="176"/>
      <c r="AO185" s="166"/>
      <c r="AP185" s="166"/>
      <c r="AQ185" s="166"/>
      <c r="AR185" s="166"/>
      <c r="AS185" s="167"/>
    </row>
    <row r="186" customFormat="false" ht="12.75" hidden="false" customHeight="false" outlineLevel="0" collapsed="false">
      <c r="A186" s="175"/>
      <c r="B186" s="178"/>
      <c r="C186" s="179"/>
      <c r="D186" s="179"/>
      <c r="E186" s="180"/>
      <c r="F186" s="181"/>
      <c r="G186" s="175"/>
      <c r="H186" s="176"/>
      <c r="I186" s="166"/>
      <c r="J186" s="166"/>
      <c r="K186" s="166"/>
      <c r="L186" s="166"/>
      <c r="M186" s="167"/>
      <c r="N186" s="168"/>
      <c r="O186" s="175"/>
      <c r="P186" s="176"/>
      <c r="Q186" s="166"/>
      <c r="R186" s="166"/>
      <c r="S186" s="166"/>
      <c r="T186" s="166"/>
      <c r="U186" s="167"/>
      <c r="V186" s="168"/>
      <c r="W186" s="175"/>
      <c r="X186" s="176"/>
      <c r="Y186" s="166"/>
      <c r="Z186" s="166"/>
      <c r="AA186" s="166"/>
      <c r="AB186" s="166"/>
      <c r="AC186" s="167"/>
      <c r="AE186" s="175"/>
      <c r="AF186" s="177"/>
      <c r="AG186" s="170"/>
      <c r="AH186" s="170"/>
      <c r="AI186" s="170"/>
      <c r="AJ186" s="170"/>
      <c r="AK186" s="171"/>
      <c r="AM186" s="175"/>
      <c r="AN186" s="176"/>
      <c r="AO186" s="166"/>
      <c r="AP186" s="166"/>
      <c r="AQ186" s="166"/>
      <c r="AR186" s="166"/>
      <c r="AS186" s="167"/>
    </row>
    <row r="187" customFormat="false" ht="12.75" hidden="false" customHeight="false" outlineLevel="0" collapsed="false">
      <c r="A187" s="175"/>
      <c r="B187" s="178"/>
      <c r="C187" s="179"/>
      <c r="D187" s="179"/>
      <c r="E187" s="180"/>
      <c r="F187" s="181"/>
      <c r="G187" s="175"/>
      <c r="H187" s="176"/>
      <c r="I187" s="166"/>
      <c r="J187" s="166"/>
      <c r="K187" s="166"/>
      <c r="L187" s="166"/>
      <c r="M187" s="167"/>
      <c r="N187" s="168"/>
      <c r="O187" s="175"/>
      <c r="P187" s="176"/>
      <c r="Q187" s="166"/>
      <c r="R187" s="166"/>
      <c r="S187" s="166"/>
      <c r="T187" s="166"/>
      <c r="U187" s="167"/>
      <c r="V187" s="168"/>
      <c r="W187" s="175"/>
      <c r="X187" s="176"/>
      <c r="Y187" s="166"/>
      <c r="Z187" s="166"/>
      <c r="AA187" s="166"/>
      <c r="AB187" s="166"/>
      <c r="AC187" s="167"/>
      <c r="AE187" s="175"/>
      <c r="AF187" s="177"/>
      <c r="AG187" s="170"/>
      <c r="AH187" s="170"/>
      <c r="AI187" s="170"/>
      <c r="AJ187" s="170"/>
      <c r="AK187" s="171"/>
      <c r="AM187" s="175"/>
      <c r="AN187" s="176"/>
      <c r="AO187" s="166"/>
      <c r="AP187" s="166"/>
      <c r="AQ187" s="166"/>
      <c r="AR187" s="166"/>
      <c r="AS187" s="167"/>
    </row>
    <row r="188" customFormat="false" ht="12.75" hidden="false" customHeight="false" outlineLevel="0" collapsed="false">
      <c r="A188" s="175"/>
      <c r="B188" s="178"/>
      <c r="C188" s="179"/>
      <c r="D188" s="179"/>
      <c r="E188" s="180"/>
      <c r="F188" s="181"/>
      <c r="G188" s="175"/>
      <c r="H188" s="176"/>
      <c r="I188" s="166"/>
      <c r="J188" s="166"/>
      <c r="K188" s="166"/>
      <c r="L188" s="166"/>
      <c r="M188" s="167"/>
      <c r="N188" s="168"/>
      <c r="O188" s="175"/>
      <c r="P188" s="176"/>
      <c r="Q188" s="166"/>
      <c r="R188" s="166"/>
      <c r="S188" s="166"/>
      <c r="T188" s="166"/>
      <c r="U188" s="167"/>
      <c r="V188" s="168"/>
      <c r="W188" s="175"/>
      <c r="X188" s="176"/>
      <c r="Y188" s="166"/>
      <c r="Z188" s="166"/>
      <c r="AA188" s="166"/>
      <c r="AB188" s="166"/>
      <c r="AC188" s="167"/>
      <c r="AE188" s="175"/>
      <c r="AF188" s="177"/>
      <c r="AG188" s="170"/>
      <c r="AH188" s="170"/>
      <c r="AI188" s="170"/>
      <c r="AJ188" s="170"/>
      <c r="AK188" s="171"/>
      <c r="AM188" s="175"/>
      <c r="AN188" s="176"/>
      <c r="AO188" s="166"/>
      <c r="AP188" s="166"/>
      <c r="AQ188" s="166"/>
      <c r="AR188" s="166"/>
      <c r="AS188" s="167"/>
    </row>
    <row r="189" customFormat="false" ht="12.75" hidden="false" customHeight="false" outlineLevel="0" collapsed="false">
      <c r="A189" s="175"/>
      <c r="B189" s="178"/>
      <c r="C189" s="179"/>
      <c r="D189" s="179"/>
      <c r="E189" s="180"/>
      <c r="F189" s="181"/>
      <c r="G189" s="175"/>
      <c r="H189" s="176"/>
      <c r="I189" s="166"/>
      <c r="J189" s="166"/>
      <c r="K189" s="166"/>
      <c r="L189" s="166"/>
      <c r="M189" s="167"/>
      <c r="N189" s="168"/>
      <c r="O189" s="175"/>
      <c r="P189" s="176"/>
      <c r="Q189" s="166"/>
      <c r="R189" s="166"/>
      <c r="S189" s="166"/>
      <c r="T189" s="166"/>
      <c r="U189" s="167"/>
      <c r="V189" s="168"/>
      <c r="W189" s="175"/>
      <c r="X189" s="176"/>
      <c r="Y189" s="166"/>
      <c r="Z189" s="166"/>
      <c r="AA189" s="166"/>
      <c r="AB189" s="166"/>
      <c r="AC189" s="167"/>
      <c r="AE189" s="175"/>
      <c r="AF189" s="177"/>
      <c r="AG189" s="170"/>
      <c r="AH189" s="170"/>
      <c r="AI189" s="170"/>
      <c r="AJ189" s="170"/>
      <c r="AK189" s="171"/>
      <c r="AM189" s="175"/>
      <c r="AN189" s="176"/>
      <c r="AO189" s="166"/>
      <c r="AP189" s="166"/>
      <c r="AQ189" s="166"/>
      <c r="AR189" s="166"/>
      <c r="AS189" s="167"/>
    </row>
    <row r="190" customFormat="false" ht="12.75" hidden="false" customHeight="false" outlineLevel="0" collapsed="false">
      <c r="A190" s="175"/>
      <c r="B190" s="178"/>
      <c r="C190" s="179"/>
      <c r="D190" s="179"/>
      <c r="E190" s="180"/>
      <c r="F190" s="181"/>
      <c r="G190" s="175"/>
      <c r="H190" s="176"/>
      <c r="I190" s="166"/>
      <c r="J190" s="166"/>
      <c r="K190" s="166"/>
      <c r="L190" s="166"/>
      <c r="M190" s="167"/>
      <c r="N190" s="168"/>
      <c r="O190" s="175"/>
      <c r="P190" s="176"/>
      <c r="Q190" s="166"/>
      <c r="R190" s="166"/>
      <c r="S190" s="166"/>
      <c r="T190" s="166"/>
      <c r="U190" s="167"/>
      <c r="V190" s="168"/>
      <c r="W190" s="175"/>
      <c r="X190" s="176"/>
      <c r="Y190" s="166"/>
      <c r="Z190" s="166"/>
      <c r="AA190" s="166"/>
      <c r="AB190" s="166"/>
      <c r="AC190" s="167"/>
      <c r="AE190" s="175"/>
      <c r="AF190" s="177"/>
      <c r="AG190" s="170"/>
      <c r="AH190" s="170"/>
      <c r="AI190" s="170"/>
      <c r="AJ190" s="170"/>
      <c r="AK190" s="171"/>
      <c r="AM190" s="175"/>
      <c r="AN190" s="176"/>
      <c r="AO190" s="166"/>
      <c r="AP190" s="166"/>
      <c r="AQ190" s="166"/>
      <c r="AR190" s="166"/>
      <c r="AS190" s="167"/>
    </row>
    <row r="191" customFormat="false" ht="12.75" hidden="false" customHeight="false" outlineLevel="0" collapsed="false">
      <c r="A191" s="175"/>
      <c r="B191" s="178"/>
      <c r="C191" s="179"/>
      <c r="D191" s="179"/>
      <c r="E191" s="180"/>
      <c r="F191" s="181"/>
      <c r="G191" s="175"/>
      <c r="H191" s="176"/>
      <c r="I191" s="166"/>
      <c r="J191" s="166"/>
      <c r="K191" s="166"/>
      <c r="L191" s="166"/>
      <c r="M191" s="167"/>
      <c r="N191" s="168"/>
      <c r="O191" s="175"/>
      <c r="P191" s="176"/>
      <c r="Q191" s="166"/>
      <c r="R191" s="166"/>
      <c r="S191" s="166"/>
      <c r="T191" s="166"/>
      <c r="U191" s="167"/>
      <c r="V191" s="168"/>
      <c r="W191" s="175"/>
      <c r="X191" s="176"/>
      <c r="Y191" s="166"/>
      <c r="Z191" s="166"/>
      <c r="AA191" s="166"/>
      <c r="AB191" s="166"/>
      <c r="AC191" s="167"/>
      <c r="AE191" s="175"/>
      <c r="AF191" s="177"/>
      <c r="AG191" s="170"/>
      <c r="AH191" s="170"/>
      <c r="AI191" s="170"/>
      <c r="AJ191" s="170"/>
      <c r="AK191" s="171"/>
      <c r="AM191" s="175"/>
      <c r="AN191" s="176"/>
      <c r="AO191" s="166"/>
      <c r="AP191" s="166"/>
      <c r="AQ191" s="166"/>
      <c r="AR191" s="166"/>
      <c r="AS191" s="167"/>
    </row>
    <row r="192" customFormat="false" ht="12.75" hidden="false" customHeight="false" outlineLevel="0" collapsed="false">
      <c r="A192" s="175"/>
      <c r="B192" s="178"/>
      <c r="C192" s="179"/>
      <c r="D192" s="179"/>
      <c r="E192" s="180"/>
      <c r="F192" s="181"/>
      <c r="G192" s="175"/>
      <c r="H192" s="176"/>
      <c r="I192" s="166"/>
      <c r="J192" s="166"/>
      <c r="K192" s="166"/>
      <c r="L192" s="166"/>
      <c r="M192" s="167"/>
      <c r="N192" s="168"/>
      <c r="O192" s="175"/>
      <c r="P192" s="176"/>
      <c r="Q192" s="166"/>
      <c r="R192" s="166"/>
      <c r="S192" s="166"/>
      <c r="T192" s="166"/>
      <c r="U192" s="167"/>
      <c r="V192" s="168"/>
      <c r="W192" s="175"/>
      <c r="X192" s="176"/>
      <c r="Y192" s="166"/>
      <c r="Z192" s="166"/>
      <c r="AA192" s="166"/>
      <c r="AB192" s="166"/>
      <c r="AC192" s="167"/>
      <c r="AE192" s="175"/>
      <c r="AF192" s="177"/>
      <c r="AG192" s="170"/>
      <c r="AH192" s="170"/>
      <c r="AI192" s="170"/>
      <c r="AJ192" s="170"/>
      <c r="AK192" s="171"/>
      <c r="AM192" s="175"/>
      <c r="AN192" s="176"/>
      <c r="AO192" s="166"/>
      <c r="AP192" s="166"/>
      <c r="AQ192" s="166"/>
      <c r="AR192" s="166"/>
      <c r="AS192" s="167"/>
    </row>
    <row r="193" customFormat="false" ht="12.75" hidden="false" customHeight="false" outlineLevel="0" collapsed="false">
      <c r="A193" s="175"/>
      <c r="B193" s="178"/>
      <c r="C193" s="179"/>
      <c r="D193" s="179"/>
      <c r="E193" s="180"/>
      <c r="F193" s="181"/>
      <c r="G193" s="175"/>
      <c r="H193" s="176"/>
      <c r="I193" s="166"/>
      <c r="J193" s="166"/>
      <c r="K193" s="166"/>
      <c r="L193" s="166"/>
      <c r="M193" s="167"/>
      <c r="N193" s="168"/>
      <c r="O193" s="175"/>
      <c r="P193" s="176"/>
      <c r="Q193" s="166"/>
      <c r="R193" s="166"/>
      <c r="S193" s="166"/>
      <c r="T193" s="166"/>
      <c r="U193" s="167"/>
      <c r="V193" s="168"/>
      <c r="W193" s="175"/>
      <c r="X193" s="176"/>
      <c r="Y193" s="166"/>
      <c r="Z193" s="166"/>
      <c r="AA193" s="166"/>
      <c r="AB193" s="166"/>
      <c r="AC193" s="167"/>
      <c r="AE193" s="175"/>
      <c r="AF193" s="177"/>
      <c r="AG193" s="170"/>
      <c r="AH193" s="170"/>
      <c r="AI193" s="170"/>
      <c r="AJ193" s="170"/>
      <c r="AK193" s="171"/>
      <c r="AM193" s="175"/>
      <c r="AN193" s="176"/>
      <c r="AO193" s="166"/>
      <c r="AP193" s="166"/>
      <c r="AQ193" s="166"/>
      <c r="AR193" s="166"/>
      <c r="AS193" s="167"/>
    </row>
    <row r="194" customFormat="false" ht="12.75" hidden="false" customHeight="false" outlineLevel="0" collapsed="false">
      <c r="A194" s="175"/>
      <c r="B194" s="178"/>
      <c r="C194" s="179"/>
      <c r="D194" s="179"/>
      <c r="E194" s="180"/>
      <c r="F194" s="181"/>
      <c r="G194" s="175"/>
      <c r="H194" s="176"/>
      <c r="I194" s="166"/>
      <c r="J194" s="166"/>
      <c r="K194" s="166"/>
      <c r="L194" s="166"/>
      <c r="M194" s="167"/>
      <c r="N194" s="168"/>
      <c r="O194" s="175"/>
      <c r="P194" s="176"/>
      <c r="Q194" s="166"/>
      <c r="R194" s="166"/>
      <c r="S194" s="166"/>
      <c r="T194" s="166"/>
      <c r="U194" s="167"/>
      <c r="V194" s="168"/>
      <c r="W194" s="175"/>
      <c r="X194" s="176"/>
      <c r="Y194" s="166"/>
      <c r="Z194" s="166"/>
      <c r="AA194" s="166"/>
      <c r="AB194" s="166"/>
      <c r="AC194" s="167"/>
      <c r="AE194" s="175"/>
      <c r="AF194" s="177"/>
      <c r="AG194" s="170"/>
      <c r="AH194" s="170"/>
      <c r="AI194" s="170"/>
      <c r="AJ194" s="170"/>
      <c r="AK194" s="171"/>
      <c r="AM194" s="175"/>
      <c r="AN194" s="176"/>
      <c r="AO194" s="166"/>
      <c r="AP194" s="166"/>
      <c r="AQ194" s="166"/>
      <c r="AR194" s="166"/>
      <c r="AS194" s="167"/>
    </row>
    <row r="195" customFormat="false" ht="12.75" hidden="false" customHeight="false" outlineLevel="0" collapsed="false">
      <c r="A195" s="175"/>
      <c r="B195" s="178"/>
      <c r="C195" s="179"/>
      <c r="D195" s="179"/>
      <c r="E195" s="180"/>
      <c r="F195" s="181"/>
      <c r="G195" s="175"/>
      <c r="H195" s="176"/>
      <c r="I195" s="166"/>
      <c r="J195" s="166"/>
      <c r="K195" s="166"/>
      <c r="L195" s="166"/>
      <c r="M195" s="167"/>
      <c r="N195" s="168"/>
      <c r="O195" s="175"/>
      <c r="P195" s="176"/>
      <c r="Q195" s="166"/>
      <c r="R195" s="166"/>
      <c r="S195" s="166"/>
      <c r="T195" s="166"/>
      <c r="U195" s="167"/>
      <c r="V195" s="168"/>
      <c r="W195" s="175"/>
      <c r="X195" s="176"/>
      <c r="Y195" s="166"/>
      <c r="Z195" s="166"/>
      <c r="AA195" s="166"/>
      <c r="AB195" s="166"/>
      <c r="AC195" s="167"/>
      <c r="AE195" s="175"/>
      <c r="AF195" s="177"/>
      <c r="AG195" s="170"/>
      <c r="AH195" s="170"/>
      <c r="AI195" s="170"/>
      <c r="AJ195" s="170"/>
      <c r="AK195" s="171"/>
      <c r="AM195" s="175"/>
      <c r="AN195" s="176"/>
      <c r="AO195" s="166"/>
      <c r="AP195" s="166"/>
      <c r="AQ195" s="166"/>
      <c r="AR195" s="166"/>
      <c r="AS195" s="167"/>
    </row>
    <row r="196" customFormat="false" ht="12.75" hidden="false" customHeight="false" outlineLevel="0" collapsed="false">
      <c r="A196" s="182"/>
      <c r="B196" s="183"/>
      <c r="C196" s="184"/>
      <c r="D196" s="184"/>
      <c r="E196" s="185"/>
      <c r="F196" s="181"/>
      <c r="G196" s="182"/>
      <c r="H196" s="186"/>
      <c r="I196" s="187"/>
      <c r="J196" s="187"/>
      <c r="K196" s="187"/>
      <c r="L196" s="187"/>
      <c r="M196" s="188"/>
      <c r="N196" s="168"/>
      <c r="O196" s="182"/>
      <c r="P196" s="186"/>
      <c r="Q196" s="187"/>
      <c r="R196" s="187"/>
      <c r="S196" s="187"/>
      <c r="T196" s="187"/>
      <c r="U196" s="188"/>
      <c r="V196" s="168"/>
      <c r="W196" s="182"/>
      <c r="X196" s="186"/>
      <c r="Y196" s="187"/>
      <c r="Z196" s="187"/>
      <c r="AA196" s="187"/>
      <c r="AB196" s="187"/>
      <c r="AC196" s="188"/>
      <c r="AE196" s="182"/>
      <c r="AF196" s="189"/>
      <c r="AG196" s="190"/>
      <c r="AH196" s="190"/>
      <c r="AI196" s="190"/>
      <c r="AJ196" s="190"/>
      <c r="AK196" s="191"/>
      <c r="AM196" s="182"/>
      <c r="AN196" s="186"/>
      <c r="AO196" s="187"/>
      <c r="AP196" s="187"/>
      <c r="AQ196" s="187"/>
      <c r="AR196" s="187"/>
      <c r="AS196" s="188"/>
    </row>
    <row r="197" customFormat="false" ht="12.75" hidden="false" customHeight="false" outlineLevel="0" collapsed="false">
      <c r="B197" s="192"/>
      <c r="C197" s="192"/>
      <c r="D197" s="192"/>
      <c r="E197" s="192"/>
      <c r="F197" s="192"/>
    </row>
    <row r="198" customFormat="false" ht="12.75" hidden="false" customHeight="false" outlineLevel="0" collapsed="false">
      <c r="B198" s="192"/>
      <c r="C198" s="192"/>
      <c r="D198" s="192"/>
      <c r="E198" s="192"/>
      <c r="F198" s="192"/>
    </row>
    <row r="199" customFormat="false" ht="12.75" hidden="false" customHeight="false" outlineLevel="0" collapsed="false">
      <c r="B199" s="192"/>
      <c r="C199" s="192"/>
      <c r="D199" s="192"/>
      <c r="E199" s="192"/>
      <c r="F199" s="192"/>
    </row>
    <row r="200" customFormat="false" ht="12.75" hidden="false" customHeight="false" outlineLevel="0" collapsed="false">
      <c r="B200" s="192"/>
      <c r="C200" s="192"/>
      <c r="D200" s="192"/>
      <c r="E200" s="192"/>
      <c r="F200" s="192"/>
    </row>
    <row r="201" customFormat="false" ht="12.75" hidden="false" customHeight="false" outlineLevel="0" collapsed="false">
      <c r="B201" s="192"/>
      <c r="C201" s="192"/>
      <c r="D201" s="192"/>
      <c r="E201" s="192"/>
      <c r="F201" s="192"/>
    </row>
    <row r="202" customFormat="false" ht="12.75" hidden="false" customHeight="false" outlineLevel="0" collapsed="false">
      <c r="B202" s="192"/>
      <c r="C202" s="192"/>
      <c r="D202" s="192"/>
      <c r="E202" s="192"/>
      <c r="F202" s="192"/>
    </row>
    <row r="203" customFormat="false" ht="12.75" hidden="false" customHeight="false" outlineLevel="0" collapsed="false">
      <c r="B203" s="192"/>
      <c r="C203" s="192"/>
      <c r="D203" s="192"/>
      <c r="E203" s="192"/>
      <c r="F203" s="192"/>
    </row>
    <row r="204" customFormat="false" ht="12.75" hidden="false" customHeight="false" outlineLevel="0" collapsed="false">
      <c r="B204" s="192"/>
      <c r="C204" s="192"/>
      <c r="D204" s="192"/>
      <c r="E204" s="192"/>
      <c r="F204" s="192"/>
    </row>
    <row r="205" customFormat="false" ht="12.75" hidden="false" customHeight="false" outlineLevel="0" collapsed="false">
      <c r="B205" s="192"/>
      <c r="C205" s="192"/>
      <c r="D205" s="192"/>
      <c r="E205" s="192"/>
      <c r="F205" s="192"/>
    </row>
    <row r="206" customFormat="false" ht="12.75" hidden="false" customHeight="false" outlineLevel="0" collapsed="false">
      <c r="B206" s="192"/>
      <c r="C206" s="192"/>
      <c r="D206" s="192"/>
      <c r="E206" s="192"/>
      <c r="F206" s="192"/>
    </row>
    <row r="207" customFormat="false" ht="12.75" hidden="false" customHeight="false" outlineLevel="0" collapsed="false">
      <c r="B207" s="192"/>
      <c r="C207" s="192"/>
      <c r="D207" s="192"/>
      <c r="E207" s="192"/>
      <c r="F207" s="192"/>
    </row>
    <row r="208" customFormat="false" ht="12.75" hidden="false" customHeight="false" outlineLevel="0" collapsed="false">
      <c r="B208" s="192"/>
      <c r="C208" s="192"/>
      <c r="D208" s="192"/>
      <c r="E208" s="192"/>
      <c r="F208" s="192"/>
    </row>
    <row r="209" customFormat="false" ht="12.75" hidden="false" customHeight="false" outlineLevel="0" collapsed="false">
      <c r="B209" s="192"/>
      <c r="C209" s="192"/>
      <c r="D209" s="192"/>
      <c r="E209" s="192"/>
      <c r="F209" s="192"/>
    </row>
    <row r="210" customFormat="false" ht="12.75" hidden="false" customHeight="false" outlineLevel="0" collapsed="false">
      <c r="B210" s="192"/>
      <c r="C210" s="192"/>
      <c r="D210" s="192"/>
      <c r="E210" s="192"/>
      <c r="F210" s="192"/>
    </row>
    <row r="211" customFormat="false" ht="12.75" hidden="false" customHeight="false" outlineLevel="0" collapsed="false">
      <c r="B211" s="192"/>
      <c r="C211" s="192"/>
      <c r="D211" s="192"/>
      <c r="E211" s="192"/>
      <c r="F211" s="192"/>
    </row>
    <row r="212" customFormat="false" ht="12.75" hidden="false" customHeight="false" outlineLevel="0" collapsed="false">
      <c r="B212" s="192"/>
      <c r="C212" s="192"/>
      <c r="D212" s="192"/>
      <c r="E212" s="192"/>
      <c r="F212" s="19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K64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6" activeCellId="0" sqref="A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28"/>
    <col collapsed="false" customWidth="true" hidden="false" outlineLevel="0" max="2" min="2" style="0" width="12.7"/>
    <col collapsed="false" customWidth="true" hidden="false" outlineLevel="0" max="6" min="3" style="0" width="16.13"/>
    <col collapsed="false" customWidth="true" hidden="false" outlineLevel="0" max="8" min="7" style="0" width="15.13"/>
  </cols>
  <sheetData>
    <row r="2" customFormat="false" ht="12.75" hidden="false" customHeight="false" outlineLevel="0" collapsed="false">
      <c r="A2" s="121" t="s">
        <v>40</v>
      </c>
      <c r="B2" s="16"/>
      <c r="C2" s="16"/>
      <c r="D2" s="16"/>
      <c r="E2" s="16"/>
      <c r="F2" s="16"/>
      <c r="G2" s="16"/>
      <c r="H2" s="17"/>
    </row>
    <row r="3" customFormat="false" ht="12.75" hidden="false" customHeight="false" outlineLevel="0" collapsed="false">
      <c r="A3" s="193"/>
      <c r="B3" s="193"/>
      <c r="C3" s="193"/>
      <c r="D3" s="193"/>
      <c r="E3" s="193"/>
      <c r="F3" s="193"/>
      <c r="G3" s="193"/>
      <c r="H3" s="193"/>
      <c r="I3" s="43"/>
      <c r="J3" s="43"/>
      <c r="K3" s="43"/>
    </row>
    <row r="4" customFormat="false" ht="12.75" hidden="false" customHeight="false" outlineLevel="0" collapsed="false">
      <c r="A4" s="193"/>
      <c r="B4" s="193"/>
      <c r="C4" s="193" t="n">
        <v>1</v>
      </c>
      <c r="D4" s="193" t="n">
        <f aca="false">+C4+1</f>
        <v>2</v>
      </c>
      <c r="E4" s="193" t="n">
        <f aca="false">+D4+1</f>
        <v>3</v>
      </c>
      <c r="F4" s="193" t="n">
        <f aca="false">+E4+1</f>
        <v>4</v>
      </c>
      <c r="G4" s="193" t="n">
        <f aca="false">+F4+1</f>
        <v>5</v>
      </c>
      <c r="H4" s="193" t="n">
        <f aca="false">+G4+1</f>
        <v>6</v>
      </c>
      <c r="I4" s="43"/>
      <c r="J4" s="43"/>
      <c r="K4" s="43"/>
    </row>
    <row r="5" customFormat="false" ht="12.75" hidden="false" customHeight="false" outlineLevel="0" collapsed="false">
      <c r="A5" s="194" t="s">
        <v>41</v>
      </c>
      <c r="B5" s="131"/>
      <c r="C5" s="131" t="s">
        <v>11</v>
      </c>
      <c r="D5" s="131" t="s">
        <v>12</v>
      </c>
      <c r="E5" s="131"/>
      <c r="F5" s="131"/>
      <c r="G5" s="131"/>
      <c r="H5" s="132"/>
      <c r="I5" s="43"/>
      <c r="J5" s="43"/>
      <c r="K5" s="43"/>
    </row>
    <row r="6" customFormat="false" ht="12.75" hidden="false" customHeight="false" outlineLevel="0" collapsed="false">
      <c r="A6" s="195" t="s">
        <v>42</v>
      </c>
      <c r="B6" s="196" t="s">
        <v>43</v>
      </c>
      <c r="C6" s="136" t="n">
        <f aca="false">+C4</f>
        <v>1</v>
      </c>
      <c r="D6" s="136" t="n">
        <f aca="false">+D4</f>
        <v>2</v>
      </c>
      <c r="E6" s="136" t="n">
        <f aca="false">+E4</f>
        <v>3</v>
      </c>
      <c r="F6" s="136" t="n">
        <f aca="false">+F4</f>
        <v>4</v>
      </c>
      <c r="G6" s="136" t="n">
        <f aca="false">+G4</f>
        <v>5</v>
      </c>
      <c r="H6" s="136" t="n">
        <f aca="false">+H4</f>
        <v>6</v>
      </c>
      <c r="I6" s="43"/>
      <c r="J6" s="43"/>
      <c r="K6" s="43"/>
    </row>
    <row r="7" customFormat="false" ht="12.75" hidden="false" customHeight="false" outlineLevel="0" collapsed="false">
      <c r="A7" s="197" t="s">
        <v>44</v>
      </c>
      <c r="B7" s="198" t="s">
        <v>45</v>
      </c>
      <c r="C7" s="199" t="n">
        <f aca="false">+C8*23.3</f>
        <v>2041266.4</v>
      </c>
      <c r="D7" s="200" t="n">
        <f aca="false">+D8*23.3</f>
        <v>3215400</v>
      </c>
      <c r="E7" s="201"/>
      <c r="F7" s="201"/>
      <c r="G7" s="200"/>
      <c r="H7" s="142"/>
      <c r="I7" s="43"/>
      <c r="J7" s="43"/>
      <c r="K7" s="43"/>
    </row>
    <row r="8" customFormat="false" ht="18.75" hidden="false" customHeight="false" outlineLevel="0" collapsed="false">
      <c r="A8" s="202" t="s">
        <v>46</v>
      </c>
      <c r="B8" s="203" t="s">
        <v>47</v>
      </c>
      <c r="C8" s="204" t="n">
        <v>87608</v>
      </c>
      <c r="D8" s="205" t="n">
        <v>138000</v>
      </c>
      <c r="E8" s="206"/>
      <c r="F8" s="206"/>
      <c r="G8" s="160"/>
      <c r="H8" s="161"/>
      <c r="I8" s="43"/>
      <c r="J8" s="43"/>
      <c r="K8" s="43"/>
    </row>
    <row r="9" customFormat="false" ht="12.75" hidden="false" customHeight="false" outlineLevel="0" collapsed="false">
      <c r="A9" s="202" t="s">
        <v>48</v>
      </c>
      <c r="B9" s="203" t="s">
        <v>49</v>
      </c>
      <c r="C9" s="207" t="n">
        <v>17.5</v>
      </c>
      <c r="D9" s="208" t="n">
        <v>18.4</v>
      </c>
      <c r="E9" s="208"/>
      <c r="F9" s="208"/>
      <c r="G9" s="208"/>
      <c r="H9" s="209"/>
      <c r="I9" s="43"/>
      <c r="J9" s="43"/>
      <c r="K9" s="43"/>
    </row>
    <row r="10" customFormat="false" ht="12.75" hidden="false" customHeight="false" outlineLevel="0" collapsed="false">
      <c r="A10" s="202" t="s">
        <v>50</v>
      </c>
      <c r="B10" s="203" t="s">
        <v>51</v>
      </c>
      <c r="C10" s="210" t="n">
        <f aca="false">+C9*24</f>
        <v>420</v>
      </c>
      <c r="D10" s="211" t="n">
        <f aca="false">+D9*24</f>
        <v>441.6</v>
      </c>
      <c r="E10" s="208" t="n">
        <f aca="false">+ROUTES!E5/SHIPS!C10</f>
        <v>28.0285714285714</v>
      </c>
      <c r="F10" s="208" t="n">
        <f aca="false">+E10+C13+1</f>
        <v>30.0285714285714</v>
      </c>
      <c r="G10" s="208"/>
      <c r="H10" s="209"/>
      <c r="I10" s="43"/>
      <c r="J10" s="43"/>
      <c r="K10" s="43"/>
    </row>
    <row r="11" customFormat="false" ht="12.75" hidden="false" customHeight="false" outlineLevel="0" collapsed="false">
      <c r="A11" s="202" t="s">
        <v>52</v>
      </c>
      <c r="B11" s="203" t="s">
        <v>53</v>
      </c>
      <c r="C11" s="212" t="n">
        <v>0.00275</v>
      </c>
      <c r="D11" s="213" t="n">
        <v>0.0015</v>
      </c>
      <c r="E11" s="213"/>
      <c r="F11" s="214"/>
      <c r="G11" s="213"/>
      <c r="H11" s="215"/>
      <c r="I11" s="43"/>
      <c r="J11" s="43"/>
      <c r="K11" s="43"/>
    </row>
    <row r="12" customFormat="false" ht="12.75" hidden="false" customHeight="false" outlineLevel="0" collapsed="false">
      <c r="A12" s="202" t="s">
        <v>54</v>
      </c>
      <c r="B12" s="203" t="s">
        <v>53</v>
      </c>
      <c r="C12" s="212"/>
      <c r="D12" s="216"/>
      <c r="E12" s="216"/>
      <c r="F12" s="216"/>
      <c r="G12" s="213"/>
      <c r="H12" s="215"/>
      <c r="I12" s="43"/>
      <c r="J12" s="43"/>
      <c r="K12" s="43"/>
    </row>
    <row r="13" customFormat="false" ht="12.75" hidden="false" customHeight="false" outlineLevel="0" collapsed="false">
      <c r="A13" s="202" t="s">
        <v>55</v>
      </c>
      <c r="B13" s="203" t="s">
        <v>56</v>
      </c>
      <c r="C13" s="204" t="n">
        <v>1</v>
      </c>
      <c r="D13" s="205" t="n">
        <v>1</v>
      </c>
      <c r="E13" s="205"/>
      <c r="F13" s="217"/>
      <c r="G13" s="205"/>
      <c r="H13" s="158"/>
      <c r="I13" s="43"/>
      <c r="J13" s="43"/>
      <c r="K13" s="43"/>
    </row>
    <row r="14" customFormat="false" ht="12.75" hidden="false" customHeight="false" outlineLevel="0" collapsed="false">
      <c r="A14" s="202" t="s">
        <v>57</v>
      </c>
      <c r="B14" s="203" t="s">
        <v>56</v>
      </c>
      <c r="C14" s="204" t="n">
        <v>2</v>
      </c>
      <c r="D14" s="205" t="n">
        <v>2</v>
      </c>
      <c r="E14" s="205"/>
      <c r="F14" s="205"/>
      <c r="G14" s="205"/>
      <c r="H14" s="158"/>
      <c r="I14" s="43"/>
      <c r="J14" s="43"/>
      <c r="K14" s="43"/>
    </row>
    <row r="15" customFormat="false" ht="12.75" hidden="false" customHeight="false" outlineLevel="0" collapsed="false">
      <c r="A15" s="202" t="s">
        <v>58</v>
      </c>
      <c r="B15" s="203" t="s">
        <v>56</v>
      </c>
      <c r="C15" s="204" t="n">
        <v>3</v>
      </c>
      <c r="D15" s="205" t="n">
        <v>3</v>
      </c>
      <c r="E15" s="205"/>
      <c r="F15" s="205"/>
      <c r="G15" s="205"/>
      <c r="H15" s="158"/>
      <c r="I15" s="43"/>
      <c r="J15" s="43"/>
      <c r="K15" s="43"/>
    </row>
    <row r="16" customFormat="false" ht="12.75" hidden="false" customHeight="false" outlineLevel="0" collapsed="false">
      <c r="A16" s="202" t="s">
        <v>59</v>
      </c>
      <c r="B16" s="203" t="s">
        <v>60</v>
      </c>
      <c r="C16" s="204" t="n">
        <v>145</v>
      </c>
      <c r="D16" s="205" t="n">
        <v>170</v>
      </c>
      <c r="E16" s="205"/>
      <c r="F16" s="205"/>
      <c r="G16" s="205"/>
      <c r="H16" s="158"/>
      <c r="I16" s="43"/>
      <c r="J16" s="43"/>
      <c r="K16" s="43"/>
    </row>
    <row r="17" customFormat="false" ht="12.75" hidden="false" customHeight="false" outlineLevel="0" collapsed="false">
      <c r="A17" s="202" t="s">
        <v>61</v>
      </c>
      <c r="B17" s="203" t="s">
        <v>60</v>
      </c>
      <c r="C17" s="204" t="n">
        <v>140</v>
      </c>
      <c r="D17" s="205" t="n">
        <v>160</v>
      </c>
      <c r="E17" s="218"/>
      <c r="F17" s="205"/>
      <c r="G17" s="205"/>
      <c r="H17" s="158"/>
      <c r="I17" s="43"/>
      <c r="J17" s="43"/>
      <c r="K17" s="43"/>
    </row>
    <row r="18" customFormat="false" ht="12.75" hidden="false" customHeight="false" outlineLevel="0" collapsed="false">
      <c r="A18" s="202" t="s">
        <v>62</v>
      </c>
      <c r="B18" s="203" t="s">
        <v>60</v>
      </c>
      <c r="C18" s="204" t="n">
        <v>40</v>
      </c>
      <c r="D18" s="205" t="n">
        <v>50</v>
      </c>
      <c r="E18" s="205"/>
      <c r="F18" s="205"/>
      <c r="G18" s="205"/>
      <c r="H18" s="158"/>
      <c r="I18" s="43"/>
      <c r="J18" s="43"/>
      <c r="K18" s="43"/>
    </row>
    <row r="19" customFormat="false" ht="12.75" hidden="false" customHeight="false" outlineLevel="0" collapsed="false">
      <c r="A19" s="202" t="s">
        <v>63</v>
      </c>
      <c r="B19" s="203" t="s">
        <v>64</v>
      </c>
      <c r="C19" s="219" t="s">
        <v>65</v>
      </c>
      <c r="D19" s="220" t="s">
        <v>65</v>
      </c>
      <c r="E19" s="220"/>
      <c r="F19" s="220"/>
      <c r="G19" s="220"/>
      <c r="H19" s="221"/>
      <c r="I19" s="43"/>
      <c r="J19" s="43"/>
      <c r="K19" s="43"/>
    </row>
    <row r="20" customFormat="false" ht="12.75" hidden="false" customHeight="false" outlineLevel="0" collapsed="false">
      <c r="A20" s="202" t="s">
        <v>66</v>
      </c>
      <c r="B20" s="203" t="s">
        <v>67</v>
      </c>
      <c r="C20" s="219" t="n">
        <v>0.53</v>
      </c>
      <c r="D20" s="220" t="n">
        <v>0.53</v>
      </c>
      <c r="E20" s="220"/>
      <c r="F20" s="220"/>
      <c r="G20" s="220"/>
      <c r="H20" s="221"/>
      <c r="I20" s="43"/>
      <c r="J20" s="43"/>
      <c r="K20" s="43"/>
    </row>
    <row r="21" customFormat="false" ht="12.75" hidden="false" customHeight="false" outlineLevel="0" collapsed="false">
      <c r="A21" s="202" t="s">
        <v>68</v>
      </c>
      <c r="B21" s="203" t="s">
        <v>69</v>
      </c>
      <c r="C21" s="219" t="n">
        <v>1</v>
      </c>
      <c r="D21" s="220" t="n">
        <v>1</v>
      </c>
      <c r="E21" s="220"/>
      <c r="F21" s="220"/>
      <c r="G21" s="220"/>
      <c r="H21" s="221"/>
      <c r="I21" s="43"/>
      <c r="J21" s="43"/>
      <c r="K21" s="43"/>
    </row>
    <row r="22" customFormat="false" ht="12.75" hidden="false" customHeight="false" outlineLevel="0" collapsed="false">
      <c r="A22" s="202"/>
      <c r="B22" s="203"/>
      <c r="C22" s="204"/>
      <c r="D22" s="205"/>
      <c r="E22" s="205"/>
      <c r="F22" s="205"/>
      <c r="G22" s="205"/>
      <c r="H22" s="158"/>
      <c r="I22" s="43"/>
      <c r="J22" s="43"/>
      <c r="K22" s="43"/>
    </row>
    <row r="23" customFormat="false" ht="12.75" hidden="false" customHeight="false" outlineLevel="0" collapsed="false">
      <c r="A23" s="222" t="s">
        <v>70</v>
      </c>
      <c r="B23" s="223"/>
      <c r="C23" s="224" t="n">
        <v>0.025</v>
      </c>
      <c r="D23" s="225" t="n">
        <f aca="false">+C23</f>
        <v>0.025</v>
      </c>
      <c r="E23" s="225" t="n">
        <f aca="false">+D23</f>
        <v>0.025</v>
      </c>
      <c r="F23" s="225" t="n">
        <f aca="false">+E23</f>
        <v>0.025</v>
      </c>
      <c r="G23" s="225" t="n">
        <f aca="false">+F23</f>
        <v>0.025</v>
      </c>
      <c r="H23" s="226" t="n">
        <f aca="false">+G23</f>
        <v>0.025</v>
      </c>
      <c r="I23" s="43"/>
      <c r="J23" s="43"/>
      <c r="K23" s="43"/>
    </row>
    <row r="24" customFormat="false" ht="12.75" hidden="false" customHeight="false" outlineLevel="0" collapsed="false">
      <c r="A24" s="121" t="s">
        <v>71</v>
      </c>
      <c r="B24" s="227" t="s">
        <v>53</v>
      </c>
      <c r="C24" s="15" t="str">
        <f aca="false">+IF(C$5="","",C$5)</f>
        <v>HG</v>
      </c>
      <c r="D24" s="15" t="str">
        <f aca="false">+IF(D$5="","",D$5)</f>
        <v>EXMAR</v>
      </c>
      <c r="E24" s="15" t="str">
        <f aca="false">+IF(E$5="","",E$5)</f>
        <v/>
      </c>
      <c r="F24" s="15" t="str">
        <f aca="false">+IF(F$5="","",F$5)</f>
        <v/>
      </c>
      <c r="G24" s="15" t="str">
        <f aca="false">+IF(G$5="","",G$5)</f>
        <v/>
      </c>
      <c r="H24" s="42" t="str">
        <f aca="false">+IF(H$5="","",H$5)</f>
        <v/>
      </c>
    </row>
    <row r="25" customFormat="false" ht="12.75" hidden="false" customHeight="false" outlineLevel="0" collapsed="false">
      <c r="A25" s="121"/>
      <c r="B25" s="227"/>
      <c r="C25" s="15" t="n">
        <f aca="false">+C6</f>
        <v>1</v>
      </c>
      <c r="D25" s="15" t="n">
        <f aca="false">+D6</f>
        <v>2</v>
      </c>
      <c r="E25" s="15" t="n">
        <f aca="false">+E6</f>
        <v>3</v>
      </c>
      <c r="F25" s="15" t="n">
        <f aca="false">+F6</f>
        <v>4</v>
      </c>
      <c r="G25" s="15" t="n">
        <f aca="false">+G6</f>
        <v>5</v>
      </c>
      <c r="H25" s="42" t="n">
        <f aca="false">+H6</f>
        <v>6</v>
      </c>
    </row>
    <row r="26" customFormat="false" ht="12.75" hidden="false" customHeight="false" outlineLevel="0" collapsed="false">
      <c r="A26" s="228" t="s">
        <v>72</v>
      </c>
      <c r="B26" s="229" t="n">
        <v>36708</v>
      </c>
      <c r="C26" s="230" t="n">
        <v>0</v>
      </c>
      <c r="D26" s="230" t="n">
        <v>0</v>
      </c>
      <c r="E26" s="230"/>
      <c r="F26" s="230"/>
      <c r="G26" s="230"/>
      <c r="H26" s="230"/>
      <c r="I26" s="43"/>
      <c r="J26" s="43"/>
      <c r="K26" s="43"/>
    </row>
    <row r="27" customFormat="false" ht="12.75" hidden="false" customHeight="false" outlineLevel="0" collapsed="false">
      <c r="A27" s="228"/>
      <c r="B27" s="231" t="n">
        <f aca="false">+DATE(YEAR(B26),MONTH(B26)+1,1)</f>
        <v>36739</v>
      </c>
      <c r="C27" s="230" t="n">
        <v>0</v>
      </c>
      <c r="D27" s="230" t="n">
        <v>0</v>
      </c>
      <c r="E27" s="230"/>
      <c r="F27" s="230"/>
      <c r="G27" s="230"/>
      <c r="H27" s="230"/>
      <c r="I27" s="43"/>
      <c r="J27" s="43"/>
      <c r="K27" s="43"/>
    </row>
    <row r="28" customFormat="false" ht="12.75" hidden="false" customHeight="false" outlineLevel="0" collapsed="false">
      <c r="A28" s="228"/>
      <c r="B28" s="231" t="n">
        <f aca="false">+DATE(YEAR(B27),MONTH(B27)+1,1)</f>
        <v>36770</v>
      </c>
      <c r="C28" s="230" t="n">
        <f aca="false">+C27</f>
        <v>0</v>
      </c>
      <c r="D28" s="230" t="n">
        <v>0</v>
      </c>
      <c r="E28" s="230"/>
      <c r="F28" s="230"/>
      <c r="G28" s="230"/>
      <c r="H28" s="230"/>
      <c r="I28" s="43"/>
      <c r="J28" s="43"/>
      <c r="K28" s="43"/>
    </row>
    <row r="29" customFormat="false" ht="12.75" hidden="false" customHeight="false" outlineLevel="0" collapsed="false">
      <c r="A29" s="228"/>
      <c r="B29" s="231" t="n">
        <f aca="false">+DATE(YEAR(B28),MONTH(B28)+1,1)</f>
        <v>36800</v>
      </c>
      <c r="C29" s="230" t="n">
        <f aca="false">+C28</f>
        <v>0</v>
      </c>
      <c r="D29" s="230" t="n">
        <v>0</v>
      </c>
      <c r="E29" s="230"/>
      <c r="F29" s="230"/>
      <c r="G29" s="230"/>
      <c r="H29" s="230"/>
      <c r="I29" s="43"/>
      <c r="J29" s="43"/>
      <c r="K29" s="43"/>
    </row>
    <row r="30" customFormat="false" ht="12.75" hidden="false" customHeight="false" outlineLevel="0" collapsed="false">
      <c r="A30" s="228"/>
      <c r="B30" s="231" t="n">
        <f aca="false">+DATE(YEAR(B29),MONTH(B29)+1,1)</f>
        <v>36831</v>
      </c>
      <c r="C30" s="230" t="n">
        <v>9500</v>
      </c>
      <c r="D30" s="230" t="n">
        <v>0</v>
      </c>
      <c r="E30" s="230"/>
      <c r="F30" s="230"/>
      <c r="G30" s="230"/>
      <c r="H30" s="230"/>
      <c r="I30" s="43"/>
      <c r="J30" s="43"/>
      <c r="K30" s="43"/>
    </row>
    <row r="31" customFormat="false" ht="12.75" hidden="false" customHeight="false" outlineLevel="0" collapsed="false">
      <c r="A31" s="228"/>
      <c r="B31" s="231" t="n">
        <f aca="false">+DATE(YEAR(B30),MONTH(B30)+1,1)</f>
        <v>36861</v>
      </c>
      <c r="C31" s="230" t="n">
        <f aca="false">+C30</f>
        <v>9500</v>
      </c>
      <c r="D31" s="230" t="n">
        <v>0</v>
      </c>
      <c r="E31" s="230"/>
      <c r="F31" s="230"/>
      <c r="G31" s="230"/>
      <c r="H31" s="230"/>
      <c r="I31" s="43"/>
      <c r="J31" s="43"/>
      <c r="K31" s="43"/>
    </row>
    <row r="32" customFormat="false" ht="12.75" hidden="false" customHeight="false" outlineLevel="0" collapsed="false">
      <c r="A32" s="228"/>
      <c r="B32" s="231" t="n">
        <f aca="false">+DATE(YEAR(B31),MONTH(B31)+1,1)</f>
        <v>36892</v>
      </c>
      <c r="C32" s="230" t="n">
        <f aca="false">+C31</f>
        <v>9500</v>
      </c>
      <c r="D32" s="230" t="n">
        <v>0</v>
      </c>
      <c r="E32" s="230"/>
      <c r="F32" s="230"/>
      <c r="G32" s="230"/>
      <c r="H32" s="230"/>
      <c r="I32" s="43"/>
      <c r="J32" s="43"/>
      <c r="K32" s="43"/>
    </row>
    <row r="33" customFormat="false" ht="12.75" hidden="false" customHeight="false" outlineLevel="0" collapsed="false">
      <c r="A33" s="228"/>
      <c r="B33" s="231" t="n">
        <f aca="false">+DATE(YEAR(B32),MONTH(B32)+1,1)</f>
        <v>36923</v>
      </c>
      <c r="C33" s="230" t="n">
        <f aca="false">+C32</f>
        <v>9500</v>
      </c>
      <c r="D33" s="230" t="n">
        <v>0</v>
      </c>
      <c r="E33" s="230"/>
      <c r="F33" s="230"/>
      <c r="G33" s="230"/>
      <c r="H33" s="230"/>
      <c r="I33" s="43"/>
      <c r="J33" s="43"/>
      <c r="K33" s="43"/>
    </row>
    <row r="34" customFormat="false" ht="12.75" hidden="false" customHeight="false" outlineLevel="0" collapsed="false">
      <c r="A34" s="228"/>
      <c r="B34" s="231" t="n">
        <f aca="false">+DATE(YEAR(B33),MONTH(B33)+1,1)</f>
        <v>36951</v>
      </c>
      <c r="C34" s="230" t="n">
        <f aca="false">+C33</f>
        <v>9500</v>
      </c>
      <c r="D34" s="230" t="n">
        <v>0</v>
      </c>
      <c r="E34" s="230"/>
      <c r="F34" s="230"/>
      <c r="G34" s="230"/>
      <c r="H34" s="230"/>
      <c r="I34" s="43"/>
      <c r="J34" s="43"/>
      <c r="K34" s="43"/>
    </row>
    <row r="35" customFormat="false" ht="12.75" hidden="false" customHeight="false" outlineLevel="0" collapsed="false">
      <c r="A35" s="232"/>
      <c r="B35" s="231" t="n">
        <f aca="false">+DATE(YEAR(B34),MONTH(B34)+1,1)</f>
        <v>36982</v>
      </c>
      <c r="C35" s="230" t="n">
        <f aca="false">+C34</f>
        <v>9500</v>
      </c>
      <c r="D35" s="230" t="n">
        <v>0</v>
      </c>
      <c r="E35" s="230"/>
      <c r="F35" s="230"/>
      <c r="G35" s="233"/>
      <c r="H35" s="233"/>
    </row>
    <row r="36" customFormat="false" ht="12.75" hidden="false" customHeight="false" outlineLevel="0" collapsed="false">
      <c r="A36" s="232"/>
      <c r="B36" s="231" t="n">
        <f aca="false">+DATE(YEAR(B35),MONTH(B35)+1,1)</f>
        <v>37012</v>
      </c>
      <c r="C36" s="230" t="n">
        <f aca="false">+C35</f>
        <v>9500</v>
      </c>
      <c r="D36" s="230" t="n">
        <v>0</v>
      </c>
      <c r="E36" s="230"/>
      <c r="F36" s="230"/>
      <c r="G36" s="233"/>
      <c r="H36" s="233"/>
    </row>
    <row r="37" customFormat="false" ht="12.75" hidden="false" customHeight="false" outlineLevel="0" collapsed="false">
      <c r="A37" s="232"/>
      <c r="B37" s="231" t="n">
        <f aca="false">+DATE(YEAR(B36),MONTH(B36)+1,1)</f>
        <v>37043</v>
      </c>
      <c r="C37" s="230" t="n">
        <f aca="false">+C36</f>
        <v>9500</v>
      </c>
      <c r="D37" s="230" t="n">
        <v>0</v>
      </c>
      <c r="E37" s="230"/>
      <c r="F37" s="230"/>
      <c r="G37" s="233"/>
      <c r="H37" s="233"/>
    </row>
    <row r="38" customFormat="false" ht="12.75" hidden="false" customHeight="false" outlineLevel="0" collapsed="false">
      <c r="A38" s="232"/>
      <c r="B38" s="231" t="n">
        <f aca="false">+DATE(YEAR(B37),MONTH(B37)+1,1)</f>
        <v>37073</v>
      </c>
      <c r="C38" s="230" t="n">
        <f aca="false">+C37</f>
        <v>9500</v>
      </c>
      <c r="D38" s="230" t="n">
        <v>0</v>
      </c>
      <c r="E38" s="230"/>
      <c r="F38" s="230"/>
      <c r="G38" s="233"/>
      <c r="H38" s="233"/>
    </row>
    <row r="39" customFormat="false" ht="12.75" hidden="false" customHeight="false" outlineLevel="0" collapsed="false">
      <c r="A39" s="232"/>
      <c r="B39" s="231" t="n">
        <f aca="false">+DATE(YEAR(B38),MONTH(B38)+1,1)</f>
        <v>37104</v>
      </c>
      <c r="C39" s="230" t="n">
        <f aca="false">+C38</f>
        <v>9500</v>
      </c>
      <c r="D39" s="230" t="n">
        <v>0</v>
      </c>
      <c r="E39" s="230"/>
      <c r="F39" s="230"/>
      <c r="G39" s="233"/>
      <c r="H39" s="233"/>
    </row>
    <row r="40" customFormat="false" ht="12.75" hidden="false" customHeight="false" outlineLevel="0" collapsed="false">
      <c r="A40" s="232"/>
      <c r="B40" s="231" t="n">
        <f aca="false">+DATE(YEAR(B39),MONTH(B39)+1,1)</f>
        <v>37135</v>
      </c>
      <c r="C40" s="230" t="n">
        <f aca="false">+C39</f>
        <v>9500</v>
      </c>
      <c r="D40" s="230" t="n">
        <v>0</v>
      </c>
      <c r="E40" s="230"/>
      <c r="F40" s="230"/>
      <c r="G40" s="233"/>
      <c r="H40" s="233"/>
    </row>
    <row r="41" customFormat="false" ht="12.75" hidden="false" customHeight="false" outlineLevel="0" collapsed="false">
      <c r="A41" s="232"/>
      <c r="B41" s="231" t="n">
        <f aca="false">+DATE(YEAR(B40),MONTH(B40)+1,1)</f>
        <v>37165</v>
      </c>
      <c r="C41" s="230" t="n">
        <f aca="false">+C40</f>
        <v>9500</v>
      </c>
      <c r="D41" s="230" t="n">
        <v>0</v>
      </c>
      <c r="E41" s="230"/>
      <c r="F41" s="230"/>
      <c r="G41" s="233"/>
      <c r="H41" s="233"/>
    </row>
    <row r="42" customFormat="false" ht="12.75" hidden="false" customHeight="false" outlineLevel="0" collapsed="false">
      <c r="A42" s="232"/>
      <c r="B42" s="231" t="n">
        <f aca="false">+DATE(YEAR(B41),MONTH(B41)+1,1)</f>
        <v>37196</v>
      </c>
      <c r="C42" s="230" t="n">
        <f aca="false">+C41</f>
        <v>9500</v>
      </c>
      <c r="D42" s="230" t="n">
        <v>0</v>
      </c>
      <c r="E42" s="230"/>
      <c r="F42" s="230"/>
      <c r="G42" s="233"/>
      <c r="H42" s="233"/>
    </row>
    <row r="43" customFormat="false" ht="12.75" hidden="false" customHeight="false" outlineLevel="0" collapsed="false">
      <c r="A43" s="232"/>
      <c r="B43" s="231" t="n">
        <f aca="false">+DATE(YEAR(B42),MONTH(B42)+1,1)</f>
        <v>37226</v>
      </c>
      <c r="C43" s="230" t="n">
        <f aca="false">+C42</f>
        <v>9500</v>
      </c>
      <c r="D43" s="230" t="n">
        <v>0</v>
      </c>
      <c r="E43" s="230"/>
      <c r="F43" s="230"/>
      <c r="G43" s="233"/>
      <c r="H43" s="233"/>
    </row>
    <row r="44" customFormat="false" ht="12.75" hidden="false" customHeight="false" outlineLevel="0" collapsed="false">
      <c r="A44" s="232"/>
      <c r="B44" s="231" t="n">
        <f aca="false">+DATE(YEAR(B43),MONTH(B43)+1,1)</f>
        <v>37257</v>
      </c>
      <c r="C44" s="230" t="n">
        <f aca="false">+C43</f>
        <v>9500</v>
      </c>
      <c r="D44" s="230" t="n">
        <v>0</v>
      </c>
      <c r="E44" s="230"/>
      <c r="F44" s="230"/>
      <c r="G44" s="233"/>
      <c r="H44" s="233"/>
    </row>
    <row r="45" customFormat="false" ht="12.75" hidden="false" customHeight="false" outlineLevel="0" collapsed="false">
      <c r="A45" s="232"/>
      <c r="B45" s="231" t="n">
        <f aca="false">+DATE(YEAR(B44),MONTH(B44)+1,1)</f>
        <v>37288</v>
      </c>
      <c r="C45" s="230" t="n">
        <f aca="false">+C44</f>
        <v>9500</v>
      </c>
      <c r="D45" s="230" t="n">
        <v>0</v>
      </c>
      <c r="E45" s="230"/>
      <c r="F45" s="230"/>
      <c r="G45" s="233"/>
      <c r="H45" s="233"/>
    </row>
    <row r="46" customFormat="false" ht="12.75" hidden="false" customHeight="false" outlineLevel="0" collapsed="false">
      <c r="A46" s="232"/>
      <c r="B46" s="231" t="n">
        <f aca="false">+DATE(YEAR(B45),MONTH(B45)+1,1)</f>
        <v>37316</v>
      </c>
      <c r="C46" s="230" t="n">
        <f aca="false">+C45</f>
        <v>9500</v>
      </c>
      <c r="D46" s="230" t="n">
        <v>0</v>
      </c>
      <c r="E46" s="230"/>
      <c r="F46" s="230"/>
      <c r="G46" s="233"/>
      <c r="H46" s="233"/>
    </row>
    <row r="47" customFormat="false" ht="12.75" hidden="false" customHeight="false" outlineLevel="0" collapsed="false">
      <c r="A47" s="232"/>
      <c r="B47" s="231" t="n">
        <f aca="false">+DATE(YEAR(B46),MONTH(B46)+1,1)</f>
        <v>37347</v>
      </c>
      <c r="C47" s="230" t="n">
        <f aca="false">+C46</f>
        <v>9500</v>
      </c>
      <c r="D47" s="230" t="n">
        <v>0</v>
      </c>
      <c r="E47" s="230"/>
      <c r="F47" s="230"/>
      <c r="G47" s="233"/>
      <c r="H47" s="233"/>
    </row>
    <row r="48" customFormat="false" ht="12.75" hidden="false" customHeight="false" outlineLevel="0" collapsed="false">
      <c r="A48" s="232"/>
      <c r="B48" s="231" t="n">
        <f aca="false">+DATE(YEAR(B47),MONTH(B47)+1,1)</f>
        <v>37377</v>
      </c>
      <c r="C48" s="230" t="n">
        <f aca="false">+C47</f>
        <v>9500</v>
      </c>
      <c r="D48" s="230" t="n">
        <v>0</v>
      </c>
      <c r="E48" s="230"/>
      <c r="F48" s="230"/>
      <c r="G48" s="233"/>
      <c r="H48" s="233"/>
    </row>
    <row r="49" customFormat="false" ht="12.75" hidden="false" customHeight="false" outlineLevel="0" collapsed="false">
      <c r="A49" s="232"/>
      <c r="B49" s="231" t="n">
        <f aca="false">+DATE(YEAR(B48),MONTH(B48)+1,1)</f>
        <v>37408</v>
      </c>
      <c r="C49" s="230" t="n">
        <f aca="false">+C48</f>
        <v>9500</v>
      </c>
      <c r="D49" s="230" t="n">
        <v>0</v>
      </c>
      <c r="E49" s="230"/>
      <c r="F49" s="230"/>
      <c r="G49" s="233"/>
      <c r="H49" s="233"/>
    </row>
    <row r="50" customFormat="false" ht="12.75" hidden="false" customHeight="false" outlineLevel="0" collapsed="false">
      <c r="A50" s="232"/>
      <c r="B50" s="231" t="n">
        <f aca="false">+DATE(YEAR(B49),MONTH(B49)+1,1)</f>
        <v>37438</v>
      </c>
      <c r="C50" s="230" t="n">
        <f aca="false">+C49</f>
        <v>9500</v>
      </c>
      <c r="D50" s="230" t="n">
        <v>0</v>
      </c>
      <c r="E50" s="230"/>
      <c r="F50" s="230"/>
      <c r="G50" s="233"/>
      <c r="H50" s="233"/>
    </row>
    <row r="51" customFormat="false" ht="12.75" hidden="false" customHeight="false" outlineLevel="0" collapsed="false">
      <c r="A51" s="232"/>
      <c r="B51" s="231" t="n">
        <f aca="false">+DATE(YEAR(B50),MONTH(B50)+1,1)</f>
        <v>37469</v>
      </c>
      <c r="C51" s="230" t="n">
        <f aca="false">+C50</f>
        <v>9500</v>
      </c>
      <c r="D51" s="230" t="n">
        <v>0</v>
      </c>
      <c r="E51" s="230"/>
      <c r="F51" s="230"/>
      <c r="G51" s="233"/>
      <c r="H51" s="233"/>
    </row>
    <row r="52" customFormat="false" ht="12.75" hidden="false" customHeight="false" outlineLevel="0" collapsed="false">
      <c r="A52" s="232"/>
      <c r="B52" s="231" t="n">
        <f aca="false">+DATE(YEAR(B51),MONTH(B51)+1,1)</f>
        <v>37500</v>
      </c>
      <c r="C52" s="230" t="n">
        <f aca="false">+C51</f>
        <v>9500</v>
      </c>
      <c r="D52" s="230" t="n">
        <v>0</v>
      </c>
      <c r="E52" s="230"/>
      <c r="F52" s="230"/>
      <c r="G52" s="233"/>
      <c r="H52" s="233"/>
    </row>
    <row r="53" customFormat="false" ht="12.75" hidden="false" customHeight="false" outlineLevel="0" collapsed="false">
      <c r="A53" s="232"/>
      <c r="B53" s="231" t="n">
        <f aca="false">+DATE(YEAR(B52),MONTH(B52)+1,1)</f>
        <v>37530</v>
      </c>
      <c r="C53" s="230" t="n">
        <f aca="false">+C52</f>
        <v>9500</v>
      </c>
      <c r="D53" s="230" t="n">
        <v>0</v>
      </c>
      <c r="E53" s="230"/>
      <c r="F53" s="230"/>
      <c r="G53" s="233"/>
      <c r="H53" s="233"/>
    </row>
    <row r="54" customFormat="false" ht="12.75" hidden="false" customHeight="false" outlineLevel="0" collapsed="false">
      <c r="A54" s="232"/>
      <c r="B54" s="231" t="n">
        <f aca="false">+DATE(YEAR(B53),MONTH(B53)+1,1)</f>
        <v>37561</v>
      </c>
      <c r="C54" s="230" t="n">
        <f aca="false">+C53</f>
        <v>9500</v>
      </c>
      <c r="D54" s="230" t="n">
        <v>0</v>
      </c>
      <c r="E54" s="230"/>
      <c r="F54" s="230"/>
      <c r="G54" s="233"/>
      <c r="H54" s="233"/>
    </row>
    <row r="55" customFormat="false" ht="12.75" hidden="false" customHeight="false" outlineLevel="0" collapsed="false">
      <c r="A55" s="232"/>
      <c r="B55" s="231" t="n">
        <f aca="false">+DATE(YEAR(B54),MONTH(B54)+1,1)</f>
        <v>37591</v>
      </c>
      <c r="C55" s="230" t="n">
        <f aca="false">+C54</f>
        <v>9500</v>
      </c>
      <c r="D55" s="230" t="n">
        <v>0</v>
      </c>
      <c r="E55" s="230"/>
      <c r="F55" s="230"/>
      <c r="G55" s="233"/>
      <c r="H55" s="233"/>
    </row>
    <row r="56" customFormat="false" ht="12.75" hidden="false" customHeight="false" outlineLevel="0" collapsed="false">
      <c r="A56" s="232"/>
      <c r="B56" s="231" t="n">
        <f aca="false">+DATE(YEAR(B55),MONTH(B55)+1,1)</f>
        <v>37622</v>
      </c>
      <c r="C56" s="230" t="n">
        <v>16000</v>
      </c>
      <c r="D56" s="230" t="n">
        <v>51850</v>
      </c>
      <c r="E56" s="230"/>
      <c r="F56" s="230"/>
      <c r="G56" s="233"/>
      <c r="H56" s="233"/>
    </row>
    <row r="57" customFormat="false" ht="12.75" hidden="false" customHeight="false" outlineLevel="0" collapsed="false">
      <c r="A57" s="232"/>
      <c r="B57" s="231" t="n">
        <f aca="false">+DATE(YEAR(B56),MONTH(B56)+1,1)</f>
        <v>37653</v>
      </c>
      <c r="C57" s="230" t="n">
        <f aca="false">+C56</f>
        <v>16000</v>
      </c>
      <c r="D57" s="230" t="n">
        <f aca="false">+D56</f>
        <v>51850</v>
      </c>
      <c r="E57" s="230"/>
      <c r="F57" s="230"/>
      <c r="G57" s="233"/>
      <c r="H57" s="233"/>
    </row>
    <row r="58" customFormat="false" ht="12.75" hidden="false" customHeight="false" outlineLevel="0" collapsed="false">
      <c r="A58" s="232"/>
      <c r="B58" s="231" t="n">
        <f aca="false">+DATE(YEAR(B57),MONTH(B57)+1,1)</f>
        <v>37681</v>
      </c>
      <c r="C58" s="230" t="n">
        <f aca="false">+C57</f>
        <v>16000</v>
      </c>
      <c r="D58" s="230" t="n">
        <f aca="false">+D57</f>
        <v>51850</v>
      </c>
      <c r="E58" s="230"/>
      <c r="F58" s="230"/>
      <c r="G58" s="233"/>
      <c r="H58" s="233"/>
    </row>
    <row r="59" customFormat="false" ht="12.75" hidden="false" customHeight="false" outlineLevel="0" collapsed="false">
      <c r="A59" s="232"/>
      <c r="B59" s="231" t="n">
        <f aca="false">+DATE(YEAR(B58),MONTH(B58)+1,1)</f>
        <v>37712</v>
      </c>
      <c r="C59" s="230" t="n">
        <f aca="false">+C58</f>
        <v>16000</v>
      </c>
      <c r="D59" s="230" t="n">
        <f aca="false">+D58</f>
        <v>51850</v>
      </c>
      <c r="E59" s="230"/>
      <c r="F59" s="230"/>
      <c r="G59" s="233"/>
      <c r="H59" s="233"/>
    </row>
    <row r="60" customFormat="false" ht="12.75" hidden="false" customHeight="false" outlineLevel="0" collapsed="false">
      <c r="A60" s="232"/>
      <c r="B60" s="231" t="n">
        <f aca="false">+DATE(YEAR(B59),MONTH(B59)+1,1)</f>
        <v>37742</v>
      </c>
      <c r="C60" s="230" t="n">
        <f aca="false">+C59</f>
        <v>16000</v>
      </c>
      <c r="D60" s="230" t="n">
        <f aca="false">+D59</f>
        <v>51850</v>
      </c>
      <c r="E60" s="230"/>
      <c r="F60" s="230"/>
      <c r="G60" s="233"/>
      <c r="H60" s="233"/>
    </row>
    <row r="61" customFormat="false" ht="12.75" hidden="false" customHeight="false" outlineLevel="0" collapsed="false">
      <c r="A61" s="232"/>
      <c r="B61" s="231" t="n">
        <f aca="false">+DATE(YEAR(B60),MONTH(B60)+1,1)</f>
        <v>37773</v>
      </c>
      <c r="C61" s="230" t="n">
        <f aca="false">+C60</f>
        <v>16000</v>
      </c>
      <c r="D61" s="230" t="n">
        <f aca="false">+D60</f>
        <v>51850</v>
      </c>
      <c r="E61" s="230"/>
      <c r="F61" s="230"/>
      <c r="G61" s="233"/>
      <c r="H61" s="233"/>
    </row>
    <row r="62" customFormat="false" ht="12.75" hidden="false" customHeight="false" outlineLevel="0" collapsed="false">
      <c r="A62" s="232"/>
      <c r="B62" s="231" t="n">
        <f aca="false">+DATE(YEAR(B61),MONTH(B61)+1,1)</f>
        <v>37803</v>
      </c>
      <c r="C62" s="230" t="n">
        <f aca="false">+C61</f>
        <v>16000</v>
      </c>
      <c r="D62" s="230" t="n">
        <f aca="false">+D61</f>
        <v>51850</v>
      </c>
      <c r="E62" s="230"/>
      <c r="F62" s="230"/>
      <c r="G62" s="233"/>
      <c r="H62" s="233"/>
    </row>
    <row r="63" customFormat="false" ht="12.75" hidden="false" customHeight="false" outlineLevel="0" collapsed="false">
      <c r="A63" s="232"/>
      <c r="B63" s="231" t="n">
        <f aca="false">+DATE(YEAR(B62),MONTH(B62)+1,1)</f>
        <v>37834</v>
      </c>
      <c r="C63" s="230" t="n">
        <f aca="false">+C62</f>
        <v>16000</v>
      </c>
      <c r="D63" s="230" t="n">
        <f aca="false">+D62</f>
        <v>51850</v>
      </c>
      <c r="E63" s="230"/>
      <c r="F63" s="230"/>
      <c r="G63" s="233"/>
      <c r="H63" s="233"/>
    </row>
    <row r="64" customFormat="false" ht="12.75" hidden="false" customHeight="false" outlineLevel="0" collapsed="false">
      <c r="A64" s="232"/>
      <c r="B64" s="231" t="n">
        <f aca="false">+DATE(YEAR(B63),MONTH(B63)+1,1)</f>
        <v>37865</v>
      </c>
      <c r="C64" s="230" t="n">
        <f aca="false">+C63</f>
        <v>16000</v>
      </c>
      <c r="D64" s="230" t="n">
        <f aca="false">+D63</f>
        <v>51850</v>
      </c>
      <c r="E64" s="230"/>
      <c r="F64" s="230"/>
      <c r="G64" s="233"/>
      <c r="H64" s="233"/>
    </row>
    <row r="65" customFormat="false" ht="12.75" hidden="false" customHeight="false" outlineLevel="0" collapsed="false">
      <c r="A65" s="232"/>
      <c r="B65" s="231" t="n">
        <f aca="false">+DATE(YEAR(B64),MONTH(B64)+1,1)</f>
        <v>37895</v>
      </c>
      <c r="C65" s="230" t="n">
        <f aca="false">+C64</f>
        <v>16000</v>
      </c>
      <c r="D65" s="230" t="n">
        <f aca="false">+D64</f>
        <v>51850</v>
      </c>
      <c r="E65" s="230"/>
      <c r="F65" s="230"/>
      <c r="G65" s="233"/>
      <c r="H65" s="233"/>
    </row>
    <row r="66" customFormat="false" ht="12.75" hidden="false" customHeight="false" outlineLevel="0" collapsed="false">
      <c r="A66" s="232"/>
      <c r="B66" s="231" t="n">
        <f aca="false">+DATE(YEAR(B65),MONTH(B65)+1,1)</f>
        <v>37926</v>
      </c>
      <c r="C66" s="230" t="n">
        <f aca="false">+C65</f>
        <v>16000</v>
      </c>
      <c r="D66" s="230" t="n">
        <f aca="false">+D65</f>
        <v>51850</v>
      </c>
      <c r="E66" s="230"/>
      <c r="F66" s="230"/>
      <c r="G66" s="233"/>
      <c r="H66" s="233"/>
    </row>
    <row r="67" customFormat="false" ht="12.75" hidden="false" customHeight="false" outlineLevel="0" collapsed="false">
      <c r="A67" s="232"/>
      <c r="B67" s="231" t="n">
        <f aca="false">+DATE(YEAR(B66),MONTH(B66)+1,1)</f>
        <v>37956</v>
      </c>
      <c r="C67" s="230" t="n">
        <f aca="false">+C66</f>
        <v>16000</v>
      </c>
      <c r="D67" s="230" t="n">
        <f aca="false">+D66</f>
        <v>51850</v>
      </c>
      <c r="E67" s="230"/>
      <c r="F67" s="230"/>
      <c r="G67" s="233"/>
      <c r="H67" s="233"/>
    </row>
    <row r="68" customFormat="false" ht="12.75" hidden="false" customHeight="false" outlineLevel="0" collapsed="false">
      <c r="A68" s="232"/>
      <c r="B68" s="231" t="n">
        <f aca="false">+DATE(YEAR(B67),MONTH(B67)+1,1)</f>
        <v>37987</v>
      </c>
      <c r="C68" s="230" t="n">
        <f aca="false">+C67</f>
        <v>16000</v>
      </c>
      <c r="D68" s="230" t="n">
        <f aca="false">+D67</f>
        <v>51850</v>
      </c>
      <c r="E68" s="230"/>
      <c r="F68" s="230"/>
      <c r="G68" s="233"/>
      <c r="H68" s="233"/>
    </row>
    <row r="69" customFormat="false" ht="12.75" hidden="false" customHeight="false" outlineLevel="0" collapsed="false">
      <c r="A69" s="232"/>
      <c r="B69" s="231" t="n">
        <f aca="false">+DATE(YEAR(B68),MONTH(B68)+1,1)</f>
        <v>38018</v>
      </c>
      <c r="C69" s="230" t="n">
        <f aca="false">+C68</f>
        <v>16000</v>
      </c>
      <c r="D69" s="230" t="n">
        <f aca="false">+D68</f>
        <v>51850</v>
      </c>
      <c r="E69" s="230"/>
      <c r="F69" s="230"/>
      <c r="G69" s="233"/>
      <c r="H69" s="233"/>
    </row>
    <row r="70" customFormat="false" ht="12.75" hidden="false" customHeight="false" outlineLevel="0" collapsed="false">
      <c r="A70" s="232"/>
      <c r="B70" s="231" t="n">
        <f aca="false">+DATE(YEAR(B69),MONTH(B69)+1,1)</f>
        <v>38047</v>
      </c>
      <c r="C70" s="230" t="n">
        <f aca="false">+C69</f>
        <v>16000</v>
      </c>
      <c r="D70" s="230" t="n">
        <f aca="false">+D69</f>
        <v>51850</v>
      </c>
      <c r="E70" s="230"/>
      <c r="F70" s="230"/>
      <c r="G70" s="233"/>
      <c r="H70" s="233"/>
    </row>
    <row r="71" customFormat="false" ht="12.75" hidden="false" customHeight="false" outlineLevel="0" collapsed="false">
      <c r="A71" s="232"/>
      <c r="B71" s="231" t="n">
        <f aca="false">+DATE(YEAR(B70),MONTH(B70)+1,1)</f>
        <v>38078</v>
      </c>
      <c r="C71" s="230" t="n">
        <f aca="false">+C70</f>
        <v>16000</v>
      </c>
      <c r="D71" s="230" t="n">
        <f aca="false">+D70</f>
        <v>51850</v>
      </c>
      <c r="E71" s="230"/>
      <c r="F71" s="230"/>
      <c r="G71" s="233"/>
      <c r="H71" s="233"/>
    </row>
    <row r="72" customFormat="false" ht="12.75" hidden="false" customHeight="false" outlineLevel="0" collapsed="false">
      <c r="A72" s="232"/>
      <c r="B72" s="231" t="n">
        <f aca="false">+DATE(YEAR(B71),MONTH(B71)+1,1)</f>
        <v>38108</v>
      </c>
      <c r="C72" s="230" t="n">
        <f aca="false">+C71</f>
        <v>16000</v>
      </c>
      <c r="D72" s="230" t="n">
        <f aca="false">+D71</f>
        <v>51850</v>
      </c>
      <c r="E72" s="230"/>
      <c r="F72" s="230"/>
      <c r="G72" s="233"/>
      <c r="H72" s="233"/>
    </row>
    <row r="73" customFormat="false" ht="12.75" hidden="false" customHeight="false" outlineLevel="0" collapsed="false">
      <c r="A73" s="232"/>
      <c r="B73" s="231" t="n">
        <f aca="false">+DATE(YEAR(B72),MONTH(B72)+1,1)</f>
        <v>38139</v>
      </c>
      <c r="C73" s="230" t="n">
        <f aca="false">+C72</f>
        <v>16000</v>
      </c>
      <c r="D73" s="230" t="n">
        <f aca="false">+D72</f>
        <v>51850</v>
      </c>
      <c r="E73" s="230"/>
      <c r="F73" s="230"/>
      <c r="G73" s="233"/>
      <c r="H73" s="233"/>
    </row>
    <row r="74" customFormat="false" ht="12.75" hidden="false" customHeight="false" outlineLevel="0" collapsed="false">
      <c r="A74" s="232"/>
      <c r="B74" s="231" t="n">
        <f aca="false">+DATE(YEAR(B73),MONTH(B73)+1,1)</f>
        <v>38169</v>
      </c>
      <c r="C74" s="230" t="n">
        <f aca="false">+C73</f>
        <v>16000</v>
      </c>
      <c r="D74" s="230" t="n">
        <f aca="false">+D73</f>
        <v>51850</v>
      </c>
      <c r="E74" s="230"/>
      <c r="F74" s="230"/>
      <c r="G74" s="233"/>
      <c r="H74" s="233"/>
    </row>
    <row r="75" customFormat="false" ht="12.75" hidden="false" customHeight="false" outlineLevel="0" collapsed="false">
      <c r="A75" s="232"/>
      <c r="B75" s="231" t="n">
        <f aca="false">+DATE(YEAR(B74),MONTH(B74)+1,1)</f>
        <v>38200</v>
      </c>
      <c r="C75" s="230" t="n">
        <f aca="false">+C74</f>
        <v>16000</v>
      </c>
      <c r="D75" s="230" t="n">
        <f aca="false">+D74</f>
        <v>51850</v>
      </c>
      <c r="E75" s="230"/>
      <c r="F75" s="230"/>
      <c r="G75" s="233"/>
      <c r="H75" s="233"/>
    </row>
    <row r="76" customFormat="false" ht="12.75" hidden="false" customHeight="false" outlineLevel="0" collapsed="false">
      <c r="A76" s="232"/>
      <c r="B76" s="231" t="n">
        <f aca="false">+DATE(YEAR(B75),MONTH(B75)+1,1)</f>
        <v>38231</v>
      </c>
      <c r="C76" s="230" t="n">
        <f aca="false">+C75</f>
        <v>16000</v>
      </c>
      <c r="D76" s="230" t="n">
        <f aca="false">+D75</f>
        <v>51850</v>
      </c>
      <c r="E76" s="230"/>
      <c r="F76" s="230"/>
      <c r="G76" s="233"/>
      <c r="H76" s="233"/>
    </row>
    <row r="77" customFormat="false" ht="12.75" hidden="false" customHeight="false" outlineLevel="0" collapsed="false">
      <c r="A77" s="232"/>
      <c r="B77" s="231" t="n">
        <f aca="false">+DATE(YEAR(B76),MONTH(B76)+1,1)</f>
        <v>38261</v>
      </c>
      <c r="C77" s="230" t="n">
        <f aca="false">+C76</f>
        <v>16000</v>
      </c>
      <c r="D77" s="230" t="n">
        <f aca="false">+D76</f>
        <v>51850</v>
      </c>
      <c r="E77" s="230"/>
      <c r="F77" s="230"/>
      <c r="G77" s="233"/>
      <c r="H77" s="233"/>
    </row>
    <row r="78" customFormat="false" ht="12.75" hidden="false" customHeight="false" outlineLevel="0" collapsed="false">
      <c r="A78" s="232"/>
      <c r="B78" s="231" t="n">
        <f aca="false">+DATE(YEAR(B77),MONTH(B77)+1,1)</f>
        <v>38292</v>
      </c>
      <c r="C78" s="230" t="n">
        <f aca="false">+C77</f>
        <v>16000</v>
      </c>
      <c r="D78" s="230" t="n">
        <f aca="false">+D77</f>
        <v>51850</v>
      </c>
      <c r="E78" s="230"/>
      <c r="F78" s="230"/>
      <c r="G78" s="233"/>
      <c r="H78" s="233"/>
    </row>
    <row r="79" customFormat="false" ht="12.75" hidden="false" customHeight="false" outlineLevel="0" collapsed="false">
      <c r="A79" s="232"/>
      <c r="B79" s="231" t="n">
        <f aca="false">+DATE(YEAR(B78),MONTH(B78)+1,1)</f>
        <v>38322</v>
      </c>
      <c r="C79" s="230" t="n">
        <f aca="false">+C78</f>
        <v>16000</v>
      </c>
      <c r="D79" s="230" t="n">
        <f aca="false">+D78</f>
        <v>51850</v>
      </c>
      <c r="E79" s="230"/>
      <c r="F79" s="230"/>
      <c r="G79" s="233"/>
      <c r="H79" s="233"/>
    </row>
    <row r="80" customFormat="false" ht="12.75" hidden="false" customHeight="false" outlineLevel="0" collapsed="false">
      <c r="A80" s="232"/>
      <c r="B80" s="231" t="n">
        <f aca="false">+DATE(YEAR(B79),MONTH(B79)+1,1)</f>
        <v>38353</v>
      </c>
      <c r="C80" s="230" t="n">
        <f aca="false">+C79</f>
        <v>16000</v>
      </c>
      <c r="D80" s="230" t="n">
        <f aca="false">+D79</f>
        <v>51850</v>
      </c>
      <c r="E80" s="230"/>
      <c r="F80" s="230"/>
      <c r="G80" s="233"/>
      <c r="H80" s="233"/>
    </row>
    <row r="81" customFormat="false" ht="12.75" hidden="false" customHeight="false" outlineLevel="0" collapsed="false">
      <c r="A81" s="234"/>
      <c r="B81" s="231" t="n">
        <f aca="false">+DATE(YEAR(B80),MONTH(B80)+1,1)</f>
        <v>38384</v>
      </c>
      <c r="C81" s="230" t="n">
        <f aca="false">+C80</f>
        <v>16000</v>
      </c>
      <c r="D81" s="230" t="n">
        <f aca="false">+D80</f>
        <v>51850</v>
      </c>
      <c r="E81" s="230"/>
      <c r="F81" s="230"/>
      <c r="G81" s="233"/>
      <c r="H81" s="233"/>
    </row>
    <row r="82" customFormat="false" ht="12.75" hidden="false" customHeight="false" outlineLevel="0" collapsed="false">
      <c r="A82" s="234"/>
      <c r="B82" s="231" t="n">
        <f aca="false">+DATE(YEAR(B81),MONTH(B81)+1,1)</f>
        <v>38412</v>
      </c>
      <c r="C82" s="230" t="n">
        <f aca="false">+C81</f>
        <v>16000</v>
      </c>
      <c r="D82" s="230" t="n">
        <f aca="false">+D81</f>
        <v>51850</v>
      </c>
      <c r="E82" s="230"/>
      <c r="F82" s="230"/>
      <c r="G82" s="233"/>
      <c r="H82" s="233"/>
    </row>
    <row r="83" customFormat="false" ht="12.75" hidden="false" customHeight="false" outlineLevel="0" collapsed="false">
      <c r="A83" s="234"/>
      <c r="B83" s="231" t="n">
        <f aca="false">+DATE(YEAR(B82),MONTH(B82)+1,1)</f>
        <v>38443</v>
      </c>
      <c r="C83" s="230" t="n">
        <f aca="false">+C82</f>
        <v>16000</v>
      </c>
      <c r="D83" s="230" t="n">
        <f aca="false">+D82</f>
        <v>51850</v>
      </c>
      <c r="E83" s="230"/>
      <c r="F83" s="230"/>
      <c r="G83" s="233"/>
      <c r="H83" s="233"/>
    </row>
    <row r="84" customFormat="false" ht="12.75" hidden="false" customHeight="false" outlineLevel="0" collapsed="false">
      <c r="A84" s="234"/>
      <c r="B84" s="231" t="n">
        <f aca="false">+DATE(YEAR(B83),MONTH(B83)+1,1)</f>
        <v>38473</v>
      </c>
      <c r="C84" s="230" t="n">
        <f aca="false">+C83</f>
        <v>16000</v>
      </c>
      <c r="D84" s="230" t="n">
        <f aca="false">+D83</f>
        <v>51850</v>
      </c>
      <c r="E84" s="230"/>
      <c r="F84" s="230"/>
      <c r="G84" s="233"/>
      <c r="H84" s="233"/>
    </row>
    <row r="85" customFormat="false" ht="12.75" hidden="false" customHeight="false" outlineLevel="0" collapsed="false">
      <c r="A85" s="234"/>
      <c r="B85" s="231" t="n">
        <f aca="false">+DATE(YEAR(B84),MONTH(B84)+1,1)</f>
        <v>38504</v>
      </c>
      <c r="C85" s="230" t="n">
        <f aca="false">+C84</f>
        <v>16000</v>
      </c>
      <c r="D85" s="230" t="n">
        <f aca="false">+D84</f>
        <v>51850</v>
      </c>
      <c r="E85" s="230"/>
      <c r="F85" s="230"/>
      <c r="G85" s="233"/>
      <c r="H85" s="233"/>
    </row>
    <row r="86" customFormat="false" ht="12.75" hidden="false" customHeight="false" outlineLevel="0" collapsed="false">
      <c r="A86" s="234"/>
      <c r="B86" s="231" t="n">
        <f aca="false">+DATE(YEAR(B85),MONTH(B85)+1,1)</f>
        <v>38534</v>
      </c>
      <c r="C86" s="230" t="n">
        <f aca="false">+C85</f>
        <v>16000</v>
      </c>
      <c r="D86" s="230" t="n">
        <f aca="false">+D85</f>
        <v>51850</v>
      </c>
      <c r="E86" s="230"/>
      <c r="F86" s="230"/>
      <c r="G86" s="233"/>
      <c r="H86" s="233"/>
    </row>
    <row r="87" customFormat="false" ht="12.75" hidden="false" customHeight="false" outlineLevel="0" collapsed="false">
      <c r="A87" s="234"/>
      <c r="B87" s="231" t="n">
        <f aca="false">+DATE(YEAR(B86),MONTH(B86)+1,1)</f>
        <v>38565</v>
      </c>
      <c r="C87" s="230" t="n">
        <f aca="false">+C86</f>
        <v>16000</v>
      </c>
      <c r="D87" s="230" t="n">
        <f aca="false">+D86</f>
        <v>51850</v>
      </c>
      <c r="E87" s="230"/>
      <c r="F87" s="230"/>
      <c r="G87" s="233"/>
      <c r="H87" s="233"/>
    </row>
    <row r="88" customFormat="false" ht="12.75" hidden="false" customHeight="false" outlineLevel="0" collapsed="false">
      <c r="A88" s="234"/>
      <c r="B88" s="231" t="n">
        <f aca="false">+DATE(YEAR(B87),MONTH(B87)+1,1)</f>
        <v>38596</v>
      </c>
      <c r="C88" s="230" t="n">
        <f aca="false">+C87</f>
        <v>16000</v>
      </c>
      <c r="D88" s="230" t="n">
        <f aca="false">+D87</f>
        <v>51850</v>
      </c>
      <c r="E88" s="230"/>
      <c r="F88" s="230"/>
      <c r="G88" s="233"/>
      <c r="H88" s="233"/>
    </row>
    <row r="89" customFormat="false" ht="12.75" hidden="false" customHeight="false" outlineLevel="0" collapsed="false">
      <c r="A89" s="234"/>
      <c r="B89" s="231" t="n">
        <f aca="false">+DATE(YEAR(B88),MONTH(B88)+1,1)</f>
        <v>38626</v>
      </c>
      <c r="C89" s="230" t="n">
        <f aca="false">+C88</f>
        <v>16000</v>
      </c>
      <c r="D89" s="230" t="n">
        <f aca="false">+D88</f>
        <v>51850</v>
      </c>
      <c r="E89" s="230"/>
      <c r="F89" s="230"/>
      <c r="G89" s="233"/>
      <c r="H89" s="233"/>
    </row>
    <row r="90" customFormat="false" ht="12.75" hidden="false" customHeight="false" outlineLevel="0" collapsed="false">
      <c r="A90" s="234"/>
      <c r="B90" s="231" t="n">
        <f aca="false">+DATE(YEAR(B89),MONTH(B89)+1,1)</f>
        <v>38657</v>
      </c>
      <c r="C90" s="230" t="n">
        <f aca="false">+C89</f>
        <v>16000</v>
      </c>
      <c r="D90" s="230" t="n">
        <f aca="false">+D89</f>
        <v>51850</v>
      </c>
      <c r="E90" s="230"/>
      <c r="F90" s="230"/>
      <c r="G90" s="233"/>
      <c r="H90" s="233"/>
    </row>
    <row r="91" customFormat="false" ht="12.75" hidden="false" customHeight="false" outlineLevel="0" collapsed="false">
      <c r="A91" s="234"/>
      <c r="B91" s="231" t="n">
        <f aca="false">+DATE(YEAR(B90),MONTH(B90)+1,1)</f>
        <v>38687</v>
      </c>
      <c r="C91" s="230" t="n">
        <f aca="false">+C90</f>
        <v>16000</v>
      </c>
      <c r="D91" s="230" t="n">
        <f aca="false">+D90</f>
        <v>51850</v>
      </c>
      <c r="E91" s="230"/>
      <c r="F91" s="230"/>
      <c r="G91" s="233"/>
      <c r="H91" s="233"/>
    </row>
    <row r="92" customFormat="false" ht="12.75" hidden="false" customHeight="false" outlineLevel="0" collapsed="false">
      <c r="A92" s="234"/>
      <c r="B92" s="231" t="n">
        <f aca="false">+DATE(YEAR(B91),MONTH(B91)+1,1)</f>
        <v>38718</v>
      </c>
      <c r="C92" s="230" t="n">
        <f aca="false">+C91</f>
        <v>16000</v>
      </c>
      <c r="D92" s="230" t="n">
        <f aca="false">+D91</f>
        <v>51850</v>
      </c>
      <c r="E92" s="230"/>
      <c r="F92" s="230"/>
      <c r="G92" s="233"/>
      <c r="H92" s="233"/>
    </row>
    <row r="93" customFormat="false" ht="12.75" hidden="false" customHeight="false" outlineLevel="0" collapsed="false">
      <c r="A93" s="234"/>
      <c r="B93" s="231" t="n">
        <f aca="false">+DATE(YEAR(B92),MONTH(B92)+1,1)</f>
        <v>38749</v>
      </c>
      <c r="C93" s="230" t="n">
        <f aca="false">+C92</f>
        <v>16000</v>
      </c>
      <c r="D93" s="230" t="n">
        <f aca="false">+D92</f>
        <v>51850</v>
      </c>
      <c r="E93" s="230"/>
      <c r="F93" s="230"/>
      <c r="G93" s="233"/>
      <c r="H93" s="233"/>
    </row>
    <row r="94" customFormat="false" ht="12.75" hidden="false" customHeight="false" outlineLevel="0" collapsed="false">
      <c r="A94" s="234"/>
      <c r="B94" s="231" t="n">
        <f aca="false">+DATE(YEAR(B93),MONTH(B93)+1,1)</f>
        <v>38777</v>
      </c>
      <c r="C94" s="230" t="n">
        <f aca="false">+C93</f>
        <v>16000</v>
      </c>
      <c r="D94" s="230" t="n">
        <f aca="false">+D93</f>
        <v>51850</v>
      </c>
      <c r="E94" s="230"/>
      <c r="F94" s="230"/>
      <c r="G94" s="233"/>
      <c r="H94" s="233"/>
    </row>
    <row r="95" customFormat="false" ht="12.75" hidden="false" customHeight="false" outlineLevel="0" collapsed="false">
      <c r="A95" s="234"/>
      <c r="B95" s="231" t="n">
        <f aca="false">+DATE(YEAR(B94),MONTH(B94)+1,1)</f>
        <v>38808</v>
      </c>
      <c r="C95" s="230" t="n">
        <f aca="false">+C94</f>
        <v>16000</v>
      </c>
      <c r="D95" s="230" t="n">
        <f aca="false">+D94</f>
        <v>51850</v>
      </c>
      <c r="E95" s="230"/>
      <c r="F95" s="230"/>
      <c r="G95" s="233"/>
      <c r="H95" s="233"/>
    </row>
    <row r="96" customFormat="false" ht="12.75" hidden="false" customHeight="false" outlineLevel="0" collapsed="false">
      <c r="A96" s="234"/>
      <c r="B96" s="231" t="n">
        <f aca="false">+DATE(YEAR(B95),MONTH(B95)+1,1)</f>
        <v>38838</v>
      </c>
      <c r="C96" s="230" t="n">
        <f aca="false">+C95</f>
        <v>16000</v>
      </c>
      <c r="D96" s="230" t="n">
        <f aca="false">+D95</f>
        <v>51850</v>
      </c>
      <c r="E96" s="230"/>
      <c r="F96" s="230"/>
      <c r="G96" s="233"/>
      <c r="H96" s="233"/>
    </row>
    <row r="97" customFormat="false" ht="12.75" hidden="false" customHeight="false" outlineLevel="0" collapsed="false">
      <c r="A97" s="234"/>
      <c r="B97" s="231" t="n">
        <f aca="false">+DATE(YEAR(B96),MONTH(B96)+1,1)</f>
        <v>38869</v>
      </c>
      <c r="C97" s="230" t="n">
        <f aca="false">+C96</f>
        <v>16000</v>
      </c>
      <c r="D97" s="230" t="n">
        <f aca="false">+D96</f>
        <v>51850</v>
      </c>
      <c r="E97" s="230"/>
      <c r="F97" s="230"/>
      <c r="G97" s="233"/>
      <c r="H97" s="233"/>
    </row>
    <row r="98" customFormat="false" ht="12.75" hidden="false" customHeight="false" outlineLevel="0" collapsed="false">
      <c r="A98" s="234"/>
      <c r="B98" s="231" t="n">
        <f aca="false">+DATE(YEAR(B97),MONTH(B97)+1,1)</f>
        <v>38899</v>
      </c>
      <c r="C98" s="230" t="n">
        <f aca="false">+C97</f>
        <v>16000</v>
      </c>
      <c r="D98" s="230" t="n">
        <f aca="false">+D97</f>
        <v>51850</v>
      </c>
      <c r="E98" s="230"/>
      <c r="F98" s="230"/>
      <c r="G98" s="233"/>
      <c r="H98" s="233"/>
    </row>
    <row r="99" customFormat="false" ht="12.75" hidden="false" customHeight="false" outlineLevel="0" collapsed="false">
      <c r="A99" s="234"/>
      <c r="B99" s="231" t="n">
        <f aca="false">+DATE(YEAR(B98),MONTH(B98)+1,1)</f>
        <v>38930</v>
      </c>
      <c r="C99" s="230" t="n">
        <f aca="false">+C98</f>
        <v>16000</v>
      </c>
      <c r="D99" s="230" t="n">
        <f aca="false">+D98</f>
        <v>51850</v>
      </c>
      <c r="E99" s="230"/>
      <c r="F99" s="230"/>
      <c r="G99" s="233"/>
      <c r="H99" s="233"/>
    </row>
    <row r="100" customFormat="false" ht="12.75" hidden="false" customHeight="false" outlineLevel="0" collapsed="false">
      <c r="A100" s="234"/>
      <c r="B100" s="231" t="n">
        <f aca="false">+DATE(YEAR(B99),MONTH(B99)+1,1)</f>
        <v>38961</v>
      </c>
      <c r="C100" s="230" t="n">
        <f aca="false">+C99</f>
        <v>16000</v>
      </c>
      <c r="D100" s="230" t="n">
        <f aca="false">+D99</f>
        <v>51850</v>
      </c>
      <c r="E100" s="230"/>
      <c r="F100" s="230"/>
      <c r="G100" s="233"/>
      <c r="H100" s="233"/>
    </row>
    <row r="101" customFormat="false" ht="12.75" hidden="false" customHeight="false" outlineLevel="0" collapsed="false">
      <c r="A101" s="234"/>
      <c r="B101" s="231" t="n">
        <f aca="false">+DATE(YEAR(B100),MONTH(B100)+1,1)</f>
        <v>38991</v>
      </c>
      <c r="C101" s="230" t="n">
        <f aca="false">+C100</f>
        <v>16000</v>
      </c>
      <c r="D101" s="230" t="n">
        <f aca="false">+D100</f>
        <v>51850</v>
      </c>
      <c r="E101" s="230"/>
      <c r="F101" s="230"/>
      <c r="G101" s="233"/>
      <c r="H101" s="233"/>
    </row>
    <row r="102" customFormat="false" ht="12.75" hidden="false" customHeight="false" outlineLevel="0" collapsed="false">
      <c r="A102" s="234"/>
      <c r="B102" s="231" t="n">
        <f aca="false">+DATE(YEAR(B101),MONTH(B101)+1,1)</f>
        <v>39022</v>
      </c>
      <c r="C102" s="230" t="n">
        <f aca="false">+C101</f>
        <v>16000</v>
      </c>
      <c r="D102" s="230" t="n">
        <f aca="false">+D101</f>
        <v>51850</v>
      </c>
      <c r="E102" s="230"/>
      <c r="F102" s="230"/>
      <c r="G102" s="233"/>
      <c r="H102" s="233"/>
    </row>
    <row r="103" customFormat="false" ht="12.75" hidden="false" customHeight="false" outlineLevel="0" collapsed="false">
      <c r="A103" s="234"/>
      <c r="B103" s="231" t="n">
        <f aca="false">+DATE(YEAR(B102),MONTH(B102)+1,1)</f>
        <v>39052</v>
      </c>
      <c r="C103" s="230" t="n">
        <f aca="false">+C102</f>
        <v>16000</v>
      </c>
      <c r="D103" s="230" t="n">
        <f aca="false">+D102</f>
        <v>51850</v>
      </c>
      <c r="E103" s="230"/>
      <c r="F103" s="230"/>
      <c r="G103" s="233"/>
      <c r="H103" s="233"/>
    </row>
    <row r="104" customFormat="false" ht="12.75" hidden="false" customHeight="false" outlineLevel="0" collapsed="false">
      <c r="A104" s="234"/>
      <c r="B104" s="231" t="n">
        <f aca="false">+DATE(YEAR(B103),MONTH(B103)+1,1)</f>
        <v>39083</v>
      </c>
      <c r="C104" s="230" t="n">
        <f aca="false">+C103</f>
        <v>16000</v>
      </c>
      <c r="D104" s="230" t="n">
        <f aca="false">+D103</f>
        <v>51850</v>
      </c>
      <c r="E104" s="230"/>
      <c r="F104" s="230"/>
      <c r="G104" s="233"/>
      <c r="H104" s="233"/>
    </row>
    <row r="105" customFormat="false" ht="12.75" hidden="false" customHeight="false" outlineLevel="0" collapsed="false">
      <c r="A105" s="234"/>
      <c r="B105" s="231" t="n">
        <f aca="false">+DATE(YEAR(B104),MONTH(B104)+1,1)</f>
        <v>39114</v>
      </c>
      <c r="C105" s="230" t="n">
        <f aca="false">+C104</f>
        <v>16000</v>
      </c>
      <c r="D105" s="230" t="n">
        <f aca="false">+D104</f>
        <v>51850</v>
      </c>
      <c r="E105" s="230"/>
      <c r="F105" s="230"/>
      <c r="G105" s="233"/>
      <c r="H105" s="233"/>
    </row>
    <row r="106" customFormat="false" ht="12.75" hidden="false" customHeight="false" outlineLevel="0" collapsed="false">
      <c r="A106" s="234"/>
      <c r="B106" s="231" t="n">
        <f aca="false">+DATE(YEAR(B105),MONTH(B105)+1,1)</f>
        <v>39142</v>
      </c>
      <c r="C106" s="230" t="n">
        <f aca="false">+C105</f>
        <v>16000</v>
      </c>
      <c r="D106" s="230" t="n">
        <f aca="false">+D105</f>
        <v>51850</v>
      </c>
      <c r="E106" s="230"/>
      <c r="F106" s="230"/>
      <c r="G106" s="233"/>
      <c r="H106" s="233"/>
    </row>
    <row r="107" customFormat="false" ht="12.75" hidden="false" customHeight="false" outlineLevel="0" collapsed="false">
      <c r="A107" s="234"/>
      <c r="B107" s="231" t="n">
        <f aca="false">+DATE(YEAR(B106),MONTH(B106)+1,1)</f>
        <v>39173</v>
      </c>
      <c r="C107" s="230" t="n">
        <f aca="false">+C106</f>
        <v>16000</v>
      </c>
      <c r="D107" s="230" t="n">
        <f aca="false">+D106</f>
        <v>51850</v>
      </c>
      <c r="E107" s="230"/>
      <c r="F107" s="230"/>
      <c r="G107" s="233"/>
      <c r="H107" s="233"/>
    </row>
    <row r="108" customFormat="false" ht="12.75" hidden="false" customHeight="false" outlineLevel="0" collapsed="false">
      <c r="A108" s="234"/>
      <c r="B108" s="231" t="n">
        <f aca="false">+DATE(YEAR(B107),MONTH(B107)+1,1)</f>
        <v>39203</v>
      </c>
      <c r="C108" s="230" t="n">
        <f aca="false">+C107</f>
        <v>16000</v>
      </c>
      <c r="D108" s="230" t="n">
        <f aca="false">+D107</f>
        <v>51850</v>
      </c>
      <c r="E108" s="230"/>
      <c r="F108" s="230"/>
      <c r="G108" s="233"/>
      <c r="H108" s="233"/>
    </row>
    <row r="109" customFormat="false" ht="12.75" hidden="false" customHeight="false" outlineLevel="0" collapsed="false">
      <c r="A109" s="234"/>
      <c r="B109" s="231" t="n">
        <f aca="false">+DATE(YEAR(B108),MONTH(B108)+1,1)</f>
        <v>39234</v>
      </c>
      <c r="C109" s="230" t="n">
        <f aca="false">+C108</f>
        <v>16000</v>
      </c>
      <c r="D109" s="230" t="n">
        <f aca="false">+D108</f>
        <v>51850</v>
      </c>
      <c r="E109" s="230"/>
      <c r="F109" s="230"/>
      <c r="G109" s="233"/>
      <c r="H109" s="233"/>
    </row>
    <row r="110" customFormat="false" ht="12.75" hidden="false" customHeight="false" outlineLevel="0" collapsed="false">
      <c r="A110" s="234"/>
      <c r="B110" s="231" t="n">
        <f aca="false">+DATE(YEAR(B109),MONTH(B109)+1,1)</f>
        <v>39264</v>
      </c>
      <c r="C110" s="230" t="n">
        <f aca="false">+C109</f>
        <v>16000</v>
      </c>
      <c r="D110" s="230" t="n">
        <f aca="false">+D109</f>
        <v>51850</v>
      </c>
      <c r="E110" s="230"/>
      <c r="F110" s="230"/>
      <c r="G110" s="233"/>
      <c r="H110" s="233"/>
    </row>
    <row r="111" customFormat="false" ht="12.75" hidden="false" customHeight="false" outlineLevel="0" collapsed="false">
      <c r="A111" s="234"/>
      <c r="B111" s="231" t="n">
        <f aca="false">+DATE(YEAR(B110),MONTH(B110)+1,1)</f>
        <v>39295</v>
      </c>
      <c r="C111" s="230" t="n">
        <f aca="false">+C110</f>
        <v>16000</v>
      </c>
      <c r="D111" s="230" t="n">
        <f aca="false">+D110</f>
        <v>51850</v>
      </c>
      <c r="E111" s="230"/>
      <c r="F111" s="230"/>
      <c r="G111" s="233"/>
      <c r="H111" s="233"/>
    </row>
    <row r="112" customFormat="false" ht="12.75" hidden="false" customHeight="false" outlineLevel="0" collapsed="false">
      <c r="A112" s="234"/>
      <c r="B112" s="231" t="n">
        <f aca="false">+DATE(YEAR(B111),MONTH(B111)+1,1)</f>
        <v>39326</v>
      </c>
      <c r="C112" s="230" t="n">
        <f aca="false">+C111</f>
        <v>16000</v>
      </c>
      <c r="D112" s="230" t="n">
        <f aca="false">+D111</f>
        <v>51850</v>
      </c>
      <c r="E112" s="230"/>
      <c r="F112" s="230"/>
      <c r="G112" s="233"/>
      <c r="H112" s="233"/>
    </row>
    <row r="113" customFormat="false" ht="12.75" hidden="false" customHeight="false" outlineLevel="0" collapsed="false">
      <c r="A113" s="234"/>
      <c r="B113" s="231" t="n">
        <f aca="false">+DATE(YEAR(B112),MONTH(B112)+1,1)</f>
        <v>39356</v>
      </c>
      <c r="C113" s="230" t="n">
        <f aca="false">+C112</f>
        <v>16000</v>
      </c>
      <c r="D113" s="230" t="n">
        <f aca="false">+D112</f>
        <v>51850</v>
      </c>
      <c r="E113" s="230"/>
      <c r="F113" s="230"/>
      <c r="G113" s="233"/>
      <c r="H113" s="233"/>
    </row>
    <row r="114" customFormat="false" ht="12.75" hidden="false" customHeight="false" outlineLevel="0" collapsed="false">
      <c r="A114" s="234"/>
      <c r="B114" s="231" t="n">
        <f aca="false">+DATE(YEAR(B113),MONTH(B113)+1,1)</f>
        <v>39387</v>
      </c>
      <c r="C114" s="230" t="n">
        <f aca="false">+C113</f>
        <v>16000</v>
      </c>
      <c r="D114" s="230" t="n">
        <f aca="false">+D113</f>
        <v>51850</v>
      </c>
      <c r="E114" s="230"/>
      <c r="F114" s="230"/>
      <c r="G114" s="233"/>
      <c r="H114" s="233"/>
    </row>
    <row r="115" customFormat="false" ht="12.75" hidden="false" customHeight="false" outlineLevel="0" collapsed="false">
      <c r="A115" s="234"/>
      <c r="B115" s="231" t="n">
        <f aca="false">+DATE(YEAR(B114),MONTH(B114)+1,1)</f>
        <v>39417</v>
      </c>
      <c r="C115" s="230" t="n">
        <f aca="false">+C114</f>
        <v>16000</v>
      </c>
      <c r="D115" s="230" t="n">
        <f aca="false">+D114</f>
        <v>51850</v>
      </c>
      <c r="E115" s="230"/>
      <c r="F115" s="230"/>
      <c r="G115" s="233"/>
      <c r="H115" s="233"/>
    </row>
    <row r="116" customFormat="false" ht="12.75" hidden="false" customHeight="false" outlineLevel="0" collapsed="false">
      <c r="A116" s="234"/>
      <c r="B116" s="231" t="n">
        <f aca="false">+DATE(YEAR(B115),MONTH(B115)+1,1)</f>
        <v>39448</v>
      </c>
      <c r="C116" s="230" t="n">
        <f aca="false">+C115</f>
        <v>16000</v>
      </c>
      <c r="D116" s="230" t="n">
        <f aca="false">+D115</f>
        <v>51850</v>
      </c>
      <c r="E116" s="230"/>
      <c r="F116" s="230"/>
      <c r="G116" s="233"/>
      <c r="H116" s="233"/>
    </row>
    <row r="117" customFormat="false" ht="12.75" hidden="false" customHeight="false" outlineLevel="0" collapsed="false">
      <c r="A117" s="234"/>
      <c r="B117" s="231" t="n">
        <f aca="false">+DATE(YEAR(B116),MONTH(B116)+1,1)</f>
        <v>39479</v>
      </c>
      <c r="C117" s="230" t="n">
        <f aca="false">+C116</f>
        <v>16000</v>
      </c>
      <c r="D117" s="230" t="n">
        <f aca="false">+D116</f>
        <v>51850</v>
      </c>
      <c r="E117" s="230"/>
      <c r="F117" s="230"/>
      <c r="G117" s="233"/>
      <c r="H117" s="233"/>
    </row>
    <row r="118" customFormat="false" ht="12.75" hidden="false" customHeight="false" outlineLevel="0" collapsed="false">
      <c r="A118" s="234"/>
      <c r="B118" s="231" t="n">
        <f aca="false">+DATE(YEAR(B117),MONTH(B117)+1,1)</f>
        <v>39508</v>
      </c>
      <c r="C118" s="230" t="n">
        <f aca="false">+C117</f>
        <v>16000</v>
      </c>
      <c r="D118" s="230" t="n">
        <f aca="false">+D117</f>
        <v>51850</v>
      </c>
      <c r="E118" s="230"/>
      <c r="F118" s="230"/>
      <c r="G118" s="233"/>
      <c r="H118" s="233"/>
    </row>
    <row r="119" customFormat="false" ht="12.75" hidden="false" customHeight="false" outlineLevel="0" collapsed="false">
      <c r="A119" s="234"/>
      <c r="B119" s="231" t="n">
        <f aca="false">+DATE(YEAR(B118),MONTH(B118)+1,1)</f>
        <v>39539</v>
      </c>
      <c r="C119" s="230" t="n">
        <f aca="false">+C118</f>
        <v>16000</v>
      </c>
      <c r="D119" s="230" t="n">
        <f aca="false">+D118</f>
        <v>51850</v>
      </c>
      <c r="E119" s="230"/>
      <c r="F119" s="230"/>
      <c r="G119" s="233"/>
      <c r="H119" s="233"/>
    </row>
    <row r="120" customFormat="false" ht="12.75" hidden="false" customHeight="false" outlineLevel="0" collapsed="false">
      <c r="A120" s="234"/>
      <c r="B120" s="231" t="n">
        <f aca="false">+DATE(YEAR(B119),MONTH(B119)+1,1)</f>
        <v>39569</v>
      </c>
      <c r="C120" s="230" t="n">
        <f aca="false">+C119</f>
        <v>16000</v>
      </c>
      <c r="D120" s="230" t="n">
        <f aca="false">+D119</f>
        <v>51850</v>
      </c>
      <c r="E120" s="230"/>
      <c r="F120" s="230"/>
      <c r="G120" s="233"/>
      <c r="H120" s="233"/>
    </row>
    <row r="121" customFormat="false" ht="12.75" hidden="false" customHeight="false" outlineLevel="0" collapsed="false">
      <c r="A121" s="234"/>
      <c r="B121" s="231" t="n">
        <f aca="false">+DATE(YEAR(B120),MONTH(B120)+1,1)</f>
        <v>39600</v>
      </c>
      <c r="C121" s="230" t="n">
        <f aca="false">+C120</f>
        <v>16000</v>
      </c>
      <c r="D121" s="230" t="n">
        <f aca="false">+D120</f>
        <v>51850</v>
      </c>
      <c r="E121" s="230"/>
      <c r="F121" s="230"/>
      <c r="G121" s="233"/>
      <c r="H121" s="233"/>
    </row>
    <row r="122" customFormat="false" ht="12.75" hidden="false" customHeight="false" outlineLevel="0" collapsed="false">
      <c r="A122" s="234"/>
      <c r="B122" s="231" t="n">
        <f aca="false">+DATE(YEAR(B121),MONTH(B121)+1,1)</f>
        <v>39630</v>
      </c>
      <c r="C122" s="230" t="n">
        <f aca="false">+C121</f>
        <v>16000</v>
      </c>
      <c r="D122" s="230" t="n">
        <f aca="false">+D121</f>
        <v>51850</v>
      </c>
      <c r="E122" s="230"/>
      <c r="F122" s="230"/>
      <c r="G122" s="233"/>
      <c r="H122" s="233"/>
    </row>
    <row r="123" customFormat="false" ht="12.75" hidden="false" customHeight="false" outlineLevel="0" collapsed="false">
      <c r="A123" s="234"/>
      <c r="B123" s="231" t="n">
        <f aca="false">+DATE(YEAR(B122),MONTH(B122)+1,1)</f>
        <v>39661</v>
      </c>
      <c r="C123" s="230" t="n">
        <f aca="false">+C122</f>
        <v>16000</v>
      </c>
      <c r="D123" s="230" t="n">
        <f aca="false">+D122</f>
        <v>51850</v>
      </c>
      <c r="E123" s="230"/>
      <c r="F123" s="230"/>
      <c r="G123" s="233"/>
      <c r="H123" s="233"/>
    </row>
    <row r="124" customFormat="false" ht="12.75" hidden="false" customHeight="false" outlineLevel="0" collapsed="false">
      <c r="A124" s="234"/>
      <c r="B124" s="231" t="n">
        <f aca="false">+DATE(YEAR(B123),MONTH(B123)+1,1)</f>
        <v>39692</v>
      </c>
      <c r="C124" s="230" t="n">
        <f aca="false">+C123</f>
        <v>16000</v>
      </c>
      <c r="D124" s="230" t="n">
        <f aca="false">+D123</f>
        <v>51850</v>
      </c>
      <c r="E124" s="230"/>
      <c r="F124" s="230"/>
      <c r="G124" s="233"/>
      <c r="H124" s="233"/>
    </row>
    <row r="125" customFormat="false" ht="12.75" hidden="false" customHeight="false" outlineLevel="0" collapsed="false">
      <c r="A125" s="234"/>
      <c r="B125" s="231" t="n">
        <f aca="false">+DATE(YEAR(B124),MONTH(B124)+1,1)</f>
        <v>39722</v>
      </c>
      <c r="C125" s="230" t="n">
        <f aca="false">+C124</f>
        <v>16000</v>
      </c>
      <c r="D125" s="230" t="n">
        <f aca="false">+D124</f>
        <v>51850</v>
      </c>
      <c r="E125" s="230"/>
      <c r="F125" s="230"/>
      <c r="G125" s="233"/>
      <c r="H125" s="233"/>
    </row>
    <row r="126" customFormat="false" ht="12.75" hidden="false" customHeight="false" outlineLevel="0" collapsed="false">
      <c r="A126" s="234"/>
      <c r="B126" s="231" t="n">
        <f aca="false">+DATE(YEAR(B125),MONTH(B125)+1,1)</f>
        <v>39753</v>
      </c>
      <c r="C126" s="230" t="n">
        <f aca="false">+C125</f>
        <v>16000</v>
      </c>
      <c r="D126" s="230" t="n">
        <f aca="false">+D125</f>
        <v>51850</v>
      </c>
      <c r="E126" s="230"/>
      <c r="F126" s="230"/>
      <c r="G126" s="233"/>
      <c r="H126" s="233"/>
    </row>
    <row r="127" customFormat="false" ht="12.75" hidden="false" customHeight="false" outlineLevel="0" collapsed="false">
      <c r="A127" s="234"/>
      <c r="B127" s="231" t="n">
        <f aca="false">+DATE(YEAR(B126),MONTH(B126)+1,1)</f>
        <v>39783</v>
      </c>
      <c r="C127" s="230" t="n">
        <f aca="false">+C126</f>
        <v>16000</v>
      </c>
      <c r="D127" s="230" t="n">
        <f aca="false">+D126</f>
        <v>51850</v>
      </c>
      <c r="E127" s="230"/>
      <c r="F127" s="230"/>
      <c r="G127" s="233"/>
      <c r="H127" s="233"/>
    </row>
    <row r="128" customFormat="false" ht="12.75" hidden="false" customHeight="false" outlineLevel="0" collapsed="false">
      <c r="A128" s="234"/>
      <c r="B128" s="231" t="n">
        <f aca="false">+DATE(YEAR(B127),MONTH(B127)+1,1)</f>
        <v>39814</v>
      </c>
      <c r="C128" s="230" t="n">
        <f aca="false">+C127</f>
        <v>16000</v>
      </c>
      <c r="D128" s="230" t="n">
        <f aca="false">+D127</f>
        <v>51850</v>
      </c>
      <c r="E128" s="230"/>
      <c r="F128" s="230"/>
      <c r="G128" s="233"/>
      <c r="H128" s="233"/>
    </row>
    <row r="129" customFormat="false" ht="12.75" hidden="false" customHeight="false" outlineLevel="0" collapsed="false">
      <c r="A129" s="234"/>
      <c r="B129" s="231" t="n">
        <f aca="false">+DATE(YEAR(B128),MONTH(B128)+1,1)</f>
        <v>39845</v>
      </c>
      <c r="C129" s="230" t="n">
        <f aca="false">+C128</f>
        <v>16000</v>
      </c>
      <c r="D129" s="230" t="n">
        <f aca="false">+D128</f>
        <v>51850</v>
      </c>
      <c r="E129" s="230"/>
      <c r="F129" s="230"/>
      <c r="G129" s="233"/>
      <c r="H129" s="233"/>
    </row>
    <row r="130" customFormat="false" ht="12.75" hidden="false" customHeight="false" outlineLevel="0" collapsed="false">
      <c r="A130" s="234"/>
      <c r="B130" s="231" t="n">
        <f aca="false">+DATE(YEAR(B129),MONTH(B129)+1,1)</f>
        <v>39873</v>
      </c>
      <c r="C130" s="230" t="n">
        <f aca="false">+C129</f>
        <v>16000</v>
      </c>
      <c r="D130" s="230" t="n">
        <f aca="false">+D129</f>
        <v>51850</v>
      </c>
      <c r="E130" s="230"/>
      <c r="F130" s="230"/>
      <c r="G130" s="233"/>
      <c r="H130" s="233"/>
    </row>
    <row r="131" customFormat="false" ht="12.75" hidden="false" customHeight="false" outlineLevel="0" collapsed="false">
      <c r="A131" s="234"/>
      <c r="B131" s="231" t="n">
        <f aca="false">+DATE(YEAR(B130),MONTH(B130)+1,1)</f>
        <v>39904</v>
      </c>
      <c r="C131" s="230" t="n">
        <f aca="false">+C130</f>
        <v>16000</v>
      </c>
      <c r="D131" s="230" t="n">
        <f aca="false">+D130</f>
        <v>51850</v>
      </c>
      <c r="E131" s="230"/>
      <c r="F131" s="230"/>
      <c r="G131" s="233"/>
      <c r="H131" s="233"/>
    </row>
    <row r="132" customFormat="false" ht="12.75" hidden="false" customHeight="false" outlineLevel="0" collapsed="false">
      <c r="A132" s="234"/>
      <c r="B132" s="231" t="n">
        <f aca="false">+DATE(YEAR(B131),MONTH(B131)+1,1)</f>
        <v>39934</v>
      </c>
      <c r="C132" s="230" t="n">
        <f aca="false">+C131</f>
        <v>16000</v>
      </c>
      <c r="D132" s="230" t="n">
        <f aca="false">+D131</f>
        <v>51850</v>
      </c>
      <c r="E132" s="230"/>
      <c r="F132" s="230"/>
      <c r="G132" s="233"/>
      <c r="H132" s="233"/>
    </row>
    <row r="133" customFormat="false" ht="12.75" hidden="false" customHeight="false" outlineLevel="0" collapsed="false">
      <c r="A133" s="234"/>
      <c r="B133" s="231" t="n">
        <f aca="false">+DATE(YEAR(B132),MONTH(B132)+1,1)</f>
        <v>39965</v>
      </c>
      <c r="C133" s="230" t="n">
        <f aca="false">+C132</f>
        <v>16000</v>
      </c>
      <c r="D133" s="230" t="n">
        <f aca="false">+D132</f>
        <v>51850</v>
      </c>
      <c r="E133" s="230"/>
      <c r="F133" s="230"/>
      <c r="G133" s="233"/>
      <c r="H133" s="233"/>
    </row>
    <row r="134" customFormat="false" ht="12.75" hidden="false" customHeight="false" outlineLevel="0" collapsed="false">
      <c r="A134" s="234"/>
      <c r="B134" s="231" t="n">
        <f aca="false">+DATE(YEAR(B133),MONTH(B133)+1,1)</f>
        <v>39995</v>
      </c>
      <c r="C134" s="230" t="n">
        <f aca="false">+C133</f>
        <v>16000</v>
      </c>
      <c r="D134" s="230" t="n">
        <f aca="false">+D133</f>
        <v>51850</v>
      </c>
      <c r="E134" s="230"/>
      <c r="F134" s="230"/>
      <c r="G134" s="233"/>
      <c r="H134" s="233"/>
    </row>
    <row r="135" customFormat="false" ht="12.75" hidden="false" customHeight="false" outlineLevel="0" collapsed="false">
      <c r="A135" s="234"/>
      <c r="B135" s="231" t="n">
        <f aca="false">+DATE(YEAR(B134),MONTH(B134)+1,1)</f>
        <v>40026</v>
      </c>
      <c r="C135" s="230" t="n">
        <f aca="false">+C134</f>
        <v>16000</v>
      </c>
      <c r="D135" s="230" t="n">
        <f aca="false">+D134</f>
        <v>51850</v>
      </c>
      <c r="E135" s="230"/>
      <c r="F135" s="230"/>
      <c r="G135" s="233"/>
      <c r="H135" s="233"/>
    </row>
    <row r="136" customFormat="false" ht="12.75" hidden="false" customHeight="false" outlineLevel="0" collapsed="false">
      <c r="A136" s="234"/>
      <c r="B136" s="231" t="n">
        <f aca="false">+DATE(YEAR(B135),MONTH(B135)+1,1)</f>
        <v>40057</v>
      </c>
      <c r="C136" s="230" t="n">
        <f aca="false">+C135</f>
        <v>16000</v>
      </c>
      <c r="D136" s="230" t="n">
        <f aca="false">+D135</f>
        <v>51850</v>
      </c>
      <c r="E136" s="230"/>
      <c r="F136" s="230"/>
      <c r="G136" s="233"/>
      <c r="H136" s="233"/>
    </row>
    <row r="137" customFormat="false" ht="12.75" hidden="false" customHeight="false" outlineLevel="0" collapsed="false">
      <c r="A137" s="234"/>
      <c r="B137" s="231" t="n">
        <f aca="false">+DATE(YEAR(B136),MONTH(B136)+1,1)</f>
        <v>40087</v>
      </c>
      <c r="C137" s="230" t="n">
        <f aca="false">+C136</f>
        <v>16000</v>
      </c>
      <c r="D137" s="230" t="n">
        <f aca="false">+D136</f>
        <v>51850</v>
      </c>
      <c r="E137" s="230"/>
      <c r="F137" s="230"/>
      <c r="G137" s="233"/>
      <c r="H137" s="233"/>
    </row>
    <row r="138" customFormat="false" ht="12.75" hidden="false" customHeight="false" outlineLevel="0" collapsed="false">
      <c r="A138" s="234"/>
      <c r="B138" s="231" t="n">
        <f aca="false">+DATE(YEAR(B137),MONTH(B137)+1,1)</f>
        <v>40118</v>
      </c>
      <c r="C138" s="230" t="n">
        <f aca="false">+C137</f>
        <v>16000</v>
      </c>
      <c r="D138" s="230" t="n">
        <f aca="false">+D137</f>
        <v>51850</v>
      </c>
      <c r="E138" s="230"/>
      <c r="F138" s="230"/>
      <c r="G138" s="233"/>
      <c r="H138" s="233"/>
    </row>
    <row r="139" customFormat="false" ht="12.75" hidden="false" customHeight="false" outlineLevel="0" collapsed="false">
      <c r="A139" s="234"/>
      <c r="B139" s="231" t="n">
        <f aca="false">+DATE(YEAR(B138),MONTH(B138)+1,1)</f>
        <v>40148</v>
      </c>
      <c r="C139" s="230" t="n">
        <f aca="false">+C138</f>
        <v>16000</v>
      </c>
      <c r="D139" s="230" t="n">
        <f aca="false">+D138</f>
        <v>51850</v>
      </c>
      <c r="E139" s="230"/>
      <c r="F139" s="230"/>
      <c r="G139" s="233"/>
      <c r="H139" s="233"/>
    </row>
    <row r="140" customFormat="false" ht="12.75" hidden="false" customHeight="false" outlineLevel="0" collapsed="false">
      <c r="A140" s="234"/>
      <c r="B140" s="231" t="n">
        <f aca="false">+DATE(YEAR(B139),MONTH(B139)+1,1)</f>
        <v>40179</v>
      </c>
      <c r="C140" s="230" t="n">
        <f aca="false">+C139</f>
        <v>16000</v>
      </c>
      <c r="D140" s="230" t="n">
        <f aca="false">+D139</f>
        <v>51850</v>
      </c>
      <c r="E140" s="230"/>
      <c r="F140" s="230"/>
      <c r="G140" s="233"/>
      <c r="H140" s="233"/>
    </row>
    <row r="141" customFormat="false" ht="12.75" hidden="false" customHeight="false" outlineLevel="0" collapsed="false">
      <c r="A141" s="234"/>
      <c r="B141" s="231" t="n">
        <f aca="false">+DATE(YEAR(B140),MONTH(B140)+1,1)</f>
        <v>40210</v>
      </c>
      <c r="C141" s="230" t="n">
        <f aca="false">+C140</f>
        <v>16000</v>
      </c>
      <c r="D141" s="230" t="n">
        <f aca="false">+D140</f>
        <v>51850</v>
      </c>
      <c r="E141" s="230"/>
      <c r="F141" s="230"/>
      <c r="G141" s="233"/>
      <c r="H141" s="233"/>
    </row>
    <row r="142" customFormat="false" ht="12.75" hidden="false" customHeight="false" outlineLevel="0" collapsed="false">
      <c r="A142" s="234"/>
      <c r="B142" s="231" t="n">
        <f aca="false">+DATE(YEAR(B141),MONTH(B141)+1,1)</f>
        <v>40238</v>
      </c>
      <c r="C142" s="230" t="n">
        <f aca="false">+C141</f>
        <v>16000</v>
      </c>
      <c r="D142" s="230" t="n">
        <f aca="false">+D141</f>
        <v>51850</v>
      </c>
      <c r="E142" s="230"/>
      <c r="F142" s="230"/>
      <c r="G142" s="233"/>
      <c r="H142" s="233"/>
    </row>
    <row r="143" customFormat="false" ht="12.75" hidden="false" customHeight="false" outlineLevel="0" collapsed="false">
      <c r="A143" s="234"/>
      <c r="B143" s="231" t="n">
        <f aca="false">+DATE(YEAR(B142),MONTH(B142)+1,1)</f>
        <v>40269</v>
      </c>
      <c r="C143" s="230" t="n">
        <f aca="false">+C142</f>
        <v>16000</v>
      </c>
      <c r="D143" s="230" t="n">
        <f aca="false">+D142</f>
        <v>51850</v>
      </c>
      <c r="E143" s="230"/>
      <c r="F143" s="230"/>
      <c r="G143" s="233"/>
      <c r="H143" s="233"/>
    </row>
    <row r="144" customFormat="false" ht="12.75" hidden="false" customHeight="false" outlineLevel="0" collapsed="false">
      <c r="A144" s="234"/>
      <c r="B144" s="231" t="n">
        <f aca="false">+DATE(YEAR(B143),MONTH(B143)+1,1)</f>
        <v>40299</v>
      </c>
      <c r="C144" s="230" t="n">
        <f aca="false">+C143</f>
        <v>16000</v>
      </c>
      <c r="D144" s="230" t="n">
        <f aca="false">+D143</f>
        <v>51850</v>
      </c>
      <c r="E144" s="230"/>
      <c r="F144" s="230"/>
      <c r="G144" s="233"/>
      <c r="H144" s="233"/>
    </row>
    <row r="145" customFormat="false" ht="12.75" hidden="false" customHeight="false" outlineLevel="0" collapsed="false">
      <c r="A145" s="234"/>
      <c r="B145" s="231" t="n">
        <f aca="false">+DATE(YEAR(B144),MONTH(B144)+1,1)</f>
        <v>40330</v>
      </c>
      <c r="C145" s="230" t="n">
        <f aca="false">+C144</f>
        <v>16000</v>
      </c>
      <c r="D145" s="230" t="n">
        <f aca="false">+D144</f>
        <v>51850</v>
      </c>
      <c r="E145" s="230"/>
      <c r="F145" s="230"/>
      <c r="G145" s="233"/>
      <c r="H145" s="233"/>
    </row>
    <row r="146" customFormat="false" ht="12.75" hidden="false" customHeight="false" outlineLevel="0" collapsed="false">
      <c r="A146" s="234"/>
      <c r="B146" s="231" t="n">
        <f aca="false">+DATE(YEAR(B145),MONTH(B145)+1,1)</f>
        <v>40360</v>
      </c>
      <c r="C146" s="230" t="n">
        <f aca="false">+C145</f>
        <v>16000</v>
      </c>
      <c r="D146" s="230" t="n">
        <f aca="false">+D145</f>
        <v>51850</v>
      </c>
      <c r="E146" s="230"/>
      <c r="F146" s="230"/>
      <c r="G146" s="233"/>
      <c r="H146" s="233"/>
    </row>
    <row r="147" customFormat="false" ht="12.75" hidden="false" customHeight="false" outlineLevel="0" collapsed="false">
      <c r="A147" s="234"/>
      <c r="B147" s="231" t="n">
        <f aca="false">+DATE(YEAR(B146),MONTH(B146)+1,1)</f>
        <v>40391</v>
      </c>
      <c r="C147" s="230" t="n">
        <f aca="false">+C146</f>
        <v>16000</v>
      </c>
      <c r="D147" s="230" t="n">
        <f aca="false">+D146</f>
        <v>51850</v>
      </c>
      <c r="E147" s="230"/>
      <c r="F147" s="230"/>
      <c r="G147" s="233"/>
      <c r="H147" s="233"/>
    </row>
    <row r="148" customFormat="false" ht="12.75" hidden="false" customHeight="false" outlineLevel="0" collapsed="false">
      <c r="A148" s="234"/>
      <c r="B148" s="231" t="n">
        <f aca="false">+DATE(YEAR(B147),MONTH(B147)+1,1)</f>
        <v>40422</v>
      </c>
      <c r="C148" s="230" t="n">
        <f aca="false">+C147</f>
        <v>16000</v>
      </c>
      <c r="D148" s="230" t="n">
        <f aca="false">+D147</f>
        <v>51850</v>
      </c>
      <c r="E148" s="230"/>
      <c r="F148" s="230"/>
      <c r="G148" s="233"/>
      <c r="H148" s="233"/>
    </row>
    <row r="149" customFormat="false" ht="12.75" hidden="false" customHeight="false" outlineLevel="0" collapsed="false">
      <c r="A149" s="234"/>
      <c r="B149" s="231" t="n">
        <f aca="false">+DATE(YEAR(B148),MONTH(B148)+1,1)</f>
        <v>40452</v>
      </c>
      <c r="C149" s="230" t="n">
        <f aca="false">+C148</f>
        <v>16000</v>
      </c>
      <c r="D149" s="230" t="n">
        <f aca="false">+D148</f>
        <v>51850</v>
      </c>
      <c r="E149" s="230"/>
      <c r="F149" s="230"/>
      <c r="G149" s="233"/>
      <c r="H149" s="233"/>
    </row>
    <row r="150" customFormat="false" ht="12.75" hidden="false" customHeight="false" outlineLevel="0" collapsed="false">
      <c r="A150" s="234"/>
      <c r="B150" s="231" t="n">
        <f aca="false">+DATE(YEAR(B149),MONTH(B149)+1,1)</f>
        <v>40483</v>
      </c>
      <c r="C150" s="230" t="n">
        <f aca="false">+C149</f>
        <v>16000</v>
      </c>
      <c r="D150" s="230" t="n">
        <f aca="false">+D149</f>
        <v>51850</v>
      </c>
      <c r="E150" s="230"/>
      <c r="F150" s="230"/>
      <c r="G150" s="233"/>
      <c r="H150" s="233"/>
    </row>
    <row r="151" customFormat="false" ht="12.75" hidden="false" customHeight="false" outlineLevel="0" collapsed="false">
      <c r="A151" s="234"/>
      <c r="B151" s="231" t="n">
        <f aca="false">+DATE(YEAR(B150),MONTH(B150)+1,1)</f>
        <v>40513</v>
      </c>
      <c r="C151" s="230" t="n">
        <f aca="false">+C150</f>
        <v>16000</v>
      </c>
      <c r="D151" s="230" t="n">
        <f aca="false">+D150</f>
        <v>51850</v>
      </c>
      <c r="E151" s="230"/>
      <c r="F151" s="230"/>
      <c r="G151" s="233"/>
      <c r="H151" s="233"/>
    </row>
    <row r="152" customFormat="false" ht="12.75" hidden="false" customHeight="false" outlineLevel="0" collapsed="false">
      <c r="A152" s="234"/>
      <c r="B152" s="231" t="n">
        <f aca="false">+DATE(YEAR(B151),MONTH(B151)+1,1)</f>
        <v>40544</v>
      </c>
      <c r="C152" s="230" t="n">
        <f aca="false">+C151</f>
        <v>16000</v>
      </c>
      <c r="D152" s="230" t="n">
        <f aca="false">+D151</f>
        <v>51850</v>
      </c>
      <c r="E152" s="230"/>
      <c r="F152" s="230"/>
      <c r="G152" s="233"/>
      <c r="H152" s="233"/>
    </row>
    <row r="153" customFormat="false" ht="12.75" hidden="false" customHeight="false" outlineLevel="0" collapsed="false">
      <c r="A153" s="234"/>
      <c r="B153" s="231" t="n">
        <f aca="false">+DATE(YEAR(B152),MONTH(B152)+1,1)</f>
        <v>40575</v>
      </c>
      <c r="C153" s="230" t="n">
        <f aca="false">+C152</f>
        <v>16000</v>
      </c>
      <c r="D153" s="230" t="n">
        <f aca="false">+D152</f>
        <v>51850</v>
      </c>
      <c r="E153" s="230"/>
      <c r="F153" s="230"/>
      <c r="G153" s="233"/>
      <c r="H153" s="233"/>
    </row>
    <row r="154" customFormat="false" ht="12.75" hidden="false" customHeight="false" outlineLevel="0" collapsed="false">
      <c r="A154" s="234"/>
      <c r="B154" s="231" t="n">
        <f aca="false">+DATE(YEAR(B153),MONTH(B153)+1,1)</f>
        <v>40603</v>
      </c>
      <c r="C154" s="230" t="n">
        <f aca="false">+C153</f>
        <v>16000</v>
      </c>
      <c r="D154" s="230" t="n">
        <f aca="false">+D153</f>
        <v>51850</v>
      </c>
      <c r="E154" s="230"/>
      <c r="F154" s="230"/>
      <c r="G154" s="233"/>
      <c r="H154" s="233"/>
    </row>
    <row r="155" customFormat="false" ht="12.75" hidden="false" customHeight="false" outlineLevel="0" collapsed="false">
      <c r="A155" s="234"/>
      <c r="B155" s="231" t="n">
        <f aca="false">+DATE(YEAR(B154),MONTH(B154)+1,1)</f>
        <v>40634</v>
      </c>
      <c r="C155" s="230" t="n">
        <f aca="false">+C154</f>
        <v>16000</v>
      </c>
      <c r="D155" s="230" t="n">
        <f aca="false">+D154</f>
        <v>51850</v>
      </c>
      <c r="E155" s="230"/>
      <c r="F155" s="230"/>
      <c r="G155" s="233"/>
      <c r="H155" s="233"/>
    </row>
    <row r="156" customFormat="false" ht="12.75" hidden="false" customHeight="false" outlineLevel="0" collapsed="false">
      <c r="A156" s="234"/>
      <c r="B156" s="231" t="n">
        <f aca="false">+DATE(YEAR(B155),MONTH(B155)+1,1)</f>
        <v>40664</v>
      </c>
      <c r="C156" s="230" t="n">
        <f aca="false">+C155</f>
        <v>16000</v>
      </c>
      <c r="D156" s="230" t="n">
        <f aca="false">+D155</f>
        <v>51850</v>
      </c>
      <c r="E156" s="230"/>
      <c r="F156" s="230"/>
      <c r="G156" s="233"/>
      <c r="H156" s="233"/>
    </row>
    <row r="157" customFormat="false" ht="12.75" hidden="false" customHeight="false" outlineLevel="0" collapsed="false">
      <c r="A157" s="234"/>
      <c r="B157" s="231" t="n">
        <f aca="false">+DATE(YEAR(B156),MONTH(B156)+1,1)</f>
        <v>40695</v>
      </c>
      <c r="C157" s="230" t="n">
        <f aca="false">+C156</f>
        <v>16000</v>
      </c>
      <c r="D157" s="230" t="n">
        <f aca="false">+D156</f>
        <v>51850</v>
      </c>
      <c r="E157" s="230"/>
      <c r="F157" s="230"/>
      <c r="G157" s="233"/>
      <c r="H157" s="233"/>
    </row>
    <row r="158" customFormat="false" ht="12.75" hidden="false" customHeight="false" outlineLevel="0" collapsed="false">
      <c r="A158" s="234"/>
      <c r="B158" s="231" t="n">
        <f aca="false">+DATE(YEAR(B157),MONTH(B157)+1,1)</f>
        <v>40725</v>
      </c>
      <c r="C158" s="230" t="n">
        <f aca="false">+C157</f>
        <v>16000</v>
      </c>
      <c r="D158" s="230" t="n">
        <f aca="false">+D157</f>
        <v>51850</v>
      </c>
      <c r="E158" s="230"/>
      <c r="F158" s="230"/>
      <c r="G158" s="233"/>
      <c r="H158" s="233"/>
    </row>
    <row r="159" customFormat="false" ht="12.75" hidden="false" customHeight="false" outlineLevel="0" collapsed="false">
      <c r="A159" s="234"/>
      <c r="B159" s="231" t="n">
        <f aca="false">+DATE(YEAR(B158),MONTH(B158)+1,1)</f>
        <v>40756</v>
      </c>
      <c r="C159" s="230" t="n">
        <f aca="false">+C158</f>
        <v>16000</v>
      </c>
      <c r="D159" s="230" t="n">
        <f aca="false">+D158</f>
        <v>51850</v>
      </c>
      <c r="E159" s="230"/>
      <c r="F159" s="230"/>
      <c r="G159" s="233"/>
      <c r="H159" s="233"/>
    </row>
    <row r="160" customFormat="false" ht="12.75" hidden="false" customHeight="false" outlineLevel="0" collapsed="false">
      <c r="A160" s="234"/>
      <c r="B160" s="231" t="n">
        <f aca="false">+DATE(YEAR(B159),MONTH(B159)+1,1)</f>
        <v>40787</v>
      </c>
      <c r="C160" s="230" t="n">
        <f aca="false">+C159</f>
        <v>16000</v>
      </c>
      <c r="D160" s="230" t="n">
        <f aca="false">+D159</f>
        <v>51850</v>
      </c>
      <c r="E160" s="230"/>
      <c r="F160" s="230"/>
      <c r="G160" s="233"/>
      <c r="H160" s="233"/>
    </row>
    <row r="161" customFormat="false" ht="12.75" hidden="false" customHeight="false" outlineLevel="0" collapsed="false">
      <c r="A161" s="234"/>
      <c r="B161" s="231" t="n">
        <f aca="false">+DATE(YEAR(B160),MONTH(B160)+1,1)</f>
        <v>40817</v>
      </c>
      <c r="C161" s="230" t="n">
        <f aca="false">+C160</f>
        <v>16000</v>
      </c>
      <c r="D161" s="230" t="n">
        <f aca="false">+D160</f>
        <v>51850</v>
      </c>
      <c r="E161" s="230"/>
      <c r="F161" s="230"/>
      <c r="G161" s="233"/>
      <c r="H161" s="233"/>
    </row>
    <row r="162" customFormat="false" ht="12.75" hidden="false" customHeight="false" outlineLevel="0" collapsed="false">
      <c r="A162" s="234"/>
      <c r="B162" s="231" t="n">
        <f aca="false">+DATE(YEAR(B161),MONTH(B161)+1,1)</f>
        <v>40848</v>
      </c>
      <c r="C162" s="230" t="n">
        <f aca="false">+C161</f>
        <v>16000</v>
      </c>
      <c r="D162" s="230" t="n">
        <f aca="false">+D161</f>
        <v>51850</v>
      </c>
      <c r="E162" s="230"/>
      <c r="F162" s="230"/>
      <c r="G162" s="233"/>
      <c r="H162" s="233"/>
    </row>
    <row r="163" customFormat="false" ht="12.75" hidden="false" customHeight="false" outlineLevel="0" collapsed="false">
      <c r="A163" s="234"/>
      <c r="B163" s="231" t="n">
        <f aca="false">+DATE(YEAR(B162),MONTH(B162)+1,1)</f>
        <v>40878</v>
      </c>
      <c r="C163" s="230" t="n">
        <f aca="false">+C162</f>
        <v>16000</v>
      </c>
      <c r="D163" s="230" t="n">
        <f aca="false">+D162</f>
        <v>51850</v>
      </c>
      <c r="E163" s="230"/>
      <c r="F163" s="230"/>
      <c r="G163" s="233"/>
      <c r="H163" s="233"/>
    </row>
    <row r="164" customFormat="false" ht="12.75" hidden="false" customHeight="false" outlineLevel="0" collapsed="false">
      <c r="A164" s="234"/>
      <c r="B164" s="231" t="n">
        <f aca="false">+DATE(YEAR(B163),MONTH(B163)+1,1)</f>
        <v>40909</v>
      </c>
      <c r="C164" s="230" t="n">
        <f aca="false">+C163</f>
        <v>16000</v>
      </c>
      <c r="D164" s="230" t="n">
        <f aca="false">+D163</f>
        <v>51850</v>
      </c>
      <c r="E164" s="230"/>
      <c r="F164" s="230"/>
      <c r="G164" s="233"/>
      <c r="H164" s="233"/>
    </row>
    <row r="165" customFormat="false" ht="12.75" hidden="false" customHeight="false" outlineLevel="0" collapsed="false">
      <c r="A165" s="234"/>
      <c r="B165" s="231" t="n">
        <f aca="false">+DATE(YEAR(B164),MONTH(B164)+1,1)</f>
        <v>40940</v>
      </c>
      <c r="C165" s="230" t="n">
        <f aca="false">+C164</f>
        <v>16000</v>
      </c>
      <c r="D165" s="230" t="n">
        <f aca="false">+D164</f>
        <v>51850</v>
      </c>
      <c r="E165" s="230"/>
      <c r="F165" s="230"/>
      <c r="G165" s="233"/>
      <c r="H165" s="233"/>
    </row>
    <row r="166" customFormat="false" ht="12.75" hidden="false" customHeight="false" outlineLevel="0" collapsed="false">
      <c r="A166" s="234"/>
      <c r="B166" s="231" t="n">
        <f aca="false">+DATE(YEAR(B165),MONTH(B165)+1,1)</f>
        <v>40969</v>
      </c>
      <c r="C166" s="230" t="n">
        <f aca="false">+C165</f>
        <v>16000</v>
      </c>
      <c r="D166" s="230" t="n">
        <f aca="false">+D165</f>
        <v>51850</v>
      </c>
      <c r="E166" s="230"/>
      <c r="F166" s="230"/>
      <c r="G166" s="233"/>
      <c r="H166" s="233"/>
    </row>
    <row r="167" customFormat="false" ht="12.75" hidden="false" customHeight="false" outlineLevel="0" collapsed="false">
      <c r="A167" s="234"/>
      <c r="B167" s="231" t="n">
        <f aca="false">+DATE(YEAR(B166),MONTH(B166)+1,1)</f>
        <v>41000</v>
      </c>
      <c r="C167" s="230" t="n">
        <f aca="false">+C166</f>
        <v>16000</v>
      </c>
      <c r="D167" s="230" t="n">
        <f aca="false">+D166</f>
        <v>51850</v>
      </c>
      <c r="E167" s="230"/>
      <c r="F167" s="230"/>
      <c r="G167" s="233"/>
      <c r="H167" s="233"/>
    </row>
    <row r="168" customFormat="false" ht="12.75" hidden="false" customHeight="false" outlineLevel="0" collapsed="false">
      <c r="A168" s="234"/>
      <c r="B168" s="231" t="n">
        <f aca="false">+DATE(YEAR(B167),MONTH(B167)+1,1)</f>
        <v>41030</v>
      </c>
      <c r="C168" s="230" t="n">
        <f aca="false">+C167</f>
        <v>16000</v>
      </c>
      <c r="D168" s="230" t="n">
        <f aca="false">+D167</f>
        <v>51850</v>
      </c>
      <c r="E168" s="230"/>
      <c r="F168" s="230"/>
      <c r="G168" s="233"/>
      <c r="H168" s="233"/>
    </row>
    <row r="169" customFormat="false" ht="12.75" hidden="false" customHeight="false" outlineLevel="0" collapsed="false">
      <c r="A169" s="234"/>
      <c r="B169" s="231" t="n">
        <f aca="false">+DATE(YEAR(B168),MONTH(B168)+1,1)</f>
        <v>41061</v>
      </c>
      <c r="C169" s="230" t="n">
        <f aca="false">+C168</f>
        <v>16000</v>
      </c>
      <c r="D169" s="230" t="n">
        <f aca="false">+D168</f>
        <v>51850</v>
      </c>
      <c r="E169" s="230"/>
      <c r="F169" s="230"/>
      <c r="G169" s="233"/>
      <c r="H169" s="233"/>
    </row>
    <row r="170" customFormat="false" ht="12.75" hidden="false" customHeight="false" outlineLevel="0" collapsed="false">
      <c r="A170" s="234"/>
      <c r="B170" s="231" t="n">
        <f aca="false">+DATE(YEAR(B169),MONTH(B169)+1,1)</f>
        <v>41091</v>
      </c>
      <c r="C170" s="230" t="n">
        <f aca="false">+C169</f>
        <v>16000</v>
      </c>
      <c r="D170" s="230" t="n">
        <f aca="false">+D169</f>
        <v>51850</v>
      </c>
      <c r="E170" s="230"/>
      <c r="F170" s="230"/>
      <c r="G170" s="233"/>
      <c r="H170" s="233"/>
    </row>
    <row r="171" customFormat="false" ht="12.75" hidden="false" customHeight="false" outlineLevel="0" collapsed="false">
      <c r="A171" s="234"/>
      <c r="B171" s="231" t="n">
        <f aca="false">+DATE(YEAR(B170),MONTH(B170)+1,1)</f>
        <v>41122</v>
      </c>
      <c r="C171" s="230" t="n">
        <f aca="false">+C170</f>
        <v>16000</v>
      </c>
      <c r="D171" s="230" t="n">
        <f aca="false">+D170</f>
        <v>51850</v>
      </c>
      <c r="E171" s="230"/>
      <c r="F171" s="230"/>
      <c r="G171" s="233"/>
      <c r="H171" s="233"/>
    </row>
    <row r="172" customFormat="false" ht="12.75" hidden="false" customHeight="false" outlineLevel="0" collapsed="false">
      <c r="A172" s="234"/>
      <c r="B172" s="231" t="n">
        <f aca="false">+DATE(YEAR(B171),MONTH(B171)+1,1)</f>
        <v>41153</v>
      </c>
      <c r="C172" s="230" t="n">
        <f aca="false">+C171</f>
        <v>16000</v>
      </c>
      <c r="D172" s="230" t="n">
        <f aca="false">+D171</f>
        <v>51850</v>
      </c>
      <c r="E172" s="230"/>
      <c r="F172" s="230"/>
      <c r="G172" s="233"/>
      <c r="H172" s="233"/>
    </row>
    <row r="173" customFormat="false" ht="12.75" hidden="false" customHeight="false" outlineLevel="0" collapsed="false">
      <c r="A173" s="234"/>
      <c r="B173" s="231" t="n">
        <f aca="false">+DATE(YEAR(B172),MONTH(B172)+1,1)</f>
        <v>41183</v>
      </c>
      <c r="C173" s="230" t="n">
        <f aca="false">+C172</f>
        <v>16000</v>
      </c>
      <c r="D173" s="230" t="n">
        <f aca="false">+D172</f>
        <v>51850</v>
      </c>
      <c r="E173" s="230"/>
      <c r="F173" s="230"/>
      <c r="G173" s="233"/>
      <c r="H173" s="233"/>
    </row>
    <row r="174" customFormat="false" ht="12.75" hidden="false" customHeight="false" outlineLevel="0" collapsed="false">
      <c r="A174" s="234"/>
      <c r="B174" s="231" t="n">
        <f aca="false">+DATE(YEAR(B173),MONTH(B173)+1,1)</f>
        <v>41214</v>
      </c>
      <c r="C174" s="230" t="n">
        <f aca="false">+C173</f>
        <v>16000</v>
      </c>
      <c r="D174" s="230" t="n">
        <f aca="false">+D173</f>
        <v>51850</v>
      </c>
      <c r="E174" s="230"/>
      <c r="F174" s="230"/>
      <c r="G174" s="233"/>
      <c r="H174" s="233"/>
    </row>
    <row r="175" customFormat="false" ht="12.75" hidden="false" customHeight="false" outlineLevel="0" collapsed="false">
      <c r="A175" s="234"/>
      <c r="B175" s="231" t="n">
        <f aca="false">+DATE(YEAR(B174),MONTH(B174)+1,1)</f>
        <v>41244</v>
      </c>
      <c r="C175" s="230" t="n">
        <f aca="false">+C174</f>
        <v>16000</v>
      </c>
      <c r="D175" s="230" t="n">
        <f aca="false">+D174</f>
        <v>51850</v>
      </c>
      <c r="E175" s="230"/>
      <c r="F175" s="230"/>
      <c r="G175" s="233"/>
      <c r="H175" s="233"/>
    </row>
    <row r="176" customFormat="false" ht="12.75" hidden="false" customHeight="false" outlineLevel="0" collapsed="false">
      <c r="A176" s="234"/>
      <c r="B176" s="231" t="n">
        <f aca="false">+DATE(YEAR(B175),MONTH(B175)+1,1)</f>
        <v>41275</v>
      </c>
      <c r="C176" s="230" t="n">
        <f aca="false">+C175</f>
        <v>16000</v>
      </c>
      <c r="D176" s="230" t="n">
        <f aca="false">+D175</f>
        <v>51850</v>
      </c>
      <c r="E176" s="230"/>
      <c r="F176" s="230"/>
      <c r="G176" s="233"/>
      <c r="H176" s="233"/>
    </row>
    <row r="177" customFormat="false" ht="12.75" hidden="false" customHeight="false" outlineLevel="0" collapsed="false">
      <c r="A177" s="234"/>
      <c r="B177" s="231" t="n">
        <f aca="false">+DATE(YEAR(B176),MONTH(B176)+1,1)</f>
        <v>41306</v>
      </c>
      <c r="C177" s="230" t="n">
        <f aca="false">+C176</f>
        <v>16000</v>
      </c>
      <c r="D177" s="230" t="n">
        <f aca="false">+D176</f>
        <v>51850</v>
      </c>
      <c r="E177" s="230"/>
      <c r="F177" s="230"/>
      <c r="G177" s="233"/>
      <c r="H177" s="233"/>
    </row>
    <row r="178" customFormat="false" ht="12.75" hidden="false" customHeight="false" outlineLevel="0" collapsed="false">
      <c r="A178" s="234"/>
      <c r="B178" s="231" t="n">
        <f aca="false">+DATE(YEAR(B177),MONTH(B177)+1,1)</f>
        <v>41334</v>
      </c>
      <c r="C178" s="230" t="n">
        <f aca="false">+C177</f>
        <v>16000</v>
      </c>
      <c r="D178" s="230" t="n">
        <f aca="false">+D177</f>
        <v>51850</v>
      </c>
      <c r="E178" s="230"/>
      <c r="F178" s="230"/>
      <c r="G178" s="233"/>
      <c r="H178" s="233"/>
    </row>
    <row r="179" customFormat="false" ht="12.75" hidden="false" customHeight="false" outlineLevel="0" collapsed="false">
      <c r="A179" s="234"/>
      <c r="B179" s="231" t="n">
        <f aca="false">+DATE(YEAR(B178),MONTH(B178)+1,1)</f>
        <v>41365</v>
      </c>
      <c r="C179" s="230" t="n">
        <f aca="false">+C178</f>
        <v>16000</v>
      </c>
      <c r="D179" s="230" t="n">
        <f aca="false">+D178</f>
        <v>51850</v>
      </c>
      <c r="E179" s="230"/>
      <c r="F179" s="230"/>
      <c r="G179" s="233"/>
      <c r="H179" s="233"/>
    </row>
    <row r="180" customFormat="false" ht="12.75" hidden="false" customHeight="false" outlineLevel="0" collapsed="false">
      <c r="A180" s="234"/>
      <c r="B180" s="231" t="n">
        <f aca="false">+DATE(YEAR(B179),MONTH(B179)+1,1)</f>
        <v>41395</v>
      </c>
      <c r="C180" s="230" t="n">
        <f aca="false">+C179</f>
        <v>16000</v>
      </c>
      <c r="D180" s="230" t="n">
        <f aca="false">+D179</f>
        <v>51850</v>
      </c>
      <c r="E180" s="230"/>
      <c r="F180" s="230"/>
      <c r="G180" s="233"/>
      <c r="H180" s="233"/>
    </row>
    <row r="181" customFormat="false" ht="12.75" hidden="false" customHeight="false" outlineLevel="0" collapsed="false">
      <c r="A181" s="234"/>
      <c r="B181" s="231" t="n">
        <f aca="false">+DATE(YEAR(B180),MONTH(B180)+1,1)</f>
        <v>41426</v>
      </c>
      <c r="C181" s="230" t="n">
        <f aca="false">+C180</f>
        <v>16000</v>
      </c>
      <c r="D181" s="230" t="n">
        <f aca="false">+D180</f>
        <v>51850</v>
      </c>
      <c r="E181" s="230"/>
      <c r="F181" s="230"/>
      <c r="G181" s="233"/>
      <c r="H181" s="233"/>
    </row>
    <row r="182" customFormat="false" ht="12.75" hidden="false" customHeight="false" outlineLevel="0" collapsed="false">
      <c r="A182" s="234"/>
      <c r="B182" s="231" t="n">
        <f aca="false">+DATE(YEAR(B181),MONTH(B181)+1,1)</f>
        <v>41456</v>
      </c>
      <c r="C182" s="230" t="n">
        <f aca="false">+C181</f>
        <v>16000</v>
      </c>
      <c r="D182" s="230" t="n">
        <f aca="false">+D181</f>
        <v>51850</v>
      </c>
      <c r="E182" s="230"/>
      <c r="F182" s="230"/>
      <c r="G182" s="233"/>
      <c r="H182" s="233"/>
    </row>
    <row r="183" customFormat="false" ht="12.75" hidden="false" customHeight="false" outlineLevel="0" collapsed="false">
      <c r="A183" s="234"/>
      <c r="B183" s="231" t="n">
        <f aca="false">+DATE(YEAR(B182),MONTH(B182)+1,1)</f>
        <v>41487</v>
      </c>
      <c r="C183" s="230" t="n">
        <f aca="false">+C182</f>
        <v>16000</v>
      </c>
      <c r="D183" s="230" t="n">
        <f aca="false">+D182</f>
        <v>51850</v>
      </c>
      <c r="E183" s="230"/>
      <c r="F183" s="230"/>
      <c r="G183" s="233"/>
      <c r="H183" s="233"/>
    </row>
    <row r="184" customFormat="false" ht="12.75" hidden="false" customHeight="false" outlineLevel="0" collapsed="false">
      <c r="A184" s="234"/>
      <c r="B184" s="231" t="n">
        <f aca="false">+DATE(YEAR(B183),MONTH(B183)+1,1)</f>
        <v>41518</v>
      </c>
      <c r="C184" s="230" t="n">
        <f aca="false">+C183</f>
        <v>16000</v>
      </c>
      <c r="D184" s="230" t="n">
        <f aca="false">+D183</f>
        <v>51850</v>
      </c>
      <c r="E184" s="230"/>
      <c r="F184" s="230"/>
      <c r="G184" s="233"/>
      <c r="H184" s="233"/>
    </row>
    <row r="185" customFormat="false" ht="12.75" hidden="false" customHeight="false" outlineLevel="0" collapsed="false">
      <c r="A185" s="234"/>
      <c r="B185" s="231" t="n">
        <f aca="false">+DATE(YEAR(B184),MONTH(B184)+1,1)</f>
        <v>41548</v>
      </c>
      <c r="C185" s="230" t="n">
        <f aca="false">+C184</f>
        <v>16000</v>
      </c>
      <c r="D185" s="230" t="n">
        <f aca="false">+D184</f>
        <v>51850</v>
      </c>
      <c r="E185" s="230"/>
      <c r="F185" s="230"/>
      <c r="G185" s="233"/>
      <c r="H185" s="233"/>
    </row>
    <row r="186" customFormat="false" ht="12.75" hidden="false" customHeight="false" outlineLevel="0" collapsed="false">
      <c r="A186" s="234"/>
      <c r="B186" s="231" t="n">
        <f aca="false">+DATE(YEAR(B185),MONTH(B185)+1,1)</f>
        <v>41579</v>
      </c>
      <c r="C186" s="230" t="n">
        <f aca="false">+C185</f>
        <v>16000</v>
      </c>
      <c r="D186" s="230" t="n">
        <f aca="false">+D185</f>
        <v>51850</v>
      </c>
      <c r="E186" s="230"/>
      <c r="F186" s="230"/>
      <c r="G186" s="233"/>
      <c r="H186" s="233"/>
    </row>
    <row r="187" customFormat="false" ht="12.75" hidden="false" customHeight="false" outlineLevel="0" collapsed="false">
      <c r="A187" s="234"/>
      <c r="B187" s="231" t="n">
        <f aca="false">+DATE(YEAR(B186),MONTH(B186)+1,1)</f>
        <v>41609</v>
      </c>
      <c r="C187" s="230" t="n">
        <f aca="false">+C186</f>
        <v>16000</v>
      </c>
      <c r="D187" s="230" t="n">
        <f aca="false">+D186</f>
        <v>51850</v>
      </c>
      <c r="E187" s="230"/>
      <c r="F187" s="230"/>
      <c r="G187" s="233"/>
      <c r="H187" s="233"/>
    </row>
    <row r="188" customFormat="false" ht="12.75" hidden="false" customHeight="false" outlineLevel="0" collapsed="false">
      <c r="A188" s="234"/>
      <c r="B188" s="231" t="n">
        <f aca="false">+DATE(YEAR(B187),MONTH(B187)+1,1)</f>
        <v>41640</v>
      </c>
      <c r="C188" s="230" t="n">
        <f aca="false">+C187</f>
        <v>16000</v>
      </c>
      <c r="D188" s="230" t="n">
        <f aca="false">+D187</f>
        <v>51850</v>
      </c>
      <c r="E188" s="230"/>
      <c r="F188" s="230"/>
      <c r="G188" s="233"/>
      <c r="H188" s="233"/>
    </row>
    <row r="189" customFormat="false" ht="12.75" hidden="false" customHeight="false" outlineLevel="0" collapsed="false">
      <c r="A189" s="234"/>
      <c r="B189" s="231" t="n">
        <f aca="false">+DATE(YEAR(B188),MONTH(B188)+1,1)</f>
        <v>41671</v>
      </c>
      <c r="C189" s="230" t="n">
        <f aca="false">+C188</f>
        <v>16000</v>
      </c>
      <c r="D189" s="230" t="n">
        <f aca="false">+D188</f>
        <v>51850</v>
      </c>
      <c r="E189" s="230"/>
      <c r="F189" s="230"/>
      <c r="G189" s="233"/>
      <c r="H189" s="233"/>
    </row>
    <row r="190" customFormat="false" ht="12.75" hidden="false" customHeight="false" outlineLevel="0" collapsed="false">
      <c r="A190" s="234"/>
      <c r="B190" s="231" t="n">
        <f aca="false">+DATE(YEAR(B189),MONTH(B189)+1,1)</f>
        <v>41699</v>
      </c>
      <c r="C190" s="230" t="n">
        <f aca="false">+C189</f>
        <v>16000</v>
      </c>
      <c r="D190" s="230" t="n">
        <f aca="false">+D189</f>
        <v>51850</v>
      </c>
      <c r="E190" s="230"/>
      <c r="F190" s="230"/>
      <c r="G190" s="233"/>
      <c r="H190" s="233"/>
    </row>
    <row r="191" customFormat="false" ht="12.75" hidden="false" customHeight="false" outlineLevel="0" collapsed="false">
      <c r="A191" s="234"/>
      <c r="B191" s="231" t="n">
        <f aca="false">+DATE(YEAR(B190),MONTH(B190)+1,1)</f>
        <v>41730</v>
      </c>
      <c r="C191" s="230" t="n">
        <f aca="false">+C190</f>
        <v>16000</v>
      </c>
      <c r="D191" s="230" t="n">
        <f aca="false">+D190</f>
        <v>51850</v>
      </c>
      <c r="E191" s="230"/>
      <c r="F191" s="230"/>
      <c r="G191" s="233"/>
      <c r="H191" s="233"/>
    </row>
    <row r="192" customFormat="false" ht="12.75" hidden="false" customHeight="false" outlineLevel="0" collapsed="false">
      <c r="A192" s="234"/>
      <c r="B192" s="231" t="n">
        <f aca="false">+DATE(YEAR(B191),MONTH(B191)+1,1)</f>
        <v>41760</v>
      </c>
      <c r="C192" s="230" t="n">
        <f aca="false">+C191</f>
        <v>16000</v>
      </c>
      <c r="D192" s="230" t="n">
        <f aca="false">+D191</f>
        <v>51850</v>
      </c>
      <c r="E192" s="230"/>
      <c r="F192" s="230"/>
      <c r="G192" s="233"/>
      <c r="H192" s="233"/>
    </row>
    <row r="193" customFormat="false" ht="12.75" hidden="false" customHeight="false" outlineLevel="0" collapsed="false">
      <c r="A193" s="234"/>
      <c r="B193" s="231" t="n">
        <f aca="false">+DATE(YEAR(B192),MONTH(B192)+1,1)</f>
        <v>41791</v>
      </c>
      <c r="C193" s="230" t="n">
        <f aca="false">+C192</f>
        <v>16000</v>
      </c>
      <c r="D193" s="230" t="n">
        <f aca="false">+D192</f>
        <v>51850</v>
      </c>
      <c r="E193" s="230"/>
      <c r="F193" s="230"/>
      <c r="G193" s="233"/>
      <c r="H193" s="233"/>
    </row>
    <row r="194" customFormat="false" ht="12.75" hidden="false" customHeight="false" outlineLevel="0" collapsed="false">
      <c r="A194" s="234"/>
      <c r="B194" s="231" t="n">
        <f aca="false">+DATE(YEAR(B193),MONTH(B193)+1,1)</f>
        <v>41821</v>
      </c>
      <c r="C194" s="230" t="n">
        <f aca="false">+C193</f>
        <v>16000</v>
      </c>
      <c r="D194" s="230" t="n">
        <f aca="false">+D193</f>
        <v>51850</v>
      </c>
      <c r="E194" s="230"/>
      <c r="F194" s="230"/>
      <c r="G194" s="233"/>
      <c r="H194" s="233"/>
    </row>
    <row r="195" customFormat="false" ht="12.75" hidden="false" customHeight="false" outlineLevel="0" collapsed="false">
      <c r="A195" s="234"/>
      <c r="B195" s="231" t="n">
        <f aca="false">+DATE(YEAR(B194),MONTH(B194)+1,1)</f>
        <v>41852</v>
      </c>
      <c r="C195" s="230" t="n">
        <f aca="false">+C194</f>
        <v>16000</v>
      </c>
      <c r="D195" s="230" t="n">
        <f aca="false">+D194</f>
        <v>51850</v>
      </c>
      <c r="E195" s="230"/>
      <c r="F195" s="230"/>
      <c r="G195" s="233"/>
      <c r="H195" s="233"/>
    </row>
    <row r="196" customFormat="false" ht="12.75" hidden="false" customHeight="false" outlineLevel="0" collapsed="false">
      <c r="A196" s="234"/>
      <c r="B196" s="231" t="n">
        <f aca="false">+DATE(YEAR(B195),MONTH(B195)+1,1)</f>
        <v>41883</v>
      </c>
      <c r="C196" s="230" t="n">
        <f aca="false">+C195</f>
        <v>16000</v>
      </c>
      <c r="D196" s="230" t="n">
        <f aca="false">+D195</f>
        <v>51850</v>
      </c>
      <c r="E196" s="230"/>
      <c r="F196" s="230"/>
      <c r="G196" s="233"/>
      <c r="H196" s="233"/>
    </row>
    <row r="197" customFormat="false" ht="12.75" hidden="false" customHeight="false" outlineLevel="0" collapsed="false">
      <c r="A197" s="234"/>
      <c r="B197" s="231" t="n">
        <f aca="false">+DATE(YEAR(B196),MONTH(B196)+1,1)</f>
        <v>41913</v>
      </c>
      <c r="C197" s="230" t="n">
        <f aca="false">+C196</f>
        <v>16000</v>
      </c>
      <c r="D197" s="230" t="n">
        <f aca="false">+D196</f>
        <v>51850</v>
      </c>
      <c r="E197" s="230"/>
      <c r="F197" s="230"/>
      <c r="G197" s="233"/>
      <c r="H197" s="233"/>
    </row>
    <row r="198" customFormat="false" ht="12.75" hidden="false" customHeight="false" outlineLevel="0" collapsed="false">
      <c r="A198" s="234"/>
      <c r="B198" s="231" t="n">
        <f aca="false">+DATE(YEAR(B197),MONTH(B197)+1,1)</f>
        <v>41944</v>
      </c>
      <c r="C198" s="230" t="n">
        <f aca="false">+C197</f>
        <v>16000</v>
      </c>
      <c r="D198" s="230" t="n">
        <f aca="false">+D197</f>
        <v>51850</v>
      </c>
      <c r="E198" s="230"/>
      <c r="F198" s="230"/>
      <c r="G198" s="233"/>
      <c r="H198" s="233"/>
    </row>
    <row r="199" customFormat="false" ht="12.75" hidden="false" customHeight="false" outlineLevel="0" collapsed="false">
      <c r="A199" s="234"/>
      <c r="B199" s="231" t="n">
        <f aca="false">+DATE(YEAR(B198),MONTH(B198)+1,1)</f>
        <v>41974</v>
      </c>
      <c r="C199" s="230" t="n">
        <f aca="false">+C198</f>
        <v>16000</v>
      </c>
      <c r="D199" s="230" t="n">
        <f aca="false">+D198</f>
        <v>51850</v>
      </c>
      <c r="E199" s="230"/>
      <c r="F199" s="230"/>
      <c r="G199" s="233"/>
      <c r="H199" s="233"/>
    </row>
    <row r="200" customFormat="false" ht="12.75" hidden="false" customHeight="false" outlineLevel="0" collapsed="false">
      <c r="A200" s="234"/>
      <c r="B200" s="231" t="n">
        <f aca="false">+DATE(YEAR(B199),MONTH(B199)+1,1)</f>
        <v>42005</v>
      </c>
      <c r="C200" s="230" t="n">
        <f aca="false">+C199</f>
        <v>16000</v>
      </c>
      <c r="D200" s="230" t="n">
        <f aca="false">+D199</f>
        <v>51850</v>
      </c>
      <c r="E200" s="230"/>
      <c r="F200" s="230"/>
      <c r="G200" s="233"/>
      <c r="H200" s="233"/>
    </row>
    <row r="201" customFormat="false" ht="12.75" hidden="false" customHeight="false" outlineLevel="0" collapsed="false">
      <c r="A201" s="234"/>
      <c r="B201" s="231" t="n">
        <f aca="false">+DATE(YEAR(B200),MONTH(B200)+1,1)</f>
        <v>42036</v>
      </c>
      <c r="C201" s="230" t="n">
        <f aca="false">+C200</f>
        <v>16000</v>
      </c>
      <c r="D201" s="230" t="n">
        <f aca="false">+D200</f>
        <v>51850</v>
      </c>
      <c r="E201" s="230"/>
      <c r="F201" s="230"/>
      <c r="G201" s="233"/>
      <c r="H201" s="233"/>
    </row>
    <row r="202" customFormat="false" ht="12.75" hidden="false" customHeight="false" outlineLevel="0" collapsed="false">
      <c r="A202" s="234"/>
      <c r="B202" s="231" t="n">
        <f aca="false">+DATE(YEAR(B201),MONTH(B201)+1,1)</f>
        <v>42064</v>
      </c>
      <c r="C202" s="230" t="n">
        <f aca="false">+C201</f>
        <v>16000</v>
      </c>
      <c r="D202" s="230" t="n">
        <f aca="false">+D201</f>
        <v>51850</v>
      </c>
      <c r="E202" s="230"/>
      <c r="F202" s="230"/>
      <c r="G202" s="233"/>
      <c r="H202" s="233"/>
    </row>
    <row r="203" customFormat="false" ht="12.75" hidden="false" customHeight="false" outlineLevel="0" collapsed="false">
      <c r="A203" s="234"/>
      <c r="B203" s="231" t="n">
        <f aca="false">+DATE(YEAR(B202),MONTH(B202)+1,1)</f>
        <v>42095</v>
      </c>
      <c r="C203" s="230" t="n">
        <f aca="false">+C202</f>
        <v>16000</v>
      </c>
      <c r="D203" s="230" t="n">
        <f aca="false">+D202</f>
        <v>51850</v>
      </c>
      <c r="E203" s="230"/>
      <c r="F203" s="230"/>
      <c r="G203" s="233"/>
      <c r="H203" s="233"/>
    </row>
    <row r="204" customFormat="false" ht="12.75" hidden="false" customHeight="false" outlineLevel="0" collapsed="false">
      <c r="A204" s="234"/>
      <c r="B204" s="231" t="n">
        <f aca="false">+DATE(YEAR(B203),MONTH(B203)+1,1)</f>
        <v>42125</v>
      </c>
      <c r="C204" s="230" t="n">
        <f aca="false">+C203</f>
        <v>16000</v>
      </c>
      <c r="D204" s="230" t="n">
        <f aca="false">+D203</f>
        <v>51850</v>
      </c>
      <c r="E204" s="230"/>
      <c r="F204" s="230"/>
      <c r="G204" s="233"/>
      <c r="H204" s="233"/>
    </row>
    <row r="205" customFormat="false" ht="12.75" hidden="false" customHeight="false" outlineLevel="0" collapsed="false">
      <c r="A205" s="234"/>
      <c r="B205" s="231" t="n">
        <f aca="false">+DATE(YEAR(B204),MONTH(B204)+1,1)</f>
        <v>42156</v>
      </c>
      <c r="C205" s="230" t="n">
        <f aca="false">+C204</f>
        <v>16000</v>
      </c>
      <c r="D205" s="230" t="n">
        <f aca="false">+D204</f>
        <v>51850</v>
      </c>
      <c r="E205" s="230"/>
      <c r="F205" s="230"/>
      <c r="G205" s="233"/>
      <c r="H205" s="233"/>
    </row>
    <row r="206" customFormat="false" ht="12.75" hidden="false" customHeight="false" outlineLevel="0" collapsed="false">
      <c r="A206" s="234"/>
      <c r="B206" s="231" t="n">
        <f aca="false">+DATE(YEAR(B205),MONTH(B205)+1,1)</f>
        <v>42186</v>
      </c>
      <c r="C206" s="230" t="n">
        <f aca="false">+C205</f>
        <v>16000</v>
      </c>
      <c r="D206" s="230" t="n">
        <f aca="false">+D205</f>
        <v>51850</v>
      </c>
      <c r="E206" s="230"/>
      <c r="F206" s="230"/>
      <c r="G206" s="233"/>
      <c r="H206" s="233"/>
    </row>
    <row r="207" customFormat="false" ht="12.75" hidden="false" customHeight="false" outlineLevel="0" collapsed="false">
      <c r="A207" s="234"/>
      <c r="B207" s="231" t="n">
        <f aca="false">+DATE(YEAR(B206),MONTH(B206)+1,1)</f>
        <v>42217</v>
      </c>
      <c r="C207" s="230" t="n">
        <f aca="false">+C206</f>
        <v>16000</v>
      </c>
      <c r="D207" s="230" t="n">
        <f aca="false">+D206</f>
        <v>51850</v>
      </c>
      <c r="E207" s="230"/>
      <c r="F207" s="230"/>
      <c r="G207" s="233"/>
      <c r="H207" s="233"/>
    </row>
    <row r="208" customFormat="false" ht="12.75" hidden="false" customHeight="false" outlineLevel="0" collapsed="false">
      <c r="A208" s="234"/>
      <c r="B208" s="231" t="n">
        <f aca="false">+DATE(YEAR(B207),MONTH(B207)+1,1)</f>
        <v>42248</v>
      </c>
      <c r="C208" s="230" t="n">
        <f aca="false">+C207</f>
        <v>16000</v>
      </c>
      <c r="D208" s="230" t="n">
        <f aca="false">+D207</f>
        <v>51850</v>
      </c>
      <c r="E208" s="230"/>
      <c r="F208" s="230"/>
      <c r="G208" s="233"/>
      <c r="H208" s="233"/>
    </row>
    <row r="209" customFormat="false" ht="12.75" hidden="false" customHeight="false" outlineLevel="0" collapsed="false">
      <c r="A209" s="234"/>
      <c r="B209" s="231" t="n">
        <f aca="false">+DATE(YEAR(B208),MONTH(B208)+1,1)</f>
        <v>42278</v>
      </c>
      <c r="C209" s="230" t="n">
        <f aca="false">+C208</f>
        <v>16000</v>
      </c>
      <c r="D209" s="230" t="n">
        <f aca="false">+D208</f>
        <v>51850</v>
      </c>
      <c r="E209" s="230"/>
      <c r="F209" s="230"/>
      <c r="G209" s="233"/>
      <c r="H209" s="233"/>
    </row>
    <row r="210" customFormat="false" ht="12.75" hidden="false" customHeight="false" outlineLevel="0" collapsed="false">
      <c r="A210" s="234"/>
      <c r="B210" s="231" t="n">
        <f aca="false">+DATE(YEAR(B209),MONTH(B209)+1,1)</f>
        <v>42309</v>
      </c>
      <c r="C210" s="230" t="n">
        <f aca="false">+C209</f>
        <v>16000</v>
      </c>
      <c r="D210" s="230" t="n">
        <f aca="false">+D209</f>
        <v>51850</v>
      </c>
      <c r="E210" s="230"/>
      <c r="F210" s="230"/>
      <c r="G210" s="233"/>
      <c r="H210" s="233"/>
    </row>
    <row r="211" customFormat="false" ht="12.75" hidden="false" customHeight="false" outlineLevel="0" collapsed="false">
      <c r="A211" s="234"/>
      <c r="B211" s="231" t="n">
        <f aca="false">+DATE(YEAR(B210),MONTH(B210)+1,1)</f>
        <v>42339</v>
      </c>
      <c r="C211" s="230" t="n">
        <f aca="false">+C210</f>
        <v>16000</v>
      </c>
      <c r="D211" s="230" t="n">
        <f aca="false">+D210</f>
        <v>51850</v>
      </c>
      <c r="E211" s="230"/>
      <c r="F211" s="230"/>
      <c r="G211" s="233"/>
      <c r="H211" s="233"/>
    </row>
    <row r="212" customFormat="false" ht="12.75" hidden="false" customHeight="false" outlineLevel="0" collapsed="false">
      <c r="A212" s="234"/>
      <c r="B212" s="231" t="n">
        <f aca="false">+DATE(YEAR(B211),MONTH(B211)+1,1)</f>
        <v>42370</v>
      </c>
      <c r="C212" s="230" t="n">
        <f aca="false">+C211</f>
        <v>16000</v>
      </c>
      <c r="D212" s="230" t="n">
        <f aca="false">+D211</f>
        <v>51850</v>
      </c>
      <c r="E212" s="230"/>
      <c r="F212" s="230"/>
      <c r="G212" s="233"/>
      <c r="H212" s="233"/>
    </row>
    <row r="213" customFormat="false" ht="12.75" hidden="false" customHeight="false" outlineLevel="0" collapsed="false">
      <c r="A213" s="234"/>
      <c r="B213" s="231" t="n">
        <f aca="false">+DATE(YEAR(B212),MONTH(B212)+1,1)</f>
        <v>42401</v>
      </c>
      <c r="C213" s="230" t="n">
        <f aca="false">+C212</f>
        <v>16000</v>
      </c>
      <c r="D213" s="230" t="n">
        <f aca="false">+D212</f>
        <v>51850</v>
      </c>
      <c r="E213" s="230"/>
      <c r="F213" s="230"/>
      <c r="G213" s="233"/>
      <c r="H213" s="233"/>
    </row>
    <row r="214" customFormat="false" ht="12.75" hidden="false" customHeight="false" outlineLevel="0" collapsed="false">
      <c r="A214" s="234"/>
      <c r="B214" s="231" t="n">
        <f aca="false">+DATE(YEAR(B213),MONTH(B213)+1,1)</f>
        <v>42430</v>
      </c>
      <c r="C214" s="230" t="n">
        <f aca="false">+C213</f>
        <v>16000</v>
      </c>
      <c r="D214" s="230" t="n">
        <f aca="false">+D213</f>
        <v>51850</v>
      </c>
      <c r="E214" s="230"/>
      <c r="F214" s="230"/>
      <c r="G214" s="233"/>
      <c r="H214" s="233"/>
    </row>
    <row r="215" customFormat="false" ht="12.75" hidden="false" customHeight="false" outlineLevel="0" collapsed="false">
      <c r="A215" s="234"/>
      <c r="B215" s="231" t="n">
        <f aca="false">+DATE(YEAR(B214),MONTH(B214)+1,1)</f>
        <v>42461</v>
      </c>
      <c r="C215" s="230" t="n">
        <f aca="false">+C214</f>
        <v>16000</v>
      </c>
      <c r="D215" s="230" t="n">
        <f aca="false">+D214</f>
        <v>51850</v>
      </c>
      <c r="E215" s="230"/>
      <c r="F215" s="230"/>
      <c r="G215" s="233"/>
      <c r="H215" s="233"/>
    </row>
    <row r="216" customFormat="false" ht="12.75" hidden="false" customHeight="false" outlineLevel="0" collapsed="false">
      <c r="A216" s="234"/>
      <c r="B216" s="231" t="n">
        <f aca="false">+DATE(YEAR(B215),MONTH(B215)+1,1)</f>
        <v>42491</v>
      </c>
      <c r="C216" s="230" t="n">
        <f aca="false">+C215</f>
        <v>16000</v>
      </c>
      <c r="D216" s="230" t="n">
        <f aca="false">+D215</f>
        <v>51850</v>
      </c>
      <c r="E216" s="230"/>
      <c r="F216" s="230"/>
      <c r="G216" s="233"/>
      <c r="H216" s="233"/>
    </row>
    <row r="217" customFormat="false" ht="12.75" hidden="false" customHeight="false" outlineLevel="0" collapsed="false">
      <c r="A217" s="234"/>
      <c r="B217" s="231" t="n">
        <f aca="false">+DATE(YEAR(B216),MONTH(B216)+1,1)</f>
        <v>42522</v>
      </c>
      <c r="C217" s="230" t="n">
        <f aca="false">+C216</f>
        <v>16000</v>
      </c>
      <c r="D217" s="230" t="n">
        <f aca="false">+D216</f>
        <v>51850</v>
      </c>
      <c r="E217" s="230"/>
      <c r="F217" s="230"/>
      <c r="G217" s="233"/>
      <c r="H217" s="233"/>
    </row>
    <row r="218" customFormat="false" ht="12.75" hidden="false" customHeight="false" outlineLevel="0" collapsed="false">
      <c r="A218" s="234"/>
      <c r="B218" s="231" t="n">
        <f aca="false">+DATE(YEAR(B217),MONTH(B217)+1,1)</f>
        <v>42552</v>
      </c>
      <c r="C218" s="230" t="n">
        <f aca="false">+C217</f>
        <v>16000</v>
      </c>
      <c r="D218" s="230" t="n">
        <f aca="false">+D217</f>
        <v>51850</v>
      </c>
      <c r="E218" s="230"/>
      <c r="F218" s="230"/>
      <c r="G218" s="233"/>
      <c r="H218" s="233"/>
    </row>
    <row r="219" customFormat="false" ht="12.75" hidden="false" customHeight="false" outlineLevel="0" collapsed="false">
      <c r="A219" s="234"/>
      <c r="B219" s="231" t="n">
        <f aca="false">+DATE(YEAR(B218),MONTH(B218)+1,1)</f>
        <v>42583</v>
      </c>
      <c r="C219" s="230" t="n">
        <f aca="false">+C218</f>
        <v>16000</v>
      </c>
      <c r="D219" s="230" t="n">
        <f aca="false">+D218</f>
        <v>51850</v>
      </c>
      <c r="E219" s="230"/>
      <c r="F219" s="230"/>
      <c r="G219" s="233"/>
      <c r="H219" s="233"/>
    </row>
    <row r="220" customFormat="false" ht="12.75" hidden="false" customHeight="false" outlineLevel="0" collapsed="false">
      <c r="A220" s="234"/>
      <c r="B220" s="231" t="n">
        <f aca="false">+DATE(YEAR(B219),MONTH(B219)+1,1)</f>
        <v>42614</v>
      </c>
      <c r="C220" s="230" t="n">
        <f aca="false">+C219</f>
        <v>16000</v>
      </c>
      <c r="D220" s="230" t="n">
        <f aca="false">+D219</f>
        <v>51850</v>
      </c>
      <c r="E220" s="230"/>
      <c r="F220" s="230"/>
      <c r="G220" s="233"/>
      <c r="H220" s="233"/>
    </row>
    <row r="221" customFormat="false" ht="12.75" hidden="false" customHeight="false" outlineLevel="0" collapsed="false">
      <c r="A221" s="234"/>
      <c r="B221" s="231" t="n">
        <f aca="false">+DATE(YEAR(B220),MONTH(B220)+1,1)</f>
        <v>42644</v>
      </c>
      <c r="C221" s="230" t="n">
        <f aca="false">+C220</f>
        <v>16000</v>
      </c>
      <c r="D221" s="230" t="n">
        <f aca="false">+D220</f>
        <v>51850</v>
      </c>
      <c r="E221" s="230"/>
      <c r="F221" s="230"/>
      <c r="G221" s="233"/>
      <c r="H221" s="233"/>
    </row>
    <row r="222" customFormat="false" ht="12.75" hidden="false" customHeight="false" outlineLevel="0" collapsed="false">
      <c r="A222" s="234"/>
      <c r="B222" s="231" t="n">
        <f aca="false">+DATE(YEAR(B221),MONTH(B221)+1,1)</f>
        <v>42675</v>
      </c>
      <c r="C222" s="230" t="n">
        <f aca="false">+C221</f>
        <v>16000</v>
      </c>
      <c r="D222" s="230" t="n">
        <f aca="false">+D221</f>
        <v>51850</v>
      </c>
      <c r="E222" s="230"/>
      <c r="F222" s="230"/>
      <c r="G222" s="233"/>
      <c r="H222" s="233"/>
    </row>
    <row r="223" customFormat="false" ht="12.75" hidden="false" customHeight="false" outlineLevel="0" collapsed="false">
      <c r="A223" s="234"/>
      <c r="B223" s="231" t="n">
        <f aca="false">+DATE(YEAR(B222),MONTH(B222)+1,1)</f>
        <v>42705</v>
      </c>
      <c r="C223" s="230" t="n">
        <f aca="false">+C222</f>
        <v>16000</v>
      </c>
      <c r="D223" s="230" t="n">
        <f aca="false">+D222</f>
        <v>51850</v>
      </c>
      <c r="E223" s="230"/>
      <c r="F223" s="230"/>
      <c r="G223" s="233"/>
      <c r="H223" s="233"/>
    </row>
    <row r="224" customFormat="false" ht="12.75" hidden="false" customHeight="false" outlineLevel="0" collapsed="false">
      <c r="A224" s="234"/>
      <c r="B224" s="231" t="n">
        <f aca="false">+DATE(YEAR(B223),MONTH(B223)+1,1)</f>
        <v>42736</v>
      </c>
      <c r="C224" s="230" t="n">
        <f aca="false">+C223</f>
        <v>16000</v>
      </c>
      <c r="D224" s="230" t="n">
        <f aca="false">+D223</f>
        <v>51850</v>
      </c>
      <c r="E224" s="230"/>
      <c r="F224" s="230"/>
      <c r="G224" s="233"/>
      <c r="H224" s="233"/>
    </row>
    <row r="225" customFormat="false" ht="12.75" hidden="false" customHeight="false" outlineLevel="0" collapsed="false">
      <c r="A225" s="234"/>
      <c r="B225" s="231" t="n">
        <f aca="false">+DATE(YEAR(B224),MONTH(B224)+1,1)</f>
        <v>42767</v>
      </c>
      <c r="C225" s="230" t="n">
        <f aca="false">+C224</f>
        <v>16000</v>
      </c>
      <c r="D225" s="230" t="n">
        <f aca="false">+D224</f>
        <v>51850</v>
      </c>
      <c r="E225" s="230"/>
      <c r="F225" s="230"/>
      <c r="G225" s="233"/>
      <c r="H225" s="233"/>
    </row>
    <row r="226" customFormat="false" ht="12.75" hidden="false" customHeight="false" outlineLevel="0" collapsed="false">
      <c r="A226" s="234"/>
      <c r="B226" s="231" t="n">
        <f aca="false">+DATE(YEAR(B225),MONTH(B225)+1,1)</f>
        <v>42795</v>
      </c>
      <c r="C226" s="230" t="n">
        <f aca="false">+C225</f>
        <v>16000</v>
      </c>
      <c r="D226" s="230" t="n">
        <f aca="false">+D225</f>
        <v>51850</v>
      </c>
      <c r="E226" s="230"/>
      <c r="F226" s="230"/>
      <c r="G226" s="233"/>
      <c r="H226" s="233"/>
    </row>
    <row r="227" customFormat="false" ht="12.75" hidden="false" customHeight="false" outlineLevel="0" collapsed="false">
      <c r="A227" s="234"/>
      <c r="B227" s="231" t="n">
        <f aca="false">+DATE(YEAR(B226),MONTH(B226)+1,1)</f>
        <v>42826</v>
      </c>
      <c r="C227" s="230" t="n">
        <f aca="false">+C226</f>
        <v>16000</v>
      </c>
      <c r="D227" s="230" t="n">
        <f aca="false">+D226</f>
        <v>51850</v>
      </c>
      <c r="E227" s="230"/>
      <c r="F227" s="230"/>
      <c r="G227" s="233"/>
      <c r="H227" s="233"/>
    </row>
    <row r="228" customFormat="false" ht="12.75" hidden="false" customHeight="false" outlineLevel="0" collapsed="false">
      <c r="A228" s="234"/>
      <c r="B228" s="231" t="n">
        <f aca="false">+DATE(YEAR(B227),MONTH(B227)+1,1)</f>
        <v>42856</v>
      </c>
      <c r="C228" s="230" t="n">
        <f aca="false">+C227</f>
        <v>16000</v>
      </c>
      <c r="D228" s="230" t="n">
        <f aca="false">+D227</f>
        <v>51850</v>
      </c>
      <c r="E228" s="230"/>
      <c r="F228" s="230"/>
      <c r="G228" s="233"/>
      <c r="H228" s="233"/>
    </row>
    <row r="229" customFormat="false" ht="12.75" hidden="false" customHeight="false" outlineLevel="0" collapsed="false">
      <c r="A229" s="234"/>
      <c r="B229" s="231" t="n">
        <f aca="false">+DATE(YEAR(B228),MONTH(B228)+1,1)</f>
        <v>42887</v>
      </c>
      <c r="C229" s="230" t="n">
        <f aca="false">+C228</f>
        <v>16000</v>
      </c>
      <c r="D229" s="230" t="n">
        <f aca="false">+D228</f>
        <v>51850</v>
      </c>
      <c r="E229" s="230"/>
      <c r="F229" s="230"/>
      <c r="G229" s="233"/>
      <c r="H229" s="233"/>
    </row>
    <row r="230" customFormat="false" ht="12.75" hidden="false" customHeight="false" outlineLevel="0" collapsed="false">
      <c r="A230" s="234"/>
      <c r="B230" s="231" t="n">
        <f aca="false">+DATE(YEAR(B229),MONTH(B229)+1,1)</f>
        <v>42917</v>
      </c>
      <c r="C230" s="230" t="n">
        <f aca="false">+C229</f>
        <v>16000</v>
      </c>
      <c r="D230" s="230" t="n">
        <f aca="false">+D229</f>
        <v>51850</v>
      </c>
      <c r="E230" s="230"/>
      <c r="F230" s="230"/>
      <c r="G230" s="233"/>
      <c r="H230" s="233"/>
    </row>
    <row r="231" customFormat="false" ht="12.75" hidden="false" customHeight="false" outlineLevel="0" collapsed="false">
      <c r="A231" s="234"/>
      <c r="B231" s="231" t="n">
        <f aca="false">+DATE(YEAR(B230),MONTH(B230)+1,1)</f>
        <v>42948</v>
      </c>
      <c r="C231" s="230" t="n">
        <f aca="false">+C230</f>
        <v>16000</v>
      </c>
      <c r="D231" s="230" t="n">
        <f aca="false">+D230</f>
        <v>51850</v>
      </c>
      <c r="E231" s="230"/>
      <c r="F231" s="230"/>
      <c r="G231" s="233"/>
      <c r="H231" s="233"/>
    </row>
    <row r="232" customFormat="false" ht="12.75" hidden="false" customHeight="false" outlineLevel="0" collapsed="false">
      <c r="A232" s="234"/>
      <c r="B232" s="231" t="n">
        <f aca="false">+DATE(YEAR(B231),MONTH(B231)+1,1)</f>
        <v>42979</v>
      </c>
      <c r="C232" s="230" t="n">
        <f aca="false">+C231</f>
        <v>16000</v>
      </c>
      <c r="D232" s="230" t="n">
        <f aca="false">+D231</f>
        <v>51850</v>
      </c>
      <c r="E232" s="230"/>
      <c r="F232" s="230"/>
      <c r="G232" s="233"/>
      <c r="H232" s="233"/>
    </row>
    <row r="233" customFormat="false" ht="12.75" hidden="false" customHeight="false" outlineLevel="0" collapsed="false">
      <c r="A233" s="234"/>
      <c r="B233" s="231" t="n">
        <f aca="false">+DATE(YEAR(B232),MONTH(B232)+1,1)</f>
        <v>43009</v>
      </c>
      <c r="C233" s="230" t="n">
        <f aca="false">+C232</f>
        <v>16000</v>
      </c>
      <c r="D233" s="230" t="n">
        <f aca="false">+D232</f>
        <v>51850</v>
      </c>
      <c r="E233" s="230"/>
      <c r="F233" s="230"/>
      <c r="G233" s="233"/>
      <c r="H233" s="233"/>
    </row>
    <row r="234" customFormat="false" ht="12.75" hidden="false" customHeight="false" outlineLevel="0" collapsed="false">
      <c r="A234" s="234"/>
      <c r="B234" s="231" t="n">
        <f aca="false">+DATE(YEAR(B233),MONTH(B233)+1,1)</f>
        <v>43040</v>
      </c>
      <c r="C234" s="230" t="n">
        <f aca="false">+C233</f>
        <v>16000</v>
      </c>
      <c r="D234" s="230" t="n">
        <f aca="false">+D233</f>
        <v>51850</v>
      </c>
      <c r="E234" s="230"/>
      <c r="F234" s="230"/>
      <c r="G234" s="233"/>
      <c r="H234" s="233"/>
    </row>
    <row r="235" customFormat="false" ht="12.75" hidden="false" customHeight="false" outlineLevel="0" collapsed="false">
      <c r="A235" s="234"/>
      <c r="B235" s="231" t="n">
        <f aca="false">+DATE(YEAR(B234),MONTH(B234)+1,1)</f>
        <v>43070</v>
      </c>
      <c r="C235" s="230" t="n">
        <f aca="false">+C234</f>
        <v>16000</v>
      </c>
      <c r="D235" s="230" t="n">
        <f aca="false">+D234</f>
        <v>51850</v>
      </c>
      <c r="E235" s="230"/>
      <c r="F235" s="230"/>
      <c r="G235" s="233"/>
      <c r="H235" s="233"/>
    </row>
    <row r="236" customFormat="false" ht="12.75" hidden="false" customHeight="false" outlineLevel="0" collapsed="false">
      <c r="A236" s="234"/>
      <c r="B236" s="231" t="n">
        <f aca="false">+DATE(YEAR(B235),MONTH(B235)+1,1)</f>
        <v>43101</v>
      </c>
      <c r="C236" s="230" t="n">
        <v>0</v>
      </c>
      <c r="D236" s="230" t="n">
        <f aca="false">+D235</f>
        <v>51850</v>
      </c>
      <c r="E236" s="230"/>
      <c r="F236" s="230"/>
      <c r="G236" s="233"/>
      <c r="H236" s="233"/>
    </row>
    <row r="237" customFormat="false" ht="12.75" hidden="false" customHeight="false" outlineLevel="0" collapsed="false">
      <c r="A237" s="234"/>
      <c r="B237" s="231" t="n">
        <f aca="false">+DATE(YEAR(B236),MONTH(B236)+1,1)</f>
        <v>43132</v>
      </c>
      <c r="C237" s="230" t="n">
        <f aca="false">+C236</f>
        <v>0</v>
      </c>
      <c r="D237" s="230" t="n">
        <f aca="false">+D236</f>
        <v>51850</v>
      </c>
      <c r="E237" s="230"/>
      <c r="F237" s="230"/>
      <c r="G237" s="233"/>
      <c r="H237" s="233"/>
    </row>
    <row r="238" customFormat="false" ht="12.75" hidden="false" customHeight="false" outlineLevel="0" collapsed="false">
      <c r="A238" s="234"/>
      <c r="B238" s="231" t="n">
        <f aca="false">+DATE(YEAR(B237),MONTH(B237)+1,1)</f>
        <v>43160</v>
      </c>
      <c r="C238" s="230" t="n">
        <f aca="false">+C237</f>
        <v>0</v>
      </c>
      <c r="D238" s="230" t="n">
        <f aca="false">+D237</f>
        <v>51850</v>
      </c>
      <c r="E238" s="230"/>
      <c r="F238" s="230"/>
      <c r="G238" s="233"/>
      <c r="H238" s="233"/>
    </row>
    <row r="239" customFormat="false" ht="12.75" hidden="false" customHeight="false" outlineLevel="0" collapsed="false">
      <c r="A239" s="234"/>
      <c r="B239" s="231" t="n">
        <f aca="false">+DATE(YEAR(B238),MONTH(B238)+1,1)</f>
        <v>43191</v>
      </c>
      <c r="C239" s="230" t="n">
        <f aca="false">+C238</f>
        <v>0</v>
      </c>
      <c r="D239" s="230" t="n">
        <f aca="false">+D238</f>
        <v>51850</v>
      </c>
      <c r="E239" s="230"/>
      <c r="F239" s="230"/>
      <c r="G239" s="233"/>
      <c r="H239" s="233"/>
    </row>
    <row r="240" customFormat="false" ht="12.75" hidden="false" customHeight="false" outlineLevel="0" collapsed="false">
      <c r="A240" s="234"/>
      <c r="B240" s="231" t="n">
        <f aca="false">+DATE(YEAR(B239),MONTH(B239)+1,1)</f>
        <v>43221</v>
      </c>
      <c r="C240" s="230" t="n">
        <f aca="false">+C239</f>
        <v>0</v>
      </c>
      <c r="D240" s="230" t="n">
        <f aca="false">+D239</f>
        <v>51850</v>
      </c>
      <c r="E240" s="230"/>
      <c r="F240" s="230"/>
      <c r="G240" s="233"/>
      <c r="H240" s="233"/>
    </row>
    <row r="241" customFormat="false" ht="12.75" hidden="false" customHeight="false" outlineLevel="0" collapsed="false">
      <c r="A241" s="234"/>
      <c r="B241" s="231" t="n">
        <f aca="false">+DATE(YEAR(B240),MONTH(B240)+1,1)</f>
        <v>43252</v>
      </c>
      <c r="C241" s="230" t="n">
        <f aca="false">+C240</f>
        <v>0</v>
      </c>
      <c r="D241" s="230" t="n">
        <f aca="false">+D240</f>
        <v>51850</v>
      </c>
      <c r="E241" s="230"/>
      <c r="F241" s="230"/>
      <c r="G241" s="233"/>
      <c r="H241" s="233"/>
    </row>
    <row r="242" customFormat="false" ht="12.75" hidden="false" customHeight="false" outlineLevel="0" collapsed="false">
      <c r="A242" s="234"/>
      <c r="B242" s="231" t="n">
        <f aca="false">+DATE(YEAR(B241),MONTH(B241)+1,1)</f>
        <v>43282</v>
      </c>
      <c r="C242" s="230" t="n">
        <f aca="false">+C241</f>
        <v>0</v>
      </c>
      <c r="D242" s="230" t="n">
        <f aca="false">+D241</f>
        <v>51850</v>
      </c>
      <c r="E242" s="230"/>
      <c r="F242" s="230"/>
      <c r="G242" s="233"/>
      <c r="H242" s="233"/>
    </row>
    <row r="243" customFormat="false" ht="12.75" hidden="false" customHeight="false" outlineLevel="0" collapsed="false">
      <c r="A243" s="234"/>
      <c r="B243" s="231" t="n">
        <f aca="false">+DATE(YEAR(B242),MONTH(B242)+1,1)</f>
        <v>43313</v>
      </c>
      <c r="C243" s="230" t="n">
        <f aca="false">+C242</f>
        <v>0</v>
      </c>
      <c r="D243" s="230" t="n">
        <f aca="false">+D242</f>
        <v>51850</v>
      </c>
      <c r="E243" s="230"/>
      <c r="F243" s="230"/>
      <c r="G243" s="233"/>
      <c r="H243" s="233"/>
    </row>
    <row r="244" customFormat="false" ht="12.75" hidden="false" customHeight="false" outlineLevel="0" collapsed="false">
      <c r="A244" s="234"/>
      <c r="B244" s="231" t="n">
        <f aca="false">+DATE(YEAR(B243),MONTH(B243)+1,1)</f>
        <v>43344</v>
      </c>
      <c r="C244" s="230" t="n">
        <f aca="false">+C243</f>
        <v>0</v>
      </c>
      <c r="D244" s="230" t="n">
        <f aca="false">+D243</f>
        <v>51850</v>
      </c>
      <c r="E244" s="230"/>
      <c r="F244" s="230"/>
      <c r="G244" s="233"/>
      <c r="H244" s="233"/>
    </row>
    <row r="245" customFormat="false" ht="12.75" hidden="false" customHeight="false" outlineLevel="0" collapsed="false">
      <c r="A245" s="234"/>
      <c r="B245" s="231" t="n">
        <f aca="false">+DATE(YEAR(B244),MONTH(B244)+1,1)</f>
        <v>43374</v>
      </c>
      <c r="C245" s="230" t="n">
        <f aca="false">+C244</f>
        <v>0</v>
      </c>
      <c r="D245" s="230" t="n">
        <f aca="false">+D244</f>
        <v>51850</v>
      </c>
      <c r="E245" s="230"/>
      <c r="F245" s="230"/>
      <c r="G245" s="233"/>
      <c r="H245" s="233"/>
    </row>
    <row r="246" customFormat="false" ht="12.75" hidden="false" customHeight="false" outlineLevel="0" collapsed="false">
      <c r="A246" s="234"/>
      <c r="B246" s="231" t="n">
        <f aca="false">+DATE(YEAR(B245),MONTH(B245)+1,1)</f>
        <v>43405</v>
      </c>
      <c r="C246" s="230" t="n">
        <f aca="false">+C245</f>
        <v>0</v>
      </c>
      <c r="D246" s="230" t="n">
        <f aca="false">+D245</f>
        <v>51850</v>
      </c>
      <c r="E246" s="230"/>
      <c r="F246" s="230"/>
      <c r="G246" s="233"/>
      <c r="H246" s="233"/>
    </row>
    <row r="247" customFormat="false" ht="12.75" hidden="false" customHeight="false" outlineLevel="0" collapsed="false">
      <c r="A247" s="234"/>
      <c r="B247" s="231" t="n">
        <f aca="false">+DATE(YEAR(B246),MONTH(B246)+1,1)</f>
        <v>43435</v>
      </c>
      <c r="C247" s="230" t="n">
        <f aca="false">+C246</f>
        <v>0</v>
      </c>
      <c r="D247" s="230" t="n">
        <f aca="false">+D246</f>
        <v>51850</v>
      </c>
      <c r="E247" s="230"/>
      <c r="F247" s="230"/>
      <c r="G247" s="233"/>
      <c r="H247" s="233"/>
    </row>
    <row r="248" customFormat="false" ht="12.75" hidden="false" customHeight="false" outlineLevel="0" collapsed="false">
      <c r="A248" s="234"/>
      <c r="B248" s="231" t="n">
        <f aca="false">+DATE(YEAR(B247),MONTH(B247)+1,1)</f>
        <v>43466</v>
      </c>
      <c r="C248" s="230" t="n">
        <f aca="false">+C247</f>
        <v>0</v>
      </c>
      <c r="D248" s="230" t="n">
        <f aca="false">+D247</f>
        <v>51850</v>
      </c>
      <c r="E248" s="230"/>
      <c r="F248" s="230"/>
      <c r="G248" s="233"/>
      <c r="H248" s="233"/>
    </row>
    <row r="249" customFormat="false" ht="12.75" hidden="false" customHeight="false" outlineLevel="0" collapsed="false">
      <c r="A249" s="234"/>
      <c r="B249" s="231" t="n">
        <f aca="false">+DATE(YEAR(B248),MONTH(B248)+1,1)</f>
        <v>43497</v>
      </c>
      <c r="C249" s="230" t="n">
        <f aca="false">+C248</f>
        <v>0</v>
      </c>
      <c r="D249" s="230" t="n">
        <f aca="false">+D248</f>
        <v>51850</v>
      </c>
      <c r="E249" s="230"/>
      <c r="F249" s="230"/>
      <c r="G249" s="233"/>
      <c r="H249" s="233"/>
    </row>
    <row r="250" customFormat="false" ht="12.75" hidden="false" customHeight="false" outlineLevel="0" collapsed="false">
      <c r="A250" s="234"/>
      <c r="B250" s="231" t="n">
        <f aca="false">+DATE(YEAR(B249),MONTH(B249)+1,1)</f>
        <v>43525</v>
      </c>
      <c r="C250" s="230" t="n">
        <f aca="false">+C249</f>
        <v>0</v>
      </c>
      <c r="D250" s="230" t="n">
        <f aca="false">+D249</f>
        <v>51850</v>
      </c>
      <c r="E250" s="230"/>
      <c r="F250" s="230"/>
      <c r="G250" s="233"/>
      <c r="H250" s="233"/>
    </row>
    <row r="251" customFormat="false" ht="12.75" hidden="false" customHeight="false" outlineLevel="0" collapsed="false">
      <c r="A251" s="234"/>
      <c r="B251" s="231" t="n">
        <f aca="false">+DATE(YEAR(B250),MONTH(B250)+1,1)</f>
        <v>43556</v>
      </c>
      <c r="C251" s="230" t="n">
        <f aca="false">+C250</f>
        <v>0</v>
      </c>
      <c r="D251" s="230" t="n">
        <f aca="false">+D250</f>
        <v>51850</v>
      </c>
      <c r="E251" s="230"/>
      <c r="F251" s="230"/>
      <c r="G251" s="233"/>
      <c r="H251" s="233"/>
    </row>
    <row r="252" customFormat="false" ht="12.75" hidden="false" customHeight="false" outlineLevel="0" collapsed="false">
      <c r="A252" s="234"/>
      <c r="B252" s="231" t="n">
        <f aca="false">+DATE(YEAR(B251),MONTH(B251)+1,1)</f>
        <v>43586</v>
      </c>
      <c r="C252" s="230" t="n">
        <f aca="false">+C251</f>
        <v>0</v>
      </c>
      <c r="D252" s="230" t="n">
        <f aca="false">+D251</f>
        <v>51850</v>
      </c>
      <c r="E252" s="230"/>
      <c r="F252" s="230"/>
      <c r="G252" s="233"/>
      <c r="H252" s="233"/>
    </row>
    <row r="253" customFormat="false" ht="12.75" hidden="false" customHeight="false" outlineLevel="0" collapsed="false">
      <c r="A253" s="234"/>
      <c r="B253" s="231" t="n">
        <f aca="false">+DATE(YEAR(B252),MONTH(B252)+1,1)</f>
        <v>43617</v>
      </c>
      <c r="C253" s="230" t="n">
        <f aca="false">+C252</f>
        <v>0</v>
      </c>
      <c r="D253" s="230" t="n">
        <f aca="false">+D252</f>
        <v>51850</v>
      </c>
      <c r="E253" s="230"/>
      <c r="F253" s="230"/>
      <c r="G253" s="233"/>
      <c r="H253" s="233"/>
    </row>
    <row r="254" customFormat="false" ht="12.75" hidden="false" customHeight="false" outlineLevel="0" collapsed="false">
      <c r="A254" s="234"/>
      <c r="B254" s="231" t="n">
        <f aca="false">+DATE(YEAR(B253),MONTH(B253)+1,1)</f>
        <v>43647</v>
      </c>
      <c r="C254" s="230" t="n">
        <f aca="false">+C253</f>
        <v>0</v>
      </c>
      <c r="D254" s="230" t="n">
        <f aca="false">+D253</f>
        <v>51850</v>
      </c>
      <c r="E254" s="230"/>
      <c r="F254" s="230"/>
      <c r="G254" s="233"/>
      <c r="H254" s="233"/>
    </row>
    <row r="255" customFormat="false" ht="12.75" hidden="false" customHeight="false" outlineLevel="0" collapsed="false">
      <c r="A255" s="234"/>
      <c r="B255" s="231" t="n">
        <f aca="false">+DATE(YEAR(B254),MONTH(B254)+1,1)</f>
        <v>43678</v>
      </c>
      <c r="C255" s="230" t="n">
        <f aca="false">+C254</f>
        <v>0</v>
      </c>
      <c r="D255" s="230" t="n">
        <f aca="false">+D254</f>
        <v>51850</v>
      </c>
      <c r="E255" s="230"/>
      <c r="F255" s="230"/>
      <c r="G255" s="233"/>
      <c r="H255" s="233"/>
    </row>
    <row r="256" customFormat="false" ht="12.75" hidden="false" customHeight="false" outlineLevel="0" collapsed="false">
      <c r="A256" s="234"/>
      <c r="B256" s="231" t="n">
        <f aca="false">+DATE(YEAR(B255),MONTH(B255)+1,1)</f>
        <v>43709</v>
      </c>
      <c r="C256" s="230" t="n">
        <f aca="false">+C255</f>
        <v>0</v>
      </c>
      <c r="D256" s="230" t="n">
        <f aca="false">+D255</f>
        <v>51850</v>
      </c>
      <c r="E256" s="230"/>
      <c r="F256" s="230"/>
      <c r="G256" s="233"/>
      <c r="H256" s="233"/>
    </row>
    <row r="257" customFormat="false" ht="12.75" hidden="false" customHeight="false" outlineLevel="0" collapsed="false">
      <c r="A257" s="234"/>
      <c r="B257" s="231" t="n">
        <f aca="false">+DATE(YEAR(B256),MONTH(B256)+1,1)</f>
        <v>43739</v>
      </c>
      <c r="C257" s="230" t="n">
        <f aca="false">+C256</f>
        <v>0</v>
      </c>
      <c r="D257" s="230" t="n">
        <f aca="false">+D256</f>
        <v>51850</v>
      </c>
      <c r="E257" s="230"/>
      <c r="F257" s="230"/>
      <c r="G257" s="233"/>
      <c r="H257" s="233"/>
    </row>
    <row r="258" customFormat="false" ht="12.75" hidden="false" customHeight="false" outlineLevel="0" collapsed="false">
      <c r="A258" s="234"/>
      <c r="B258" s="231" t="n">
        <f aca="false">+DATE(YEAR(B257),MONTH(B257)+1,1)</f>
        <v>43770</v>
      </c>
      <c r="C258" s="230" t="n">
        <f aca="false">+C257</f>
        <v>0</v>
      </c>
      <c r="D258" s="230" t="n">
        <f aca="false">+D257</f>
        <v>51850</v>
      </c>
      <c r="E258" s="230"/>
      <c r="F258" s="230"/>
      <c r="G258" s="233"/>
      <c r="H258" s="233"/>
    </row>
    <row r="259" customFormat="false" ht="12.75" hidden="false" customHeight="false" outlineLevel="0" collapsed="false">
      <c r="A259" s="234"/>
      <c r="B259" s="231" t="n">
        <f aca="false">+DATE(YEAR(B258),MONTH(B258)+1,1)</f>
        <v>43800</v>
      </c>
      <c r="C259" s="230" t="n">
        <f aca="false">+C258</f>
        <v>0</v>
      </c>
      <c r="D259" s="230" t="n">
        <f aca="false">+D258</f>
        <v>51850</v>
      </c>
      <c r="E259" s="230"/>
      <c r="F259" s="230"/>
      <c r="G259" s="233"/>
      <c r="H259" s="233"/>
    </row>
    <row r="260" customFormat="false" ht="12.75" hidden="false" customHeight="false" outlineLevel="0" collapsed="false">
      <c r="A260" s="234"/>
      <c r="B260" s="231" t="n">
        <f aca="false">+DATE(YEAR(B259),MONTH(B259)+1,1)</f>
        <v>43831</v>
      </c>
      <c r="C260" s="230" t="n">
        <f aca="false">+C259</f>
        <v>0</v>
      </c>
      <c r="D260" s="230" t="n">
        <f aca="false">+D259</f>
        <v>51850</v>
      </c>
      <c r="E260" s="230"/>
      <c r="F260" s="230"/>
      <c r="G260" s="233"/>
      <c r="H260" s="233"/>
    </row>
    <row r="261" customFormat="false" ht="12.75" hidden="false" customHeight="false" outlineLevel="0" collapsed="false">
      <c r="A261" s="234"/>
      <c r="B261" s="231" t="n">
        <f aca="false">+DATE(YEAR(B260),MONTH(B260)+1,1)</f>
        <v>43862</v>
      </c>
      <c r="C261" s="230" t="n">
        <f aca="false">+C260</f>
        <v>0</v>
      </c>
      <c r="D261" s="230" t="n">
        <f aca="false">+D260</f>
        <v>51850</v>
      </c>
      <c r="E261" s="230"/>
      <c r="F261" s="230"/>
      <c r="G261" s="233"/>
      <c r="H261" s="233"/>
    </row>
    <row r="262" customFormat="false" ht="12.75" hidden="false" customHeight="false" outlineLevel="0" collapsed="false">
      <c r="A262" s="234"/>
      <c r="B262" s="231" t="n">
        <f aca="false">+DATE(YEAR(B261),MONTH(B261)+1,1)</f>
        <v>43891</v>
      </c>
      <c r="C262" s="230" t="n">
        <f aca="false">+C261</f>
        <v>0</v>
      </c>
      <c r="D262" s="230" t="n">
        <f aca="false">+D261</f>
        <v>51850</v>
      </c>
      <c r="E262" s="230"/>
      <c r="F262" s="230"/>
      <c r="G262" s="233"/>
      <c r="H262" s="233"/>
    </row>
    <row r="263" customFormat="false" ht="12.75" hidden="false" customHeight="false" outlineLevel="0" collapsed="false">
      <c r="A263" s="234"/>
      <c r="B263" s="231" t="n">
        <f aca="false">+DATE(YEAR(B262),MONTH(B262)+1,1)</f>
        <v>43922</v>
      </c>
      <c r="C263" s="230" t="n">
        <f aca="false">+C262</f>
        <v>0</v>
      </c>
      <c r="D263" s="230" t="n">
        <f aca="false">+D262</f>
        <v>51850</v>
      </c>
      <c r="E263" s="230"/>
      <c r="F263" s="230"/>
      <c r="G263" s="233"/>
      <c r="H263" s="233"/>
    </row>
    <row r="264" customFormat="false" ht="12.75" hidden="false" customHeight="false" outlineLevel="0" collapsed="false">
      <c r="A264" s="234"/>
      <c r="B264" s="231" t="n">
        <f aca="false">+DATE(YEAR(B263),MONTH(B263)+1,1)</f>
        <v>43952</v>
      </c>
      <c r="C264" s="230" t="n">
        <f aca="false">+C263</f>
        <v>0</v>
      </c>
      <c r="D264" s="230" t="n">
        <f aca="false">+D263</f>
        <v>51850</v>
      </c>
      <c r="E264" s="230"/>
      <c r="F264" s="230"/>
      <c r="G264" s="233"/>
      <c r="H264" s="233"/>
    </row>
    <row r="265" customFormat="false" ht="12.75" hidden="false" customHeight="false" outlineLevel="0" collapsed="false">
      <c r="A265" s="234"/>
      <c r="B265" s="231" t="n">
        <f aca="false">+DATE(YEAR(B264),MONTH(B264)+1,1)</f>
        <v>43983</v>
      </c>
      <c r="C265" s="230" t="n">
        <f aca="false">+C264</f>
        <v>0</v>
      </c>
      <c r="D265" s="230" t="n">
        <f aca="false">+D264</f>
        <v>51850</v>
      </c>
      <c r="E265" s="230"/>
      <c r="F265" s="230"/>
      <c r="G265" s="233"/>
      <c r="H265" s="233"/>
    </row>
    <row r="266" customFormat="false" ht="12.75" hidden="false" customHeight="false" outlineLevel="0" collapsed="false">
      <c r="A266" s="234"/>
      <c r="B266" s="231" t="n">
        <f aca="false">+DATE(YEAR(B265),MONTH(B265)+1,1)</f>
        <v>44013</v>
      </c>
      <c r="C266" s="230" t="n">
        <f aca="false">+C265</f>
        <v>0</v>
      </c>
      <c r="D266" s="230" t="n">
        <f aca="false">+D265</f>
        <v>51850</v>
      </c>
      <c r="E266" s="230"/>
      <c r="F266" s="230"/>
      <c r="G266" s="233"/>
      <c r="H266" s="233"/>
    </row>
    <row r="267" customFormat="false" ht="12.75" hidden="false" customHeight="false" outlineLevel="0" collapsed="false">
      <c r="A267" s="234"/>
      <c r="B267" s="231" t="n">
        <f aca="false">+DATE(YEAR(B266),MONTH(B266)+1,1)</f>
        <v>44044</v>
      </c>
      <c r="C267" s="230" t="n">
        <f aca="false">+C266</f>
        <v>0</v>
      </c>
      <c r="D267" s="230" t="n">
        <f aca="false">+D266</f>
        <v>51850</v>
      </c>
      <c r="E267" s="230"/>
      <c r="F267" s="230"/>
      <c r="G267" s="233"/>
      <c r="H267" s="233"/>
    </row>
    <row r="268" customFormat="false" ht="12.75" hidden="false" customHeight="false" outlineLevel="0" collapsed="false">
      <c r="A268" s="234"/>
      <c r="B268" s="231" t="n">
        <f aca="false">+DATE(YEAR(B267),MONTH(B267)+1,1)</f>
        <v>44075</v>
      </c>
      <c r="C268" s="230" t="n">
        <f aca="false">+C267</f>
        <v>0</v>
      </c>
      <c r="D268" s="230" t="n">
        <f aca="false">+D267</f>
        <v>51850</v>
      </c>
      <c r="E268" s="230"/>
      <c r="F268" s="230"/>
      <c r="G268" s="233"/>
      <c r="H268" s="233"/>
    </row>
    <row r="269" customFormat="false" ht="12.75" hidden="false" customHeight="false" outlineLevel="0" collapsed="false">
      <c r="A269" s="234"/>
      <c r="B269" s="231" t="n">
        <f aca="false">+DATE(YEAR(B268),MONTH(B268)+1,1)</f>
        <v>44105</v>
      </c>
      <c r="C269" s="230" t="n">
        <f aca="false">+C268</f>
        <v>0</v>
      </c>
      <c r="D269" s="230" t="n">
        <f aca="false">+D268</f>
        <v>51850</v>
      </c>
      <c r="E269" s="230"/>
      <c r="F269" s="230"/>
      <c r="G269" s="233"/>
      <c r="H269" s="233"/>
    </row>
    <row r="270" customFormat="false" ht="12.75" hidden="false" customHeight="false" outlineLevel="0" collapsed="false">
      <c r="A270" s="234"/>
      <c r="B270" s="231" t="n">
        <f aca="false">+DATE(YEAR(B269),MONTH(B269)+1,1)</f>
        <v>44136</v>
      </c>
      <c r="C270" s="230" t="n">
        <f aca="false">+C269</f>
        <v>0</v>
      </c>
      <c r="D270" s="230" t="n">
        <f aca="false">+D269</f>
        <v>51850</v>
      </c>
      <c r="E270" s="230"/>
      <c r="F270" s="230"/>
      <c r="G270" s="233"/>
      <c r="H270" s="233"/>
    </row>
    <row r="271" customFormat="false" ht="12.75" hidden="false" customHeight="false" outlineLevel="0" collapsed="false">
      <c r="A271" s="234"/>
      <c r="B271" s="231" t="n">
        <f aca="false">+DATE(YEAR(B270),MONTH(B270)+1,1)</f>
        <v>44166</v>
      </c>
      <c r="C271" s="230" t="n">
        <f aca="false">+C270</f>
        <v>0</v>
      </c>
      <c r="D271" s="230" t="n">
        <f aca="false">+D270</f>
        <v>51850</v>
      </c>
      <c r="E271" s="230"/>
      <c r="F271" s="230"/>
      <c r="G271" s="233"/>
      <c r="H271" s="233"/>
    </row>
    <row r="272" customFormat="false" ht="12.75" hidden="false" customHeight="false" outlineLevel="0" collapsed="false">
      <c r="A272" s="234"/>
      <c r="B272" s="231" t="n">
        <f aca="false">+DATE(YEAR(B271),MONTH(B271)+1,1)</f>
        <v>44197</v>
      </c>
      <c r="C272" s="230" t="n">
        <f aca="false">+C271</f>
        <v>0</v>
      </c>
      <c r="D272" s="230" t="n">
        <f aca="false">+D271</f>
        <v>51850</v>
      </c>
      <c r="E272" s="230"/>
      <c r="F272" s="230"/>
      <c r="G272" s="233"/>
      <c r="H272" s="233"/>
    </row>
    <row r="273" customFormat="false" ht="12.75" hidden="false" customHeight="false" outlineLevel="0" collapsed="false">
      <c r="A273" s="234"/>
      <c r="B273" s="231" t="n">
        <f aca="false">+DATE(YEAR(B272),MONTH(B272)+1,1)</f>
        <v>44228</v>
      </c>
      <c r="C273" s="230" t="n">
        <f aca="false">+C272</f>
        <v>0</v>
      </c>
      <c r="D273" s="230" t="n">
        <f aca="false">+D272</f>
        <v>51850</v>
      </c>
      <c r="E273" s="230"/>
      <c r="F273" s="230"/>
      <c r="G273" s="233"/>
      <c r="H273" s="233"/>
    </row>
    <row r="274" customFormat="false" ht="12.75" hidden="false" customHeight="false" outlineLevel="0" collapsed="false">
      <c r="A274" s="234"/>
      <c r="B274" s="231" t="n">
        <f aca="false">+DATE(YEAR(B273),MONTH(B273)+1,1)</f>
        <v>44256</v>
      </c>
      <c r="C274" s="230" t="n">
        <f aca="false">+C273</f>
        <v>0</v>
      </c>
      <c r="D274" s="230" t="n">
        <f aca="false">+D273</f>
        <v>51850</v>
      </c>
      <c r="E274" s="230"/>
      <c r="F274" s="230"/>
      <c r="G274" s="233"/>
      <c r="H274" s="233"/>
    </row>
    <row r="275" customFormat="false" ht="12.75" hidden="false" customHeight="false" outlineLevel="0" collapsed="false">
      <c r="A275" s="234"/>
      <c r="B275" s="231" t="n">
        <f aca="false">+DATE(YEAR(B274),MONTH(B274)+1,1)</f>
        <v>44287</v>
      </c>
      <c r="C275" s="230" t="n">
        <f aca="false">+C274</f>
        <v>0</v>
      </c>
      <c r="D275" s="230" t="n">
        <f aca="false">+D274</f>
        <v>51850</v>
      </c>
      <c r="E275" s="230"/>
      <c r="F275" s="230"/>
      <c r="G275" s="233"/>
      <c r="H275" s="233"/>
    </row>
    <row r="276" customFormat="false" ht="12.75" hidden="false" customHeight="false" outlineLevel="0" collapsed="false">
      <c r="A276" s="234"/>
      <c r="B276" s="231" t="n">
        <f aca="false">+DATE(YEAR(B275),MONTH(B275)+1,1)</f>
        <v>44317</v>
      </c>
      <c r="C276" s="230" t="n">
        <f aca="false">+C275</f>
        <v>0</v>
      </c>
      <c r="D276" s="230" t="n">
        <f aca="false">+D275</f>
        <v>51850</v>
      </c>
      <c r="E276" s="230"/>
      <c r="F276" s="230"/>
      <c r="G276" s="233"/>
      <c r="H276" s="233"/>
    </row>
    <row r="277" customFormat="false" ht="12.75" hidden="false" customHeight="false" outlineLevel="0" collapsed="false">
      <c r="A277" s="234"/>
      <c r="B277" s="231" t="n">
        <f aca="false">+DATE(YEAR(B276),MONTH(B276)+1,1)</f>
        <v>44348</v>
      </c>
      <c r="C277" s="230" t="n">
        <f aca="false">+C276</f>
        <v>0</v>
      </c>
      <c r="D277" s="230" t="n">
        <f aca="false">+D276</f>
        <v>51850</v>
      </c>
      <c r="E277" s="230"/>
      <c r="F277" s="230"/>
      <c r="G277" s="233"/>
      <c r="H277" s="233"/>
    </row>
    <row r="278" customFormat="false" ht="12.75" hidden="false" customHeight="false" outlineLevel="0" collapsed="false">
      <c r="A278" s="234"/>
      <c r="B278" s="231" t="n">
        <f aca="false">+DATE(YEAR(B277),MONTH(B277)+1,1)</f>
        <v>44378</v>
      </c>
      <c r="C278" s="230" t="n">
        <f aca="false">+C277</f>
        <v>0</v>
      </c>
      <c r="D278" s="230" t="n">
        <f aca="false">+D277</f>
        <v>51850</v>
      </c>
      <c r="E278" s="230"/>
      <c r="F278" s="230"/>
      <c r="G278" s="233"/>
      <c r="H278" s="233"/>
    </row>
    <row r="279" customFormat="false" ht="12.75" hidden="false" customHeight="false" outlineLevel="0" collapsed="false">
      <c r="A279" s="234"/>
      <c r="B279" s="231" t="n">
        <f aca="false">+DATE(YEAR(B278),MONTH(B278)+1,1)</f>
        <v>44409</v>
      </c>
      <c r="C279" s="230" t="n">
        <f aca="false">+C278</f>
        <v>0</v>
      </c>
      <c r="D279" s="230" t="n">
        <f aca="false">+D278</f>
        <v>51850</v>
      </c>
      <c r="E279" s="230"/>
      <c r="F279" s="230"/>
      <c r="G279" s="233"/>
      <c r="H279" s="233"/>
    </row>
    <row r="280" customFormat="false" ht="12.75" hidden="false" customHeight="false" outlineLevel="0" collapsed="false">
      <c r="A280" s="234"/>
      <c r="B280" s="231" t="n">
        <f aca="false">+DATE(YEAR(B279),MONTH(B279)+1,1)</f>
        <v>44440</v>
      </c>
      <c r="C280" s="230" t="n">
        <f aca="false">+C279</f>
        <v>0</v>
      </c>
      <c r="D280" s="230" t="n">
        <f aca="false">+D279</f>
        <v>51850</v>
      </c>
      <c r="E280" s="230"/>
      <c r="F280" s="230"/>
      <c r="G280" s="233"/>
      <c r="H280" s="233"/>
    </row>
    <row r="281" customFormat="false" ht="12.75" hidden="false" customHeight="false" outlineLevel="0" collapsed="false">
      <c r="A281" s="234"/>
      <c r="B281" s="231" t="n">
        <f aca="false">+DATE(YEAR(B280),MONTH(B280)+1,1)</f>
        <v>44470</v>
      </c>
      <c r="C281" s="230" t="n">
        <f aca="false">+C280</f>
        <v>0</v>
      </c>
      <c r="D281" s="230" t="n">
        <f aca="false">+D280</f>
        <v>51850</v>
      </c>
      <c r="E281" s="230"/>
      <c r="F281" s="230"/>
      <c r="G281" s="233"/>
      <c r="H281" s="233"/>
    </row>
    <row r="282" customFormat="false" ht="12.75" hidden="false" customHeight="false" outlineLevel="0" collapsed="false">
      <c r="A282" s="234"/>
      <c r="B282" s="231" t="n">
        <f aca="false">+DATE(YEAR(B281),MONTH(B281)+1,1)</f>
        <v>44501</v>
      </c>
      <c r="C282" s="230" t="n">
        <f aca="false">+C281</f>
        <v>0</v>
      </c>
      <c r="D282" s="230" t="n">
        <f aca="false">+D281</f>
        <v>51850</v>
      </c>
      <c r="E282" s="230"/>
      <c r="F282" s="230"/>
      <c r="G282" s="233"/>
      <c r="H282" s="233"/>
    </row>
    <row r="283" customFormat="false" ht="12.75" hidden="false" customHeight="false" outlineLevel="0" collapsed="false">
      <c r="A283" s="234"/>
      <c r="B283" s="231" t="n">
        <f aca="false">+DATE(YEAR(B282),MONTH(B282)+1,1)</f>
        <v>44531</v>
      </c>
      <c r="C283" s="230" t="n">
        <f aca="false">+C282</f>
        <v>0</v>
      </c>
      <c r="D283" s="230" t="n">
        <f aca="false">+D282</f>
        <v>51850</v>
      </c>
      <c r="E283" s="230"/>
      <c r="F283" s="230"/>
      <c r="G283" s="233"/>
      <c r="H283" s="233"/>
    </row>
    <row r="284" customFormat="false" ht="12.75" hidden="false" customHeight="false" outlineLevel="0" collapsed="false">
      <c r="A284" s="234"/>
      <c r="B284" s="231" t="n">
        <f aca="false">+DATE(YEAR(B283),MONTH(B283)+1,1)</f>
        <v>44562</v>
      </c>
      <c r="C284" s="230" t="n">
        <f aca="false">+C283</f>
        <v>0</v>
      </c>
      <c r="D284" s="230" t="n">
        <f aca="false">+D283</f>
        <v>51850</v>
      </c>
      <c r="E284" s="230"/>
      <c r="F284" s="230"/>
      <c r="G284" s="233"/>
      <c r="H284" s="233"/>
    </row>
    <row r="285" customFormat="false" ht="12.75" hidden="false" customHeight="false" outlineLevel="0" collapsed="false">
      <c r="A285" s="234"/>
      <c r="B285" s="231" t="n">
        <f aca="false">+DATE(YEAR(B284),MONTH(B284)+1,1)</f>
        <v>44593</v>
      </c>
      <c r="C285" s="230" t="n">
        <f aca="false">+C284</f>
        <v>0</v>
      </c>
      <c r="D285" s="230" t="n">
        <f aca="false">+D284</f>
        <v>51850</v>
      </c>
      <c r="E285" s="230"/>
      <c r="F285" s="230"/>
      <c r="G285" s="233"/>
      <c r="H285" s="233"/>
    </row>
    <row r="286" customFormat="false" ht="12.75" hidden="false" customHeight="false" outlineLevel="0" collapsed="false">
      <c r="A286" s="234"/>
      <c r="B286" s="231" t="n">
        <f aca="false">+DATE(YEAR(B285),MONTH(B285)+1,1)</f>
        <v>44621</v>
      </c>
      <c r="C286" s="230" t="n">
        <f aca="false">+C285</f>
        <v>0</v>
      </c>
      <c r="D286" s="230" t="n">
        <f aca="false">+D285</f>
        <v>51850</v>
      </c>
      <c r="E286" s="230"/>
      <c r="F286" s="230"/>
      <c r="G286" s="233"/>
      <c r="H286" s="233"/>
    </row>
    <row r="287" customFormat="false" ht="12.75" hidden="false" customHeight="false" outlineLevel="0" collapsed="false">
      <c r="A287" s="234"/>
      <c r="B287" s="231" t="n">
        <f aca="false">+DATE(YEAR(B286),MONTH(B286)+1,1)</f>
        <v>44652</v>
      </c>
      <c r="C287" s="230" t="n">
        <f aca="false">+C286</f>
        <v>0</v>
      </c>
      <c r="D287" s="230" t="n">
        <f aca="false">+D286</f>
        <v>51850</v>
      </c>
      <c r="E287" s="230"/>
      <c r="F287" s="230"/>
      <c r="G287" s="233"/>
      <c r="H287" s="233"/>
    </row>
    <row r="288" customFormat="false" ht="12.75" hidden="false" customHeight="false" outlineLevel="0" collapsed="false">
      <c r="A288" s="234"/>
      <c r="B288" s="231" t="n">
        <f aca="false">+DATE(YEAR(B287),MONTH(B287)+1,1)</f>
        <v>44682</v>
      </c>
      <c r="C288" s="230" t="n">
        <f aca="false">+C287</f>
        <v>0</v>
      </c>
      <c r="D288" s="230" t="n">
        <f aca="false">+D287</f>
        <v>51850</v>
      </c>
      <c r="E288" s="230"/>
      <c r="F288" s="230"/>
      <c r="G288" s="233"/>
      <c r="H288" s="233"/>
    </row>
    <row r="289" customFormat="false" ht="12.75" hidden="false" customHeight="false" outlineLevel="0" collapsed="false">
      <c r="A289" s="234"/>
      <c r="B289" s="231" t="n">
        <f aca="false">+DATE(YEAR(B288),MONTH(B288)+1,1)</f>
        <v>44713</v>
      </c>
      <c r="C289" s="230" t="n">
        <f aca="false">+C288</f>
        <v>0</v>
      </c>
      <c r="D289" s="230" t="n">
        <f aca="false">+D288</f>
        <v>51850</v>
      </c>
      <c r="E289" s="230"/>
      <c r="F289" s="230"/>
      <c r="G289" s="233"/>
      <c r="H289" s="233"/>
    </row>
    <row r="290" customFormat="false" ht="12.75" hidden="false" customHeight="false" outlineLevel="0" collapsed="false">
      <c r="A290" s="234"/>
      <c r="B290" s="231" t="n">
        <f aca="false">+DATE(YEAR(B289),MONTH(B289)+1,1)</f>
        <v>44743</v>
      </c>
      <c r="C290" s="230" t="n">
        <f aca="false">+C289</f>
        <v>0</v>
      </c>
      <c r="D290" s="230" t="n">
        <f aca="false">+D289</f>
        <v>51850</v>
      </c>
      <c r="E290" s="230"/>
      <c r="F290" s="230"/>
      <c r="G290" s="233"/>
      <c r="H290" s="233"/>
    </row>
    <row r="291" customFormat="false" ht="12.75" hidden="false" customHeight="false" outlineLevel="0" collapsed="false">
      <c r="A291" s="234"/>
      <c r="B291" s="231" t="n">
        <f aca="false">+DATE(YEAR(B290),MONTH(B290)+1,1)</f>
        <v>44774</v>
      </c>
      <c r="C291" s="230" t="n">
        <f aca="false">+C290</f>
        <v>0</v>
      </c>
      <c r="D291" s="230" t="n">
        <f aca="false">+D290</f>
        <v>51850</v>
      </c>
      <c r="E291" s="230"/>
      <c r="F291" s="230"/>
      <c r="G291" s="233"/>
      <c r="H291" s="233"/>
    </row>
    <row r="292" customFormat="false" ht="12.75" hidden="false" customHeight="false" outlineLevel="0" collapsed="false">
      <c r="A292" s="234"/>
      <c r="B292" s="231" t="n">
        <f aca="false">+DATE(YEAR(B291),MONTH(B291)+1,1)</f>
        <v>44805</v>
      </c>
      <c r="C292" s="230" t="n">
        <f aca="false">+C291</f>
        <v>0</v>
      </c>
      <c r="D292" s="230" t="n">
        <f aca="false">+D291</f>
        <v>51850</v>
      </c>
      <c r="E292" s="230"/>
      <c r="F292" s="230"/>
      <c r="G292" s="233"/>
      <c r="H292" s="233"/>
    </row>
    <row r="293" customFormat="false" ht="12.75" hidden="false" customHeight="false" outlineLevel="0" collapsed="false">
      <c r="A293" s="234"/>
      <c r="B293" s="231" t="n">
        <f aca="false">+DATE(YEAR(B292),MONTH(B292)+1,1)</f>
        <v>44835</v>
      </c>
      <c r="C293" s="230" t="n">
        <f aca="false">+C292</f>
        <v>0</v>
      </c>
      <c r="D293" s="230" t="n">
        <f aca="false">+D292</f>
        <v>51850</v>
      </c>
      <c r="E293" s="230"/>
      <c r="F293" s="230"/>
      <c r="G293" s="233"/>
      <c r="H293" s="233"/>
    </row>
    <row r="294" customFormat="false" ht="12.75" hidden="false" customHeight="false" outlineLevel="0" collapsed="false">
      <c r="A294" s="234"/>
      <c r="B294" s="231" t="n">
        <f aca="false">+DATE(YEAR(B293),MONTH(B293)+1,1)</f>
        <v>44866</v>
      </c>
      <c r="C294" s="230" t="n">
        <f aca="false">+C293</f>
        <v>0</v>
      </c>
      <c r="D294" s="230" t="n">
        <f aca="false">+D293</f>
        <v>51850</v>
      </c>
      <c r="E294" s="230"/>
      <c r="F294" s="230"/>
      <c r="G294" s="233"/>
      <c r="H294" s="233"/>
    </row>
    <row r="295" customFormat="false" ht="12.75" hidden="false" customHeight="false" outlineLevel="0" collapsed="false">
      <c r="A295" s="234"/>
      <c r="B295" s="231" t="n">
        <f aca="false">+DATE(YEAR(B294),MONTH(B294)+1,1)</f>
        <v>44896</v>
      </c>
      <c r="C295" s="230" t="n">
        <f aca="false">+C294</f>
        <v>0</v>
      </c>
      <c r="D295" s="230" t="n">
        <f aca="false">+D294</f>
        <v>51850</v>
      </c>
      <c r="E295" s="230"/>
      <c r="F295" s="230"/>
      <c r="G295" s="233"/>
      <c r="H295" s="233"/>
    </row>
    <row r="296" customFormat="false" ht="12.75" hidden="false" customHeight="false" outlineLevel="0" collapsed="false">
      <c r="A296" s="234"/>
      <c r="B296" s="231" t="n">
        <f aca="false">+DATE(YEAR(B295),MONTH(B295)+1,1)</f>
        <v>44927</v>
      </c>
      <c r="C296" s="230" t="n">
        <f aca="false">+C295</f>
        <v>0</v>
      </c>
      <c r="D296" s="230" t="n">
        <f aca="false">+D295</f>
        <v>51850</v>
      </c>
      <c r="E296" s="230"/>
      <c r="F296" s="230"/>
      <c r="G296" s="233"/>
      <c r="H296" s="233"/>
    </row>
    <row r="297" customFormat="false" ht="12.75" hidden="false" customHeight="false" outlineLevel="0" collapsed="false">
      <c r="A297" s="234"/>
      <c r="B297" s="231" t="n">
        <f aca="false">+DATE(YEAR(B296),MONTH(B296)+1,1)</f>
        <v>44958</v>
      </c>
      <c r="C297" s="230" t="n">
        <f aca="false">+C296</f>
        <v>0</v>
      </c>
      <c r="D297" s="230" t="n">
        <f aca="false">+D296</f>
        <v>51850</v>
      </c>
      <c r="E297" s="230"/>
      <c r="F297" s="230"/>
      <c r="G297" s="233"/>
      <c r="H297" s="233"/>
    </row>
    <row r="298" customFormat="false" ht="12.75" hidden="false" customHeight="false" outlineLevel="0" collapsed="false">
      <c r="A298" s="234"/>
      <c r="B298" s="231" t="n">
        <f aca="false">+DATE(YEAR(B297),MONTH(B297)+1,1)</f>
        <v>44986</v>
      </c>
      <c r="C298" s="230" t="n">
        <f aca="false">+C297</f>
        <v>0</v>
      </c>
      <c r="D298" s="230" t="n">
        <f aca="false">+D297</f>
        <v>51850</v>
      </c>
      <c r="E298" s="230"/>
      <c r="F298" s="230"/>
      <c r="G298" s="233"/>
      <c r="H298" s="233"/>
    </row>
    <row r="299" customFormat="false" ht="12.75" hidden="false" customHeight="false" outlineLevel="0" collapsed="false">
      <c r="A299" s="234"/>
      <c r="B299" s="231" t="n">
        <f aca="false">+DATE(YEAR(B298),MONTH(B298)+1,1)</f>
        <v>45017</v>
      </c>
      <c r="C299" s="230" t="n">
        <f aca="false">+C298</f>
        <v>0</v>
      </c>
      <c r="D299" s="230" t="n">
        <f aca="false">+D298</f>
        <v>51850</v>
      </c>
      <c r="E299" s="230"/>
      <c r="F299" s="230"/>
      <c r="G299" s="233"/>
      <c r="H299" s="233"/>
    </row>
    <row r="300" customFormat="false" ht="12.75" hidden="false" customHeight="false" outlineLevel="0" collapsed="false">
      <c r="A300" s="234"/>
      <c r="B300" s="231" t="n">
        <f aca="false">+DATE(YEAR(B299),MONTH(B299)+1,1)</f>
        <v>45047</v>
      </c>
      <c r="C300" s="230" t="n">
        <f aca="false">+C299</f>
        <v>0</v>
      </c>
      <c r="D300" s="230" t="n">
        <f aca="false">+D299</f>
        <v>51850</v>
      </c>
      <c r="E300" s="230"/>
      <c r="F300" s="230"/>
      <c r="G300" s="233"/>
      <c r="H300" s="233"/>
    </row>
    <row r="301" customFormat="false" ht="12.75" hidden="false" customHeight="false" outlineLevel="0" collapsed="false">
      <c r="A301" s="234"/>
      <c r="B301" s="231" t="n">
        <f aca="false">+DATE(YEAR(B300),MONTH(B300)+1,1)</f>
        <v>45078</v>
      </c>
      <c r="C301" s="230" t="n">
        <f aca="false">+C300</f>
        <v>0</v>
      </c>
      <c r="D301" s="230" t="n">
        <f aca="false">+D300</f>
        <v>51850</v>
      </c>
      <c r="E301" s="230"/>
      <c r="F301" s="230"/>
      <c r="G301" s="233"/>
      <c r="H301" s="233"/>
    </row>
    <row r="302" customFormat="false" ht="12.75" hidden="false" customHeight="false" outlineLevel="0" collapsed="false">
      <c r="A302" s="234"/>
      <c r="B302" s="231" t="n">
        <f aca="false">+DATE(YEAR(B301),MONTH(B301)+1,1)</f>
        <v>45108</v>
      </c>
      <c r="C302" s="230" t="n">
        <f aca="false">+C301</f>
        <v>0</v>
      </c>
      <c r="D302" s="230" t="n">
        <f aca="false">+D301</f>
        <v>51850</v>
      </c>
      <c r="E302" s="230"/>
      <c r="F302" s="230"/>
      <c r="G302" s="233"/>
      <c r="H302" s="233"/>
    </row>
    <row r="303" customFormat="false" ht="12.75" hidden="false" customHeight="false" outlineLevel="0" collapsed="false">
      <c r="A303" s="234"/>
      <c r="B303" s="231" t="n">
        <f aca="false">+DATE(YEAR(B302),MONTH(B302)+1,1)</f>
        <v>45139</v>
      </c>
      <c r="C303" s="230" t="n">
        <f aca="false">+C302</f>
        <v>0</v>
      </c>
      <c r="D303" s="230" t="n">
        <f aca="false">+D302</f>
        <v>51850</v>
      </c>
      <c r="E303" s="230"/>
      <c r="F303" s="230"/>
      <c r="G303" s="233"/>
      <c r="H303" s="233"/>
    </row>
    <row r="304" customFormat="false" ht="12.75" hidden="false" customHeight="false" outlineLevel="0" collapsed="false">
      <c r="A304" s="234"/>
      <c r="B304" s="231" t="n">
        <f aca="false">+DATE(YEAR(B303),MONTH(B303)+1,1)</f>
        <v>45170</v>
      </c>
      <c r="C304" s="230" t="n">
        <f aca="false">+C303</f>
        <v>0</v>
      </c>
      <c r="D304" s="230" t="n">
        <f aca="false">+D303</f>
        <v>51850</v>
      </c>
      <c r="E304" s="230"/>
      <c r="F304" s="230"/>
      <c r="G304" s="233"/>
      <c r="H304" s="233"/>
    </row>
    <row r="305" customFormat="false" ht="12.75" hidden="false" customHeight="false" outlineLevel="0" collapsed="false">
      <c r="A305" s="234"/>
      <c r="B305" s="231" t="n">
        <f aca="false">+DATE(YEAR(B304),MONTH(B304)+1,1)</f>
        <v>45200</v>
      </c>
      <c r="C305" s="230" t="n">
        <f aca="false">+C304</f>
        <v>0</v>
      </c>
      <c r="D305" s="230" t="n">
        <f aca="false">+D304</f>
        <v>51850</v>
      </c>
      <c r="E305" s="230"/>
      <c r="F305" s="230"/>
      <c r="G305" s="233"/>
      <c r="H305" s="233"/>
    </row>
    <row r="306" customFormat="false" ht="12.75" hidden="false" customHeight="false" outlineLevel="0" collapsed="false">
      <c r="A306" s="234"/>
      <c r="B306" s="231" t="n">
        <f aca="false">+DATE(YEAR(B305),MONTH(B305)+1,1)</f>
        <v>45231</v>
      </c>
      <c r="C306" s="230" t="n">
        <f aca="false">+C305</f>
        <v>0</v>
      </c>
      <c r="D306" s="230" t="n">
        <f aca="false">+D305</f>
        <v>51850</v>
      </c>
      <c r="E306" s="230"/>
      <c r="F306" s="230"/>
      <c r="G306" s="233"/>
      <c r="H306" s="233"/>
    </row>
    <row r="307" customFormat="false" ht="12.75" hidden="false" customHeight="false" outlineLevel="0" collapsed="false">
      <c r="A307" s="234"/>
      <c r="B307" s="231" t="n">
        <f aca="false">+DATE(YEAR(B306),MONTH(B306)+1,1)</f>
        <v>45261</v>
      </c>
      <c r="C307" s="230" t="n">
        <f aca="false">+C306</f>
        <v>0</v>
      </c>
      <c r="D307" s="230" t="n">
        <f aca="false">+D306</f>
        <v>51850</v>
      </c>
      <c r="E307" s="230"/>
      <c r="F307" s="230"/>
      <c r="G307" s="233"/>
      <c r="H307" s="233"/>
    </row>
    <row r="308" customFormat="false" ht="12.75" hidden="false" customHeight="false" outlineLevel="0" collapsed="false">
      <c r="A308" s="234"/>
      <c r="B308" s="231" t="n">
        <f aca="false">+DATE(YEAR(B307),MONTH(B307)+1,1)</f>
        <v>45292</v>
      </c>
      <c r="C308" s="230" t="n">
        <f aca="false">+C307</f>
        <v>0</v>
      </c>
      <c r="D308" s="230" t="n">
        <f aca="false">+D307</f>
        <v>51850</v>
      </c>
      <c r="E308" s="230"/>
      <c r="F308" s="230"/>
      <c r="G308" s="233"/>
      <c r="H308" s="233"/>
    </row>
    <row r="309" customFormat="false" ht="12.75" hidden="false" customHeight="false" outlineLevel="0" collapsed="false">
      <c r="A309" s="234"/>
      <c r="B309" s="231" t="n">
        <f aca="false">+DATE(YEAR(B308),MONTH(B308)+1,1)</f>
        <v>45323</v>
      </c>
      <c r="C309" s="230" t="n">
        <f aca="false">+C308</f>
        <v>0</v>
      </c>
      <c r="D309" s="230" t="n">
        <f aca="false">+D308</f>
        <v>51850</v>
      </c>
      <c r="E309" s="230"/>
      <c r="F309" s="230"/>
      <c r="G309" s="233"/>
      <c r="H309" s="233"/>
    </row>
    <row r="310" customFormat="false" ht="12.75" hidden="false" customHeight="false" outlineLevel="0" collapsed="false">
      <c r="A310" s="234"/>
      <c r="B310" s="231" t="n">
        <f aca="false">+DATE(YEAR(B309),MONTH(B309)+1,1)</f>
        <v>45352</v>
      </c>
      <c r="C310" s="230" t="n">
        <f aca="false">+C309</f>
        <v>0</v>
      </c>
      <c r="D310" s="230" t="n">
        <f aca="false">+D309</f>
        <v>51850</v>
      </c>
      <c r="E310" s="230"/>
      <c r="F310" s="230"/>
      <c r="G310" s="233"/>
      <c r="H310" s="233"/>
    </row>
    <row r="311" customFormat="false" ht="12.75" hidden="false" customHeight="false" outlineLevel="0" collapsed="false">
      <c r="A311" s="234"/>
      <c r="B311" s="231" t="n">
        <f aca="false">+DATE(YEAR(B310),MONTH(B310)+1,1)</f>
        <v>45383</v>
      </c>
      <c r="C311" s="230" t="n">
        <f aca="false">+C310</f>
        <v>0</v>
      </c>
      <c r="D311" s="230" t="n">
        <f aca="false">+D310</f>
        <v>51850</v>
      </c>
      <c r="E311" s="230"/>
      <c r="F311" s="230"/>
      <c r="G311" s="233"/>
      <c r="H311" s="233"/>
    </row>
    <row r="312" customFormat="false" ht="12.75" hidden="false" customHeight="false" outlineLevel="0" collapsed="false">
      <c r="A312" s="234"/>
      <c r="B312" s="231" t="n">
        <f aca="false">+DATE(YEAR(B311),MONTH(B311)+1,1)</f>
        <v>45413</v>
      </c>
      <c r="C312" s="230" t="n">
        <f aca="false">+C311</f>
        <v>0</v>
      </c>
      <c r="D312" s="230" t="n">
        <f aca="false">+D311</f>
        <v>51850</v>
      </c>
      <c r="E312" s="230"/>
      <c r="F312" s="230"/>
      <c r="G312" s="233"/>
      <c r="H312" s="233"/>
    </row>
    <row r="313" customFormat="false" ht="12.75" hidden="false" customHeight="false" outlineLevel="0" collapsed="false">
      <c r="A313" s="234"/>
      <c r="B313" s="231" t="n">
        <f aca="false">+DATE(YEAR(B312),MONTH(B312)+1,1)</f>
        <v>45444</v>
      </c>
      <c r="C313" s="230" t="n">
        <f aca="false">+C312</f>
        <v>0</v>
      </c>
      <c r="D313" s="230" t="n">
        <f aca="false">+D312</f>
        <v>51850</v>
      </c>
      <c r="E313" s="230"/>
      <c r="F313" s="230"/>
      <c r="G313" s="233"/>
      <c r="H313" s="233"/>
    </row>
    <row r="314" customFormat="false" ht="12.75" hidden="false" customHeight="false" outlineLevel="0" collapsed="false">
      <c r="A314" s="234"/>
      <c r="B314" s="231" t="n">
        <f aca="false">+DATE(YEAR(B313),MONTH(B313)+1,1)</f>
        <v>45474</v>
      </c>
      <c r="C314" s="230" t="n">
        <f aca="false">+C313</f>
        <v>0</v>
      </c>
      <c r="D314" s="230" t="n">
        <f aca="false">+D313</f>
        <v>51850</v>
      </c>
      <c r="E314" s="230"/>
      <c r="F314" s="230"/>
      <c r="G314" s="233"/>
      <c r="H314" s="233"/>
    </row>
    <row r="315" customFormat="false" ht="12.75" hidden="false" customHeight="false" outlineLevel="0" collapsed="false">
      <c r="A315" s="234"/>
      <c r="B315" s="231" t="n">
        <f aca="false">+DATE(YEAR(B314),MONTH(B314)+1,1)</f>
        <v>45505</v>
      </c>
      <c r="C315" s="230" t="n">
        <f aca="false">+C314</f>
        <v>0</v>
      </c>
      <c r="D315" s="230" t="n">
        <f aca="false">+D314</f>
        <v>51850</v>
      </c>
      <c r="E315" s="230"/>
      <c r="F315" s="230"/>
      <c r="G315" s="233"/>
      <c r="H315" s="233"/>
    </row>
    <row r="316" customFormat="false" ht="12.75" hidden="false" customHeight="false" outlineLevel="0" collapsed="false">
      <c r="A316" s="234"/>
      <c r="B316" s="231" t="n">
        <f aca="false">+DATE(YEAR(B315),MONTH(B315)+1,1)</f>
        <v>45536</v>
      </c>
      <c r="C316" s="230" t="n">
        <f aca="false">+C315</f>
        <v>0</v>
      </c>
      <c r="D316" s="230" t="n">
        <f aca="false">+D315</f>
        <v>51850</v>
      </c>
      <c r="E316" s="230"/>
      <c r="F316" s="230"/>
      <c r="G316" s="233"/>
      <c r="H316" s="233"/>
    </row>
    <row r="317" customFormat="false" ht="12.75" hidden="false" customHeight="false" outlineLevel="0" collapsed="false">
      <c r="A317" s="234"/>
      <c r="B317" s="231" t="n">
        <f aca="false">+DATE(YEAR(B316),MONTH(B316)+1,1)</f>
        <v>45566</v>
      </c>
      <c r="C317" s="230" t="n">
        <f aca="false">+C316</f>
        <v>0</v>
      </c>
      <c r="D317" s="230" t="n">
        <f aca="false">+D316</f>
        <v>51850</v>
      </c>
      <c r="E317" s="230"/>
      <c r="F317" s="230"/>
      <c r="G317" s="233"/>
      <c r="H317" s="233"/>
    </row>
    <row r="318" customFormat="false" ht="12.75" hidden="false" customHeight="false" outlineLevel="0" collapsed="false">
      <c r="A318" s="234"/>
      <c r="B318" s="231" t="n">
        <f aca="false">+DATE(YEAR(B317),MONTH(B317)+1,1)</f>
        <v>45597</v>
      </c>
      <c r="C318" s="230" t="n">
        <f aca="false">+C317</f>
        <v>0</v>
      </c>
      <c r="D318" s="230" t="n">
        <f aca="false">+D317</f>
        <v>51850</v>
      </c>
      <c r="E318" s="230"/>
      <c r="F318" s="230"/>
      <c r="G318" s="233"/>
      <c r="H318" s="233"/>
    </row>
    <row r="319" customFormat="false" ht="12.75" hidden="false" customHeight="false" outlineLevel="0" collapsed="false">
      <c r="A319" s="234"/>
      <c r="B319" s="231" t="n">
        <f aca="false">+DATE(YEAR(B318),MONTH(B318)+1,1)</f>
        <v>45627</v>
      </c>
      <c r="C319" s="230" t="n">
        <f aca="false">+C318</f>
        <v>0</v>
      </c>
      <c r="D319" s="230" t="n">
        <f aca="false">+D318</f>
        <v>51850</v>
      </c>
      <c r="E319" s="230"/>
      <c r="F319" s="230"/>
      <c r="G319" s="233"/>
      <c r="H319" s="233"/>
    </row>
    <row r="320" customFormat="false" ht="12.75" hidden="false" customHeight="false" outlineLevel="0" collapsed="false">
      <c r="A320" s="234"/>
      <c r="B320" s="231" t="n">
        <f aca="false">+DATE(YEAR(B319),MONTH(B319)+1,1)</f>
        <v>45658</v>
      </c>
      <c r="C320" s="230" t="n">
        <f aca="false">+C319</f>
        <v>0</v>
      </c>
      <c r="D320" s="230" t="n">
        <f aca="false">+D319</f>
        <v>51850</v>
      </c>
      <c r="E320" s="230"/>
      <c r="F320" s="230"/>
      <c r="G320" s="233"/>
      <c r="H320" s="233"/>
    </row>
    <row r="321" customFormat="false" ht="12.75" hidden="false" customHeight="false" outlineLevel="0" collapsed="false">
      <c r="A321" s="234"/>
      <c r="B321" s="231" t="n">
        <f aca="false">+DATE(YEAR(B320),MONTH(B320)+1,1)</f>
        <v>45689</v>
      </c>
      <c r="C321" s="230" t="n">
        <f aca="false">+C320</f>
        <v>0</v>
      </c>
      <c r="D321" s="230" t="n">
        <f aca="false">+D320</f>
        <v>51850</v>
      </c>
      <c r="E321" s="230"/>
      <c r="F321" s="230"/>
      <c r="G321" s="233"/>
      <c r="H321" s="233"/>
    </row>
    <row r="322" customFormat="false" ht="12.75" hidden="false" customHeight="false" outlineLevel="0" collapsed="false">
      <c r="A322" s="234"/>
      <c r="B322" s="231" t="n">
        <f aca="false">+DATE(YEAR(B321),MONTH(B321)+1,1)</f>
        <v>45717</v>
      </c>
      <c r="C322" s="230" t="n">
        <f aca="false">+C321</f>
        <v>0</v>
      </c>
      <c r="D322" s="230" t="n">
        <f aca="false">+D321</f>
        <v>51850</v>
      </c>
      <c r="E322" s="230"/>
      <c r="F322" s="230"/>
      <c r="G322" s="233"/>
      <c r="H322" s="233"/>
    </row>
    <row r="323" customFormat="false" ht="12.75" hidden="false" customHeight="false" outlineLevel="0" collapsed="false">
      <c r="A323" s="234"/>
      <c r="B323" s="231" t="n">
        <f aca="false">+DATE(YEAR(B322),MONTH(B322)+1,1)</f>
        <v>45748</v>
      </c>
      <c r="C323" s="230" t="n">
        <f aca="false">+C322</f>
        <v>0</v>
      </c>
      <c r="D323" s="230" t="n">
        <f aca="false">+D322</f>
        <v>51850</v>
      </c>
      <c r="E323" s="230"/>
      <c r="F323" s="230"/>
      <c r="G323" s="233"/>
      <c r="H323" s="233"/>
    </row>
    <row r="324" customFormat="false" ht="12.75" hidden="false" customHeight="false" outlineLevel="0" collapsed="false">
      <c r="A324" s="234"/>
      <c r="B324" s="231" t="n">
        <f aca="false">+DATE(YEAR(B323),MONTH(B323)+1,1)</f>
        <v>45778</v>
      </c>
      <c r="C324" s="230" t="n">
        <f aca="false">+C323</f>
        <v>0</v>
      </c>
      <c r="D324" s="230" t="n">
        <f aca="false">+D323</f>
        <v>51850</v>
      </c>
      <c r="E324" s="230"/>
      <c r="F324" s="230"/>
      <c r="G324" s="233"/>
      <c r="H324" s="233"/>
    </row>
    <row r="325" customFormat="false" ht="12.75" hidden="false" customHeight="false" outlineLevel="0" collapsed="false">
      <c r="A325" s="234"/>
      <c r="B325" s="231" t="n">
        <f aca="false">+DATE(YEAR(B324),MONTH(B324)+1,1)</f>
        <v>45809</v>
      </c>
      <c r="C325" s="230" t="n">
        <f aca="false">+C324</f>
        <v>0</v>
      </c>
      <c r="D325" s="230" t="n">
        <f aca="false">+D324</f>
        <v>51850</v>
      </c>
      <c r="E325" s="230"/>
      <c r="F325" s="230"/>
      <c r="G325" s="233"/>
      <c r="H325" s="233"/>
    </row>
    <row r="326" customFormat="false" ht="12.75" hidden="false" customHeight="false" outlineLevel="0" collapsed="false">
      <c r="A326" s="234"/>
      <c r="B326" s="231" t="n">
        <f aca="false">+DATE(YEAR(B325),MONTH(B325)+1,1)</f>
        <v>45839</v>
      </c>
      <c r="C326" s="230" t="n">
        <f aca="false">+C325</f>
        <v>0</v>
      </c>
      <c r="D326" s="230" t="n">
        <f aca="false">+D325</f>
        <v>51850</v>
      </c>
      <c r="E326" s="230"/>
      <c r="F326" s="230"/>
      <c r="G326" s="233"/>
      <c r="H326" s="233"/>
    </row>
    <row r="327" customFormat="false" ht="12.75" hidden="false" customHeight="false" outlineLevel="0" collapsed="false">
      <c r="A327" s="234"/>
      <c r="B327" s="231" t="n">
        <f aca="false">+DATE(YEAR(B326),MONTH(B326)+1,1)</f>
        <v>45870</v>
      </c>
      <c r="C327" s="230" t="n">
        <f aca="false">+C326</f>
        <v>0</v>
      </c>
      <c r="D327" s="230" t="n">
        <f aca="false">+D326</f>
        <v>51850</v>
      </c>
      <c r="E327" s="230"/>
      <c r="F327" s="230"/>
      <c r="G327" s="233"/>
      <c r="H327" s="233"/>
    </row>
    <row r="328" customFormat="false" ht="12.75" hidden="false" customHeight="false" outlineLevel="0" collapsed="false">
      <c r="A328" s="234"/>
      <c r="B328" s="231" t="n">
        <f aca="false">+DATE(YEAR(B327),MONTH(B327)+1,1)</f>
        <v>45901</v>
      </c>
      <c r="C328" s="230" t="n">
        <f aca="false">+C327</f>
        <v>0</v>
      </c>
      <c r="D328" s="230" t="n">
        <f aca="false">+D327</f>
        <v>51850</v>
      </c>
      <c r="E328" s="230"/>
      <c r="F328" s="230"/>
      <c r="G328" s="233"/>
      <c r="H328" s="233"/>
    </row>
    <row r="329" customFormat="false" ht="12.75" hidden="false" customHeight="false" outlineLevel="0" collapsed="false">
      <c r="A329" s="234"/>
      <c r="B329" s="231" t="n">
        <f aca="false">+DATE(YEAR(B328),MONTH(B328)+1,1)</f>
        <v>45931</v>
      </c>
      <c r="C329" s="230" t="n">
        <f aca="false">+C328</f>
        <v>0</v>
      </c>
      <c r="D329" s="230" t="n">
        <f aca="false">+D328</f>
        <v>51850</v>
      </c>
      <c r="E329" s="230"/>
      <c r="F329" s="230"/>
      <c r="G329" s="233"/>
      <c r="H329" s="233"/>
    </row>
    <row r="330" customFormat="false" ht="12.75" hidden="false" customHeight="false" outlineLevel="0" collapsed="false">
      <c r="A330" s="234"/>
      <c r="B330" s="231" t="n">
        <f aca="false">+DATE(YEAR(B329),MONTH(B329)+1,1)</f>
        <v>45962</v>
      </c>
      <c r="C330" s="230" t="n">
        <f aca="false">+C329</f>
        <v>0</v>
      </c>
      <c r="D330" s="230" t="n">
        <f aca="false">+D329</f>
        <v>51850</v>
      </c>
      <c r="E330" s="230"/>
      <c r="F330" s="230"/>
      <c r="G330" s="233"/>
      <c r="H330" s="233"/>
    </row>
    <row r="331" customFormat="false" ht="12.75" hidden="false" customHeight="false" outlineLevel="0" collapsed="false">
      <c r="A331" s="234"/>
      <c r="B331" s="231" t="n">
        <f aca="false">+DATE(YEAR(B330),MONTH(B330)+1,1)</f>
        <v>45992</v>
      </c>
      <c r="C331" s="230" t="n">
        <f aca="false">+C330</f>
        <v>0</v>
      </c>
      <c r="D331" s="230" t="n">
        <f aca="false">+D330</f>
        <v>51850</v>
      </c>
      <c r="E331" s="230"/>
      <c r="F331" s="230"/>
      <c r="G331" s="233"/>
      <c r="H331" s="233"/>
    </row>
    <row r="332" customFormat="false" ht="12.75" hidden="false" customHeight="false" outlineLevel="0" collapsed="false">
      <c r="A332" s="234"/>
      <c r="B332" s="231" t="n">
        <f aca="false">+DATE(YEAR(B331),MONTH(B331)+1,1)</f>
        <v>46023</v>
      </c>
      <c r="C332" s="230" t="n">
        <f aca="false">+C331</f>
        <v>0</v>
      </c>
      <c r="D332" s="230" t="n">
        <v>0</v>
      </c>
      <c r="E332" s="230"/>
      <c r="F332" s="230"/>
      <c r="G332" s="233"/>
      <c r="H332" s="233"/>
    </row>
    <row r="333" customFormat="false" ht="6" hidden="false" customHeight="true" outlineLevel="0" collapsed="false">
      <c r="A333" s="235"/>
      <c r="B333" s="236"/>
      <c r="C333" s="237"/>
      <c r="D333" s="237"/>
      <c r="E333" s="237"/>
      <c r="F333" s="237"/>
      <c r="G333" s="238"/>
      <c r="H333" s="238"/>
    </row>
    <row r="334" customFormat="false" ht="12.75" hidden="false" customHeight="false" outlineLevel="0" collapsed="false">
      <c r="A334" s="239" t="s">
        <v>73</v>
      </c>
      <c r="B334" s="240" t="s">
        <v>53</v>
      </c>
      <c r="C334" s="41" t="str">
        <f aca="false">+IF(C$5="","",C$5)</f>
        <v>HG</v>
      </c>
      <c r="D334" s="15" t="str">
        <f aca="false">+IF(D$5="","",D$5)</f>
        <v>EXMAR</v>
      </c>
      <c r="E334" s="15" t="str">
        <f aca="false">+IF(E$5="","",E$5)</f>
        <v/>
      </c>
      <c r="F334" s="15" t="str">
        <f aca="false">+IF(F$5="","",F$5)</f>
        <v/>
      </c>
      <c r="G334" s="15" t="str">
        <f aca="false">+IF(G$5="","",G$5)</f>
        <v/>
      </c>
      <c r="H334" s="42" t="str">
        <f aca="false">+IF(H$5="","",H$5)</f>
        <v/>
      </c>
    </row>
    <row r="335" customFormat="false" ht="12.75" hidden="false" customHeight="false" outlineLevel="0" collapsed="false">
      <c r="A335" s="121"/>
      <c r="B335" s="227"/>
      <c r="C335" s="41" t="n">
        <f aca="false">+C25</f>
        <v>1</v>
      </c>
      <c r="D335" s="15" t="n">
        <f aca="false">+D25</f>
        <v>2</v>
      </c>
      <c r="E335" s="15" t="n">
        <f aca="false">+E25</f>
        <v>3</v>
      </c>
      <c r="F335" s="15" t="n">
        <f aca="false">+F25</f>
        <v>4</v>
      </c>
      <c r="G335" s="15" t="n">
        <f aca="false">+G25</f>
        <v>5</v>
      </c>
      <c r="H335" s="42" t="n">
        <f aca="false">+H25</f>
        <v>6</v>
      </c>
    </row>
    <row r="336" customFormat="false" ht="12.75" hidden="false" customHeight="false" outlineLevel="0" collapsed="false">
      <c r="A336" s="228"/>
      <c r="B336" s="231" t="n">
        <f aca="false">+B26</f>
        <v>36708</v>
      </c>
      <c r="C336" s="230" t="n">
        <v>0</v>
      </c>
      <c r="D336" s="230" t="n">
        <v>0</v>
      </c>
      <c r="E336" s="230"/>
      <c r="F336" s="230"/>
      <c r="G336" s="230"/>
      <c r="H336" s="230"/>
    </row>
    <row r="337" customFormat="false" ht="12.75" hidden="false" customHeight="false" outlineLevel="0" collapsed="false">
      <c r="A337" s="228"/>
      <c r="B337" s="231" t="n">
        <f aca="false">+DATE(YEAR(B336),MONTH(B336)+1,1)</f>
        <v>36739</v>
      </c>
      <c r="C337" s="230" t="n">
        <f aca="false">+C336</f>
        <v>0</v>
      </c>
      <c r="D337" s="230" t="n">
        <f aca="false">+D336</f>
        <v>0</v>
      </c>
      <c r="E337" s="230"/>
      <c r="F337" s="230"/>
      <c r="G337" s="230"/>
      <c r="H337" s="230"/>
    </row>
    <row r="338" customFormat="false" ht="12.75" hidden="false" customHeight="false" outlineLevel="0" collapsed="false">
      <c r="A338" s="228"/>
      <c r="B338" s="231" t="n">
        <f aca="false">+DATE(YEAR(B337),MONTH(B337)+1,1)</f>
        <v>36770</v>
      </c>
      <c r="C338" s="230" t="n">
        <f aca="false">+C337</f>
        <v>0</v>
      </c>
      <c r="D338" s="230" t="n">
        <f aca="false">+D337</f>
        <v>0</v>
      </c>
      <c r="E338" s="230"/>
      <c r="F338" s="230"/>
      <c r="G338" s="230"/>
      <c r="H338" s="230"/>
    </row>
    <row r="339" customFormat="false" ht="12.75" hidden="false" customHeight="false" outlineLevel="0" collapsed="false">
      <c r="A339" s="228"/>
      <c r="B339" s="231" t="n">
        <f aca="false">+DATE(YEAR(B338),MONTH(B338)+1,1)</f>
        <v>36800</v>
      </c>
      <c r="C339" s="230" t="n">
        <f aca="false">+C338</f>
        <v>0</v>
      </c>
      <c r="D339" s="230" t="n">
        <f aca="false">+D338</f>
        <v>0</v>
      </c>
      <c r="E339" s="230"/>
      <c r="F339" s="230"/>
      <c r="G339" s="230"/>
      <c r="H339" s="230"/>
    </row>
    <row r="340" customFormat="false" ht="12.75" hidden="false" customHeight="false" outlineLevel="0" collapsed="false">
      <c r="A340" s="228"/>
      <c r="B340" s="231" t="n">
        <f aca="false">+DATE(YEAR(B339),MONTH(B339)+1,1)</f>
        <v>36831</v>
      </c>
      <c r="C340" s="230" t="n">
        <v>14000</v>
      </c>
      <c r="D340" s="230" t="n">
        <f aca="false">+D339</f>
        <v>0</v>
      </c>
      <c r="E340" s="230"/>
      <c r="F340" s="230"/>
      <c r="G340" s="230"/>
      <c r="H340" s="230"/>
    </row>
    <row r="341" customFormat="false" ht="12.75" hidden="false" customHeight="false" outlineLevel="0" collapsed="false">
      <c r="A341" s="228"/>
      <c r="B341" s="231" t="n">
        <f aca="false">+DATE(YEAR(B340),MONTH(B340)+1,1)</f>
        <v>36861</v>
      </c>
      <c r="C341" s="230" t="n">
        <f aca="false">+C340</f>
        <v>14000</v>
      </c>
      <c r="D341" s="230" t="n">
        <f aca="false">+D340</f>
        <v>0</v>
      </c>
      <c r="E341" s="230"/>
      <c r="F341" s="230"/>
      <c r="G341" s="230"/>
      <c r="H341" s="230"/>
    </row>
    <row r="342" customFormat="false" ht="12.75" hidden="false" customHeight="false" outlineLevel="0" collapsed="false">
      <c r="A342" s="228"/>
      <c r="B342" s="231" t="n">
        <f aca="false">+DATE(YEAR(B341),MONTH(B341)+1,1)</f>
        <v>36892</v>
      </c>
      <c r="C342" s="230" t="n">
        <f aca="false">+C341</f>
        <v>14000</v>
      </c>
      <c r="D342" s="230" t="n">
        <f aca="false">+D341</f>
        <v>0</v>
      </c>
      <c r="E342" s="230"/>
      <c r="F342" s="230"/>
      <c r="G342" s="230"/>
      <c r="H342" s="230"/>
    </row>
    <row r="343" customFormat="false" ht="12.75" hidden="false" customHeight="false" outlineLevel="0" collapsed="false">
      <c r="A343" s="228"/>
      <c r="B343" s="231" t="n">
        <f aca="false">+DATE(YEAR(B342),MONTH(B342)+1,1)</f>
        <v>36923</v>
      </c>
      <c r="C343" s="230" t="n">
        <f aca="false">+C342</f>
        <v>14000</v>
      </c>
      <c r="D343" s="230" t="n">
        <f aca="false">+D342</f>
        <v>0</v>
      </c>
      <c r="E343" s="230"/>
      <c r="F343" s="230"/>
      <c r="G343" s="230"/>
      <c r="H343" s="230"/>
    </row>
    <row r="344" customFormat="false" ht="12.75" hidden="false" customHeight="false" outlineLevel="0" collapsed="false">
      <c r="A344" s="228"/>
      <c r="B344" s="231" t="n">
        <f aca="false">+DATE(YEAR(B343),MONTH(B343)+1,1)</f>
        <v>36951</v>
      </c>
      <c r="C344" s="230" t="n">
        <f aca="false">+C343*(1+(C$23/12))</f>
        <v>14029.1666666667</v>
      </c>
      <c r="D344" s="230" t="n">
        <f aca="false">+D343*(1+($C$23/12))</f>
        <v>0</v>
      </c>
      <c r="E344" s="230"/>
      <c r="F344" s="230"/>
      <c r="G344" s="230"/>
      <c r="H344" s="230"/>
    </row>
    <row r="345" customFormat="false" ht="12.75" hidden="false" customHeight="false" outlineLevel="0" collapsed="false">
      <c r="A345" s="232"/>
      <c r="B345" s="231" t="n">
        <f aca="false">+DATE(YEAR(B344),MONTH(B344)+1,1)</f>
        <v>36982</v>
      </c>
      <c r="C345" s="230" t="n">
        <f aca="false">+C344*(1+(C$23/12))</f>
        <v>14058.3940972222</v>
      </c>
      <c r="D345" s="230" t="n">
        <f aca="false">+D344</f>
        <v>0</v>
      </c>
      <c r="E345" s="230"/>
      <c r="F345" s="230"/>
      <c r="G345" s="233"/>
      <c r="H345" s="233"/>
    </row>
    <row r="346" customFormat="false" ht="12.75" hidden="false" customHeight="false" outlineLevel="0" collapsed="false">
      <c r="A346" s="232"/>
      <c r="B346" s="231" t="n">
        <f aca="false">+DATE(YEAR(B345),MONTH(B345)+1,1)</f>
        <v>37012</v>
      </c>
      <c r="C346" s="230" t="n">
        <f aca="false">+C345*(1+(C$23/12))</f>
        <v>14087.6824182581</v>
      </c>
      <c r="D346" s="230" t="n">
        <f aca="false">+D345</f>
        <v>0</v>
      </c>
      <c r="E346" s="230"/>
      <c r="F346" s="230"/>
      <c r="G346" s="233"/>
      <c r="H346" s="233"/>
    </row>
    <row r="347" customFormat="false" ht="12.75" hidden="false" customHeight="false" outlineLevel="0" collapsed="false">
      <c r="A347" s="232"/>
      <c r="B347" s="231" t="n">
        <f aca="false">+DATE(YEAR(B346),MONTH(B346)+1,1)</f>
        <v>37043</v>
      </c>
      <c r="C347" s="230" t="n">
        <f aca="false">+C346*(1+(C$23/12))</f>
        <v>14117.0317566295</v>
      </c>
      <c r="D347" s="230" t="n">
        <f aca="false">+D346</f>
        <v>0</v>
      </c>
      <c r="E347" s="230"/>
      <c r="F347" s="230"/>
      <c r="G347" s="233"/>
      <c r="H347" s="233"/>
    </row>
    <row r="348" customFormat="false" ht="12.75" hidden="false" customHeight="false" outlineLevel="0" collapsed="false">
      <c r="A348" s="232"/>
      <c r="B348" s="231" t="n">
        <f aca="false">+DATE(YEAR(B347),MONTH(B347)+1,1)</f>
        <v>37073</v>
      </c>
      <c r="C348" s="230" t="n">
        <f aca="false">+C347*(1+(C$23/12))</f>
        <v>14146.4422394558</v>
      </c>
      <c r="D348" s="230" t="n">
        <f aca="false">+D347</f>
        <v>0</v>
      </c>
      <c r="E348" s="230"/>
      <c r="F348" s="230"/>
      <c r="G348" s="233"/>
      <c r="H348" s="233"/>
    </row>
    <row r="349" customFormat="false" ht="12.75" hidden="false" customHeight="false" outlineLevel="0" collapsed="false">
      <c r="A349" s="232"/>
      <c r="B349" s="231" t="n">
        <f aca="false">+DATE(YEAR(B348),MONTH(B348)+1,1)</f>
        <v>37104</v>
      </c>
      <c r="C349" s="230" t="n">
        <f aca="false">+C348*(1+(C$23/12))</f>
        <v>14175.9139941213</v>
      </c>
      <c r="D349" s="230" t="n">
        <f aca="false">+D348</f>
        <v>0</v>
      </c>
      <c r="E349" s="230"/>
      <c r="F349" s="230"/>
      <c r="G349" s="233"/>
      <c r="H349" s="233"/>
    </row>
    <row r="350" customFormat="false" ht="12.75" hidden="false" customHeight="false" outlineLevel="0" collapsed="false">
      <c r="A350" s="232"/>
      <c r="B350" s="231" t="n">
        <f aca="false">+DATE(YEAR(B349),MONTH(B349)+1,1)</f>
        <v>37135</v>
      </c>
      <c r="C350" s="230" t="n">
        <f aca="false">+C349*(1+(C$23/12))</f>
        <v>14205.4471482757</v>
      </c>
      <c r="D350" s="230" t="n">
        <f aca="false">+D349</f>
        <v>0</v>
      </c>
      <c r="E350" s="230"/>
      <c r="F350" s="230"/>
      <c r="G350" s="233"/>
      <c r="H350" s="233"/>
    </row>
    <row r="351" customFormat="false" ht="12.75" hidden="false" customHeight="false" outlineLevel="0" collapsed="false">
      <c r="A351" s="232"/>
      <c r="B351" s="231" t="n">
        <f aca="false">+DATE(YEAR(B350),MONTH(B350)+1,1)</f>
        <v>37165</v>
      </c>
      <c r="C351" s="230" t="n">
        <f aca="false">+C350*(1+(C$23/12))</f>
        <v>14235.0418298347</v>
      </c>
      <c r="D351" s="230" t="n">
        <f aca="false">+D350</f>
        <v>0</v>
      </c>
      <c r="E351" s="230"/>
      <c r="F351" s="230"/>
      <c r="G351" s="233"/>
      <c r="H351" s="233"/>
    </row>
    <row r="352" customFormat="false" ht="12.75" hidden="false" customHeight="false" outlineLevel="0" collapsed="false">
      <c r="A352" s="232"/>
      <c r="B352" s="231" t="n">
        <f aca="false">+DATE(YEAR(B351),MONTH(B351)+1,1)</f>
        <v>37196</v>
      </c>
      <c r="C352" s="230" t="n">
        <f aca="false">+C351*(1+(C$23/12))</f>
        <v>14264.6981669801</v>
      </c>
      <c r="D352" s="230" t="n">
        <f aca="false">+D351</f>
        <v>0</v>
      </c>
      <c r="E352" s="230"/>
      <c r="F352" s="230"/>
      <c r="G352" s="233"/>
      <c r="H352" s="233"/>
    </row>
    <row r="353" customFormat="false" ht="12.75" hidden="false" customHeight="false" outlineLevel="0" collapsed="false">
      <c r="A353" s="232"/>
      <c r="B353" s="231" t="n">
        <f aca="false">+DATE(YEAR(B352),MONTH(B352)+1,1)</f>
        <v>37226</v>
      </c>
      <c r="C353" s="230" t="n">
        <f aca="false">+C352*(1+(C$23/12))</f>
        <v>14294.4162881614</v>
      </c>
      <c r="D353" s="230" t="n">
        <f aca="false">+D352</f>
        <v>0</v>
      </c>
      <c r="E353" s="230"/>
      <c r="F353" s="230"/>
      <c r="G353" s="241"/>
      <c r="H353" s="233"/>
    </row>
    <row r="354" customFormat="false" ht="12.75" hidden="false" customHeight="false" outlineLevel="0" collapsed="false">
      <c r="A354" s="232"/>
      <c r="B354" s="231" t="n">
        <f aca="false">+DATE(YEAR(B353),MONTH(B353)+1,1)</f>
        <v>37257</v>
      </c>
      <c r="C354" s="230" t="n">
        <f aca="false">+C353*(1+(C$23/12))</f>
        <v>14324.196322095</v>
      </c>
      <c r="D354" s="230" t="n">
        <f aca="false">+D353</f>
        <v>0</v>
      </c>
      <c r="E354" s="230"/>
      <c r="F354" s="230"/>
      <c r="G354" s="233"/>
      <c r="H354" s="233"/>
    </row>
    <row r="355" customFormat="false" ht="12.75" hidden="false" customHeight="false" outlineLevel="0" collapsed="false">
      <c r="A355" s="232"/>
      <c r="B355" s="231" t="n">
        <f aca="false">+DATE(YEAR(B354),MONTH(B354)+1,1)</f>
        <v>37288</v>
      </c>
      <c r="C355" s="230" t="n">
        <f aca="false">+C354*(1+(C$23/12))</f>
        <v>14354.0383977661</v>
      </c>
      <c r="D355" s="230" t="n">
        <f aca="false">+D354</f>
        <v>0</v>
      </c>
      <c r="E355" s="230"/>
      <c r="F355" s="230"/>
      <c r="G355" s="233"/>
      <c r="H355" s="233"/>
    </row>
    <row r="356" customFormat="false" ht="12.75" hidden="false" customHeight="false" outlineLevel="0" collapsed="false">
      <c r="A356" s="232"/>
      <c r="B356" s="231" t="n">
        <f aca="false">+DATE(YEAR(B355),MONTH(B355)+1,1)</f>
        <v>37316</v>
      </c>
      <c r="C356" s="230" t="n">
        <f aca="false">+C355*(1+(C$23/12))</f>
        <v>14383.9426444281</v>
      </c>
      <c r="D356" s="230" t="n">
        <f aca="false">+D355</f>
        <v>0</v>
      </c>
      <c r="E356" s="230"/>
      <c r="F356" s="230"/>
      <c r="G356" s="233"/>
      <c r="H356" s="233"/>
    </row>
    <row r="357" customFormat="false" ht="12.75" hidden="false" customHeight="false" outlineLevel="0" collapsed="false">
      <c r="A357" s="232"/>
      <c r="B357" s="231" t="n">
        <f aca="false">+DATE(YEAR(B356),MONTH(B356)+1,1)</f>
        <v>37347</v>
      </c>
      <c r="C357" s="230" t="n">
        <f aca="false">+C356*(1+(C$23/12))</f>
        <v>14413.909191604</v>
      </c>
      <c r="D357" s="230" t="n">
        <f aca="false">+D356</f>
        <v>0</v>
      </c>
      <c r="E357" s="230"/>
      <c r="F357" s="230"/>
      <c r="G357" s="233"/>
      <c r="H357" s="233"/>
    </row>
    <row r="358" customFormat="false" ht="12.75" hidden="false" customHeight="false" outlineLevel="0" collapsed="false">
      <c r="A358" s="232"/>
      <c r="B358" s="231" t="n">
        <f aca="false">+DATE(YEAR(B357),MONTH(B357)+1,1)</f>
        <v>37377</v>
      </c>
      <c r="C358" s="230" t="n">
        <f aca="false">+C357*(1+(C$23/12))</f>
        <v>14443.9381690865</v>
      </c>
      <c r="D358" s="230" t="n">
        <f aca="false">+D357</f>
        <v>0</v>
      </c>
      <c r="E358" s="230"/>
      <c r="F358" s="230"/>
      <c r="G358" s="233"/>
      <c r="H358" s="233"/>
    </row>
    <row r="359" customFormat="false" ht="12.75" hidden="false" customHeight="false" outlineLevel="0" collapsed="false">
      <c r="A359" s="232"/>
      <c r="B359" s="231" t="n">
        <f aca="false">+DATE(YEAR(B358),MONTH(B358)+1,1)</f>
        <v>37408</v>
      </c>
      <c r="C359" s="230" t="n">
        <f aca="false">+C358*(1+(C$23/12))</f>
        <v>14474.0297069387</v>
      </c>
      <c r="D359" s="230" t="n">
        <f aca="false">+D358</f>
        <v>0</v>
      </c>
      <c r="E359" s="230"/>
      <c r="F359" s="230"/>
      <c r="G359" s="233"/>
      <c r="H359" s="233"/>
    </row>
    <row r="360" customFormat="false" ht="12.75" hidden="false" customHeight="false" outlineLevel="0" collapsed="false">
      <c r="A360" s="232"/>
      <c r="B360" s="231" t="n">
        <f aca="false">+DATE(YEAR(B359),MONTH(B359)+1,1)</f>
        <v>37438</v>
      </c>
      <c r="C360" s="230" t="n">
        <f aca="false">+C359*(1+(C$23/12))</f>
        <v>14504.1839354949</v>
      </c>
      <c r="D360" s="230" t="n">
        <f aca="false">+D359</f>
        <v>0</v>
      </c>
      <c r="E360" s="230"/>
      <c r="F360" s="230"/>
      <c r="G360" s="233"/>
      <c r="H360" s="233"/>
    </row>
    <row r="361" customFormat="false" ht="12.75" hidden="false" customHeight="false" outlineLevel="0" collapsed="false">
      <c r="A361" s="232"/>
      <c r="B361" s="231" t="n">
        <f aca="false">+DATE(YEAR(B360),MONTH(B360)+1,1)</f>
        <v>37469</v>
      </c>
      <c r="C361" s="230" t="n">
        <f aca="false">+C360*(1+(C$23/12))</f>
        <v>14534.4009853605</v>
      </c>
      <c r="D361" s="230" t="n">
        <f aca="false">+D360</f>
        <v>0</v>
      </c>
      <c r="E361" s="230"/>
      <c r="F361" s="230"/>
      <c r="G361" s="233"/>
      <c r="H361" s="233"/>
    </row>
    <row r="362" customFormat="false" ht="12.75" hidden="false" customHeight="false" outlineLevel="0" collapsed="false">
      <c r="A362" s="232"/>
      <c r="B362" s="231" t="n">
        <f aca="false">+DATE(YEAR(B361),MONTH(B361)+1,1)</f>
        <v>37500</v>
      </c>
      <c r="C362" s="230" t="n">
        <f aca="false">+C361*(1+(C$23/12))</f>
        <v>14564.6809874133</v>
      </c>
      <c r="D362" s="230" t="n">
        <f aca="false">+D361</f>
        <v>0</v>
      </c>
      <c r="E362" s="230"/>
      <c r="F362" s="230"/>
      <c r="G362" s="233"/>
      <c r="H362" s="233"/>
    </row>
    <row r="363" customFormat="false" ht="12.75" hidden="false" customHeight="false" outlineLevel="0" collapsed="false">
      <c r="A363" s="232"/>
      <c r="B363" s="231" t="n">
        <f aca="false">+DATE(YEAR(B362),MONTH(B362)+1,1)</f>
        <v>37530</v>
      </c>
      <c r="C363" s="230" t="n">
        <f aca="false">+C362*(1+(C$23/12))</f>
        <v>14595.0240728038</v>
      </c>
      <c r="D363" s="230" t="n">
        <f aca="false">+D362</f>
        <v>0</v>
      </c>
      <c r="E363" s="230"/>
      <c r="F363" s="230"/>
      <c r="G363" s="233"/>
      <c r="H363" s="233"/>
    </row>
    <row r="364" customFormat="false" ht="12.75" hidden="false" customHeight="false" outlineLevel="0" collapsed="false">
      <c r="A364" s="232"/>
      <c r="B364" s="231" t="n">
        <f aca="false">+DATE(YEAR(B363),MONTH(B363)+1,1)</f>
        <v>37561</v>
      </c>
      <c r="C364" s="230" t="n">
        <f aca="false">+C363*(1+(C$23/12))</f>
        <v>14625.4303729554</v>
      </c>
      <c r="D364" s="230" t="n">
        <f aca="false">+D363</f>
        <v>0</v>
      </c>
      <c r="E364" s="230"/>
      <c r="F364" s="230"/>
      <c r="G364" s="233"/>
      <c r="H364" s="233"/>
    </row>
    <row r="365" customFormat="false" ht="12.75" hidden="false" customHeight="false" outlineLevel="0" collapsed="false">
      <c r="A365" s="232"/>
      <c r="B365" s="231" t="n">
        <f aca="false">+DATE(YEAR(B364),MONTH(B364)+1,1)</f>
        <v>37591</v>
      </c>
      <c r="C365" s="230" t="n">
        <f aca="false">+C364*(1+(C$23/12))</f>
        <v>14655.9000195658</v>
      </c>
      <c r="D365" s="230" t="n">
        <f aca="false">+D364</f>
        <v>0</v>
      </c>
      <c r="E365" s="230"/>
      <c r="F365" s="230"/>
      <c r="G365" s="233"/>
      <c r="H365" s="233"/>
    </row>
    <row r="366" customFormat="false" ht="12.75" hidden="false" customHeight="false" outlineLevel="0" collapsed="false">
      <c r="A366" s="232"/>
      <c r="B366" s="231" t="n">
        <f aca="false">+DATE(YEAR(B365),MONTH(B365)+1,1)</f>
        <v>37622</v>
      </c>
      <c r="C366" s="230" t="n">
        <f aca="false">+C365*(1+(C$23/12))</f>
        <v>14686.4331446065</v>
      </c>
      <c r="D366" s="230" t="n">
        <v>10790</v>
      </c>
      <c r="E366" s="230"/>
      <c r="F366" s="230"/>
      <c r="G366" s="233"/>
      <c r="H366" s="233"/>
    </row>
    <row r="367" customFormat="false" ht="12.75" hidden="false" customHeight="false" outlineLevel="0" collapsed="false">
      <c r="A367" s="232"/>
      <c r="B367" s="231" t="n">
        <f aca="false">+DATE(YEAR(B366),MONTH(B366)+1,1)</f>
        <v>37653</v>
      </c>
      <c r="C367" s="230" t="n">
        <f aca="false">+C366*(1+(C$23/12))</f>
        <v>14717.0298803245</v>
      </c>
      <c r="D367" s="230" t="n">
        <f aca="false">+D366*(1+(D$23/12))</f>
        <v>10812.4791666667</v>
      </c>
      <c r="E367" s="230"/>
      <c r="F367" s="230"/>
      <c r="G367" s="233"/>
      <c r="H367" s="233"/>
    </row>
    <row r="368" customFormat="false" ht="12.75" hidden="false" customHeight="false" outlineLevel="0" collapsed="false">
      <c r="A368" s="232"/>
      <c r="B368" s="231" t="n">
        <f aca="false">+DATE(YEAR(B367),MONTH(B367)+1,1)</f>
        <v>37681</v>
      </c>
      <c r="C368" s="230" t="n">
        <f aca="false">+C367*(1+(C$23/12))</f>
        <v>14747.6903592418</v>
      </c>
      <c r="D368" s="230" t="n">
        <f aca="false">+D367*(1+(D$23/12))</f>
        <v>10835.0051649306</v>
      </c>
      <c r="E368" s="230"/>
      <c r="F368" s="230"/>
      <c r="G368" s="233"/>
      <c r="H368" s="233"/>
    </row>
    <row r="369" customFormat="false" ht="12.75" hidden="false" customHeight="false" outlineLevel="0" collapsed="false">
      <c r="A369" s="232"/>
      <c r="B369" s="231" t="n">
        <f aca="false">+DATE(YEAR(B368),MONTH(B368)+1,1)</f>
        <v>37712</v>
      </c>
      <c r="C369" s="230" t="n">
        <f aca="false">+C368*(1+(C$23/12))</f>
        <v>14778.4147141569</v>
      </c>
      <c r="D369" s="230" t="n">
        <f aca="false">+D368*(1+(D$23/12))</f>
        <v>10857.5780923575</v>
      </c>
      <c r="E369" s="230"/>
      <c r="F369" s="230"/>
      <c r="G369" s="233"/>
      <c r="H369" s="233"/>
    </row>
    <row r="370" customFormat="false" ht="12.75" hidden="false" customHeight="false" outlineLevel="0" collapsed="false">
      <c r="A370" s="232"/>
      <c r="B370" s="231" t="n">
        <f aca="false">+DATE(YEAR(B369),MONTH(B369)+1,1)</f>
        <v>37742</v>
      </c>
      <c r="C370" s="230" t="n">
        <f aca="false">+C369*(1+(C$23/12))</f>
        <v>14809.2030781447</v>
      </c>
      <c r="D370" s="230" t="n">
        <f aca="false">+D369*(1+(D$23/12))</f>
        <v>10880.1980467166</v>
      </c>
      <c r="E370" s="230"/>
      <c r="F370" s="230"/>
      <c r="G370" s="233"/>
      <c r="H370" s="233"/>
    </row>
    <row r="371" customFormat="false" ht="12.75" hidden="false" customHeight="false" outlineLevel="0" collapsed="false">
      <c r="A371" s="232"/>
      <c r="B371" s="231" t="n">
        <f aca="false">+DATE(YEAR(B370),MONTH(B370)+1,1)</f>
        <v>37773</v>
      </c>
      <c r="C371" s="230" t="n">
        <f aca="false">+C370*(1+(C$23/12))</f>
        <v>14840.0555845575</v>
      </c>
      <c r="D371" s="230" t="n">
        <f aca="false">+D370*(1+(D$23/12))</f>
        <v>10902.8651259806</v>
      </c>
      <c r="E371" s="230"/>
      <c r="F371" s="230"/>
      <c r="G371" s="233"/>
      <c r="H371" s="233"/>
    </row>
    <row r="372" customFormat="false" ht="12.75" hidden="false" customHeight="false" outlineLevel="0" collapsed="false">
      <c r="A372" s="232"/>
      <c r="B372" s="231" t="n">
        <f aca="false">+DATE(YEAR(B371),MONTH(B371)+1,1)</f>
        <v>37803</v>
      </c>
      <c r="C372" s="230" t="n">
        <f aca="false">+C371*(1+(C$23/12))</f>
        <v>14870.9723670254</v>
      </c>
      <c r="D372" s="230" t="n">
        <f aca="false">+D371*(1+(D$23/12))</f>
        <v>10925.5794283264</v>
      </c>
      <c r="E372" s="230"/>
      <c r="F372" s="230"/>
      <c r="G372" s="233"/>
      <c r="H372" s="233"/>
    </row>
    <row r="373" customFormat="false" ht="12.75" hidden="false" customHeight="false" outlineLevel="0" collapsed="false">
      <c r="A373" s="232"/>
      <c r="B373" s="231" t="n">
        <f aca="false">+DATE(YEAR(B372),MONTH(B372)+1,1)</f>
        <v>37834</v>
      </c>
      <c r="C373" s="230" t="n">
        <f aca="false">+C372*(1+(C$23/12))</f>
        <v>14901.9535594567</v>
      </c>
      <c r="D373" s="230" t="n">
        <f aca="false">+D372*(1+(D$23/12))</f>
        <v>10948.3410521354</v>
      </c>
      <c r="E373" s="230"/>
      <c r="F373" s="230"/>
      <c r="G373" s="233"/>
      <c r="H373" s="233"/>
    </row>
    <row r="374" customFormat="false" ht="12.75" hidden="false" customHeight="false" outlineLevel="0" collapsed="false">
      <c r="A374" s="232"/>
      <c r="B374" s="231" t="n">
        <f aca="false">+DATE(YEAR(B373),MONTH(B373)+1,1)</f>
        <v>37865</v>
      </c>
      <c r="C374" s="230" t="n">
        <f aca="false">+C373*(1+(C$23/12))</f>
        <v>14932.9992960389</v>
      </c>
      <c r="D374" s="230" t="n">
        <f aca="false">+D373*(1+(D$23/12))</f>
        <v>10971.150095994</v>
      </c>
      <c r="E374" s="230"/>
      <c r="F374" s="230"/>
      <c r="G374" s="233"/>
      <c r="H374" s="233"/>
    </row>
    <row r="375" customFormat="false" ht="12.75" hidden="false" customHeight="false" outlineLevel="0" collapsed="false">
      <c r="A375" s="232"/>
      <c r="B375" s="231" t="n">
        <f aca="false">+DATE(YEAR(B374),MONTH(B374)+1,1)</f>
        <v>37895</v>
      </c>
      <c r="C375" s="230" t="n">
        <f aca="false">+C374*(1+(C$23/12))</f>
        <v>14964.1097112389</v>
      </c>
      <c r="D375" s="230" t="n">
        <f aca="false">+D374*(1+(D$23/12))</f>
        <v>10994.006658694</v>
      </c>
      <c r="E375" s="230"/>
      <c r="F375" s="230"/>
      <c r="G375" s="233"/>
      <c r="H375" s="233"/>
    </row>
    <row r="376" customFormat="false" ht="12.75" hidden="false" customHeight="false" outlineLevel="0" collapsed="false">
      <c r="A376" s="232"/>
      <c r="B376" s="231" t="n">
        <f aca="false">+DATE(YEAR(B375),MONTH(B375)+1,1)</f>
        <v>37926</v>
      </c>
      <c r="C376" s="230" t="n">
        <f aca="false">+C375*(1+(C$23/12))</f>
        <v>14995.284939804</v>
      </c>
      <c r="D376" s="230" t="n">
        <f aca="false">+D375*(1+(D$23/12))</f>
        <v>11016.9108392329</v>
      </c>
      <c r="E376" s="230"/>
      <c r="F376" s="230"/>
      <c r="G376" s="233"/>
      <c r="H376" s="233"/>
    </row>
    <row r="377" customFormat="false" ht="12.75" hidden="false" customHeight="false" outlineLevel="0" collapsed="false">
      <c r="A377" s="232"/>
      <c r="B377" s="231" t="n">
        <f aca="false">+DATE(YEAR(B376),MONTH(B376)+1,1)</f>
        <v>37956</v>
      </c>
      <c r="C377" s="230" t="n">
        <f aca="false">+C376*(1+(C$23/12))</f>
        <v>15026.5251167619</v>
      </c>
      <c r="D377" s="230" t="n">
        <f aca="false">+D376*(1+(D$23/12))</f>
        <v>11039.8627368147</v>
      </c>
      <c r="E377" s="230"/>
      <c r="F377" s="230"/>
      <c r="G377" s="233"/>
      <c r="H377" s="233"/>
    </row>
    <row r="378" customFormat="false" ht="12.75" hidden="false" customHeight="false" outlineLevel="0" collapsed="false">
      <c r="A378" s="232"/>
      <c r="B378" s="231" t="n">
        <f aca="false">+DATE(YEAR(B377),MONTH(B377)+1,1)</f>
        <v>37987</v>
      </c>
      <c r="C378" s="230" t="n">
        <f aca="false">+C377*(1+(C$23/12))</f>
        <v>15057.8303774219</v>
      </c>
      <c r="D378" s="230" t="n">
        <f aca="false">+D377*(1+(D$23/12))</f>
        <v>11062.8624508497</v>
      </c>
      <c r="E378" s="230"/>
      <c r="F378" s="230"/>
      <c r="G378" s="233"/>
      <c r="H378" s="233"/>
    </row>
    <row r="379" customFormat="false" ht="12.75" hidden="false" customHeight="false" outlineLevel="0" collapsed="false">
      <c r="A379" s="232"/>
      <c r="B379" s="231" t="n">
        <f aca="false">+DATE(YEAR(B378),MONTH(B378)+1,1)</f>
        <v>38018</v>
      </c>
      <c r="C379" s="230" t="n">
        <f aca="false">+C378*(1+(C$23/12))</f>
        <v>15089.2008573748</v>
      </c>
      <c r="D379" s="230" t="n">
        <f aca="false">+D378*(1+(D$23/12))</f>
        <v>11085.9100809556</v>
      </c>
      <c r="E379" s="230"/>
      <c r="F379" s="230"/>
      <c r="G379" s="233"/>
      <c r="H379" s="233"/>
    </row>
    <row r="380" customFormat="false" ht="12.75" hidden="false" customHeight="false" outlineLevel="0" collapsed="false">
      <c r="A380" s="232"/>
      <c r="B380" s="231" t="n">
        <f aca="false">+DATE(YEAR(B379),MONTH(B379)+1,1)</f>
        <v>38047</v>
      </c>
      <c r="C380" s="230" t="n">
        <f aca="false">+C379*(1+(C$23/12))</f>
        <v>15120.6366924944</v>
      </c>
      <c r="D380" s="230" t="n">
        <f aca="false">+D379*(1+(D$23/12))</f>
        <v>11109.0057269576</v>
      </c>
      <c r="E380" s="230"/>
      <c r="F380" s="230"/>
      <c r="G380" s="233"/>
      <c r="H380" s="233"/>
    </row>
    <row r="381" customFormat="false" ht="12.75" hidden="false" customHeight="false" outlineLevel="0" collapsed="false">
      <c r="A381" s="232"/>
      <c r="B381" s="231" t="n">
        <f aca="false">+DATE(YEAR(B380),MONTH(B380)+1,1)</f>
        <v>38078</v>
      </c>
      <c r="C381" s="230" t="n">
        <f aca="false">+C380*(1+(C$23/12))</f>
        <v>15152.1380189371</v>
      </c>
      <c r="D381" s="230" t="n">
        <f aca="false">+D380*(1+(D$23/12))</f>
        <v>11132.1494888888</v>
      </c>
      <c r="E381" s="230"/>
      <c r="F381" s="230"/>
      <c r="G381" s="233"/>
      <c r="H381" s="233"/>
    </row>
    <row r="382" customFormat="false" ht="12.75" hidden="false" customHeight="false" outlineLevel="0" collapsed="false">
      <c r="A382" s="232"/>
      <c r="B382" s="231" t="n">
        <f aca="false">+DATE(YEAR(B381),MONTH(B381)+1,1)</f>
        <v>38108</v>
      </c>
      <c r="C382" s="230" t="n">
        <f aca="false">+C381*(1+(C$23/12))</f>
        <v>15183.7049731432</v>
      </c>
      <c r="D382" s="230" t="n">
        <f aca="false">+D381*(1+(D$23/12))</f>
        <v>11155.3414669906</v>
      </c>
      <c r="E382" s="230"/>
      <c r="F382" s="230"/>
      <c r="G382" s="233"/>
      <c r="H382" s="233"/>
    </row>
    <row r="383" customFormat="false" ht="12.75" hidden="false" customHeight="false" outlineLevel="0" collapsed="false">
      <c r="A383" s="232"/>
      <c r="B383" s="231" t="n">
        <f aca="false">+DATE(YEAR(B382),MONTH(B382)+1,1)</f>
        <v>38139</v>
      </c>
      <c r="C383" s="230" t="n">
        <f aca="false">+C382*(1+(C$23/12))</f>
        <v>15215.3376918372</v>
      </c>
      <c r="D383" s="230" t="n">
        <f aca="false">+D382*(1+(D$23/12))</f>
        <v>11178.5817617135</v>
      </c>
      <c r="E383" s="230"/>
      <c r="F383" s="230"/>
      <c r="G383" s="233"/>
      <c r="H383" s="233"/>
    </row>
    <row r="384" customFormat="false" ht="12.75" hidden="false" customHeight="false" outlineLevel="0" collapsed="false">
      <c r="A384" s="232"/>
      <c r="B384" s="231" t="n">
        <f aca="false">+DATE(YEAR(B383),MONTH(B383)+1,1)</f>
        <v>38169</v>
      </c>
      <c r="C384" s="230" t="n">
        <f aca="false">+C383*(1+(C$23/12))</f>
        <v>15247.0363120286</v>
      </c>
      <c r="D384" s="230" t="n">
        <f aca="false">+D383*(1+(D$23/12))</f>
        <v>11201.8704737171</v>
      </c>
      <c r="E384" s="230"/>
      <c r="F384" s="230"/>
      <c r="G384" s="233"/>
      <c r="H384" s="233"/>
    </row>
    <row r="385" customFormat="false" ht="12.75" hidden="false" customHeight="false" outlineLevel="0" collapsed="false">
      <c r="A385" s="232"/>
      <c r="B385" s="231" t="n">
        <f aca="false">+DATE(YEAR(B384),MONTH(B384)+1,1)</f>
        <v>38200</v>
      </c>
      <c r="C385" s="230" t="n">
        <f aca="false">+C384*(1+(C$23/12))</f>
        <v>15278.800971012</v>
      </c>
      <c r="D385" s="230" t="n">
        <f aca="false">+D384*(1+(D$23/12))</f>
        <v>11225.2077038707</v>
      </c>
      <c r="E385" s="230"/>
      <c r="F385" s="230"/>
      <c r="G385" s="233"/>
      <c r="H385" s="233"/>
    </row>
    <row r="386" customFormat="false" ht="12.75" hidden="false" customHeight="false" outlineLevel="0" collapsed="false">
      <c r="A386" s="232"/>
      <c r="B386" s="231" t="n">
        <f aca="false">+DATE(YEAR(B385),MONTH(B385)+1,1)</f>
        <v>38231</v>
      </c>
      <c r="C386" s="230" t="n">
        <f aca="false">+C385*(1+(C$23/12))</f>
        <v>15310.6318063682</v>
      </c>
      <c r="D386" s="230" t="n">
        <f aca="false">+D385*(1+(D$23/12))</f>
        <v>11248.5935532538</v>
      </c>
      <c r="E386" s="230"/>
      <c r="F386" s="230"/>
      <c r="G386" s="233"/>
      <c r="H386" s="233"/>
    </row>
    <row r="387" customFormat="false" ht="12.75" hidden="false" customHeight="false" outlineLevel="0" collapsed="false">
      <c r="A387" s="232"/>
      <c r="B387" s="231" t="n">
        <f aca="false">+DATE(YEAR(B386),MONTH(B386)+1,1)</f>
        <v>38261</v>
      </c>
      <c r="C387" s="230" t="n">
        <f aca="false">+C386*(1+(C$23/12))</f>
        <v>15342.5289559648</v>
      </c>
      <c r="D387" s="230" t="n">
        <f aca="false">+D386*(1+(D$23/12))</f>
        <v>11272.0281231564</v>
      </c>
      <c r="E387" s="230"/>
      <c r="F387" s="230"/>
      <c r="G387" s="233"/>
      <c r="H387" s="233"/>
    </row>
    <row r="388" customFormat="false" ht="12.75" hidden="false" customHeight="false" outlineLevel="0" collapsed="false">
      <c r="A388" s="232"/>
      <c r="B388" s="231" t="n">
        <f aca="false">+DATE(YEAR(B387),MONTH(B387)+1,1)</f>
        <v>38292</v>
      </c>
      <c r="C388" s="230" t="n">
        <f aca="false">+C387*(1+(C$23/12))</f>
        <v>15374.4925579564</v>
      </c>
      <c r="D388" s="230" t="n">
        <f aca="false">+D387*(1+(D$23/12))</f>
        <v>11295.5115150796</v>
      </c>
      <c r="E388" s="230"/>
      <c r="F388" s="230"/>
      <c r="G388" s="233"/>
      <c r="H388" s="233"/>
    </row>
    <row r="389" customFormat="false" ht="12.75" hidden="false" customHeight="false" outlineLevel="0" collapsed="false">
      <c r="A389" s="232"/>
      <c r="B389" s="231" t="n">
        <f aca="false">+DATE(YEAR(B388),MONTH(B388)+1,1)</f>
        <v>38322</v>
      </c>
      <c r="C389" s="230" t="n">
        <f aca="false">+C388*(1+(C$23/12))</f>
        <v>15406.5227507855</v>
      </c>
      <c r="D389" s="230" t="n">
        <f aca="false">+D388*(1+(D$23/12))</f>
        <v>11319.043830736</v>
      </c>
      <c r="E389" s="230"/>
      <c r="F389" s="230"/>
      <c r="G389" s="233"/>
      <c r="H389" s="233"/>
    </row>
    <row r="390" customFormat="false" ht="12.75" hidden="false" customHeight="false" outlineLevel="0" collapsed="false">
      <c r="A390" s="232"/>
      <c r="B390" s="231" t="n">
        <f aca="false">+DATE(YEAR(B389),MONTH(B389)+1,1)</f>
        <v>38353</v>
      </c>
      <c r="C390" s="230" t="n">
        <f aca="false">+C389*(1+(C$23/12))</f>
        <v>15438.619673183</v>
      </c>
      <c r="D390" s="230" t="n">
        <f aca="false">+D389*(1+(D$23/12))</f>
        <v>11342.6251720501</v>
      </c>
      <c r="E390" s="230"/>
      <c r="F390" s="230"/>
      <c r="G390" s="233"/>
      <c r="H390" s="233"/>
    </row>
    <row r="391" customFormat="false" ht="12.75" hidden="false" customHeight="false" outlineLevel="0" collapsed="false">
      <c r="A391" s="234"/>
      <c r="B391" s="231" t="n">
        <f aca="false">+DATE(YEAR(B390),MONTH(B390)+1,1)</f>
        <v>38384</v>
      </c>
      <c r="C391" s="230" t="n">
        <f aca="false">+C390*(1+(C$23/12))</f>
        <v>15470.7834641688</v>
      </c>
      <c r="D391" s="230" t="n">
        <f aca="false">+D390*(1+(D$23/12))</f>
        <v>11366.2556411585</v>
      </c>
      <c r="E391" s="230"/>
      <c r="F391" s="230"/>
      <c r="G391" s="233"/>
      <c r="H391" s="233"/>
    </row>
    <row r="392" customFormat="false" ht="12.75" hidden="false" customHeight="false" outlineLevel="0" collapsed="false">
      <c r="A392" s="234"/>
      <c r="B392" s="231" t="n">
        <f aca="false">+DATE(YEAR(B391),MONTH(B391)+1,1)</f>
        <v>38412</v>
      </c>
      <c r="C392" s="230" t="n">
        <f aca="false">+C391*(1+(C$23/12))</f>
        <v>15503.0142630525</v>
      </c>
      <c r="D392" s="230" t="n">
        <f aca="false">+D391*(1+(D$23/12))</f>
        <v>11389.9353404109</v>
      </c>
      <c r="E392" s="230"/>
      <c r="F392" s="230"/>
      <c r="G392" s="233"/>
      <c r="H392" s="233"/>
    </row>
    <row r="393" customFormat="false" ht="12.75" hidden="false" customHeight="false" outlineLevel="0" collapsed="false">
      <c r="A393" s="234"/>
      <c r="B393" s="231" t="n">
        <f aca="false">+DATE(YEAR(B392),MONTH(B392)+1,1)</f>
        <v>38443</v>
      </c>
      <c r="C393" s="230" t="n">
        <f aca="false">+C392*(1+(C$23/12))</f>
        <v>15535.3122094338</v>
      </c>
      <c r="D393" s="230" t="n">
        <f aca="false">+D392*(1+(D$23/12))</f>
        <v>11413.6643723701</v>
      </c>
      <c r="E393" s="230"/>
      <c r="F393" s="230"/>
      <c r="G393" s="233"/>
      <c r="H393" s="233"/>
    </row>
    <row r="394" customFormat="false" ht="12.75" hidden="false" customHeight="false" outlineLevel="0" collapsed="false">
      <c r="A394" s="234"/>
      <c r="B394" s="231" t="n">
        <f aca="false">+DATE(YEAR(B393),MONTH(B393)+1,1)</f>
        <v>38473</v>
      </c>
      <c r="C394" s="230" t="n">
        <f aca="false">+C393*(1+(C$23/12))</f>
        <v>15567.6774432035</v>
      </c>
      <c r="D394" s="230" t="n">
        <f aca="false">+D393*(1+(D$23/12))</f>
        <v>11437.4428398126</v>
      </c>
      <c r="E394" s="230"/>
      <c r="F394" s="230"/>
      <c r="G394" s="233"/>
      <c r="H394" s="233"/>
    </row>
    <row r="395" customFormat="false" ht="12.75" hidden="false" customHeight="false" outlineLevel="0" collapsed="false">
      <c r="A395" s="234"/>
      <c r="B395" s="231" t="n">
        <f aca="false">+DATE(YEAR(B394),MONTH(B394)+1,1)</f>
        <v>38504</v>
      </c>
      <c r="C395" s="230" t="n">
        <f aca="false">+C394*(1+(C$23/12))</f>
        <v>15600.1101045435</v>
      </c>
      <c r="D395" s="230" t="n">
        <f aca="false">+D394*(1+(D$23/12))</f>
        <v>11461.2708457288</v>
      </c>
      <c r="E395" s="230"/>
      <c r="F395" s="230"/>
      <c r="G395" s="233"/>
      <c r="H395" s="233"/>
    </row>
    <row r="396" customFormat="false" ht="12.75" hidden="false" customHeight="false" outlineLevel="0" collapsed="false">
      <c r="A396" s="234"/>
      <c r="B396" s="231" t="n">
        <f aca="false">+DATE(YEAR(B395),MONTH(B395)+1,1)</f>
        <v>38534</v>
      </c>
      <c r="C396" s="230" t="n">
        <f aca="false">+C395*(1+(C$23/12))</f>
        <v>15632.610333928</v>
      </c>
      <c r="D396" s="230" t="n">
        <f aca="false">+D395*(1+(D$23/12))</f>
        <v>11485.1484933241</v>
      </c>
      <c r="E396" s="230"/>
      <c r="F396" s="230"/>
      <c r="G396" s="233"/>
      <c r="H396" s="233"/>
    </row>
    <row r="397" customFormat="false" ht="12.75" hidden="false" customHeight="false" outlineLevel="0" collapsed="false">
      <c r="A397" s="234"/>
      <c r="B397" s="231" t="n">
        <f aca="false">+DATE(YEAR(B396),MONTH(B396)+1,1)</f>
        <v>38565</v>
      </c>
      <c r="C397" s="230" t="n">
        <f aca="false">+C396*(1+(C$23/12))</f>
        <v>15665.1782721236</v>
      </c>
      <c r="D397" s="230" t="n">
        <f aca="false">+D396*(1+(D$23/12))</f>
        <v>11509.0758860185</v>
      </c>
      <c r="E397" s="230"/>
      <c r="F397" s="230"/>
      <c r="G397" s="233"/>
      <c r="H397" s="233"/>
    </row>
    <row r="398" customFormat="false" ht="12.75" hidden="false" customHeight="false" outlineLevel="0" collapsed="false">
      <c r="A398" s="234"/>
      <c r="B398" s="231" t="n">
        <f aca="false">+DATE(YEAR(B397),MONTH(B397)+1,1)</f>
        <v>38596</v>
      </c>
      <c r="C398" s="230" t="n">
        <f aca="false">+C397*(1+(C$23/12))</f>
        <v>15697.8140601906</v>
      </c>
      <c r="D398" s="230" t="n">
        <f aca="false">+D397*(1+(D$23/12))</f>
        <v>11533.0531274477</v>
      </c>
      <c r="E398" s="230"/>
      <c r="F398" s="230"/>
      <c r="G398" s="233"/>
      <c r="H398" s="233"/>
    </row>
    <row r="399" customFormat="false" ht="12.75" hidden="false" customHeight="false" outlineLevel="0" collapsed="false">
      <c r="A399" s="234"/>
      <c r="B399" s="231" t="n">
        <f aca="false">+DATE(YEAR(B398),MONTH(B398)+1,1)</f>
        <v>38626</v>
      </c>
      <c r="C399" s="230" t="n">
        <f aca="false">+C398*(1+(C$23/12))</f>
        <v>15730.5178394826</v>
      </c>
      <c r="D399" s="230" t="n">
        <f aca="false">+D398*(1+(D$23/12))</f>
        <v>11557.0803214632</v>
      </c>
      <c r="E399" s="230"/>
      <c r="F399" s="230"/>
      <c r="G399" s="233"/>
      <c r="H399" s="233"/>
    </row>
    <row r="400" customFormat="false" ht="12.75" hidden="false" customHeight="false" outlineLevel="0" collapsed="false">
      <c r="A400" s="234"/>
      <c r="B400" s="231" t="n">
        <f aca="false">+DATE(YEAR(B399),MONTH(B399)+1,1)</f>
        <v>38657</v>
      </c>
      <c r="C400" s="230" t="n">
        <f aca="false">+C399*(1+(C$23/12))</f>
        <v>15763.2897516482</v>
      </c>
      <c r="D400" s="230" t="n">
        <f aca="false">+D399*(1+(D$23/12))</f>
        <v>11581.157572133</v>
      </c>
      <c r="E400" s="230"/>
      <c r="F400" s="230"/>
      <c r="G400" s="233"/>
      <c r="H400" s="233"/>
    </row>
    <row r="401" customFormat="false" ht="12.75" hidden="false" customHeight="false" outlineLevel="0" collapsed="false">
      <c r="A401" s="234"/>
      <c r="B401" s="231" t="n">
        <f aca="false">+DATE(YEAR(B400),MONTH(B400)+1,1)</f>
        <v>38687</v>
      </c>
      <c r="C401" s="230" t="n">
        <f aca="false">+C400*(1+(C$23/12))</f>
        <v>15796.1299386308</v>
      </c>
      <c r="D401" s="230" t="n">
        <f aca="false">+D400*(1+(D$23/12))</f>
        <v>11605.2849837416</v>
      </c>
      <c r="E401" s="230"/>
      <c r="F401" s="230"/>
      <c r="G401" s="233"/>
      <c r="H401" s="233"/>
    </row>
    <row r="402" customFormat="false" ht="12.75" hidden="false" customHeight="false" outlineLevel="0" collapsed="false">
      <c r="A402" s="234"/>
      <c r="B402" s="231" t="n">
        <f aca="false">+DATE(YEAR(B401),MONTH(B401)+1,1)</f>
        <v>38718</v>
      </c>
      <c r="C402" s="230" t="n">
        <f aca="false">+C401*(1+(C$23/12))</f>
        <v>15829.0385426696</v>
      </c>
      <c r="D402" s="230" t="n">
        <f aca="false">+D401*(1+(D$23/12))</f>
        <v>11629.462660791</v>
      </c>
      <c r="E402" s="230"/>
      <c r="F402" s="230"/>
      <c r="G402" s="233"/>
      <c r="H402" s="233"/>
    </row>
    <row r="403" customFormat="false" ht="12.75" hidden="false" customHeight="false" outlineLevel="0" collapsed="false">
      <c r="A403" s="234"/>
      <c r="B403" s="231" t="n">
        <f aca="false">+DATE(YEAR(B402),MONTH(B402)+1,1)</f>
        <v>38749</v>
      </c>
      <c r="C403" s="230" t="n">
        <f aca="false">+C402*(1+(C$23/12))</f>
        <v>15862.0157063002</v>
      </c>
      <c r="D403" s="230" t="n">
        <f aca="false">+D402*(1+(D$23/12))</f>
        <v>11653.690708001</v>
      </c>
      <c r="E403" s="230"/>
      <c r="F403" s="230"/>
      <c r="G403" s="233"/>
      <c r="H403" s="233"/>
    </row>
    <row r="404" customFormat="false" ht="12.75" hidden="false" customHeight="false" outlineLevel="0" collapsed="false">
      <c r="A404" s="234"/>
      <c r="B404" s="231" t="n">
        <f aca="false">+DATE(YEAR(B403),MONTH(B403)+1,1)</f>
        <v>38777</v>
      </c>
      <c r="C404" s="230" t="n">
        <f aca="false">+C403*(1+(C$23/12))</f>
        <v>15895.061572355</v>
      </c>
      <c r="D404" s="230" t="n">
        <f aca="false">+D403*(1+(D$23/12))</f>
        <v>11677.9692303094</v>
      </c>
      <c r="E404" s="230"/>
      <c r="F404" s="230"/>
      <c r="G404" s="233"/>
      <c r="H404" s="233"/>
    </row>
    <row r="405" customFormat="false" ht="12.75" hidden="false" customHeight="false" outlineLevel="0" collapsed="false">
      <c r="A405" s="234"/>
      <c r="B405" s="231" t="n">
        <f aca="false">+DATE(YEAR(B404),MONTH(B404)+1,1)</f>
        <v>38808</v>
      </c>
      <c r="C405" s="230" t="n">
        <f aca="false">+C404*(1+(C$23/12))</f>
        <v>15928.1762839641</v>
      </c>
      <c r="D405" s="230" t="n">
        <f aca="false">+D404*(1+(D$23/12))</f>
        <v>11702.2983328725</v>
      </c>
      <c r="E405" s="230"/>
      <c r="F405" s="230"/>
      <c r="G405" s="233"/>
      <c r="H405" s="233"/>
    </row>
    <row r="406" customFormat="false" ht="12.75" hidden="false" customHeight="false" outlineLevel="0" collapsed="false">
      <c r="A406" s="234"/>
      <c r="B406" s="231" t="n">
        <f aca="false">+DATE(YEAR(B405),MONTH(B405)+1,1)</f>
        <v>38838</v>
      </c>
      <c r="C406" s="230" t="n">
        <f aca="false">+C405*(1+(C$23/12))</f>
        <v>15961.3599845557</v>
      </c>
      <c r="D406" s="230" t="n">
        <f aca="false">+D405*(1+(D$23/12))</f>
        <v>11726.678121066</v>
      </c>
      <c r="E406" s="230"/>
      <c r="F406" s="230"/>
      <c r="G406" s="233"/>
      <c r="H406" s="233"/>
    </row>
    <row r="407" customFormat="false" ht="12.75" hidden="false" customHeight="false" outlineLevel="0" collapsed="false">
      <c r="A407" s="234"/>
      <c r="B407" s="231" t="n">
        <f aca="false">+DATE(YEAR(B406),MONTH(B406)+1,1)</f>
        <v>38869</v>
      </c>
      <c r="C407" s="230" t="n">
        <f aca="false">+C406*(1+(C$23/12))</f>
        <v>15994.6128178568</v>
      </c>
      <c r="D407" s="230" t="n">
        <f aca="false">+D406*(1+(D$23/12))</f>
        <v>11751.1087004849</v>
      </c>
      <c r="E407" s="230"/>
      <c r="F407" s="230"/>
      <c r="G407" s="233"/>
      <c r="H407" s="233"/>
    </row>
    <row r="408" customFormat="false" ht="12.75" hidden="false" customHeight="false" outlineLevel="0" collapsed="false">
      <c r="A408" s="234"/>
      <c r="B408" s="231" t="n">
        <f aca="false">+DATE(YEAR(B407),MONTH(B407)+1,1)</f>
        <v>38899</v>
      </c>
      <c r="C408" s="230" t="n">
        <f aca="false">+C407*(1+(C$23/12))</f>
        <v>16027.934927894</v>
      </c>
      <c r="D408" s="230" t="n">
        <f aca="false">+D407*(1+(D$23/12))</f>
        <v>11775.5901769442</v>
      </c>
      <c r="E408" s="230"/>
      <c r="F408" s="230"/>
      <c r="G408" s="233"/>
      <c r="H408" s="233"/>
    </row>
    <row r="409" customFormat="false" ht="12.75" hidden="false" customHeight="false" outlineLevel="0" collapsed="false">
      <c r="A409" s="234"/>
      <c r="B409" s="231" t="n">
        <f aca="false">+DATE(YEAR(B408),MONTH(B408)+1,1)</f>
        <v>38930</v>
      </c>
      <c r="C409" s="230" t="n">
        <f aca="false">+C408*(1+(C$23/12))</f>
        <v>16061.3264589938</v>
      </c>
      <c r="D409" s="230" t="n">
        <f aca="false">+D408*(1+(D$23/12))</f>
        <v>11800.1226564795</v>
      </c>
      <c r="E409" s="230"/>
      <c r="F409" s="230"/>
      <c r="G409" s="233"/>
      <c r="H409" s="233"/>
    </row>
    <row r="410" customFormat="false" ht="12.75" hidden="false" customHeight="false" outlineLevel="0" collapsed="false">
      <c r="A410" s="234"/>
      <c r="B410" s="231" t="n">
        <f aca="false">+DATE(YEAR(B409),MONTH(B409)+1,1)</f>
        <v>38961</v>
      </c>
      <c r="C410" s="230" t="n">
        <f aca="false">+C409*(1+(C$23/12))</f>
        <v>16094.7875557834</v>
      </c>
      <c r="D410" s="230" t="n">
        <f aca="false">+D409*(1+(D$23/12))</f>
        <v>11824.7062453472</v>
      </c>
      <c r="E410" s="230"/>
      <c r="F410" s="230"/>
      <c r="G410" s="233"/>
      <c r="H410" s="233"/>
    </row>
    <row r="411" customFormat="false" ht="12.75" hidden="false" customHeight="false" outlineLevel="0" collapsed="false">
      <c r="A411" s="234"/>
      <c r="B411" s="231" t="n">
        <f aca="false">+DATE(YEAR(B410),MONTH(B410)+1,1)</f>
        <v>38991</v>
      </c>
      <c r="C411" s="230" t="n">
        <f aca="false">+C410*(1+(C$23/12))</f>
        <v>16128.3183631913</v>
      </c>
      <c r="D411" s="230" t="n">
        <f aca="false">+D410*(1+(D$23/12))</f>
        <v>11849.341050025</v>
      </c>
      <c r="E411" s="230"/>
      <c r="F411" s="230"/>
      <c r="G411" s="233"/>
      <c r="H411" s="233"/>
    </row>
    <row r="412" customFormat="false" ht="12.75" hidden="false" customHeight="false" outlineLevel="0" collapsed="false">
      <c r="A412" s="234"/>
      <c r="B412" s="231" t="n">
        <f aca="false">+DATE(YEAR(B411),MONTH(B411)+1,1)</f>
        <v>39022</v>
      </c>
      <c r="C412" s="230" t="n">
        <f aca="false">+C411*(1+(C$23/12))</f>
        <v>16161.9190264479</v>
      </c>
      <c r="D412" s="230" t="n">
        <f aca="false">+D411*(1+(D$23/12))</f>
        <v>11874.0271772126</v>
      </c>
      <c r="E412" s="230"/>
      <c r="F412" s="230"/>
      <c r="G412" s="233"/>
      <c r="H412" s="233"/>
    </row>
    <row r="413" customFormat="false" ht="12.75" hidden="false" customHeight="false" outlineLevel="0" collapsed="false">
      <c r="A413" s="234"/>
      <c r="B413" s="231" t="n">
        <f aca="false">+DATE(YEAR(B412),MONTH(B412)+1,1)</f>
        <v>39052</v>
      </c>
      <c r="C413" s="230" t="n">
        <f aca="false">+C412*(1+(C$23/12))</f>
        <v>16195.5896910864</v>
      </c>
      <c r="D413" s="230" t="n">
        <f aca="false">+D412*(1+(D$23/12))</f>
        <v>11898.7647338317</v>
      </c>
      <c r="E413" s="230"/>
      <c r="F413" s="230"/>
      <c r="G413" s="233"/>
      <c r="H413" s="233"/>
    </row>
    <row r="414" customFormat="false" ht="12.75" hidden="false" customHeight="false" outlineLevel="0" collapsed="false">
      <c r="A414" s="234"/>
      <c r="B414" s="231" t="n">
        <f aca="false">+DATE(YEAR(B413),MONTH(B413)+1,1)</f>
        <v>39083</v>
      </c>
      <c r="C414" s="230" t="n">
        <f aca="false">+C413*(1+(C$23/12))</f>
        <v>16229.3305029428</v>
      </c>
      <c r="D414" s="230" t="n">
        <f aca="false">+D413*(1+(D$23/12))</f>
        <v>11923.5538270272</v>
      </c>
      <c r="E414" s="230"/>
      <c r="F414" s="230"/>
      <c r="G414" s="233"/>
      <c r="H414" s="233"/>
    </row>
    <row r="415" customFormat="false" ht="12.75" hidden="false" customHeight="false" outlineLevel="0" collapsed="false">
      <c r="A415" s="234"/>
      <c r="B415" s="231" t="n">
        <f aca="false">+DATE(YEAR(B414),MONTH(B414)+1,1)</f>
        <v>39114</v>
      </c>
      <c r="C415" s="230" t="n">
        <f aca="false">+C414*(1+(C$23/12))</f>
        <v>16263.1416081573</v>
      </c>
      <c r="D415" s="230" t="n">
        <f aca="false">+D414*(1+(D$23/12))</f>
        <v>11948.3945641669</v>
      </c>
      <c r="E415" s="230"/>
      <c r="F415" s="230"/>
      <c r="G415" s="233"/>
      <c r="H415" s="233"/>
    </row>
    <row r="416" customFormat="false" ht="12.75" hidden="false" customHeight="false" outlineLevel="0" collapsed="false">
      <c r="A416" s="234"/>
      <c r="B416" s="231" t="n">
        <f aca="false">+DATE(YEAR(B415),MONTH(B415)+1,1)</f>
        <v>39142</v>
      </c>
      <c r="C416" s="230" t="n">
        <f aca="false">+C415*(1+(C$23/12))</f>
        <v>16297.0231531742</v>
      </c>
      <c r="D416" s="230" t="n">
        <f aca="false">+D415*(1+(D$23/12))</f>
        <v>11973.2870528422</v>
      </c>
      <c r="E416" s="230"/>
      <c r="F416" s="230"/>
      <c r="G416" s="233"/>
      <c r="H416" s="233"/>
    </row>
    <row r="417" customFormat="false" ht="12.75" hidden="false" customHeight="false" outlineLevel="0" collapsed="false">
      <c r="A417" s="234"/>
      <c r="B417" s="231" t="n">
        <f aca="false">+DATE(YEAR(B416),MONTH(B416)+1,1)</f>
        <v>39173</v>
      </c>
      <c r="C417" s="230" t="n">
        <f aca="false">+C416*(1+(C$23/12))</f>
        <v>16330.9752847434</v>
      </c>
      <c r="D417" s="230" t="n">
        <f aca="false">+D416*(1+(D$23/12))</f>
        <v>11998.231400869</v>
      </c>
      <c r="E417" s="230"/>
      <c r="F417" s="230"/>
      <c r="G417" s="233"/>
      <c r="H417" s="233"/>
    </row>
    <row r="418" customFormat="false" ht="12.75" hidden="false" customHeight="false" outlineLevel="0" collapsed="false">
      <c r="A418" s="234"/>
      <c r="B418" s="231" t="n">
        <f aca="false">+DATE(YEAR(B417),MONTH(B417)+1,1)</f>
        <v>39203</v>
      </c>
      <c r="C418" s="230" t="n">
        <f aca="false">+C417*(1+(C$23/12))</f>
        <v>16364.9981499199</v>
      </c>
      <c r="D418" s="230" t="n">
        <f aca="false">+D417*(1+(D$23/12))</f>
        <v>12023.2277162875</v>
      </c>
      <c r="E418" s="230"/>
      <c r="F418" s="230"/>
      <c r="G418" s="233"/>
      <c r="H418" s="233"/>
    </row>
    <row r="419" customFormat="false" ht="12.75" hidden="false" customHeight="false" outlineLevel="0" collapsed="false">
      <c r="A419" s="234"/>
      <c r="B419" s="231" t="n">
        <f aca="false">+DATE(YEAR(B418),MONTH(B418)+1,1)</f>
        <v>39234</v>
      </c>
      <c r="C419" s="230" t="n">
        <f aca="false">+C418*(1+(C$23/12))</f>
        <v>16399.0918960656</v>
      </c>
      <c r="D419" s="230" t="n">
        <f aca="false">+D418*(1+(D$23/12))</f>
        <v>12048.2761073631</v>
      </c>
      <c r="E419" s="230"/>
      <c r="F419" s="230"/>
      <c r="G419" s="233"/>
      <c r="H419" s="233"/>
    </row>
    <row r="420" customFormat="false" ht="12.75" hidden="false" customHeight="false" outlineLevel="0" collapsed="false">
      <c r="A420" s="234"/>
      <c r="B420" s="231" t="n">
        <f aca="false">+DATE(YEAR(B419),MONTH(B419)+1,1)</f>
        <v>39264</v>
      </c>
      <c r="C420" s="230" t="n">
        <f aca="false">+C419*(1+(C$23/12))</f>
        <v>16433.2566708491</v>
      </c>
      <c r="D420" s="230" t="n">
        <f aca="false">+D419*(1+(D$23/12))</f>
        <v>12073.3766825867</v>
      </c>
      <c r="E420" s="230"/>
      <c r="F420" s="230"/>
      <c r="G420" s="233"/>
      <c r="H420" s="233"/>
    </row>
    <row r="421" customFormat="false" ht="12.75" hidden="false" customHeight="false" outlineLevel="0" collapsed="false">
      <c r="A421" s="234"/>
      <c r="B421" s="231" t="n">
        <f aca="false">+DATE(YEAR(B420),MONTH(B420)+1,1)</f>
        <v>39295</v>
      </c>
      <c r="C421" s="230" t="n">
        <f aca="false">+C420*(1+(C$23/12))</f>
        <v>16467.4926222467</v>
      </c>
      <c r="D421" s="230" t="n">
        <f aca="false">+D420*(1+(D$23/12))</f>
        <v>12098.5295506755</v>
      </c>
      <c r="E421" s="230"/>
      <c r="F421" s="230"/>
      <c r="G421" s="233"/>
      <c r="H421" s="233"/>
    </row>
    <row r="422" customFormat="false" ht="12.75" hidden="false" customHeight="false" outlineLevel="0" collapsed="false">
      <c r="A422" s="234"/>
      <c r="B422" s="231" t="n">
        <f aca="false">+DATE(YEAR(B421),MONTH(B421)+1,1)</f>
        <v>39326</v>
      </c>
      <c r="C422" s="230" t="n">
        <f aca="false">+C421*(1+(C$23/12))</f>
        <v>16501.799898543</v>
      </c>
      <c r="D422" s="230" t="n">
        <f aca="false">+D421*(1+(D$23/12))</f>
        <v>12123.7348205727</v>
      </c>
      <c r="E422" s="230"/>
      <c r="F422" s="230"/>
      <c r="G422" s="233"/>
      <c r="H422" s="233"/>
    </row>
    <row r="423" customFormat="false" ht="12.75" hidden="false" customHeight="false" outlineLevel="0" collapsed="false">
      <c r="A423" s="234"/>
      <c r="B423" s="231" t="n">
        <f aca="false">+DATE(YEAR(B422),MONTH(B422)+1,1)</f>
        <v>39356</v>
      </c>
      <c r="C423" s="230" t="n">
        <f aca="false">+C422*(1+(C$23/12))</f>
        <v>16536.1786483316</v>
      </c>
      <c r="D423" s="230" t="n">
        <f aca="false">+D422*(1+(D$23/12))</f>
        <v>12148.9926014489</v>
      </c>
      <c r="E423" s="230"/>
      <c r="F423" s="230"/>
      <c r="G423" s="233"/>
      <c r="H423" s="233"/>
    </row>
    <row r="424" customFormat="false" ht="12.75" hidden="false" customHeight="false" outlineLevel="0" collapsed="false">
      <c r="A424" s="234"/>
      <c r="B424" s="231" t="n">
        <f aca="false">+DATE(YEAR(B423),MONTH(B423)+1,1)</f>
        <v>39387</v>
      </c>
      <c r="C424" s="230" t="n">
        <f aca="false">+C423*(1+(C$23/12))</f>
        <v>16570.6290205157</v>
      </c>
      <c r="D424" s="230" t="n">
        <f aca="false">+D423*(1+(D$23/12))</f>
        <v>12174.3030027019</v>
      </c>
      <c r="E424" s="230"/>
      <c r="F424" s="230"/>
      <c r="G424" s="233"/>
      <c r="H424" s="233"/>
    </row>
    <row r="425" customFormat="false" ht="12.75" hidden="false" customHeight="false" outlineLevel="0" collapsed="false">
      <c r="A425" s="234"/>
      <c r="B425" s="231" t="n">
        <f aca="false">+DATE(YEAR(B424),MONTH(B424)+1,1)</f>
        <v>39417</v>
      </c>
      <c r="C425" s="230" t="n">
        <f aca="false">+C424*(1+(C$23/12))</f>
        <v>16605.1511643084</v>
      </c>
      <c r="D425" s="230" t="n">
        <f aca="false">+D424*(1+(D$23/12))</f>
        <v>12199.6661339575</v>
      </c>
      <c r="E425" s="230"/>
      <c r="F425" s="230"/>
      <c r="G425" s="233"/>
      <c r="H425" s="233"/>
    </row>
    <row r="426" customFormat="false" ht="12.75" hidden="false" customHeight="false" outlineLevel="0" collapsed="false">
      <c r="A426" s="234"/>
      <c r="B426" s="231" t="n">
        <f aca="false">+DATE(YEAR(B425),MONTH(B425)+1,1)</f>
        <v>39448</v>
      </c>
      <c r="C426" s="230" t="n">
        <f aca="false">+C425*(1+(C$23/12))</f>
        <v>16639.7452292341</v>
      </c>
      <c r="D426" s="230" t="n">
        <f aca="false">+D425*(1+(D$23/12))</f>
        <v>12225.08210507</v>
      </c>
      <c r="E426" s="230"/>
      <c r="F426" s="230"/>
      <c r="G426" s="233"/>
      <c r="H426" s="233"/>
    </row>
    <row r="427" customFormat="false" ht="12.75" hidden="false" customHeight="false" outlineLevel="0" collapsed="false">
      <c r="A427" s="234"/>
      <c r="B427" s="231" t="n">
        <f aca="false">+DATE(YEAR(B426),MONTH(B426)+1,1)</f>
        <v>39479</v>
      </c>
      <c r="C427" s="230" t="n">
        <f aca="false">+C426*(1+(C$23/12))</f>
        <v>16674.4113651283</v>
      </c>
      <c r="D427" s="230" t="n">
        <f aca="false">+D426*(1+(D$23/12))</f>
        <v>12250.5510261222</v>
      </c>
      <c r="E427" s="230"/>
      <c r="F427" s="230"/>
      <c r="G427" s="233"/>
      <c r="H427" s="233"/>
    </row>
    <row r="428" customFormat="false" ht="12.75" hidden="false" customHeight="false" outlineLevel="0" collapsed="false">
      <c r="A428" s="234"/>
      <c r="B428" s="231" t="n">
        <f aca="false">+DATE(YEAR(B427),MONTH(B427)+1,1)</f>
        <v>39508</v>
      </c>
      <c r="C428" s="230" t="n">
        <f aca="false">+C427*(1+(C$23/12))</f>
        <v>16709.149722139</v>
      </c>
      <c r="D428" s="230" t="n">
        <f aca="false">+D427*(1+(D$23/12))</f>
        <v>12276.0730074266</v>
      </c>
      <c r="E428" s="230"/>
      <c r="F428" s="230"/>
      <c r="G428" s="233"/>
      <c r="H428" s="233"/>
    </row>
    <row r="429" customFormat="false" ht="12.75" hidden="false" customHeight="false" outlineLevel="0" collapsed="false">
      <c r="A429" s="234"/>
      <c r="B429" s="231" t="n">
        <f aca="false">+DATE(YEAR(B428),MONTH(B428)+1,1)</f>
        <v>39539</v>
      </c>
      <c r="C429" s="230" t="n">
        <f aca="false">+C428*(1+(C$23/12))</f>
        <v>16743.9604507268</v>
      </c>
      <c r="D429" s="230" t="n">
        <f aca="false">+D428*(1+(D$23/12))</f>
        <v>12301.6481595254</v>
      </c>
      <c r="E429" s="230"/>
      <c r="F429" s="230"/>
      <c r="G429" s="241"/>
      <c r="H429" s="233"/>
    </row>
    <row r="430" customFormat="false" ht="12.75" hidden="false" customHeight="false" outlineLevel="0" collapsed="false">
      <c r="A430" s="234"/>
      <c r="B430" s="231" t="n">
        <f aca="false">+DATE(YEAR(B429),MONTH(B429)+1,1)</f>
        <v>39569</v>
      </c>
      <c r="C430" s="230" t="n">
        <f aca="false">+C429*(1+(C$23/12))</f>
        <v>16778.8437016658</v>
      </c>
      <c r="D430" s="230" t="n">
        <f aca="false">+D429*(1+(D$23/12))</f>
        <v>12327.2765931911</v>
      </c>
      <c r="E430" s="230"/>
      <c r="F430" s="230"/>
      <c r="G430" s="233"/>
      <c r="H430" s="233"/>
    </row>
    <row r="431" customFormat="false" ht="12.75" hidden="false" customHeight="false" outlineLevel="0" collapsed="false">
      <c r="A431" s="234"/>
      <c r="B431" s="231" t="n">
        <f aca="false">+DATE(YEAR(B430),MONTH(B430)+1,1)</f>
        <v>39600</v>
      </c>
      <c r="C431" s="230" t="n">
        <f aca="false">+C430*(1+(C$23/12))</f>
        <v>16813.7996260443</v>
      </c>
      <c r="D431" s="230" t="n">
        <f aca="false">+D430*(1+(D$23/12))</f>
        <v>12352.9584194269</v>
      </c>
      <c r="E431" s="230"/>
      <c r="F431" s="230"/>
      <c r="G431" s="233"/>
      <c r="H431" s="233"/>
    </row>
    <row r="432" customFormat="false" ht="12.75" hidden="false" customHeight="false" outlineLevel="0" collapsed="false">
      <c r="A432" s="234"/>
      <c r="B432" s="231" t="n">
        <f aca="false">+DATE(YEAR(B431),MONTH(B431)+1,1)</f>
        <v>39630</v>
      </c>
      <c r="C432" s="230" t="n">
        <f aca="false">+C431*(1+(C$23/12))</f>
        <v>16848.8283752652</v>
      </c>
      <c r="D432" s="230" t="n">
        <f aca="false">+D431*(1+(D$23/12))</f>
        <v>12378.6937494674</v>
      </c>
      <c r="E432" s="230"/>
      <c r="F432" s="230"/>
      <c r="G432" s="233"/>
      <c r="H432" s="233"/>
    </row>
    <row r="433" customFormat="false" ht="12.75" hidden="false" customHeight="false" outlineLevel="0" collapsed="false">
      <c r="A433" s="234"/>
      <c r="B433" s="231" t="n">
        <f aca="false">+DATE(YEAR(B432),MONTH(B432)+1,1)</f>
        <v>39661</v>
      </c>
      <c r="C433" s="230" t="n">
        <f aca="false">+C432*(1+(C$23/12))</f>
        <v>16883.930101047</v>
      </c>
      <c r="D433" s="230" t="n">
        <f aca="false">+D432*(1+(D$23/12))</f>
        <v>12404.4826947788</v>
      </c>
      <c r="E433" s="230"/>
      <c r="F433" s="230"/>
      <c r="G433" s="233"/>
      <c r="H433" s="233"/>
    </row>
    <row r="434" customFormat="false" ht="12.75" hidden="false" customHeight="false" outlineLevel="0" collapsed="false">
      <c r="A434" s="234"/>
      <c r="B434" s="231" t="n">
        <f aca="false">+DATE(YEAR(B433),MONTH(B433)+1,1)</f>
        <v>39692</v>
      </c>
      <c r="C434" s="230" t="n">
        <f aca="false">+C433*(1+(C$23/12))</f>
        <v>16919.1049554242</v>
      </c>
      <c r="D434" s="230" t="n">
        <f aca="false">+D433*(1+(D$23/12))</f>
        <v>12430.3253670596</v>
      </c>
      <c r="E434" s="230"/>
      <c r="F434" s="230"/>
      <c r="G434" s="233"/>
      <c r="H434" s="233"/>
    </row>
    <row r="435" customFormat="false" ht="12.75" hidden="false" customHeight="false" outlineLevel="0" collapsed="false">
      <c r="A435" s="234"/>
      <c r="B435" s="231" t="n">
        <f aca="false">+DATE(YEAR(B434),MONTH(B434)+1,1)</f>
        <v>39722</v>
      </c>
      <c r="C435" s="230" t="n">
        <f aca="false">+C434*(1+(C$23/12))</f>
        <v>16954.353090748</v>
      </c>
      <c r="D435" s="230" t="n">
        <f aca="false">+D434*(1+(D$23/12))</f>
        <v>12456.2218782409</v>
      </c>
      <c r="E435" s="230"/>
      <c r="F435" s="230"/>
      <c r="G435" s="233"/>
      <c r="H435" s="233"/>
    </row>
    <row r="436" customFormat="false" ht="12.75" hidden="false" customHeight="false" outlineLevel="0" collapsed="false">
      <c r="A436" s="234"/>
      <c r="B436" s="231" t="n">
        <f aca="false">+DATE(YEAR(B435),MONTH(B435)+1,1)</f>
        <v>39753</v>
      </c>
      <c r="C436" s="230" t="n">
        <f aca="false">+C435*(1+(C$23/12))</f>
        <v>16989.674659687</v>
      </c>
      <c r="D436" s="230" t="n">
        <f aca="false">+D435*(1+(D$23/12))</f>
        <v>12482.1723404873</v>
      </c>
      <c r="E436" s="230"/>
      <c r="F436" s="230"/>
      <c r="G436" s="233"/>
      <c r="H436" s="233"/>
    </row>
    <row r="437" customFormat="false" ht="12.75" hidden="false" customHeight="false" outlineLevel="0" collapsed="false">
      <c r="A437" s="234"/>
      <c r="B437" s="231" t="n">
        <f aca="false">+DATE(YEAR(B436),MONTH(B436)+1,1)</f>
        <v>39783</v>
      </c>
      <c r="C437" s="230" t="n">
        <f aca="false">+C436*(1+(C$23/12))</f>
        <v>17025.0698152281</v>
      </c>
      <c r="D437" s="230" t="n">
        <f aca="false">+D436*(1+(D$23/12))</f>
        <v>12508.1768661966</v>
      </c>
      <c r="E437" s="230"/>
      <c r="F437" s="230"/>
      <c r="G437" s="233"/>
      <c r="H437" s="233"/>
    </row>
    <row r="438" customFormat="false" ht="12.75" hidden="false" customHeight="false" outlineLevel="0" collapsed="false">
      <c r="A438" s="234"/>
      <c r="B438" s="231" t="n">
        <f aca="false">+DATE(YEAR(B437),MONTH(B437)+1,1)</f>
        <v>39814</v>
      </c>
      <c r="C438" s="230" t="n">
        <f aca="false">+C437*(1+(C$23/12))</f>
        <v>17060.5387106765</v>
      </c>
      <c r="D438" s="230" t="n">
        <f aca="false">+D437*(1+(D$23/12))</f>
        <v>12534.2355680012</v>
      </c>
      <c r="E438" s="230"/>
      <c r="F438" s="230"/>
      <c r="G438" s="233"/>
      <c r="H438" s="233"/>
    </row>
    <row r="439" customFormat="false" ht="12.75" hidden="false" customHeight="false" outlineLevel="0" collapsed="false">
      <c r="A439" s="234"/>
      <c r="B439" s="231" t="n">
        <f aca="false">+DATE(YEAR(B438),MONTH(B438)+1,1)</f>
        <v>39845</v>
      </c>
      <c r="C439" s="230" t="n">
        <f aca="false">+C438*(1+(C$23/12))</f>
        <v>17096.081499657</v>
      </c>
      <c r="D439" s="230" t="n">
        <f aca="false">+D438*(1+(D$23/12))</f>
        <v>12560.3485587679</v>
      </c>
      <c r="E439" s="230"/>
      <c r="F439" s="230"/>
      <c r="G439" s="233"/>
      <c r="H439" s="233"/>
    </row>
    <row r="440" customFormat="false" ht="12.75" hidden="false" customHeight="false" outlineLevel="0" collapsed="false">
      <c r="A440" s="234"/>
      <c r="B440" s="231" t="n">
        <f aca="false">+DATE(YEAR(B439),MONTH(B439)+1,1)</f>
        <v>39873</v>
      </c>
      <c r="C440" s="230" t="n">
        <f aca="false">+C439*(1+(C$23/12))</f>
        <v>17131.6983361146</v>
      </c>
      <c r="D440" s="230" t="n">
        <f aca="false">+D439*(1+(D$23/12))</f>
        <v>12586.5159515986</v>
      </c>
      <c r="E440" s="230"/>
      <c r="F440" s="230"/>
      <c r="G440" s="233"/>
      <c r="H440" s="233"/>
    </row>
    <row r="441" customFormat="false" ht="12.75" hidden="false" customHeight="false" outlineLevel="0" collapsed="false">
      <c r="A441" s="234"/>
      <c r="B441" s="231" t="n">
        <f aca="false">+DATE(YEAR(B440),MONTH(B440)+1,1)</f>
        <v>39904</v>
      </c>
      <c r="C441" s="230" t="n">
        <f aca="false">+C440*(1+(C$23/12))</f>
        <v>17167.3893743149</v>
      </c>
      <c r="D441" s="230" t="n">
        <f aca="false">+D440*(1+(D$23/12))</f>
        <v>12612.7378598311</v>
      </c>
      <c r="E441" s="230"/>
      <c r="F441" s="230"/>
      <c r="G441" s="233"/>
      <c r="H441" s="233"/>
    </row>
    <row r="442" customFormat="false" ht="12.75" hidden="false" customHeight="false" outlineLevel="0" collapsed="false">
      <c r="A442" s="234"/>
      <c r="B442" s="231" t="n">
        <f aca="false">+DATE(YEAR(B441),MONTH(B441)+1,1)</f>
        <v>39934</v>
      </c>
      <c r="C442" s="230" t="n">
        <f aca="false">+C441*(1+(C$23/12))</f>
        <v>17203.1547688447</v>
      </c>
      <c r="D442" s="230" t="n">
        <f aca="false">+D441*(1+(D$23/12))</f>
        <v>12639.0143970391</v>
      </c>
      <c r="E442" s="230"/>
      <c r="F442" s="230"/>
      <c r="G442" s="233"/>
      <c r="H442" s="233"/>
    </row>
    <row r="443" customFormat="false" ht="12.75" hidden="false" customHeight="false" outlineLevel="0" collapsed="false">
      <c r="A443" s="234"/>
      <c r="B443" s="231" t="n">
        <f aca="false">+DATE(YEAR(B442),MONTH(B442)+1,1)</f>
        <v>39965</v>
      </c>
      <c r="C443" s="230" t="n">
        <f aca="false">+C442*(1+(C$23/12))</f>
        <v>17238.9946746131</v>
      </c>
      <c r="D443" s="230" t="n">
        <f aca="false">+D442*(1+(D$23/12))</f>
        <v>12665.345677033</v>
      </c>
      <c r="E443" s="230"/>
      <c r="F443" s="230"/>
      <c r="G443" s="233"/>
      <c r="H443" s="233"/>
    </row>
    <row r="444" customFormat="false" ht="12.75" hidden="false" customHeight="false" outlineLevel="0" collapsed="false">
      <c r="A444" s="234"/>
      <c r="B444" s="231" t="n">
        <f aca="false">+DATE(YEAR(B443),MONTH(B443)+1,1)</f>
        <v>39995</v>
      </c>
      <c r="C444" s="230" t="n">
        <f aca="false">+C443*(1+(C$23/12))</f>
        <v>17274.9092468519</v>
      </c>
      <c r="D444" s="230" t="n">
        <f aca="false">+D443*(1+(D$23/12))</f>
        <v>12691.7318138601</v>
      </c>
      <c r="E444" s="230"/>
      <c r="F444" s="230"/>
      <c r="G444" s="233"/>
      <c r="H444" s="233"/>
    </row>
    <row r="445" customFormat="false" ht="12.75" hidden="false" customHeight="false" outlineLevel="0" collapsed="false">
      <c r="A445" s="234"/>
      <c r="B445" s="231" t="n">
        <f aca="false">+DATE(YEAR(B444),MONTH(B444)+1,1)</f>
        <v>40026</v>
      </c>
      <c r="C445" s="230" t="n">
        <f aca="false">+C444*(1+(C$23/12))</f>
        <v>17310.8986411162</v>
      </c>
      <c r="D445" s="230" t="n">
        <f aca="false">+D444*(1+(D$23/12))</f>
        <v>12718.1729218057</v>
      </c>
      <c r="E445" s="230"/>
      <c r="F445" s="230"/>
      <c r="G445" s="233"/>
      <c r="H445" s="233"/>
    </row>
    <row r="446" customFormat="false" ht="12.75" hidden="false" customHeight="false" outlineLevel="0" collapsed="false">
      <c r="A446" s="234"/>
      <c r="B446" s="231" t="n">
        <f aca="false">+DATE(YEAR(B445),MONTH(B445)+1,1)</f>
        <v>40057</v>
      </c>
      <c r="C446" s="230" t="n">
        <f aca="false">+C445*(1+(C$23/12))</f>
        <v>17346.9630132852</v>
      </c>
      <c r="D446" s="230" t="n">
        <f aca="false">+D445*(1+(D$23/12))</f>
        <v>12744.6691153927</v>
      </c>
      <c r="E446" s="230"/>
      <c r="F446" s="230"/>
      <c r="G446" s="233"/>
      <c r="H446" s="233"/>
    </row>
    <row r="447" customFormat="false" ht="12.75" hidden="false" customHeight="false" outlineLevel="0" collapsed="false">
      <c r="A447" s="234"/>
      <c r="B447" s="231" t="n">
        <f aca="false">+DATE(YEAR(B446),MONTH(B446)+1,1)</f>
        <v>40087</v>
      </c>
      <c r="C447" s="230" t="n">
        <f aca="false">+C446*(1+(C$23/12))</f>
        <v>17383.1025195629</v>
      </c>
      <c r="D447" s="230" t="n">
        <f aca="false">+D446*(1+(D$23/12))</f>
        <v>12771.2205093832</v>
      </c>
      <c r="E447" s="230"/>
      <c r="F447" s="230"/>
      <c r="G447" s="233"/>
      <c r="H447" s="233"/>
    </row>
    <row r="448" customFormat="false" ht="12.75" hidden="false" customHeight="false" outlineLevel="0" collapsed="false">
      <c r="A448" s="234"/>
      <c r="B448" s="231" t="n">
        <f aca="false">+DATE(YEAR(B447),MONTH(B447)+1,1)</f>
        <v>40118</v>
      </c>
      <c r="C448" s="230" t="n">
        <f aca="false">+C447*(1+(C$23/12))</f>
        <v>17419.3173164786</v>
      </c>
      <c r="D448" s="230" t="n">
        <f aca="false">+D447*(1+(D$23/12))</f>
        <v>12797.8272187777</v>
      </c>
      <c r="E448" s="230"/>
      <c r="F448" s="230"/>
      <c r="G448" s="233"/>
      <c r="H448" s="233"/>
    </row>
    <row r="449" customFormat="false" ht="12.75" hidden="false" customHeight="false" outlineLevel="0" collapsed="false">
      <c r="A449" s="234"/>
      <c r="B449" s="231" t="n">
        <f aca="false">+DATE(YEAR(B448),MONTH(B448)+1,1)</f>
        <v>40148</v>
      </c>
      <c r="C449" s="230" t="n">
        <f aca="false">+C448*(1+(C$23/12))</f>
        <v>17455.607560888</v>
      </c>
      <c r="D449" s="230" t="n">
        <f aca="false">+D448*(1+(D$23/12))</f>
        <v>12824.4893588168</v>
      </c>
      <c r="E449" s="230"/>
      <c r="F449" s="230"/>
      <c r="G449" s="233"/>
      <c r="H449" s="233"/>
    </row>
    <row r="450" customFormat="false" ht="12.75" hidden="false" customHeight="false" outlineLevel="0" collapsed="false">
      <c r="A450" s="234"/>
      <c r="B450" s="231" t="n">
        <f aca="false">+DATE(YEAR(B449),MONTH(B449)+1,1)</f>
        <v>40179</v>
      </c>
      <c r="C450" s="230" t="n">
        <f aca="false">+C449*(1+(C$23/12))</f>
        <v>17491.9734099731</v>
      </c>
      <c r="D450" s="230" t="n">
        <f aca="false">+D449*(1+(D$23/12))</f>
        <v>12851.207044981</v>
      </c>
      <c r="E450" s="230"/>
      <c r="F450" s="230"/>
      <c r="G450" s="233"/>
      <c r="H450" s="233"/>
    </row>
    <row r="451" customFormat="false" ht="12.75" hidden="false" customHeight="false" outlineLevel="0" collapsed="false">
      <c r="A451" s="234"/>
      <c r="B451" s="231" t="n">
        <f aca="false">+DATE(YEAR(B450),MONTH(B450)+1,1)</f>
        <v>40210</v>
      </c>
      <c r="C451" s="230" t="n">
        <f aca="false">+C450*(1+(C$23/12))</f>
        <v>17528.4150212439</v>
      </c>
      <c r="D451" s="230" t="n">
        <f aca="false">+D450*(1+(D$23/12))</f>
        <v>12877.9803929914</v>
      </c>
      <c r="E451" s="230"/>
      <c r="F451" s="230"/>
      <c r="G451" s="233"/>
      <c r="H451" s="233"/>
    </row>
    <row r="452" customFormat="false" ht="12.75" hidden="false" customHeight="false" outlineLevel="0" collapsed="false">
      <c r="A452" s="234"/>
      <c r="B452" s="231" t="n">
        <f aca="false">+DATE(YEAR(B451),MONTH(B451)+1,1)</f>
        <v>40238</v>
      </c>
      <c r="C452" s="230" t="n">
        <f aca="false">+C451*(1+(C$23/12))</f>
        <v>17564.9325525382</v>
      </c>
      <c r="D452" s="230" t="n">
        <f aca="false">+D451*(1+(D$23/12))</f>
        <v>12904.8095188101</v>
      </c>
      <c r="E452" s="230"/>
      <c r="F452" s="230"/>
      <c r="G452" s="233"/>
      <c r="H452" s="233"/>
    </row>
    <row r="453" customFormat="false" ht="12.75" hidden="false" customHeight="false" outlineLevel="0" collapsed="false">
      <c r="A453" s="234"/>
      <c r="B453" s="231" t="n">
        <f aca="false">+DATE(YEAR(B452),MONTH(B452)+1,1)</f>
        <v>40269</v>
      </c>
      <c r="C453" s="230" t="n">
        <f aca="false">+C452*(1+(C$23/12))</f>
        <v>17601.5261620226</v>
      </c>
      <c r="D453" s="230" t="n">
        <f aca="false">+D452*(1+(D$23/12))</f>
        <v>12931.694538641</v>
      </c>
      <c r="E453" s="230"/>
      <c r="F453" s="230"/>
      <c r="G453" s="233"/>
      <c r="H453" s="233"/>
    </row>
    <row r="454" customFormat="false" ht="12.75" hidden="false" customHeight="false" outlineLevel="0" collapsed="false">
      <c r="A454" s="234"/>
      <c r="B454" s="231" t="n">
        <f aca="false">+DATE(YEAR(B453),MONTH(B453)+1,1)</f>
        <v>40299</v>
      </c>
      <c r="C454" s="230" t="n">
        <f aca="false">+C453*(1+(C$23/12))</f>
        <v>17638.1960081935</v>
      </c>
      <c r="D454" s="230" t="n">
        <f aca="false">+D453*(1+(D$23/12))</f>
        <v>12958.6355689298</v>
      </c>
      <c r="E454" s="230"/>
      <c r="F454" s="230"/>
      <c r="G454" s="233"/>
      <c r="H454" s="233"/>
    </row>
    <row r="455" customFormat="false" ht="12.75" hidden="false" customHeight="false" outlineLevel="0" collapsed="false">
      <c r="A455" s="234"/>
      <c r="B455" s="231" t="n">
        <f aca="false">+DATE(YEAR(B454),MONTH(B454)+1,1)</f>
        <v>40330</v>
      </c>
      <c r="C455" s="230" t="n">
        <f aca="false">+C454*(1+(C$23/12))</f>
        <v>17674.9422498773</v>
      </c>
      <c r="D455" s="230" t="n">
        <f aca="false">+D454*(1+(D$23/12))</f>
        <v>12985.6327263651</v>
      </c>
      <c r="E455" s="230"/>
      <c r="F455" s="230"/>
      <c r="G455" s="233"/>
      <c r="H455" s="233"/>
    </row>
    <row r="456" customFormat="false" ht="12.75" hidden="false" customHeight="false" outlineLevel="0" collapsed="false">
      <c r="A456" s="234"/>
      <c r="B456" s="231" t="n">
        <f aca="false">+DATE(YEAR(B455),MONTH(B455)+1,1)</f>
        <v>40360</v>
      </c>
      <c r="C456" s="230" t="n">
        <f aca="false">+C455*(1+(C$23/12))</f>
        <v>17711.7650462312</v>
      </c>
      <c r="D456" s="230" t="n">
        <f aca="false">+D455*(1+(D$23/12))</f>
        <v>13012.6861278784</v>
      </c>
      <c r="E456" s="230"/>
      <c r="F456" s="230"/>
      <c r="G456" s="233"/>
      <c r="H456" s="233"/>
    </row>
    <row r="457" customFormat="false" ht="12.75" hidden="false" customHeight="false" outlineLevel="0" collapsed="false">
      <c r="A457" s="234"/>
      <c r="B457" s="231" t="n">
        <f aca="false">+DATE(YEAR(B456),MONTH(B456)+1,1)</f>
        <v>40391</v>
      </c>
      <c r="C457" s="230" t="n">
        <f aca="false">+C456*(1+(C$23/12))</f>
        <v>17748.6645567442</v>
      </c>
      <c r="D457" s="230" t="n">
        <f aca="false">+D456*(1+(D$23/12))</f>
        <v>13039.7958906448</v>
      </c>
      <c r="E457" s="230"/>
      <c r="F457" s="230"/>
      <c r="G457" s="233"/>
      <c r="H457" s="233"/>
    </row>
    <row r="458" customFormat="false" ht="12.75" hidden="false" customHeight="false" outlineLevel="0" collapsed="false">
      <c r="A458" s="234"/>
      <c r="B458" s="231" t="n">
        <f aca="false">+DATE(YEAR(B457),MONTH(B457)+1,1)</f>
        <v>40422</v>
      </c>
      <c r="C458" s="230" t="n">
        <f aca="false">+C457*(1+(C$23/12))</f>
        <v>17785.6409412374</v>
      </c>
      <c r="D458" s="230" t="n">
        <f aca="false">+D457*(1+(D$23/12))</f>
        <v>13066.9621320836</v>
      </c>
      <c r="E458" s="230"/>
      <c r="F458" s="230"/>
      <c r="G458" s="233"/>
      <c r="H458" s="233"/>
    </row>
    <row r="459" customFormat="false" ht="12.75" hidden="false" customHeight="false" outlineLevel="0" collapsed="false">
      <c r="A459" s="234"/>
      <c r="B459" s="231" t="n">
        <f aca="false">+DATE(YEAR(B458),MONTH(B458)+1,1)</f>
        <v>40452</v>
      </c>
      <c r="C459" s="230" t="n">
        <f aca="false">+C458*(1+(C$23/12))</f>
        <v>17822.694359865</v>
      </c>
      <c r="D459" s="230" t="n">
        <f aca="false">+D458*(1+(D$23/12))</f>
        <v>13094.1849698588</v>
      </c>
      <c r="E459" s="230"/>
      <c r="F459" s="230"/>
      <c r="G459" s="233"/>
      <c r="H459" s="233"/>
    </row>
    <row r="460" customFormat="false" ht="12.75" hidden="false" customHeight="false" outlineLevel="0" collapsed="false">
      <c r="A460" s="234"/>
      <c r="B460" s="231" t="n">
        <f aca="false">+DATE(YEAR(B459),MONTH(B459)+1,1)</f>
        <v>40483</v>
      </c>
      <c r="C460" s="230" t="n">
        <f aca="false">+C459*(1+(C$23/12))</f>
        <v>17859.8249731147</v>
      </c>
      <c r="D460" s="230" t="n">
        <f aca="false">+D459*(1+(D$23/12))</f>
        <v>13121.4645218793</v>
      </c>
      <c r="E460" s="230"/>
      <c r="F460" s="230"/>
      <c r="G460" s="233"/>
      <c r="H460" s="233"/>
    </row>
    <row r="461" customFormat="false" ht="12.75" hidden="false" customHeight="false" outlineLevel="0" collapsed="false">
      <c r="A461" s="234"/>
      <c r="B461" s="231" t="n">
        <f aca="false">+DATE(YEAR(B460),MONTH(B460)+1,1)</f>
        <v>40513</v>
      </c>
      <c r="C461" s="230" t="n">
        <f aca="false">+C460*(1+(C$23/12))</f>
        <v>17897.0329418087</v>
      </c>
      <c r="D461" s="230" t="n">
        <f aca="false">+D460*(1+(D$23/12))</f>
        <v>13148.8009062999</v>
      </c>
      <c r="E461" s="230"/>
      <c r="F461" s="230"/>
      <c r="G461" s="233"/>
      <c r="H461" s="233"/>
    </row>
    <row r="462" customFormat="false" ht="12.75" hidden="false" customHeight="false" outlineLevel="0" collapsed="false">
      <c r="A462" s="234"/>
      <c r="B462" s="231" t="n">
        <f aca="false">+DATE(YEAR(B461),MONTH(B461)+1,1)</f>
        <v>40544</v>
      </c>
      <c r="C462" s="230" t="n">
        <f aca="false">+C461*(1+(C$23/12))</f>
        <v>17934.3184271041</v>
      </c>
      <c r="D462" s="230" t="n">
        <f aca="false">+D461*(1+(D$23/12))</f>
        <v>13176.1942415214</v>
      </c>
      <c r="E462" s="230"/>
      <c r="F462" s="230"/>
      <c r="G462" s="233"/>
      <c r="H462" s="233"/>
    </row>
    <row r="463" customFormat="false" ht="12.75" hidden="false" customHeight="false" outlineLevel="0" collapsed="false">
      <c r="A463" s="234"/>
      <c r="B463" s="231" t="n">
        <f aca="false">+DATE(YEAR(B462),MONTH(B462)+1,1)</f>
        <v>40575</v>
      </c>
      <c r="C463" s="230" t="n">
        <f aca="false">+C462*(1+(C$23/12))</f>
        <v>17971.6815904939</v>
      </c>
      <c r="D463" s="230" t="n">
        <f aca="false">+D462*(1+(D$23/12))</f>
        <v>13203.6446461912</v>
      </c>
      <c r="E463" s="230"/>
      <c r="F463" s="230"/>
      <c r="G463" s="233"/>
      <c r="H463" s="233"/>
    </row>
    <row r="464" customFormat="false" ht="12.75" hidden="false" customHeight="false" outlineLevel="0" collapsed="false">
      <c r="A464" s="234"/>
      <c r="B464" s="231" t="n">
        <f aca="false">+DATE(YEAR(B463),MONTH(B463)+1,1)</f>
        <v>40603</v>
      </c>
      <c r="C464" s="230" t="n">
        <f aca="false">+C463*(1+(C$23/12))</f>
        <v>18009.1225938074</v>
      </c>
      <c r="D464" s="230" t="n">
        <f aca="false">+D463*(1+(D$23/12))</f>
        <v>13231.1522392041</v>
      </c>
      <c r="E464" s="230"/>
      <c r="F464" s="230"/>
      <c r="G464" s="233"/>
      <c r="H464" s="233"/>
    </row>
    <row r="465" customFormat="false" ht="12.75" hidden="false" customHeight="false" outlineLevel="0" collapsed="false">
      <c r="A465" s="234"/>
      <c r="B465" s="231" t="n">
        <f aca="false">+DATE(YEAR(B464),MONTH(B464)+1,1)</f>
        <v>40634</v>
      </c>
      <c r="C465" s="230" t="n">
        <f aca="false">+C464*(1+(C$23/12))</f>
        <v>18046.6415992112</v>
      </c>
      <c r="D465" s="230" t="n">
        <f aca="false">+D464*(1+(D$23/12))</f>
        <v>13258.7171397025</v>
      </c>
      <c r="E465" s="230"/>
      <c r="F465" s="230"/>
      <c r="G465" s="233"/>
      <c r="H465" s="233"/>
    </row>
    <row r="466" customFormat="false" ht="12.75" hidden="false" customHeight="false" outlineLevel="0" collapsed="false">
      <c r="A466" s="234"/>
      <c r="B466" s="231" t="n">
        <f aca="false">+DATE(YEAR(B465),MONTH(B465)+1,1)</f>
        <v>40664</v>
      </c>
      <c r="C466" s="230" t="n">
        <f aca="false">+C465*(1+(C$23/12))</f>
        <v>18084.2387692096</v>
      </c>
      <c r="D466" s="230" t="n">
        <f aca="false">+D465*(1+(D$23/12))</f>
        <v>13286.3394670768</v>
      </c>
      <c r="E466" s="230"/>
      <c r="F466" s="230"/>
      <c r="G466" s="233"/>
      <c r="H466" s="233"/>
    </row>
    <row r="467" customFormat="false" ht="12.75" hidden="false" customHeight="false" outlineLevel="0" collapsed="false">
      <c r="A467" s="234"/>
      <c r="B467" s="231" t="n">
        <f aca="false">+DATE(YEAR(B466),MONTH(B466)+1,1)</f>
        <v>40695</v>
      </c>
      <c r="C467" s="230" t="n">
        <f aca="false">+C466*(1+(C$23/12))</f>
        <v>18121.9142666454</v>
      </c>
      <c r="D467" s="230" t="n">
        <f aca="false">+D466*(1+(D$23/12))</f>
        <v>13314.0193409666</v>
      </c>
      <c r="E467" s="230"/>
      <c r="F467" s="230"/>
      <c r="G467" s="233"/>
      <c r="H467" s="233"/>
    </row>
    <row r="468" customFormat="false" ht="12.75" hidden="false" customHeight="false" outlineLevel="0" collapsed="false">
      <c r="A468" s="234"/>
      <c r="B468" s="231" t="n">
        <f aca="false">+DATE(YEAR(B467),MONTH(B467)+1,1)</f>
        <v>40725</v>
      </c>
      <c r="C468" s="230" t="n">
        <f aca="false">+C467*(1+(C$23/12))</f>
        <v>18159.6682547009</v>
      </c>
      <c r="D468" s="230" t="n">
        <f aca="false">+D467*(1+(D$23/12))</f>
        <v>13341.7568812603</v>
      </c>
      <c r="E468" s="230"/>
      <c r="F468" s="230"/>
      <c r="G468" s="233"/>
      <c r="H468" s="233"/>
    </row>
    <row r="469" customFormat="false" ht="12.75" hidden="false" customHeight="false" outlineLevel="0" collapsed="false">
      <c r="A469" s="234"/>
      <c r="B469" s="231" t="n">
        <f aca="false">+DATE(YEAR(B468),MONTH(B468)+1,1)</f>
        <v>40756</v>
      </c>
      <c r="C469" s="230" t="n">
        <f aca="false">+C468*(1+(C$23/12))</f>
        <v>18197.5008968982</v>
      </c>
      <c r="D469" s="230" t="n">
        <f aca="false">+D468*(1+(D$23/12))</f>
        <v>13369.5522080962</v>
      </c>
      <c r="E469" s="230"/>
      <c r="F469" s="230"/>
      <c r="G469" s="233"/>
      <c r="H469" s="233"/>
    </row>
    <row r="470" customFormat="false" ht="12.75" hidden="false" customHeight="false" outlineLevel="0" collapsed="false">
      <c r="A470" s="234"/>
      <c r="B470" s="231" t="n">
        <f aca="false">+DATE(YEAR(B469),MONTH(B469)+1,1)</f>
        <v>40787</v>
      </c>
      <c r="C470" s="230" t="n">
        <f aca="false">+C469*(1+(C$23/12))</f>
        <v>18235.4123571001</v>
      </c>
      <c r="D470" s="230" t="n">
        <f aca="false">+D469*(1+(D$23/12))</f>
        <v>13397.4054418631</v>
      </c>
      <c r="E470" s="230"/>
      <c r="F470" s="230"/>
      <c r="G470" s="233"/>
      <c r="H470" s="233"/>
    </row>
    <row r="471" customFormat="false" ht="12.75" hidden="false" customHeight="false" outlineLevel="0" collapsed="false">
      <c r="A471" s="234"/>
      <c r="B471" s="231" t="n">
        <f aca="false">+DATE(YEAR(B470),MONTH(B470)+1,1)</f>
        <v>40817</v>
      </c>
      <c r="C471" s="230" t="n">
        <f aca="false">+C470*(1+(C$23/12))</f>
        <v>18273.4027995107</v>
      </c>
      <c r="D471" s="230" t="n">
        <f aca="false">+D470*(1+(D$23/12))</f>
        <v>13425.3167032003</v>
      </c>
      <c r="E471" s="230"/>
      <c r="F471" s="230"/>
      <c r="G471" s="233"/>
      <c r="H471" s="233"/>
    </row>
    <row r="472" customFormat="false" ht="12.75" hidden="false" customHeight="false" outlineLevel="0" collapsed="false">
      <c r="A472" s="234"/>
      <c r="B472" s="231" t="n">
        <f aca="false">+DATE(YEAR(B471),MONTH(B471)+1,1)</f>
        <v>40848</v>
      </c>
      <c r="C472" s="230" t="n">
        <f aca="false">+C471*(1+(C$23/12))</f>
        <v>18311.4723886764</v>
      </c>
      <c r="D472" s="230" t="n">
        <f aca="false">+D471*(1+(D$23/12))</f>
        <v>13453.2861129987</v>
      </c>
      <c r="E472" s="230"/>
      <c r="F472" s="230"/>
      <c r="G472" s="233"/>
      <c r="H472" s="233"/>
    </row>
    <row r="473" customFormat="false" ht="12.75" hidden="false" customHeight="false" outlineLevel="0" collapsed="false">
      <c r="A473" s="234"/>
      <c r="B473" s="231" t="n">
        <f aca="false">+DATE(YEAR(B472),MONTH(B472)+1,1)</f>
        <v>40878</v>
      </c>
      <c r="C473" s="230" t="n">
        <f aca="false">+C472*(1+(C$23/12))</f>
        <v>18349.6212894861</v>
      </c>
      <c r="D473" s="230" t="n">
        <f aca="false">+D472*(1+(D$23/12))</f>
        <v>13481.3137924007</v>
      </c>
      <c r="E473" s="230"/>
      <c r="F473" s="230"/>
      <c r="G473" s="233"/>
      <c r="H473" s="233"/>
    </row>
    <row r="474" customFormat="false" ht="12.75" hidden="false" customHeight="false" outlineLevel="0" collapsed="false">
      <c r="A474" s="234"/>
      <c r="B474" s="231" t="n">
        <f aca="false">+DATE(YEAR(B473),MONTH(B473)+1,1)</f>
        <v>40909</v>
      </c>
      <c r="C474" s="230" t="n">
        <f aca="false">+C473*(1+(C$23/12))</f>
        <v>18387.8496671726</v>
      </c>
      <c r="D474" s="230" t="n">
        <f aca="false">+D473*(1+(D$23/12))</f>
        <v>13509.3998628016</v>
      </c>
      <c r="E474" s="230"/>
      <c r="F474" s="230"/>
      <c r="G474" s="233"/>
      <c r="H474" s="233"/>
    </row>
    <row r="475" customFormat="false" ht="12.75" hidden="false" customHeight="false" outlineLevel="0" collapsed="false">
      <c r="A475" s="234"/>
      <c r="B475" s="231" t="n">
        <f aca="false">+DATE(YEAR(B474),MONTH(B474)+1,1)</f>
        <v>40940</v>
      </c>
      <c r="C475" s="230" t="n">
        <f aca="false">+C474*(1+(C$23/12))</f>
        <v>18426.1576873125</v>
      </c>
      <c r="D475" s="230" t="n">
        <f aca="false">+D474*(1+(D$23/12))</f>
        <v>13537.5444458491</v>
      </c>
      <c r="E475" s="230"/>
      <c r="F475" s="230"/>
      <c r="G475" s="233"/>
      <c r="H475" s="233"/>
    </row>
    <row r="476" customFormat="false" ht="12.75" hidden="false" customHeight="false" outlineLevel="0" collapsed="false">
      <c r="A476" s="234"/>
      <c r="B476" s="231" t="n">
        <f aca="false">+DATE(YEAR(B475),MONTH(B475)+1,1)</f>
        <v>40969</v>
      </c>
      <c r="C476" s="230" t="n">
        <f aca="false">+C475*(1+(C$23/12))</f>
        <v>18464.5455158277</v>
      </c>
      <c r="D476" s="230" t="n">
        <f aca="false">+D475*(1+(D$23/12))</f>
        <v>13565.7476634446</v>
      </c>
      <c r="E476" s="230"/>
      <c r="F476" s="230"/>
      <c r="G476" s="233"/>
      <c r="H476" s="233"/>
    </row>
    <row r="477" customFormat="false" ht="12.75" hidden="false" customHeight="false" outlineLevel="0" collapsed="false">
      <c r="A477" s="234"/>
      <c r="B477" s="231" t="n">
        <f aca="false">+DATE(YEAR(B476),MONTH(B476)+1,1)</f>
        <v>41000</v>
      </c>
      <c r="C477" s="230" t="n">
        <f aca="false">+C476*(1+(C$23/12))</f>
        <v>18503.0133189857</v>
      </c>
      <c r="D477" s="230" t="n">
        <f aca="false">+D476*(1+(D$23/12))</f>
        <v>13594.0096377434</v>
      </c>
      <c r="E477" s="230"/>
      <c r="F477" s="230"/>
      <c r="G477" s="233"/>
      <c r="H477" s="233"/>
    </row>
    <row r="478" customFormat="false" ht="12.75" hidden="false" customHeight="false" outlineLevel="0" collapsed="false">
      <c r="A478" s="234"/>
      <c r="B478" s="231" t="n">
        <f aca="false">+DATE(YEAR(B477),MONTH(B477)+1,1)</f>
        <v>41030</v>
      </c>
      <c r="C478" s="230" t="n">
        <f aca="false">+C477*(1+(C$23/12))</f>
        <v>18541.5612634003</v>
      </c>
      <c r="D478" s="230" t="n">
        <f aca="false">+D477*(1+(D$23/12))</f>
        <v>13622.3304911554</v>
      </c>
      <c r="E478" s="230"/>
      <c r="F478" s="230"/>
      <c r="G478" s="233"/>
      <c r="H478" s="233"/>
    </row>
    <row r="479" customFormat="false" ht="12.75" hidden="false" customHeight="false" outlineLevel="0" collapsed="false">
      <c r="A479" s="234"/>
      <c r="B479" s="231" t="n">
        <f aca="false">+DATE(YEAR(B478),MONTH(B478)+1,1)</f>
        <v>41061</v>
      </c>
      <c r="C479" s="230" t="n">
        <f aca="false">+C478*(1+(C$23/12))</f>
        <v>18580.1895160324</v>
      </c>
      <c r="D479" s="230" t="n">
        <f aca="false">+D478*(1+(D$23/12))</f>
        <v>13650.7103463453</v>
      </c>
      <c r="E479" s="230"/>
      <c r="F479" s="230"/>
      <c r="G479" s="233"/>
      <c r="H479" s="233"/>
    </row>
    <row r="480" customFormat="false" ht="12.75" hidden="false" customHeight="false" outlineLevel="0" collapsed="false">
      <c r="A480" s="234"/>
      <c r="B480" s="231" t="n">
        <f aca="false">+DATE(YEAR(B479),MONTH(B479)+1,1)</f>
        <v>41091</v>
      </c>
      <c r="C480" s="230" t="n">
        <f aca="false">+C479*(1+(C$23/12))</f>
        <v>18618.8982441908</v>
      </c>
      <c r="D480" s="230" t="n">
        <f aca="false">+D479*(1+(D$23/12))</f>
        <v>13679.1493262335</v>
      </c>
      <c r="E480" s="230"/>
      <c r="F480" s="230"/>
      <c r="G480" s="233"/>
      <c r="H480" s="233"/>
    </row>
    <row r="481" customFormat="false" ht="12.75" hidden="false" customHeight="false" outlineLevel="0" collapsed="false">
      <c r="A481" s="234"/>
      <c r="B481" s="231" t="n">
        <f aca="false">+DATE(YEAR(B480),MONTH(B480)+1,1)</f>
        <v>41122</v>
      </c>
      <c r="C481" s="230" t="n">
        <f aca="false">+C480*(1+(C$23/12))</f>
        <v>18657.6876155328</v>
      </c>
      <c r="D481" s="230" t="n">
        <f aca="false">+D480*(1+(D$23/12))</f>
        <v>13707.6475539965</v>
      </c>
      <c r="E481" s="230"/>
      <c r="F481" s="230"/>
      <c r="G481" s="233"/>
      <c r="H481" s="233"/>
    </row>
    <row r="482" customFormat="false" ht="12.75" hidden="false" customHeight="false" outlineLevel="0" collapsed="false">
      <c r="A482" s="234"/>
      <c r="B482" s="231" t="n">
        <f aca="false">+DATE(YEAR(B481),MONTH(B481)+1,1)</f>
        <v>41153</v>
      </c>
      <c r="C482" s="230" t="n">
        <f aca="false">+C481*(1+(C$23/12))</f>
        <v>18696.5577980652</v>
      </c>
      <c r="D482" s="230" t="n">
        <f aca="false">+D481*(1+(D$23/12))</f>
        <v>13736.2051530673</v>
      </c>
      <c r="E482" s="230"/>
      <c r="F482" s="230"/>
      <c r="G482" s="233"/>
      <c r="H482" s="233"/>
    </row>
    <row r="483" customFormat="false" ht="12.75" hidden="false" customHeight="false" outlineLevel="0" collapsed="false">
      <c r="A483" s="234"/>
      <c r="B483" s="231" t="n">
        <f aca="false">+DATE(YEAR(B482),MONTH(B482)+1,1)</f>
        <v>41183</v>
      </c>
      <c r="C483" s="230" t="n">
        <f aca="false">+C482*(1+(C$23/12))</f>
        <v>18735.5089601445</v>
      </c>
      <c r="D483" s="230" t="n">
        <f aca="false">+D482*(1+(D$23/12))</f>
        <v>13764.8222471362</v>
      </c>
      <c r="E483" s="230"/>
      <c r="F483" s="230"/>
      <c r="G483" s="233"/>
      <c r="H483" s="233"/>
    </row>
    <row r="484" customFormat="false" ht="12.75" hidden="false" customHeight="false" outlineLevel="0" collapsed="false">
      <c r="A484" s="234"/>
      <c r="B484" s="231" t="n">
        <f aca="false">+DATE(YEAR(B483),MONTH(B483)+1,1)</f>
        <v>41214</v>
      </c>
      <c r="C484" s="230" t="n">
        <f aca="false">+C483*(1+(C$23/12))</f>
        <v>18774.5412704781</v>
      </c>
      <c r="D484" s="230" t="n">
        <f aca="false">+D483*(1+(D$23/12))</f>
        <v>13793.4989601511</v>
      </c>
      <c r="E484" s="230"/>
      <c r="F484" s="230"/>
      <c r="G484" s="233"/>
      <c r="H484" s="233"/>
    </row>
    <row r="485" customFormat="false" ht="12.75" hidden="false" customHeight="false" outlineLevel="0" collapsed="false">
      <c r="A485" s="234"/>
      <c r="B485" s="231" t="n">
        <f aca="false">+DATE(YEAR(B484),MONTH(B484)+1,1)</f>
        <v>41244</v>
      </c>
      <c r="C485" s="230" t="n">
        <f aca="false">+C484*(1+(C$23/12))</f>
        <v>18813.654898125</v>
      </c>
      <c r="D485" s="230" t="n">
        <f aca="false">+D484*(1+(D$23/12))</f>
        <v>13822.2354163181</v>
      </c>
      <c r="E485" s="230"/>
      <c r="F485" s="230"/>
      <c r="G485" s="233"/>
      <c r="H485" s="233"/>
    </row>
    <row r="486" customFormat="false" ht="12.75" hidden="false" customHeight="false" outlineLevel="0" collapsed="false">
      <c r="A486" s="234"/>
      <c r="B486" s="231" t="n">
        <f aca="false">+DATE(YEAR(B485),MONTH(B485)+1,1)</f>
        <v>41275</v>
      </c>
      <c r="C486" s="230" t="n">
        <f aca="false">+C485*(1+(C$23/12))</f>
        <v>18852.8500124961</v>
      </c>
      <c r="D486" s="230" t="n">
        <f aca="false">+D485*(1+(D$23/12))</f>
        <v>13851.0317401021</v>
      </c>
      <c r="E486" s="230"/>
      <c r="F486" s="230"/>
      <c r="G486" s="233"/>
      <c r="H486" s="233"/>
    </row>
    <row r="487" customFormat="false" ht="12.75" hidden="false" customHeight="false" outlineLevel="0" collapsed="false">
      <c r="A487" s="234"/>
      <c r="B487" s="231" t="n">
        <f aca="false">+DATE(YEAR(B486),MONTH(B486)+1,1)</f>
        <v>41306</v>
      </c>
      <c r="C487" s="230" t="n">
        <f aca="false">+C486*(1+(C$23/12))</f>
        <v>18892.1267833554</v>
      </c>
      <c r="D487" s="230" t="n">
        <f aca="false">+D486*(1+(D$23/12))</f>
        <v>13879.8880562273</v>
      </c>
      <c r="E487" s="230"/>
      <c r="F487" s="230"/>
      <c r="G487" s="233"/>
      <c r="H487" s="233"/>
    </row>
    <row r="488" customFormat="false" ht="12.75" hidden="false" customHeight="false" outlineLevel="0" collapsed="false">
      <c r="A488" s="234"/>
      <c r="B488" s="231" t="n">
        <f aca="false">+DATE(YEAR(B487),MONTH(B487)+1,1)</f>
        <v>41334</v>
      </c>
      <c r="C488" s="230" t="n">
        <f aca="false">+C487*(1+(C$23/12))</f>
        <v>18931.4853808207</v>
      </c>
      <c r="D488" s="230" t="n">
        <f aca="false">+D487*(1+(D$23/12))</f>
        <v>13908.8044896778</v>
      </c>
      <c r="E488" s="230"/>
      <c r="F488" s="230"/>
      <c r="G488" s="233"/>
      <c r="H488" s="233"/>
    </row>
    <row r="489" customFormat="false" ht="12.75" hidden="false" customHeight="false" outlineLevel="0" collapsed="false">
      <c r="A489" s="234"/>
      <c r="B489" s="231" t="n">
        <f aca="false">+DATE(YEAR(B488),MONTH(B488)+1,1)</f>
        <v>41365</v>
      </c>
      <c r="C489" s="230" t="n">
        <f aca="false">+C488*(1+(C$23/12))</f>
        <v>18970.9259753641</v>
      </c>
      <c r="D489" s="230" t="n">
        <f aca="false">+D488*(1+(D$23/12))</f>
        <v>13937.7811656979</v>
      </c>
      <c r="E489" s="230"/>
      <c r="F489" s="230"/>
      <c r="G489" s="233"/>
      <c r="H489" s="233"/>
    </row>
    <row r="490" customFormat="false" ht="12.75" hidden="false" customHeight="false" outlineLevel="0" collapsed="false">
      <c r="A490" s="234"/>
      <c r="B490" s="231" t="n">
        <f aca="false">+DATE(YEAR(B489),MONTH(B489)+1,1)</f>
        <v>41395</v>
      </c>
      <c r="C490" s="230" t="n">
        <f aca="false">+C489*(1+(C$23/12))</f>
        <v>19010.4487378128</v>
      </c>
      <c r="D490" s="230" t="n">
        <f aca="false">+D489*(1+(D$23/12))</f>
        <v>13966.8182097932</v>
      </c>
      <c r="E490" s="230"/>
      <c r="F490" s="230"/>
      <c r="G490" s="233"/>
      <c r="H490" s="233"/>
    </row>
    <row r="491" customFormat="false" ht="12.75" hidden="false" customHeight="false" outlineLevel="0" collapsed="false">
      <c r="A491" s="234"/>
      <c r="B491" s="231" t="n">
        <f aca="false">+DATE(YEAR(B490),MONTH(B490)+1,1)</f>
        <v>41426</v>
      </c>
      <c r="C491" s="230" t="n">
        <f aca="false">+C490*(1+(C$23/12))</f>
        <v>19050.0538393499</v>
      </c>
      <c r="D491" s="230" t="n">
        <f aca="false">+D490*(1+(D$23/12))</f>
        <v>13995.9157477302</v>
      </c>
      <c r="E491" s="230"/>
      <c r="F491" s="230"/>
      <c r="G491" s="233"/>
      <c r="H491" s="233"/>
    </row>
    <row r="492" customFormat="false" ht="12.75" hidden="false" customHeight="false" outlineLevel="0" collapsed="false">
      <c r="A492" s="234"/>
      <c r="B492" s="231" t="n">
        <f aca="false">+DATE(YEAR(B491),MONTH(B491)+1,1)</f>
        <v>41456</v>
      </c>
      <c r="C492" s="230" t="n">
        <f aca="false">+C491*(1+(C$23/12))</f>
        <v>19089.7414515152</v>
      </c>
      <c r="D492" s="230" t="n">
        <f aca="false">+D491*(1+(D$23/12))</f>
        <v>14025.073905538</v>
      </c>
      <c r="E492" s="230"/>
      <c r="F492" s="230"/>
      <c r="G492" s="233"/>
      <c r="H492" s="233"/>
    </row>
    <row r="493" customFormat="false" ht="12.75" hidden="false" customHeight="false" outlineLevel="0" collapsed="false">
      <c r="A493" s="234"/>
      <c r="B493" s="231" t="n">
        <f aca="false">+DATE(YEAR(B492),MONTH(B492)+1,1)</f>
        <v>41487</v>
      </c>
      <c r="C493" s="230" t="n">
        <f aca="false">+C492*(1+(C$23/12))</f>
        <v>19129.5117462059</v>
      </c>
      <c r="D493" s="230" t="n">
        <f aca="false">+D492*(1+(D$23/12))</f>
        <v>14054.2928095079</v>
      </c>
      <c r="E493" s="230"/>
      <c r="F493" s="230"/>
      <c r="G493" s="233"/>
      <c r="H493" s="233"/>
    </row>
    <row r="494" customFormat="false" ht="12.75" hidden="false" customHeight="false" outlineLevel="0" collapsed="false">
      <c r="A494" s="234"/>
      <c r="B494" s="231" t="n">
        <f aca="false">+DATE(YEAR(B493),MONTH(B493)+1,1)</f>
        <v>41518</v>
      </c>
      <c r="C494" s="230" t="n">
        <f aca="false">+C493*(1+(C$23/12))</f>
        <v>19169.3648956772</v>
      </c>
      <c r="D494" s="230" t="n">
        <f aca="false">+D493*(1+(D$23/12))</f>
        <v>14083.5725861943</v>
      </c>
      <c r="E494" s="230"/>
      <c r="F494" s="230"/>
      <c r="G494" s="233"/>
      <c r="H494" s="233"/>
    </row>
    <row r="495" customFormat="false" ht="12.75" hidden="false" customHeight="false" outlineLevel="0" collapsed="false">
      <c r="A495" s="234"/>
      <c r="B495" s="231" t="n">
        <f aca="false">+DATE(YEAR(B494),MONTH(B494)+1,1)</f>
        <v>41548</v>
      </c>
      <c r="C495" s="230" t="n">
        <f aca="false">+C494*(1+(C$23/12))</f>
        <v>19209.3010725431</v>
      </c>
      <c r="D495" s="230" t="n">
        <f aca="false">+D494*(1+(D$23/12))</f>
        <v>14112.9133624156</v>
      </c>
      <c r="E495" s="230"/>
      <c r="F495" s="230"/>
      <c r="G495" s="233"/>
      <c r="H495" s="233"/>
    </row>
    <row r="496" customFormat="false" ht="12.75" hidden="false" customHeight="false" outlineLevel="0" collapsed="false">
      <c r="A496" s="234"/>
      <c r="B496" s="231" t="n">
        <f aca="false">+DATE(YEAR(B495),MONTH(B495)+1,1)</f>
        <v>41579</v>
      </c>
      <c r="C496" s="230" t="n">
        <f aca="false">+C495*(1+(C$23/12))</f>
        <v>19249.3204497776</v>
      </c>
      <c r="D496" s="230" t="n">
        <f aca="false">+D495*(1+(D$23/12))</f>
        <v>14142.3152652539</v>
      </c>
      <c r="E496" s="230"/>
      <c r="F496" s="230"/>
      <c r="G496" s="233"/>
      <c r="H496" s="233"/>
    </row>
    <row r="497" customFormat="false" ht="12.75" hidden="false" customHeight="false" outlineLevel="0" collapsed="false">
      <c r="A497" s="234"/>
      <c r="B497" s="231" t="n">
        <f aca="false">+DATE(YEAR(B496),MONTH(B496)+1,1)</f>
        <v>41609</v>
      </c>
      <c r="C497" s="230" t="n">
        <f aca="false">+C496*(1+(C$23/12))</f>
        <v>19289.4232007147</v>
      </c>
      <c r="D497" s="230" t="n">
        <f aca="false">+D496*(1+(D$23/12))</f>
        <v>14171.7784220566</v>
      </c>
      <c r="E497" s="230"/>
      <c r="F497" s="230"/>
      <c r="G497" s="233"/>
      <c r="H497" s="233"/>
    </row>
    <row r="498" customFormat="false" ht="12.75" hidden="false" customHeight="false" outlineLevel="0" collapsed="false">
      <c r="A498" s="234"/>
      <c r="B498" s="231" t="n">
        <f aca="false">+DATE(YEAR(B497),MONTH(B497)+1,1)</f>
        <v>41640</v>
      </c>
      <c r="C498" s="230" t="n">
        <f aca="false">+C497*(1+(C$23/12))</f>
        <v>19329.6094990495</v>
      </c>
      <c r="D498" s="230" t="n">
        <f aca="false">+D497*(1+(D$23/12))</f>
        <v>14201.3029604358</v>
      </c>
      <c r="E498" s="230"/>
      <c r="F498" s="230"/>
      <c r="G498" s="233"/>
      <c r="H498" s="233"/>
    </row>
    <row r="499" customFormat="false" ht="12.75" hidden="false" customHeight="false" outlineLevel="0" collapsed="false">
      <c r="A499" s="234"/>
      <c r="B499" s="231" t="n">
        <f aca="false">+DATE(YEAR(B498),MONTH(B498)+1,1)</f>
        <v>41671</v>
      </c>
      <c r="C499" s="230" t="n">
        <f aca="false">+C498*(1+(C$23/12))</f>
        <v>19369.8795188392</v>
      </c>
      <c r="D499" s="230" t="n">
        <f aca="false">+D498*(1+(D$23/12))</f>
        <v>14230.8890082701</v>
      </c>
      <c r="E499" s="230"/>
      <c r="F499" s="230"/>
      <c r="G499" s="233"/>
      <c r="H499" s="233"/>
    </row>
    <row r="500" customFormat="false" ht="12.75" hidden="false" customHeight="false" outlineLevel="0" collapsed="false">
      <c r="A500" s="234"/>
      <c r="B500" s="231" t="n">
        <f aca="false">+DATE(YEAR(B499),MONTH(B499)+1,1)</f>
        <v>41699</v>
      </c>
      <c r="C500" s="230" t="n">
        <f aca="false">+C499*(1+(C$23/12))</f>
        <v>19410.2334345034</v>
      </c>
      <c r="D500" s="230" t="n">
        <f aca="false">+D499*(1+(D$23/12))</f>
        <v>14260.536693704</v>
      </c>
      <c r="E500" s="230"/>
      <c r="F500" s="230"/>
      <c r="G500" s="233"/>
      <c r="H500" s="233"/>
    </row>
    <row r="501" customFormat="false" ht="12.75" hidden="false" customHeight="false" outlineLevel="0" collapsed="false">
      <c r="A501" s="234"/>
      <c r="B501" s="231" t="n">
        <f aca="false">+DATE(YEAR(B500),MONTH(B500)+1,1)</f>
        <v>41730</v>
      </c>
      <c r="C501" s="230" t="n">
        <f aca="false">+C500*(1+(C$23/12))</f>
        <v>19450.6714208253</v>
      </c>
      <c r="D501" s="230" t="n">
        <f aca="false">+D500*(1+(D$23/12))</f>
        <v>14290.2461451492</v>
      </c>
      <c r="E501" s="230"/>
      <c r="F501" s="230"/>
      <c r="G501" s="233"/>
      <c r="H501" s="233"/>
    </row>
    <row r="502" customFormat="false" ht="12.75" hidden="false" customHeight="false" outlineLevel="0" collapsed="false">
      <c r="A502" s="234"/>
      <c r="B502" s="231" t="n">
        <f aca="false">+DATE(YEAR(B501),MONTH(B501)+1,1)</f>
        <v>41760</v>
      </c>
      <c r="C502" s="230" t="n">
        <f aca="false">+C501*(1+(C$23/12))</f>
        <v>19491.193652952</v>
      </c>
      <c r="D502" s="230" t="n">
        <f aca="false">+D501*(1+(D$23/12))</f>
        <v>14320.0174912849</v>
      </c>
      <c r="E502" s="230"/>
      <c r="F502" s="230"/>
      <c r="G502" s="233"/>
      <c r="H502" s="233"/>
    </row>
    <row r="503" customFormat="false" ht="12.75" hidden="false" customHeight="false" outlineLevel="0" collapsed="false">
      <c r="A503" s="234"/>
      <c r="B503" s="231" t="n">
        <f aca="false">+DATE(YEAR(B502),MONTH(B502)+1,1)</f>
        <v>41791</v>
      </c>
      <c r="C503" s="230" t="n">
        <f aca="false">+C502*(1+(C$23/12))</f>
        <v>19531.8003063957</v>
      </c>
      <c r="D503" s="230" t="n">
        <f aca="false">+D502*(1+(D$23/12))</f>
        <v>14349.8508610584</v>
      </c>
      <c r="E503" s="230"/>
      <c r="F503" s="230"/>
      <c r="G503" s="233"/>
      <c r="H503" s="233"/>
    </row>
    <row r="504" customFormat="false" ht="12.75" hidden="false" customHeight="false" outlineLevel="0" collapsed="false">
      <c r="A504" s="234"/>
      <c r="B504" s="231" t="n">
        <f aca="false">+DATE(YEAR(B503),MONTH(B503)+1,1)</f>
        <v>41821</v>
      </c>
      <c r="C504" s="230" t="n">
        <f aca="false">+C503*(1+(C$23/12))</f>
        <v>19572.491557034</v>
      </c>
      <c r="D504" s="230" t="n">
        <f aca="false">+D503*(1+(D$23/12))</f>
        <v>14379.7463836857</v>
      </c>
      <c r="E504" s="230"/>
      <c r="F504" s="230"/>
      <c r="G504" s="233"/>
      <c r="H504" s="233"/>
    </row>
    <row r="505" customFormat="false" ht="12.75" hidden="false" customHeight="false" outlineLevel="0" collapsed="false">
      <c r="A505" s="234"/>
      <c r="B505" s="231" t="n">
        <f aca="false">+DATE(YEAR(B504),MONTH(B504)+1,1)</f>
        <v>41852</v>
      </c>
      <c r="C505" s="230" t="n">
        <f aca="false">+C504*(1+(C$23/12))</f>
        <v>19613.2675811112</v>
      </c>
      <c r="D505" s="230" t="n">
        <f aca="false">+D504*(1+(D$23/12))</f>
        <v>14409.7041886517</v>
      </c>
      <c r="E505" s="230"/>
      <c r="F505" s="230"/>
      <c r="G505" s="233"/>
      <c r="H505" s="233"/>
    </row>
    <row r="506" customFormat="false" ht="12.75" hidden="false" customHeight="false" outlineLevel="0" collapsed="false">
      <c r="A506" s="234"/>
      <c r="B506" s="231" t="n">
        <f aca="false">+DATE(YEAR(B505),MONTH(B505)+1,1)</f>
        <v>41883</v>
      </c>
      <c r="C506" s="230" t="n">
        <f aca="false">+C505*(1+(C$23/12))</f>
        <v>19654.1285552385</v>
      </c>
      <c r="D506" s="230" t="n">
        <f aca="false">+D505*(1+(D$23/12))</f>
        <v>14439.7244057114</v>
      </c>
      <c r="E506" s="230"/>
      <c r="F506" s="230"/>
      <c r="G506" s="233"/>
      <c r="H506" s="233"/>
    </row>
    <row r="507" customFormat="false" ht="12.75" hidden="false" customHeight="false" outlineLevel="0" collapsed="false">
      <c r="A507" s="234"/>
      <c r="B507" s="231" t="n">
        <f aca="false">+DATE(YEAR(B506),MONTH(B506)+1,1)</f>
        <v>41913</v>
      </c>
      <c r="C507" s="230" t="n">
        <f aca="false">+C506*(1+(C$23/12))</f>
        <v>19695.0746563952</v>
      </c>
      <c r="D507" s="230" t="n">
        <f aca="false">+D506*(1+(D$23/12))</f>
        <v>14469.8071648899</v>
      </c>
      <c r="E507" s="230"/>
      <c r="F507" s="230"/>
      <c r="G507" s="233"/>
      <c r="H507" s="233"/>
    </row>
    <row r="508" customFormat="false" ht="12.75" hidden="false" customHeight="false" outlineLevel="0" collapsed="false">
      <c r="A508" s="234"/>
      <c r="B508" s="231" t="n">
        <f aca="false">+DATE(YEAR(B507),MONTH(B507)+1,1)</f>
        <v>41944</v>
      </c>
      <c r="C508" s="230" t="n">
        <f aca="false">+C507*(1+(C$23/12))</f>
        <v>19736.1060619294</v>
      </c>
      <c r="D508" s="230" t="n">
        <f aca="false">+D507*(1+(D$23/12))</f>
        <v>14499.9525964835</v>
      </c>
      <c r="E508" s="230"/>
      <c r="F508" s="230"/>
      <c r="G508" s="233"/>
      <c r="H508" s="233"/>
    </row>
    <row r="509" customFormat="false" ht="12.75" hidden="false" customHeight="false" outlineLevel="0" collapsed="false">
      <c r="A509" s="234"/>
      <c r="B509" s="231" t="n">
        <f aca="false">+DATE(YEAR(B508),MONTH(B508)+1,1)</f>
        <v>41974</v>
      </c>
      <c r="C509" s="230" t="n">
        <f aca="false">+C508*(1+(C$23/12))</f>
        <v>19777.2229495584</v>
      </c>
      <c r="D509" s="230" t="n">
        <f aca="false">+D508*(1+(D$23/12))</f>
        <v>14530.1608310595</v>
      </c>
      <c r="E509" s="230"/>
      <c r="F509" s="230"/>
      <c r="G509" s="233"/>
      <c r="H509" s="233"/>
    </row>
    <row r="510" customFormat="false" ht="12.75" hidden="false" customHeight="false" outlineLevel="0" collapsed="false">
      <c r="A510" s="234"/>
      <c r="B510" s="231" t="n">
        <f aca="false">+DATE(YEAR(B509),MONTH(B509)+1,1)</f>
        <v>42005</v>
      </c>
      <c r="C510" s="230" t="n">
        <f aca="false">+C509*(1+(C$23/12))</f>
        <v>19818.42549737</v>
      </c>
      <c r="D510" s="230" t="n">
        <f aca="false">+D509*(1+(D$23/12))</f>
        <v>14560.4319994575</v>
      </c>
      <c r="E510" s="230"/>
      <c r="F510" s="230"/>
      <c r="G510" s="233"/>
      <c r="H510" s="233"/>
    </row>
    <row r="511" customFormat="false" ht="12.75" hidden="false" customHeight="false" outlineLevel="0" collapsed="false">
      <c r="A511" s="234"/>
      <c r="B511" s="231" t="n">
        <f aca="false">+DATE(YEAR(B510),MONTH(B510)+1,1)</f>
        <v>42036</v>
      </c>
      <c r="C511" s="230" t="n">
        <f aca="false">+C510*(1+(C$23/12))</f>
        <v>19859.7138838228</v>
      </c>
      <c r="D511" s="230" t="n">
        <f aca="false">+D510*(1+(D$23/12))</f>
        <v>14590.7662327897</v>
      </c>
      <c r="E511" s="230"/>
      <c r="F511" s="230"/>
      <c r="G511" s="233"/>
      <c r="H511" s="233"/>
    </row>
    <row r="512" customFormat="false" ht="12.75" hidden="false" customHeight="false" outlineLevel="0" collapsed="false">
      <c r="A512" s="234"/>
      <c r="B512" s="231" t="n">
        <f aca="false">+DATE(YEAR(B511),MONTH(B511)+1,1)</f>
        <v>42064</v>
      </c>
      <c r="C512" s="230" t="n">
        <f aca="false">+C511*(1+(C$23/12))</f>
        <v>19901.0882877475</v>
      </c>
      <c r="D512" s="230" t="n">
        <f aca="false">+D511*(1+(D$23/12))</f>
        <v>14621.1636624414</v>
      </c>
      <c r="E512" s="230"/>
      <c r="F512" s="230"/>
      <c r="G512" s="233"/>
      <c r="H512" s="233"/>
    </row>
    <row r="513" customFormat="false" ht="12.75" hidden="false" customHeight="false" outlineLevel="0" collapsed="false">
      <c r="A513" s="234"/>
      <c r="B513" s="231" t="n">
        <f aca="false">+DATE(YEAR(B512),MONTH(B512)+1,1)</f>
        <v>42095</v>
      </c>
      <c r="C513" s="230" t="n">
        <f aca="false">+C512*(1+(C$23/12))</f>
        <v>19942.548888347</v>
      </c>
      <c r="D513" s="230" t="n">
        <f aca="false">+D512*(1+(D$23/12))</f>
        <v>14651.6244200714</v>
      </c>
      <c r="E513" s="230"/>
      <c r="F513" s="230"/>
      <c r="G513" s="233"/>
      <c r="H513" s="233"/>
    </row>
    <row r="514" customFormat="false" ht="12.75" hidden="false" customHeight="false" outlineLevel="0" collapsed="false">
      <c r="A514" s="234"/>
      <c r="B514" s="231" t="n">
        <f aca="false">+DATE(YEAR(B513),MONTH(B513)+1,1)</f>
        <v>42125</v>
      </c>
      <c r="C514" s="230" t="n">
        <f aca="false">+C513*(1+(C$23/12))</f>
        <v>19984.0958651977</v>
      </c>
      <c r="D514" s="230" t="n">
        <f aca="false">+D513*(1+(D$23/12))</f>
        <v>14682.1486376133</v>
      </c>
      <c r="E514" s="230"/>
      <c r="F514" s="230"/>
      <c r="G514" s="233"/>
      <c r="H514" s="233"/>
    </row>
    <row r="515" customFormat="false" ht="12.75" hidden="false" customHeight="false" outlineLevel="0" collapsed="false">
      <c r="A515" s="234"/>
      <c r="B515" s="231" t="n">
        <f aca="false">+DATE(YEAR(B514),MONTH(B514)+1,1)</f>
        <v>42156</v>
      </c>
      <c r="C515" s="230" t="n">
        <f aca="false">+C514*(1+(C$23/12))</f>
        <v>20025.7293982502</v>
      </c>
      <c r="D515" s="230" t="n">
        <f aca="false">+D514*(1+(D$23/12))</f>
        <v>14712.736447275</v>
      </c>
      <c r="E515" s="230"/>
      <c r="F515" s="230"/>
      <c r="G515" s="233"/>
      <c r="H515" s="233"/>
    </row>
    <row r="516" customFormat="false" ht="12.75" hidden="false" customHeight="false" outlineLevel="0" collapsed="false">
      <c r="A516" s="234"/>
      <c r="B516" s="231" t="n">
        <f aca="false">+DATE(YEAR(B515),MONTH(B515)+1,1)</f>
        <v>42186</v>
      </c>
      <c r="C516" s="230" t="n">
        <f aca="false">+C515*(1+(C$23/12))</f>
        <v>20067.4496678299</v>
      </c>
      <c r="D516" s="230" t="n">
        <f aca="false">+D515*(1+(D$23/12))</f>
        <v>14743.3879815401</v>
      </c>
      <c r="E516" s="230"/>
      <c r="F516" s="230"/>
      <c r="G516" s="233"/>
      <c r="H516" s="233"/>
    </row>
    <row r="517" customFormat="false" ht="12.75" hidden="false" customHeight="false" outlineLevel="0" collapsed="false">
      <c r="A517" s="234"/>
      <c r="B517" s="231" t="n">
        <f aca="false">+DATE(YEAR(B516),MONTH(B516)+1,1)</f>
        <v>42217</v>
      </c>
      <c r="C517" s="230" t="n">
        <f aca="false">+C516*(1+(C$23/12))</f>
        <v>20109.2568546378</v>
      </c>
      <c r="D517" s="230" t="n">
        <f aca="false">+D516*(1+(D$23/12))</f>
        <v>14774.1033731683</v>
      </c>
      <c r="E517" s="230"/>
      <c r="F517" s="230"/>
      <c r="G517" s="233"/>
      <c r="H517" s="233"/>
    </row>
    <row r="518" customFormat="false" ht="12.75" hidden="false" customHeight="false" outlineLevel="0" collapsed="false">
      <c r="A518" s="234"/>
      <c r="B518" s="231" t="n">
        <f aca="false">+DATE(YEAR(B517),MONTH(B517)+1,1)</f>
        <v>42248</v>
      </c>
      <c r="C518" s="230" t="n">
        <f aca="false">+C517*(1+(C$23/12))</f>
        <v>20151.1511397517</v>
      </c>
      <c r="D518" s="230" t="n">
        <f aca="false">+D517*(1+(D$23/12))</f>
        <v>14804.8827551958</v>
      </c>
      <c r="E518" s="230"/>
      <c r="F518" s="230"/>
      <c r="G518" s="233"/>
      <c r="H518" s="233"/>
    </row>
    <row r="519" customFormat="false" ht="12.75" hidden="false" customHeight="false" outlineLevel="0" collapsed="false">
      <c r="A519" s="234"/>
      <c r="B519" s="231" t="n">
        <f aca="false">+DATE(YEAR(B518),MONTH(B518)+1,1)</f>
        <v>42278</v>
      </c>
      <c r="C519" s="230" t="n">
        <f aca="false">+C518*(1+(C$23/12))</f>
        <v>20193.1327046262</v>
      </c>
      <c r="D519" s="230" t="n">
        <f aca="false">+D518*(1+(D$23/12))</f>
        <v>14835.7262609357</v>
      </c>
      <c r="E519" s="230"/>
      <c r="F519" s="230"/>
      <c r="G519" s="233"/>
      <c r="H519" s="233"/>
    </row>
    <row r="520" customFormat="false" ht="12.75" hidden="false" customHeight="false" outlineLevel="0" collapsed="false">
      <c r="A520" s="234"/>
      <c r="B520" s="231" t="n">
        <f aca="false">+DATE(YEAR(B519),MONTH(B519)+1,1)</f>
        <v>42309</v>
      </c>
      <c r="C520" s="230" t="n">
        <f aca="false">+C519*(1+(C$23/12))</f>
        <v>20235.2017310941</v>
      </c>
      <c r="D520" s="230" t="n">
        <f aca="false">+D519*(1+(D$23/12))</f>
        <v>14866.6340239794</v>
      </c>
      <c r="E520" s="230"/>
      <c r="F520" s="230"/>
      <c r="G520" s="233"/>
      <c r="H520" s="233"/>
    </row>
    <row r="521" customFormat="false" ht="12.75" hidden="false" customHeight="false" outlineLevel="0" collapsed="false">
      <c r="A521" s="234"/>
      <c r="B521" s="231" t="n">
        <f aca="false">+DATE(YEAR(B520),MONTH(B520)+1,1)</f>
        <v>42339</v>
      </c>
      <c r="C521" s="230" t="n">
        <f aca="false">+C520*(1+(C$23/12))</f>
        <v>20277.3584013672</v>
      </c>
      <c r="D521" s="230" t="n">
        <f aca="false">+D520*(1+(D$23/12))</f>
        <v>14897.606178196</v>
      </c>
      <c r="E521" s="230"/>
      <c r="F521" s="230"/>
      <c r="G521" s="233"/>
      <c r="H521" s="233"/>
    </row>
    <row r="522" customFormat="false" ht="12.75" hidden="false" customHeight="false" outlineLevel="0" collapsed="false">
      <c r="A522" s="234"/>
      <c r="B522" s="231" t="n">
        <f aca="false">+DATE(YEAR(B521),MONTH(B521)+1,1)</f>
        <v>42370</v>
      </c>
      <c r="C522" s="230" t="n">
        <f aca="false">+C521*(1+(C$23/12))</f>
        <v>20319.6028980368</v>
      </c>
      <c r="D522" s="230" t="n">
        <f aca="false">+D521*(1+(D$23/12))</f>
        <v>14928.6428577339</v>
      </c>
      <c r="E522" s="230"/>
      <c r="F522" s="230"/>
      <c r="G522" s="233"/>
      <c r="H522" s="233"/>
    </row>
    <row r="523" customFormat="false" ht="12.75" hidden="false" customHeight="false" outlineLevel="0" collapsed="false">
      <c r="A523" s="234"/>
      <c r="B523" s="231" t="n">
        <f aca="false">+DATE(YEAR(B522),MONTH(B522)+1,1)</f>
        <v>42401</v>
      </c>
      <c r="C523" s="230" t="n">
        <f aca="false">+C522*(1+(C$23/12))</f>
        <v>20361.9354040743</v>
      </c>
      <c r="D523" s="230" t="n">
        <f aca="false">+D522*(1+(D$23/12))</f>
        <v>14959.7441970208</v>
      </c>
      <c r="E523" s="230"/>
      <c r="F523" s="230"/>
      <c r="G523" s="233"/>
      <c r="H523" s="233"/>
    </row>
    <row r="524" customFormat="false" ht="12.75" hidden="false" customHeight="false" outlineLevel="0" collapsed="false">
      <c r="A524" s="234"/>
      <c r="B524" s="231" t="n">
        <f aca="false">+DATE(YEAR(B523),MONTH(B523)+1,1)</f>
        <v>42430</v>
      </c>
      <c r="C524" s="230" t="n">
        <f aca="false">+C523*(1+(C$23/12))</f>
        <v>20404.3561028328</v>
      </c>
      <c r="D524" s="230" t="n">
        <f aca="false">+D523*(1+(D$23/12))</f>
        <v>14990.9103307646</v>
      </c>
      <c r="E524" s="230"/>
      <c r="F524" s="230"/>
      <c r="G524" s="233"/>
      <c r="H524" s="233"/>
    </row>
    <row r="525" customFormat="false" ht="12.75" hidden="false" customHeight="false" outlineLevel="0" collapsed="false">
      <c r="A525" s="234"/>
      <c r="B525" s="231" t="n">
        <f aca="false">+DATE(YEAR(B524),MONTH(B524)+1,1)</f>
        <v>42461</v>
      </c>
      <c r="C525" s="230" t="n">
        <f aca="false">+C524*(1+(C$23/12))</f>
        <v>20446.8651780471</v>
      </c>
      <c r="D525" s="230" t="n">
        <f aca="false">+D524*(1+(D$23/12))</f>
        <v>15022.1413939537</v>
      </c>
      <c r="E525" s="230"/>
      <c r="F525" s="230"/>
      <c r="G525" s="233"/>
      <c r="H525" s="233"/>
    </row>
    <row r="526" customFormat="false" ht="12.75" hidden="false" customHeight="false" outlineLevel="0" collapsed="false">
      <c r="A526" s="234"/>
      <c r="B526" s="231" t="n">
        <f aca="false">+DATE(YEAR(B525),MONTH(B525)+1,1)</f>
        <v>42491</v>
      </c>
      <c r="C526" s="230" t="n">
        <f aca="false">+C525*(1+(C$23/12))</f>
        <v>20489.4628138347</v>
      </c>
      <c r="D526" s="230" t="n">
        <f aca="false">+D525*(1+(D$23/12))</f>
        <v>15053.4375218578</v>
      </c>
      <c r="E526" s="230"/>
      <c r="F526" s="230"/>
      <c r="G526" s="233"/>
      <c r="H526" s="233"/>
    </row>
    <row r="527" customFormat="false" ht="12.75" hidden="false" customHeight="false" outlineLevel="0" collapsed="false">
      <c r="A527" s="234"/>
      <c r="B527" s="231" t="n">
        <f aca="false">+DATE(YEAR(B526),MONTH(B526)+1,1)</f>
        <v>42522</v>
      </c>
      <c r="C527" s="230" t="n">
        <f aca="false">+C526*(1+(C$23/12))</f>
        <v>20532.1491946968</v>
      </c>
      <c r="D527" s="230" t="n">
        <f aca="false">+D526*(1+(D$23/12))</f>
        <v>15084.7988500283</v>
      </c>
      <c r="E527" s="230"/>
      <c r="F527" s="230"/>
      <c r="G527" s="233"/>
      <c r="H527" s="233"/>
    </row>
    <row r="528" customFormat="false" ht="12.75" hidden="false" customHeight="false" outlineLevel="0" collapsed="false">
      <c r="A528" s="234"/>
      <c r="B528" s="231" t="n">
        <f aca="false">+DATE(YEAR(B527),MONTH(B527)+1,1)</f>
        <v>42552</v>
      </c>
      <c r="C528" s="230" t="n">
        <f aca="false">+C527*(1+(C$23/12))</f>
        <v>20574.9245055191</v>
      </c>
      <c r="D528" s="230" t="n">
        <f aca="false">+D527*(1+(D$23/12))</f>
        <v>15116.2255142992</v>
      </c>
      <c r="E528" s="230"/>
      <c r="F528" s="230"/>
      <c r="G528" s="233"/>
      <c r="H528" s="233"/>
    </row>
    <row r="529" customFormat="false" ht="12.75" hidden="false" customHeight="false" outlineLevel="0" collapsed="false">
      <c r="A529" s="234"/>
      <c r="B529" s="231" t="n">
        <f aca="false">+DATE(YEAR(B528),MONTH(B528)+1,1)</f>
        <v>42583</v>
      </c>
      <c r="C529" s="230" t="n">
        <f aca="false">+C528*(1+(C$23/12))</f>
        <v>20617.7889315723</v>
      </c>
      <c r="D529" s="230" t="n">
        <f aca="false">+D528*(1+(D$23/12))</f>
        <v>15147.7176507874</v>
      </c>
      <c r="E529" s="230"/>
      <c r="F529" s="230"/>
      <c r="G529" s="233"/>
      <c r="H529" s="233"/>
    </row>
    <row r="530" customFormat="false" ht="12.75" hidden="false" customHeight="false" outlineLevel="0" collapsed="false">
      <c r="A530" s="234"/>
      <c r="B530" s="231" t="n">
        <f aca="false">+DATE(YEAR(B529),MONTH(B529)+1,1)</f>
        <v>42614</v>
      </c>
      <c r="C530" s="230" t="n">
        <f aca="false">+C529*(1+(C$23/12))</f>
        <v>20660.7426585131</v>
      </c>
      <c r="D530" s="230" t="n">
        <f aca="false">+D529*(1+(D$23/12))</f>
        <v>15179.2753958932</v>
      </c>
      <c r="E530" s="230"/>
      <c r="F530" s="230"/>
      <c r="G530" s="233"/>
      <c r="H530" s="233"/>
    </row>
    <row r="531" customFormat="false" ht="12.75" hidden="false" customHeight="false" outlineLevel="0" collapsed="false">
      <c r="A531" s="234"/>
      <c r="B531" s="231" t="n">
        <f aca="false">+DATE(YEAR(B530),MONTH(B530)+1,1)</f>
        <v>42644</v>
      </c>
      <c r="C531" s="230" t="n">
        <f aca="false">+C530*(1+(C$23/12))</f>
        <v>20703.785872385</v>
      </c>
      <c r="D531" s="230" t="n">
        <f aca="false">+D530*(1+(D$23/12))</f>
        <v>15210.8988863013</v>
      </c>
      <c r="E531" s="230"/>
      <c r="F531" s="230"/>
      <c r="G531" s="233"/>
      <c r="H531" s="233"/>
    </row>
    <row r="532" customFormat="false" ht="12.75" hidden="false" customHeight="false" outlineLevel="0" collapsed="false">
      <c r="A532" s="234"/>
      <c r="B532" s="231" t="n">
        <f aca="false">+DATE(YEAR(B531),MONTH(B531)+1,1)</f>
        <v>42675</v>
      </c>
      <c r="C532" s="230" t="n">
        <f aca="false">+C531*(1+(C$23/12))</f>
        <v>20746.9187596191</v>
      </c>
      <c r="D532" s="230" t="n">
        <f aca="false">+D531*(1+(D$23/12))</f>
        <v>15242.5882589811</v>
      </c>
      <c r="E532" s="230"/>
      <c r="F532" s="230"/>
      <c r="G532" s="233"/>
      <c r="H532" s="233"/>
    </row>
    <row r="533" customFormat="false" ht="12.75" hidden="false" customHeight="false" outlineLevel="0" collapsed="false">
      <c r="A533" s="234"/>
      <c r="B533" s="231" t="n">
        <f aca="false">+DATE(YEAR(B532),MONTH(B532)+1,1)</f>
        <v>42705</v>
      </c>
      <c r="C533" s="230" t="n">
        <f aca="false">+C532*(1+(C$23/12))</f>
        <v>20790.141507035</v>
      </c>
      <c r="D533" s="230" t="n">
        <f aca="false">+D532*(1+(D$23/12))</f>
        <v>15274.3436511873</v>
      </c>
      <c r="E533" s="230"/>
      <c r="F533" s="230"/>
      <c r="G533" s="233"/>
      <c r="H533" s="233"/>
    </row>
    <row r="534" customFormat="false" ht="12.75" hidden="false" customHeight="false" outlineLevel="0" collapsed="false">
      <c r="A534" s="234"/>
      <c r="B534" s="231" t="n">
        <f aca="false">+DATE(YEAR(B533),MONTH(B533)+1,1)</f>
        <v>42736</v>
      </c>
      <c r="C534" s="230" t="n">
        <f aca="false">+C533*(1+(C$23/12))</f>
        <v>20833.4543018413</v>
      </c>
      <c r="D534" s="230" t="n">
        <f aca="false">+D533*(1+(D$23/12))</f>
        <v>15306.1652004606</v>
      </c>
      <c r="E534" s="230"/>
      <c r="F534" s="230"/>
      <c r="G534" s="233"/>
      <c r="H534" s="233"/>
    </row>
    <row r="535" customFormat="false" ht="12.75" hidden="false" customHeight="false" outlineLevel="0" collapsed="false">
      <c r="A535" s="234"/>
      <c r="B535" s="231" t="n">
        <f aca="false">+DATE(YEAR(B534),MONTH(B534)+1,1)</f>
        <v>42767</v>
      </c>
      <c r="C535" s="230" t="n">
        <f aca="false">+C534*(1+(C$23/12))</f>
        <v>20876.8573316368</v>
      </c>
      <c r="D535" s="230" t="n">
        <f aca="false">+D534*(1+(D$23/12))</f>
        <v>15338.0530446282</v>
      </c>
      <c r="E535" s="230"/>
      <c r="F535" s="230"/>
      <c r="G535" s="233"/>
      <c r="H535" s="233"/>
    </row>
    <row r="536" customFormat="false" ht="12.75" hidden="false" customHeight="false" outlineLevel="0" collapsed="false">
      <c r="A536" s="234"/>
      <c r="B536" s="231" t="n">
        <f aca="false">+DATE(YEAR(B535),MONTH(B535)+1,1)</f>
        <v>42795</v>
      </c>
      <c r="C536" s="230" t="n">
        <f aca="false">+C535*(1+(C$23/12))</f>
        <v>20920.3507844111</v>
      </c>
      <c r="D536" s="230" t="n">
        <f aca="false">+D535*(1+(D$23/12))</f>
        <v>15370.0073218045</v>
      </c>
      <c r="E536" s="230"/>
      <c r="F536" s="230"/>
      <c r="G536" s="233"/>
      <c r="H536" s="233"/>
    </row>
    <row r="537" customFormat="false" ht="12.75" hidden="false" customHeight="false" outlineLevel="0" collapsed="false">
      <c r="A537" s="234"/>
      <c r="B537" s="231" t="n">
        <f aca="false">+DATE(YEAR(B536),MONTH(B536)+1,1)</f>
        <v>42826</v>
      </c>
      <c r="C537" s="230" t="n">
        <f aca="false">+C536*(1+(C$23/12))</f>
        <v>20963.9348485452</v>
      </c>
      <c r="D537" s="230" t="n">
        <f aca="false">+D536*(1+(D$23/12))</f>
        <v>15402.0281703916</v>
      </c>
      <c r="E537" s="230"/>
      <c r="F537" s="230"/>
      <c r="G537" s="233"/>
      <c r="H537" s="233"/>
    </row>
    <row r="538" customFormat="false" ht="12.75" hidden="false" customHeight="false" outlineLevel="0" collapsed="false">
      <c r="A538" s="234"/>
      <c r="B538" s="231" t="n">
        <f aca="false">+DATE(YEAR(B537),MONTH(B537)+1,1)</f>
        <v>42856</v>
      </c>
      <c r="C538" s="230" t="n">
        <f aca="false">+C537*(1+(C$23/12))</f>
        <v>21007.609712813</v>
      </c>
      <c r="D538" s="230" t="n">
        <f aca="false">+D537*(1+(D$23/12))</f>
        <v>15434.11572908</v>
      </c>
      <c r="E538" s="230"/>
      <c r="F538" s="230"/>
      <c r="G538" s="233"/>
      <c r="H538" s="233"/>
    </row>
    <row r="539" customFormat="false" ht="12.75" hidden="false" customHeight="false" outlineLevel="0" collapsed="false">
      <c r="A539" s="234"/>
      <c r="B539" s="231" t="n">
        <f aca="false">+DATE(YEAR(B538),MONTH(B538)+1,1)</f>
        <v>42887</v>
      </c>
      <c r="C539" s="230" t="n">
        <f aca="false">+C538*(1+(C$23/12))</f>
        <v>21051.3755663814</v>
      </c>
      <c r="D539" s="230" t="n">
        <f aca="false">+D538*(1+(D$23/12))</f>
        <v>15466.2701368489</v>
      </c>
      <c r="E539" s="230"/>
      <c r="F539" s="230"/>
      <c r="G539" s="233"/>
      <c r="H539" s="233"/>
    </row>
    <row r="540" customFormat="false" ht="12.75" hidden="false" customHeight="false" outlineLevel="0" collapsed="false">
      <c r="A540" s="234"/>
      <c r="B540" s="231" t="n">
        <f aca="false">+DATE(YEAR(B539),MONTH(B539)+1,1)</f>
        <v>42917</v>
      </c>
      <c r="C540" s="230" t="n">
        <f aca="false">+C539*(1+(C$23/12))</f>
        <v>21095.2325988114</v>
      </c>
      <c r="D540" s="230" t="n">
        <f aca="false">+D539*(1+(D$23/12))</f>
        <v>15498.4915329673</v>
      </c>
      <c r="E540" s="230"/>
      <c r="F540" s="230"/>
      <c r="G540" s="233"/>
      <c r="H540" s="233"/>
    </row>
    <row r="541" customFormat="false" ht="12.75" hidden="false" customHeight="false" outlineLevel="0" collapsed="false">
      <c r="A541" s="234"/>
      <c r="B541" s="231" t="n">
        <f aca="false">+DATE(YEAR(B540),MONTH(B540)+1,1)</f>
        <v>42948</v>
      </c>
      <c r="C541" s="230" t="n">
        <f aca="false">+C540*(1+(C$23/12))</f>
        <v>21139.1810000589</v>
      </c>
      <c r="D541" s="230" t="n">
        <f aca="false">+D540*(1+(D$23/12))</f>
        <v>15530.7800569943</v>
      </c>
      <c r="E541" s="230"/>
      <c r="F541" s="230"/>
      <c r="G541" s="233"/>
      <c r="H541" s="233"/>
    </row>
    <row r="542" customFormat="false" ht="12.75" hidden="false" customHeight="false" outlineLevel="0" collapsed="false">
      <c r="A542" s="234"/>
      <c r="B542" s="231" t="n">
        <f aca="false">+DATE(YEAR(B541),MONTH(B541)+1,1)</f>
        <v>42979</v>
      </c>
      <c r="C542" s="230" t="n">
        <f aca="false">+C541*(1+(C$23/12))</f>
        <v>21183.2209604757</v>
      </c>
      <c r="D542" s="230" t="n">
        <f aca="false">+D541*(1+(D$23/12))</f>
        <v>15563.1358487797</v>
      </c>
      <c r="E542" s="230"/>
      <c r="F542" s="230"/>
      <c r="G542" s="233"/>
      <c r="H542" s="233"/>
    </row>
    <row r="543" customFormat="false" ht="12.75" hidden="false" customHeight="false" outlineLevel="0" collapsed="false">
      <c r="A543" s="234"/>
      <c r="B543" s="231" t="n">
        <f aca="false">+DATE(YEAR(B542),MONTH(B542)+1,1)</f>
        <v>43009</v>
      </c>
      <c r="C543" s="230" t="n">
        <f aca="false">+C542*(1+(C$23/12))</f>
        <v>21227.35267081</v>
      </c>
      <c r="D543" s="230" t="n">
        <f aca="false">+D542*(1+(D$23/12))</f>
        <v>15595.5590484647</v>
      </c>
      <c r="E543" s="230"/>
      <c r="F543" s="230"/>
      <c r="G543" s="233"/>
      <c r="H543" s="233"/>
    </row>
    <row r="544" customFormat="false" ht="12.75" hidden="false" customHeight="false" outlineLevel="0" collapsed="false">
      <c r="A544" s="234"/>
      <c r="B544" s="231" t="n">
        <f aca="false">+DATE(YEAR(B543),MONTH(B543)+1,1)</f>
        <v>43040</v>
      </c>
      <c r="C544" s="230" t="n">
        <f aca="false">+C543*(1+(C$23/12))</f>
        <v>21271.5763222075</v>
      </c>
      <c r="D544" s="230" t="n">
        <f aca="false">+D543*(1+(D$23/12))</f>
        <v>15628.0497964823</v>
      </c>
      <c r="E544" s="230"/>
      <c r="F544" s="230"/>
      <c r="G544" s="233"/>
      <c r="H544" s="233"/>
    </row>
    <row r="545" customFormat="false" ht="12.75" hidden="false" customHeight="false" outlineLevel="0" collapsed="false">
      <c r="A545" s="234"/>
      <c r="B545" s="231" t="n">
        <f aca="false">+DATE(YEAR(B544),MONTH(B544)+1,1)</f>
        <v>43070</v>
      </c>
      <c r="C545" s="230" t="n">
        <f aca="false">+C544*(1+(C$23/12))</f>
        <v>21315.8921062121</v>
      </c>
      <c r="D545" s="230" t="n">
        <f aca="false">+D544*(1+(D$23/12))</f>
        <v>15660.6082335583</v>
      </c>
      <c r="E545" s="230"/>
      <c r="F545" s="230"/>
      <c r="G545" s="233"/>
      <c r="H545" s="233"/>
    </row>
    <row r="546" customFormat="false" ht="12.75" hidden="false" customHeight="false" outlineLevel="0" collapsed="false">
      <c r="A546" s="234"/>
      <c r="B546" s="231" t="n">
        <f aca="false">+DATE(YEAR(B545),MONTH(B545)+1,1)</f>
        <v>43101</v>
      </c>
      <c r="C546" s="230" t="n">
        <v>0</v>
      </c>
      <c r="D546" s="230" t="n">
        <f aca="false">+D545*(1+(D$23/12))</f>
        <v>15693.2345007116</v>
      </c>
      <c r="E546" s="230"/>
      <c r="F546" s="230"/>
      <c r="G546" s="233"/>
      <c r="H546" s="233"/>
    </row>
    <row r="547" customFormat="false" ht="12.75" hidden="false" customHeight="false" outlineLevel="0" collapsed="false">
      <c r="A547" s="234"/>
      <c r="B547" s="231" t="n">
        <f aca="false">+DATE(YEAR(B546),MONTH(B546)+1,1)</f>
        <v>43132</v>
      </c>
      <c r="C547" s="230" t="n">
        <f aca="false">+C546*(1+(C$23/12))</f>
        <v>0</v>
      </c>
      <c r="D547" s="230" t="n">
        <f aca="false">+D546*(1+(D$23/12))</f>
        <v>15725.9287392547</v>
      </c>
      <c r="E547" s="230"/>
      <c r="F547" s="230"/>
      <c r="G547" s="233"/>
      <c r="H547" s="233"/>
    </row>
    <row r="548" customFormat="false" ht="12.75" hidden="false" customHeight="false" outlineLevel="0" collapsed="false">
      <c r="A548" s="234"/>
      <c r="B548" s="231" t="n">
        <f aca="false">+DATE(YEAR(B547),MONTH(B547)+1,1)</f>
        <v>43160</v>
      </c>
      <c r="C548" s="230" t="n">
        <f aca="false">+C547*(1+(C$23/12))</f>
        <v>0</v>
      </c>
      <c r="D548" s="230" t="n">
        <f aca="false">+D547*(1+(D$23/12))</f>
        <v>15758.6910907948</v>
      </c>
      <c r="E548" s="230"/>
      <c r="F548" s="230"/>
      <c r="G548" s="233"/>
      <c r="H548" s="233"/>
    </row>
    <row r="549" customFormat="false" ht="12.75" hidden="false" customHeight="false" outlineLevel="0" collapsed="false">
      <c r="A549" s="234"/>
      <c r="B549" s="231" t="n">
        <f aca="false">+DATE(YEAR(B548),MONTH(B548)+1,1)</f>
        <v>43191</v>
      </c>
      <c r="C549" s="230" t="n">
        <f aca="false">+C548*(1+(C$23/12))</f>
        <v>0</v>
      </c>
      <c r="D549" s="230" t="n">
        <f aca="false">+D548*(1+(D$23/12))</f>
        <v>15791.521697234</v>
      </c>
      <c r="E549" s="230"/>
      <c r="F549" s="230"/>
      <c r="G549" s="233"/>
      <c r="H549" s="233"/>
    </row>
    <row r="550" customFormat="false" ht="12.75" hidden="false" customHeight="false" outlineLevel="0" collapsed="false">
      <c r="A550" s="234"/>
      <c r="B550" s="231" t="n">
        <f aca="false">+DATE(YEAR(B549),MONTH(B549)+1,1)</f>
        <v>43221</v>
      </c>
      <c r="C550" s="230" t="n">
        <f aca="false">+C549*(1+(C$23/12))</f>
        <v>0</v>
      </c>
      <c r="D550" s="230" t="n">
        <f aca="false">+D549*(1+(D$23/12))</f>
        <v>15824.4207007699</v>
      </c>
      <c r="E550" s="230"/>
      <c r="F550" s="230"/>
      <c r="G550" s="233"/>
      <c r="H550" s="233"/>
    </row>
    <row r="551" customFormat="false" ht="12.75" hidden="false" customHeight="false" outlineLevel="0" collapsed="false">
      <c r="A551" s="234"/>
      <c r="B551" s="231" t="n">
        <f aca="false">+DATE(YEAR(B550),MONTH(B550)+1,1)</f>
        <v>43252</v>
      </c>
      <c r="C551" s="230" t="n">
        <f aca="false">+C550*(1+(C$23/12))</f>
        <v>0</v>
      </c>
      <c r="D551" s="230" t="n">
        <f aca="false">+D550*(1+(D$23/12))</f>
        <v>15857.3882438965</v>
      </c>
      <c r="E551" s="230"/>
      <c r="F551" s="230"/>
      <c r="G551" s="233"/>
      <c r="H551" s="233"/>
    </row>
    <row r="552" customFormat="false" ht="12.75" hidden="false" customHeight="false" outlineLevel="0" collapsed="false">
      <c r="A552" s="234"/>
      <c r="B552" s="231" t="n">
        <f aca="false">+DATE(YEAR(B551),MONTH(B551)+1,1)</f>
        <v>43282</v>
      </c>
      <c r="C552" s="230" t="n">
        <f aca="false">+C551*(1+(C$23/12))</f>
        <v>0</v>
      </c>
      <c r="D552" s="230" t="n">
        <f aca="false">+D551*(1+(D$23/12))</f>
        <v>15890.4244694046</v>
      </c>
      <c r="E552" s="230"/>
      <c r="F552" s="230"/>
      <c r="G552" s="233"/>
      <c r="H552" s="233"/>
    </row>
    <row r="553" customFormat="false" ht="12.75" hidden="false" customHeight="false" outlineLevel="0" collapsed="false">
      <c r="A553" s="234"/>
      <c r="B553" s="231" t="n">
        <f aca="false">+DATE(YEAR(B552),MONTH(B552)+1,1)</f>
        <v>43313</v>
      </c>
      <c r="C553" s="230" t="n">
        <f aca="false">+C552*(1+(C$23/12))</f>
        <v>0</v>
      </c>
      <c r="D553" s="230" t="n">
        <f aca="false">+D552*(1+(D$23/12))</f>
        <v>15923.5295203826</v>
      </c>
      <c r="E553" s="230"/>
      <c r="F553" s="230"/>
      <c r="G553" s="233"/>
      <c r="H553" s="233"/>
    </row>
    <row r="554" customFormat="false" ht="12.75" hidden="false" customHeight="false" outlineLevel="0" collapsed="false">
      <c r="A554" s="234"/>
      <c r="B554" s="231" t="n">
        <f aca="false">+DATE(YEAR(B553),MONTH(B553)+1,1)</f>
        <v>43344</v>
      </c>
      <c r="C554" s="230" t="n">
        <f aca="false">+C553*(1+(C$23/12))</f>
        <v>0</v>
      </c>
      <c r="D554" s="230" t="n">
        <f aca="false">+D553*(1+(D$23/12))</f>
        <v>15956.7035402167</v>
      </c>
      <c r="E554" s="230"/>
      <c r="F554" s="230"/>
      <c r="G554" s="233"/>
      <c r="H554" s="233"/>
    </row>
    <row r="555" customFormat="false" ht="12.75" hidden="false" customHeight="false" outlineLevel="0" collapsed="false">
      <c r="A555" s="234"/>
      <c r="B555" s="231" t="n">
        <f aca="false">+DATE(YEAR(B554),MONTH(B554)+1,1)</f>
        <v>43374</v>
      </c>
      <c r="C555" s="230" t="n">
        <f aca="false">+C554*(1+(C$23/12))</f>
        <v>0</v>
      </c>
      <c r="D555" s="230" t="n">
        <f aca="false">+D554*(1+(D$23/12))</f>
        <v>15989.9466725921</v>
      </c>
      <c r="E555" s="230"/>
      <c r="F555" s="230"/>
      <c r="G555" s="233"/>
      <c r="H555" s="233"/>
    </row>
    <row r="556" customFormat="false" ht="12.75" hidden="false" customHeight="false" outlineLevel="0" collapsed="false">
      <c r="A556" s="234"/>
      <c r="B556" s="231" t="n">
        <f aca="false">+DATE(YEAR(B555),MONTH(B555)+1,1)</f>
        <v>43405</v>
      </c>
      <c r="C556" s="230" t="n">
        <f aca="false">+C555*(1+(C$23/12))</f>
        <v>0</v>
      </c>
      <c r="D556" s="230" t="n">
        <f aca="false">+D555*(1+(D$23/12))</f>
        <v>16023.2590614934</v>
      </c>
      <c r="E556" s="230"/>
      <c r="F556" s="230"/>
      <c r="G556" s="233"/>
      <c r="H556" s="233"/>
    </row>
    <row r="557" customFormat="false" ht="12.75" hidden="false" customHeight="false" outlineLevel="0" collapsed="false">
      <c r="A557" s="234"/>
      <c r="B557" s="231" t="n">
        <f aca="false">+DATE(YEAR(B556),MONTH(B556)+1,1)</f>
        <v>43435</v>
      </c>
      <c r="C557" s="230" t="n">
        <f aca="false">+C556*(1+(C$23/12))</f>
        <v>0</v>
      </c>
      <c r="D557" s="230" t="n">
        <f aca="false">+D556*(1+(D$23/12))</f>
        <v>16056.6408512048</v>
      </c>
      <c r="E557" s="230"/>
      <c r="F557" s="230"/>
      <c r="G557" s="233"/>
      <c r="H557" s="233"/>
    </row>
    <row r="558" customFormat="false" ht="12.75" hidden="false" customHeight="false" outlineLevel="0" collapsed="false">
      <c r="A558" s="234"/>
      <c r="B558" s="231" t="n">
        <f aca="false">+DATE(YEAR(B557),MONTH(B557)+1,1)</f>
        <v>43466</v>
      </c>
      <c r="C558" s="230" t="n">
        <f aca="false">+C557*(1+(C$23/12))</f>
        <v>0</v>
      </c>
      <c r="D558" s="230" t="n">
        <f aca="false">+D557*(1+(D$23/12))</f>
        <v>16090.0921863115</v>
      </c>
      <c r="E558" s="230"/>
      <c r="F558" s="230"/>
      <c r="G558" s="233"/>
      <c r="H558" s="233"/>
    </row>
    <row r="559" customFormat="false" ht="12.75" hidden="false" customHeight="false" outlineLevel="0" collapsed="false">
      <c r="A559" s="234"/>
      <c r="B559" s="231" t="n">
        <f aca="false">+DATE(YEAR(B558),MONTH(B558)+1,1)</f>
        <v>43497</v>
      </c>
      <c r="C559" s="230" t="n">
        <f aca="false">+C558*(1+(C$23/12))</f>
        <v>0</v>
      </c>
      <c r="D559" s="230" t="n">
        <f aca="false">+D558*(1+(D$23/12))</f>
        <v>16123.6132116997</v>
      </c>
      <c r="E559" s="230"/>
      <c r="F559" s="230"/>
      <c r="G559" s="233"/>
      <c r="H559" s="233"/>
    </row>
    <row r="560" customFormat="false" ht="12.75" hidden="false" customHeight="false" outlineLevel="0" collapsed="false">
      <c r="A560" s="234"/>
      <c r="B560" s="231" t="n">
        <f aca="false">+DATE(YEAR(B559),MONTH(B559)+1,1)</f>
        <v>43525</v>
      </c>
      <c r="C560" s="230" t="n">
        <f aca="false">+C559*(1+(C$23/12))</f>
        <v>0</v>
      </c>
      <c r="D560" s="230" t="n">
        <f aca="false">+D559*(1+(D$23/12))</f>
        <v>16157.2040725574</v>
      </c>
      <c r="E560" s="230"/>
      <c r="F560" s="230"/>
      <c r="G560" s="233"/>
      <c r="H560" s="233"/>
    </row>
    <row r="561" customFormat="false" ht="12.75" hidden="false" customHeight="false" outlineLevel="0" collapsed="false">
      <c r="A561" s="234"/>
      <c r="B561" s="231" t="n">
        <f aca="false">+DATE(YEAR(B560),MONTH(B560)+1,1)</f>
        <v>43556</v>
      </c>
      <c r="C561" s="230" t="n">
        <f aca="false">+C560*(1+(C$23/12))</f>
        <v>0</v>
      </c>
      <c r="D561" s="230" t="n">
        <f aca="false">+D560*(1+(D$23/12))</f>
        <v>16190.8649143752</v>
      </c>
      <c r="E561" s="230"/>
      <c r="F561" s="230"/>
      <c r="G561" s="233"/>
      <c r="H561" s="233"/>
    </row>
    <row r="562" customFormat="false" ht="12.75" hidden="false" customHeight="false" outlineLevel="0" collapsed="false">
      <c r="A562" s="234"/>
      <c r="B562" s="231" t="n">
        <f aca="false">+DATE(YEAR(B561),MONTH(B561)+1,1)</f>
        <v>43586</v>
      </c>
      <c r="C562" s="230" t="n">
        <f aca="false">+C561*(1+(C$23/12))</f>
        <v>0</v>
      </c>
      <c r="D562" s="230" t="n">
        <f aca="false">+D561*(1+(D$23/12))</f>
        <v>16224.5958829468</v>
      </c>
      <c r="E562" s="230"/>
      <c r="F562" s="230"/>
      <c r="G562" s="233"/>
      <c r="H562" s="233"/>
    </row>
    <row r="563" customFormat="false" ht="12.75" hidden="false" customHeight="false" outlineLevel="0" collapsed="false">
      <c r="A563" s="234"/>
      <c r="B563" s="231" t="n">
        <f aca="false">+DATE(YEAR(B562),MONTH(B562)+1,1)</f>
        <v>43617</v>
      </c>
      <c r="C563" s="230" t="n">
        <f aca="false">+C562*(1+(C$23/12))</f>
        <v>0</v>
      </c>
      <c r="D563" s="230" t="n">
        <f aca="false">+D562*(1+(D$23/12))</f>
        <v>16258.3971243696</v>
      </c>
      <c r="E563" s="230"/>
      <c r="F563" s="230"/>
      <c r="G563" s="233"/>
      <c r="H563" s="233"/>
    </row>
    <row r="564" customFormat="false" ht="12.75" hidden="false" customHeight="false" outlineLevel="0" collapsed="false">
      <c r="A564" s="234"/>
      <c r="B564" s="231" t="n">
        <f aca="false">+DATE(YEAR(B563),MONTH(B563)+1,1)</f>
        <v>43647</v>
      </c>
      <c r="C564" s="230" t="n">
        <f aca="false">+C563*(1+(C$23/12))</f>
        <v>0</v>
      </c>
      <c r="D564" s="230" t="n">
        <f aca="false">+D563*(1+(D$23/12))</f>
        <v>16292.2687850454</v>
      </c>
      <c r="E564" s="230"/>
      <c r="F564" s="230"/>
      <c r="G564" s="233"/>
      <c r="H564" s="233"/>
    </row>
    <row r="565" customFormat="false" ht="12.75" hidden="false" customHeight="false" outlineLevel="0" collapsed="false">
      <c r="A565" s="234"/>
      <c r="B565" s="231" t="n">
        <f aca="false">+DATE(YEAR(B564),MONTH(B564)+1,1)</f>
        <v>43678</v>
      </c>
      <c r="C565" s="230" t="n">
        <f aca="false">+C564*(1+(C$23/12))</f>
        <v>0</v>
      </c>
      <c r="D565" s="230" t="n">
        <f aca="false">+D564*(1+(D$23/12))</f>
        <v>16326.2110116809</v>
      </c>
      <c r="E565" s="230"/>
      <c r="F565" s="230"/>
      <c r="G565" s="233"/>
      <c r="H565" s="233"/>
    </row>
    <row r="566" customFormat="false" ht="12.75" hidden="false" customHeight="false" outlineLevel="0" collapsed="false">
      <c r="A566" s="234"/>
      <c r="B566" s="231" t="n">
        <f aca="false">+DATE(YEAR(B565),MONTH(B565)+1,1)</f>
        <v>43709</v>
      </c>
      <c r="C566" s="230" t="n">
        <f aca="false">+C565*(1+(C$23/12))</f>
        <v>0</v>
      </c>
      <c r="D566" s="230" t="n">
        <f aca="false">+D565*(1+(D$23/12))</f>
        <v>16360.2239512886</v>
      </c>
      <c r="E566" s="230"/>
      <c r="F566" s="230"/>
      <c r="G566" s="233"/>
      <c r="H566" s="233"/>
    </row>
    <row r="567" customFormat="false" ht="12.75" hidden="false" customHeight="false" outlineLevel="0" collapsed="false">
      <c r="A567" s="234"/>
      <c r="B567" s="231" t="n">
        <f aca="false">+DATE(YEAR(B566),MONTH(B566)+1,1)</f>
        <v>43739</v>
      </c>
      <c r="C567" s="230" t="n">
        <f aca="false">+C566*(1+(C$23/12))</f>
        <v>0</v>
      </c>
      <c r="D567" s="230" t="n">
        <f aca="false">+D566*(1+(D$23/12))</f>
        <v>16394.3077511871</v>
      </c>
      <c r="E567" s="230"/>
      <c r="F567" s="230"/>
      <c r="G567" s="233"/>
      <c r="H567" s="233"/>
    </row>
    <row r="568" customFormat="false" ht="12.75" hidden="false" customHeight="false" outlineLevel="0" collapsed="false">
      <c r="A568" s="234"/>
      <c r="B568" s="231" t="n">
        <f aca="false">+DATE(YEAR(B567),MONTH(B567)+1,1)</f>
        <v>43770</v>
      </c>
      <c r="C568" s="230" t="n">
        <f aca="false">+C567*(1+(C$23/12))</f>
        <v>0</v>
      </c>
      <c r="D568" s="230" t="n">
        <f aca="false">+D567*(1+(D$23/12))</f>
        <v>16428.4625590021</v>
      </c>
      <c r="E568" s="230"/>
      <c r="F568" s="230"/>
      <c r="G568" s="233"/>
      <c r="H568" s="233"/>
    </row>
    <row r="569" customFormat="false" ht="12.75" hidden="false" customHeight="false" outlineLevel="0" collapsed="false">
      <c r="A569" s="234"/>
      <c r="B569" s="231" t="n">
        <f aca="false">+DATE(YEAR(B568),MONTH(B568)+1,1)</f>
        <v>43800</v>
      </c>
      <c r="C569" s="230" t="n">
        <f aca="false">+C568*(1+(C$23/12))</f>
        <v>0</v>
      </c>
      <c r="D569" s="230" t="n">
        <f aca="false">+D568*(1+(D$23/12))</f>
        <v>16462.6885226667</v>
      </c>
      <c r="E569" s="230"/>
      <c r="F569" s="230"/>
      <c r="G569" s="233"/>
      <c r="H569" s="233"/>
    </row>
    <row r="570" customFormat="false" ht="12.75" hidden="false" customHeight="false" outlineLevel="0" collapsed="false">
      <c r="A570" s="234"/>
      <c r="B570" s="231" t="n">
        <f aca="false">+DATE(YEAR(B569),MONTH(B569)+1,1)</f>
        <v>43831</v>
      </c>
      <c r="C570" s="230" t="n">
        <f aca="false">+C569*(1+(C$23/12))</f>
        <v>0</v>
      </c>
      <c r="D570" s="230" t="n">
        <f aca="false">+D569*(1+(D$23/12))</f>
        <v>16496.9857904222</v>
      </c>
      <c r="E570" s="230"/>
      <c r="F570" s="230"/>
      <c r="G570" s="233"/>
      <c r="H570" s="233"/>
    </row>
    <row r="571" customFormat="false" ht="12.75" hidden="false" customHeight="false" outlineLevel="0" collapsed="false">
      <c r="A571" s="234"/>
      <c r="B571" s="231" t="n">
        <f aca="false">+DATE(YEAR(B570),MONTH(B570)+1,1)</f>
        <v>43862</v>
      </c>
      <c r="C571" s="230" t="n">
        <f aca="false">+C570*(1+(C$23/12))</f>
        <v>0</v>
      </c>
      <c r="D571" s="230" t="n">
        <f aca="false">+D570*(1+(D$23/12))</f>
        <v>16531.3545108189</v>
      </c>
      <c r="E571" s="230"/>
      <c r="F571" s="230"/>
      <c r="G571" s="233"/>
      <c r="H571" s="233"/>
    </row>
    <row r="572" customFormat="false" ht="12.75" hidden="false" customHeight="false" outlineLevel="0" collapsed="false">
      <c r="A572" s="234"/>
      <c r="B572" s="231" t="n">
        <f aca="false">+DATE(YEAR(B571),MONTH(B571)+1,1)</f>
        <v>43891</v>
      </c>
      <c r="C572" s="230" t="n">
        <f aca="false">+C571*(1+(C$23/12))</f>
        <v>0</v>
      </c>
      <c r="D572" s="230" t="n">
        <f aca="false">+D571*(1+(D$23/12))</f>
        <v>16565.7948327165</v>
      </c>
      <c r="E572" s="230"/>
      <c r="F572" s="230"/>
      <c r="G572" s="233"/>
      <c r="H572" s="233"/>
    </row>
    <row r="573" customFormat="false" ht="12.75" hidden="false" customHeight="false" outlineLevel="0" collapsed="false">
      <c r="A573" s="234"/>
      <c r="B573" s="231" t="n">
        <f aca="false">+DATE(YEAR(B572),MONTH(B572)+1,1)</f>
        <v>43922</v>
      </c>
      <c r="C573" s="230" t="n">
        <f aca="false">+C572*(1+(C$23/12))</f>
        <v>0</v>
      </c>
      <c r="D573" s="230" t="n">
        <f aca="false">+D572*(1+(D$23/12))</f>
        <v>16600.3069052846</v>
      </c>
      <c r="E573" s="230"/>
      <c r="F573" s="230"/>
      <c r="G573" s="233"/>
      <c r="H573" s="233"/>
    </row>
    <row r="574" customFormat="false" ht="12.75" hidden="false" customHeight="false" outlineLevel="0" collapsed="false">
      <c r="A574" s="234"/>
      <c r="B574" s="231" t="n">
        <f aca="false">+DATE(YEAR(B573),MONTH(B573)+1,1)</f>
        <v>43952</v>
      </c>
      <c r="C574" s="230" t="n">
        <f aca="false">+C573*(1+(C$23/12))</f>
        <v>0</v>
      </c>
      <c r="D574" s="230" t="n">
        <f aca="false">+D573*(1+(D$23/12))</f>
        <v>16634.890878004</v>
      </c>
      <c r="E574" s="230"/>
      <c r="F574" s="230"/>
      <c r="G574" s="233"/>
      <c r="H574" s="233"/>
    </row>
    <row r="575" customFormat="false" ht="12.75" hidden="false" customHeight="false" outlineLevel="0" collapsed="false">
      <c r="A575" s="234"/>
      <c r="B575" s="231" t="n">
        <f aca="false">+DATE(YEAR(B574),MONTH(B574)+1,1)</f>
        <v>43983</v>
      </c>
      <c r="C575" s="230" t="n">
        <f aca="false">+C574*(1+(C$23/12))</f>
        <v>0</v>
      </c>
      <c r="D575" s="230" t="n">
        <f aca="false">+D574*(1+(D$23/12))</f>
        <v>16669.5469006665</v>
      </c>
      <c r="E575" s="230"/>
      <c r="F575" s="230"/>
      <c r="G575" s="233"/>
      <c r="H575" s="233"/>
    </row>
    <row r="576" customFormat="false" ht="12.75" hidden="false" customHeight="false" outlineLevel="0" collapsed="false">
      <c r="A576" s="234"/>
      <c r="B576" s="231" t="n">
        <f aca="false">+DATE(YEAR(B575),MONTH(B575)+1,1)</f>
        <v>44013</v>
      </c>
      <c r="C576" s="230" t="n">
        <f aca="false">+C575*(1+(C$23/12))</f>
        <v>0</v>
      </c>
      <c r="D576" s="230" t="n">
        <f aca="false">+D575*(1+(D$23/12))</f>
        <v>16704.2751233762</v>
      </c>
      <c r="E576" s="230"/>
      <c r="F576" s="230"/>
      <c r="G576" s="233"/>
      <c r="H576" s="233"/>
    </row>
    <row r="577" customFormat="false" ht="12.75" hidden="false" customHeight="false" outlineLevel="0" collapsed="false">
      <c r="A577" s="234"/>
      <c r="B577" s="231" t="n">
        <f aca="false">+DATE(YEAR(B576),MONTH(B576)+1,1)</f>
        <v>44044</v>
      </c>
      <c r="C577" s="230" t="n">
        <f aca="false">+C576*(1+(C$23/12))</f>
        <v>0</v>
      </c>
      <c r="D577" s="230" t="n">
        <f aca="false">+D576*(1+(D$23/12))</f>
        <v>16739.0756965499</v>
      </c>
      <c r="E577" s="230"/>
      <c r="F577" s="230"/>
      <c r="G577" s="233"/>
      <c r="H577" s="233"/>
    </row>
    <row r="578" customFormat="false" ht="12.75" hidden="false" customHeight="false" outlineLevel="0" collapsed="false">
      <c r="A578" s="234"/>
      <c r="B578" s="231" t="n">
        <f aca="false">+DATE(YEAR(B577),MONTH(B577)+1,1)</f>
        <v>44075</v>
      </c>
      <c r="C578" s="230" t="n">
        <f aca="false">+C577*(1+(C$23/12))</f>
        <v>0</v>
      </c>
      <c r="D578" s="230" t="n">
        <f aca="false">+D577*(1+(D$23/12))</f>
        <v>16773.9487709177</v>
      </c>
      <c r="E578" s="230"/>
      <c r="F578" s="230"/>
      <c r="G578" s="233"/>
      <c r="H578" s="233"/>
    </row>
    <row r="579" customFormat="false" ht="12.75" hidden="false" customHeight="false" outlineLevel="0" collapsed="false">
      <c r="A579" s="234"/>
      <c r="B579" s="231" t="n">
        <f aca="false">+DATE(YEAR(B578),MONTH(B578)+1,1)</f>
        <v>44105</v>
      </c>
      <c r="C579" s="230" t="n">
        <f aca="false">+C578*(1+(C$23/12))</f>
        <v>0</v>
      </c>
      <c r="D579" s="230" t="n">
        <f aca="false">+D578*(1+(D$23/12))</f>
        <v>16808.8944975238</v>
      </c>
      <c r="E579" s="230"/>
      <c r="F579" s="230"/>
      <c r="G579" s="233"/>
      <c r="H579" s="233"/>
    </row>
    <row r="580" customFormat="false" ht="12.75" hidden="false" customHeight="false" outlineLevel="0" collapsed="false">
      <c r="A580" s="234"/>
      <c r="B580" s="231" t="n">
        <f aca="false">+DATE(YEAR(B579),MONTH(B579)+1,1)</f>
        <v>44136</v>
      </c>
      <c r="C580" s="230" t="n">
        <f aca="false">+C579*(1+(C$23/12))</f>
        <v>0</v>
      </c>
      <c r="D580" s="230" t="n">
        <f aca="false">+D579*(1+(D$23/12))</f>
        <v>16843.913027727</v>
      </c>
      <c r="E580" s="230"/>
      <c r="F580" s="230"/>
      <c r="G580" s="233"/>
      <c r="H580" s="233"/>
    </row>
    <row r="581" customFormat="false" ht="12.75" hidden="false" customHeight="false" outlineLevel="0" collapsed="false">
      <c r="A581" s="234"/>
      <c r="B581" s="231" t="n">
        <f aca="false">+DATE(YEAR(B580),MONTH(B580)+1,1)</f>
        <v>44166</v>
      </c>
      <c r="C581" s="230" t="n">
        <f aca="false">+C580*(1+(C$23/12))</f>
        <v>0</v>
      </c>
      <c r="D581" s="230" t="n">
        <f aca="false">+D580*(1+(D$23/12))</f>
        <v>16879.0045132014</v>
      </c>
      <c r="E581" s="230"/>
      <c r="F581" s="230"/>
      <c r="G581" s="233"/>
      <c r="H581" s="233"/>
    </row>
    <row r="582" customFormat="false" ht="12.75" hidden="false" customHeight="false" outlineLevel="0" collapsed="false">
      <c r="A582" s="234"/>
      <c r="B582" s="231" t="n">
        <f aca="false">+DATE(YEAR(B581),MONTH(B581)+1,1)</f>
        <v>44197</v>
      </c>
      <c r="C582" s="230" t="n">
        <f aca="false">+C581*(1+(C$23/12))</f>
        <v>0</v>
      </c>
      <c r="D582" s="230" t="n">
        <f aca="false">+D581*(1+(D$23/12))</f>
        <v>16914.1691059373</v>
      </c>
      <c r="E582" s="230"/>
      <c r="F582" s="230"/>
      <c r="G582" s="233"/>
      <c r="H582" s="233"/>
    </row>
    <row r="583" customFormat="false" ht="12.75" hidden="false" customHeight="false" outlineLevel="0" collapsed="false">
      <c r="A583" s="234"/>
      <c r="B583" s="231" t="n">
        <f aca="false">+DATE(YEAR(B582),MONTH(B582)+1,1)</f>
        <v>44228</v>
      </c>
      <c r="C583" s="230" t="n">
        <f aca="false">+C582*(1+(C$23/12))</f>
        <v>0</v>
      </c>
      <c r="D583" s="230" t="n">
        <f aca="false">+D582*(1+(D$23/12))</f>
        <v>16949.4069582413</v>
      </c>
      <c r="E583" s="230"/>
      <c r="F583" s="230"/>
      <c r="G583" s="233"/>
      <c r="H583" s="233"/>
    </row>
    <row r="584" customFormat="false" ht="12.75" hidden="false" customHeight="false" outlineLevel="0" collapsed="false">
      <c r="A584" s="234"/>
      <c r="B584" s="231" t="n">
        <f aca="false">+DATE(YEAR(B583),MONTH(B583)+1,1)</f>
        <v>44256</v>
      </c>
      <c r="C584" s="230" t="n">
        <f aca="false">+C583*(1+(C$23/12))</f>
        <v>0</v>
      </c>
      <c r="D584" s="230" t="n">
        <f aca="false">+D583*(1+(D$23/12))</f>
        <v>16984.7182227376</v>
      </c>
      <c r="E584" s="230"/>
      <c r="F584" s="230"/>
      <c r="G584" s="233"/>
      <c r="H584" s="233"/>
    </row>
    <row r="585" customFormat="false" ht="12.75" hidden="false" customHeight="false" outlineLevel="0" collapsed="false">
      <c r="A585" s="234"/>
      <c r="B585" s="231" t="n">
        <f aca="false">+DATE(YEAR(B584),MONTH(B584)+1,1)</f>
        <v>44287</v>
      </c>
      <c r="C585" s="230" t="n">
        <f aca="false">+C584*(1+(C$23/12))</f>
        <v>0</v>
      </c>
      <c r="D585" s="230" t="n">
        <f aca="false">+D584*(1+(D$23/12))</f>
        <v>17020.1030523683</v>
      </c>
      <c r="E585" s="230"/>
      <c r="F585" s="230"/>
      <c r="G585" s="233"/>
      <c r="H585" s="233"/>
    </row>
    <row r="586" customFormat="false" ht="12.75" hidden="false" customHeight="false" outlineLevel="0" collapsed="false">
      <c r="A586" s="234"/>
      <c r="B586" s="231" t="n">
        <f aca="false">+DATE(YEAR(B585),MONTH(B585)+1,1)</f>
        <v>44317</v>
      </c>
      <c r="C586" s="230" t="n">
        <f aca="false">+C585*(1+(C$23/12))</f>
        <v>0</v>
      </c>
      <c r="D586" s="230" t="n">
        <f aca="false">+D585*(1+(D$23/12))</f>
        <v>17055.5616003941</v>
      </c>
      <c r="E586" s="230"/>
      <c r="F586" s="230"/>
      <c r="G586" s="233"/>
      <c r="H586" s="233"/>
    </row>
    <row r="587" customFormat="false" ht="12.75" hidden="false" customHeight="false" outlineLevel="0" collapsed="false">
      <c r="A587" s="234"/>
      <c r="B587" s="231" t="n">
        <f aca="false">+DATE(YEAR(B586),MONTH(B586)+1,1)</f>
        <v>44348</v>
      </c>
      <c r="C587" s="230" t="n">
        <f aca="false">+C586*(1+(C$23/12))</f>
        <v>0</v>
      </c>
      <c r="D587" s="230" t="n">
        <f aca="false">+D586*(1+(D$23/12))</f>
        <v>17091.0940203949</v>
      </c>
      <c r="E587" s="230"/>
      <c r="F587" s="230"/>
      <c r="G587" s="233"/>
      <c r="H587" s="233"/>
    </row>
    <row r="588" customFormat="false" ht="12.75" hidden="false" customHeight="false" outlineLevel="0" collapsed="false">
      <c r="A588" s="234"/>
      <c r="B588" s="231" t="n">
        <f aca="false">+DATE(YEAR(B587),MONTH(B587)+1,1)</f>
        <v>44378</v>
      </c>
      <c r="C588" s="230" t="n">
        <f aca="false">+C587*(1+(C$23/12))</f>
        <v>0</v>
      </c>
      <c r="D588" s="230" t="n">
        <f aca="false">+D587*(1+(D$23/12))</f>
        <v>17126.7004662708</v>
      </c>
      <c r="E588" s="230"/>
      <c r="F588" s="230"/>
      <c r="G588" s="233"/>
      <c r="H588" s="233"/>
    </row>
    <row r="589" customFormat="false" ht="12.75" hidden="false" customHeight="false" outlineLevel="0" collapsed="false">
      <c r="A589" s="234"/>
      <c r="B589" s="231" t="n">
        <f aca="false">+DATE(YEAR(B588),MONTH(B588)+1,1)</f>
        <v>44409</v>
      </c>
      <c r="C589" s="230" t="n">
        <f aca="false">+C588*(1+(C$23/12))</f>
        <v>0</v>
      </c>
      <c r="D589" s="230" t="n">
        <f aca="false">+D588*(1+(D$23/12))</f>
        <v>17162.3810922422</v>
      </c>
      <c r="E589" s="230"/>
      <c r="F589" s="230"/>
      <c r="G589" s="233"/>
      <c r="H589" s="233"/>
    </row>
    <row r="590" customFormat="false" ht="12.75" hidden="false" customHeight="false" outlineLevel="0" collapsed="false">
      <c r="A590" s="234"/>
      <c r="B590" s="231" t="n">
        <f aca="false">+DATE(YEAR(B589),MONTH(B589)+1,1)</f>
        <v>44440</v>
      </c>
      <c r="C590" s="230" t="n">
        <f aca="false">+C589*(1+(C$23/12))</f>
        <v>0</v>
      </c>
      <c r="D590" s="230" t="n">
        <f aca="false">+D589*(1+(D$23/12))</f>
        <v>17198.136052851</v>
      </c>
      <c r="E590" s="230"/>
      <c r="F590" s="230"/>
      <c r="G590" s="233"/>
      <c r="H590" s="233"/>
    </row>
    <row r="591" customFormat="false" ht="12.75" hidden="false" customHeight="false" outlineLevel="0" collapsed="false">
      <c r="A591" s="234"/>
      <c r="B591" s="231" t="n">
        <f aca="false">+DATE(YEAR(B590),MONTH(B590)+1,1)</f>
        <v>44470</v>
      </c>
      <c r="C591" s="230" t="n">
        <f aca="false">+C590*(1+(C$23/12))</f>
        <v>0</v>
      </c>
      <c r="D591" s="230" t="n">
        <f aca="false">+D590*(1+(D$23/12))</f>
        <v>17233.9655029611</v>
      </c>
      <c r="E591" s="230"/>
      <c r="F591" s="230"/>
      <c r="G591" s="233"/>
      <c r="H591" s="233"/>
    </row>
    <row r="592" customFormat="false" ht="12.75" hidden="false" customHeight="false" outlineLevel="0" collapsed="false">
      <c r="A592" s="234"/>
      <c r="B592" s="231" t="n">
        <f aca="false">+DATE(YEAR(B591),MONTH(B591)+1,1)</f>
        <v>44501</v>
      </c>
      <c r="C592" s="230" t="n">
        <f aca="false">+C591*(1+(C$23/12))</f>
        <v>0</v>
      </c>
      <c r="D592" s="230" t="n">
        <f aca="false">+D591*(1+(D$23/12))</f>
        <v>17269.8695977589</v>
      </c>
      <c r="E592" s="230"/>
      <c r="F592" s="230"/>
      <c r="G592" s="233"/>
      <c r="H592" s="233"/>
    </row>
    <row r="593" customFormat="false" ht="12.75" hidden="false" customHeight="false" outlineLevel="0" collapsed="false">
      <c r="A593" s="234"/>
      <c r="B593" s="231" t="n">
        <f aca="false">+DATE(YEAR(B592),MONTH(B592)+1,1)</f>
        <v>44531</v>
      </c>
      <c r="C593" s="230" t="n">
        <f aca="false">+C592*(1+(C$23/12))</f>
        <v>0</v>
      </c>
      <c r="D593" s="230" t="n">
        <f aca="false">+D592*(1+(D$23/12))</f>
        <v>17305.8484927543</v>
      </c>
      <c r="E593" s="230"/>
      <c r="F593" s="230"/>
      <c r="G593" s="233"/>
      <c r="H593" s="233"/>
    </row>
    <row r="594" customFormat="false" ht="12.75" hidden="false" customHeight="false" outlineLevel="0" collapsed="false">
      <c r="A594" s="234"/>
      <c r="B594" s="231" t="n">
        <f aca="false">+DATE(YEAR(B593),MONTH(B593)+1,1)</f>
        <v>44562</v>
      </c>
      <c r="C594" s="230" t="n">
        <f aca="false">+C593*(1+(C$23/12))</f>
        <v>0</v>
      </c>
      <c r="D594" s="230" t="n">
        <f aca="false">+D593*(1+(D$23/12))</f>
        <v>17341.9023437808</v>
      </c>
      <c r="E594" s="230"/>
      <c r="F594" s="230"/>
      <c r="G594" s="233"/>
      <c r="H594" s="233"/>
    </row>
    <row r="595" customFormat="false" ht="12.75" hidden="false" customHeight="false" outlineLevel="0" collapsed="false">
      <c r="A595" s="234"/>
      <c r="B595" s="231" t="n">
        <f aca="false">+DATE(YEAR(B594),MONTH(B594)+1,1)</f>
        <v>44593</v>
      </c>
      <c r="C595" s="230" t="n">
        <f aca="false">+C594*(1+(C$23/12))</f>
        <v>0</v>
      </c>
      <c r="D595" s="230" t="n">
        <f aca="false">+D594*(1+(D$23/12))</f>
        <v>17378.0313069971</v>
      </c>
      <c r="E595" s="230"/>
      <c r="F595" s="230"/>
      <c r="G595" s="233"/>
      <c r="H595" s="233"/>
    </row>
    <row r="596" customFormat="false" ht="12.75" hidden="false" customHeight="false" outlineLevel="0" collapsed="false">
      <c r="A596" s="234"/>
      <c r="B596" s="231" t="n">
        <f aca="false">+DATE(YEAR(B595),MONTH(B595)+1,1)</f>
        <v>44621</v>
      </c>
      <c r="C596" s="230" t="n">
        <f aca="false">+C595*(1+(C$23/12))</f>
        <v>0</v>
      </c>
      <c r="D596" s="230" t="n">
        <f aca="false">+D595*(1+(D$23/12))</f>
        <v>17414.2355388866</v>
      </c>
      <c r="E596" s="230"/>
      <c r="F596" s="230"/>
      <c r="G596" s="233"/>
      <c r="H596" s="233"/>
    </row>
    <row r="597" customFormat="false" ht="12.75" hidden="false" customHeight="false" outlineLevel="0" collapsed="false">
      <c r="A597" s="234"/>
      <c r="B597" s="231" t="n">
        <f aca="false">+DATE(YEAR(B596),MONTH(B596)+1,1)</f>
        <v>44652</v>
      </c>
      <c r="C597" s="230" t="n">
        <f aca="false">+C596*(1+(C$23/12))</f>
        <v>0</v>
      </c>
      <c r="D597" s="230" t="n">
        <f aca="false">+D596*(1+(D$23/12))</f>
        <v>17450.5151962593</v>
      </c>
      <c r="E597" s="230"/>
      <c r="F597" s="230"/>
      <c r="G597" s="233"/>
      <c r="H597" s="233"/>
    </row>
    <row r="598" customFormat="false" ht="12.75" hidden="false" customHeight="false" outlineLevel="0" collapsed="false">
      <c r="A598" s="234"/>
      <c r="B598" s="231" t="n">
        <f aca="false">+DATE(YEAR(B597),MONTH(B597)+1,1)</f>
        <v>44682</v>
      </c>
      <c r="C598" s="230" t="n">
        <f aca="false">+C597*(1+(C$23/12))</f>
        <v>0</v>
      </c>
      <c r="D598" s="230" t="n">
        <f aca="false">+D597*(1+(D$23/12))</f>
        <v>17486.8704362515</v>
      </c>
      <c r="E598" s="230"/>
      <c r="F598" s="230"/>
      <c r="G598" s="233"/>
      <c r="H598" s="233"/>
    </row>
    <row r="599" customFormat="false" ht="12.75" hidden="false" customHeight="false" outlineLevel="0" collapsed="false">
      <c r="A599" s="234"/>
      <c r="B599" s="231" t="n">
        <f aca="false">+DATE(YEAR(B598),MONTH(B598)+1,1)</f>
        <v>44713</v>
      </c>
      <c r="C599" s="230" t="n">
        <f aca="false">+C598*(1+(C$23/12))</f>
        <v>0</v>
      </c>
      <c r="D599" s="230" t="n">
        <f aca="false">+D598*(1+(D$23/12))</f>
        <v>17523.3014163271</v>
      </c>
      <c r="E599" s="230"/>
      <c r="F599" s="230"/>
      <c r="G599" s="233"/>
      <c r="H599" s="233"/>
    </row>
    <row r="600" customFormat="false" ht="12.75" hidden="false" customHeight="false" outlineLevel="0" collapsed="false">
      <c r="A600" s="234"/>
      <c r="B600" s="231" t="n">
        <f aca="false">+DATE(YEAR(B599),MONTH(B599)+1,1)</f>
        <v>44743</v>
      </c>
      <c r="C600" s="230" t="n">
        <f aca="false">+C599*(1+(C$23/12))</f>
        <v>0</v>
      </c>
      <c r="D600" s="230" t="n">
        <f aca="false">+D599*(1+(D$23/12))</f>
        <v>17559.8082942777</v>
      </c>
      <c r="E600" s="230"/>
      <c r="F600" s="230"/>
      <c r="G600" s="233"/>
      <c r="H600" s="233"/>
    </row>
    <row r="601" customFormat="false" ht="12.75" hidden="false" customHeight="false" outlineLevel="0" collapsed="false">
      <c r="A601" s="234"/>
      <c r="B601" s="231" t="n">
        <f aca="false">+DATE(YEAR(B600),MONTH(B600)+1,1)</f>
        <v>44774</v>
      </c>
      <c r="C601" s="230" t="n">
        <f aca="false">+C600*(1+(C$23/12))</f>
        <v>0</v>
      </c>
      <c r="D601" s="230" t="n">
        <f aca="false">+D600*(1+(D$23/12))</f>
        <v>17596.3912282242</v>
      </c>
      <c r="E601" s="230"/>
      <c r="F601" s="230"/>
      <c r="G601" s="233"/>
      <c r="H601" s="233"/>
    </row>
    <row r="602" customFormat="false" ht="12.75" hidden="false" customHeight="false" outlineLevel="0" collapsed="false">
      <c r="A602" s="234"/>
      <c r="B602" s="231" t="n">
        <f aca="false">+DATE(YEAR(B601),MONTH(B601)+1,1)</f>
        <v>44805</v>
      </c>
      <c r="C602" s="230" t="n">
        <f aca="false">+C601*(1+(C$23/12))</f>
        <v>0</v>
      </c>
      <c r="D602" s="230" t="n">
        <f aca="false">+D601*(1+(D$23/12))</f>
        <v>17633.0503766163</v>
      </c>
      <c r="E602" s="230"/>
      <c r="F602" s="230"/>
      <c r="G602" s="233"/>
      <c r="H602" s="233"/>
    </row>
    <row r="603" customFormat="false" ht="12.75" hidden="false" customHeight="false" outlineLevel="0" collapsed="false">
      <c r="A603" s="234"/>
      <c r="B603" s="231" t="n">
        <f aca="false">+DATE(YEAR(B602),MONTH(B602)+1,1)</f>
        <v>44835</v>
      </c>
      <c r="C603" s="230" t="n">
        <f aca="false">+C602*(1+(C$23/12))</f>
        <v>0</v>
      </c>
      <c r="D603" s="230" t="n">
        <f aca="false">+D602*(1+(D$23/12))</f>
        <v>17669.7858982342</v>
      </c>
      <c r="E603" s="230"/>
      <c r="F603" s="230"/>
      <c r="G603" s="233"/>
      <c r="H603" s="233"/>
    </row>
    <row r="604" customFormat="false" ht="12.75" hidden="false" customHeight="false" outlineLevel="0" collapsed="false">
      <c r="A604" s="234"/>
      <c r="B604" s="231" t="n">
        <f aca="false">+DATE(YEAR(B603),MONTH(B603)+1,1)</f>
        <v>44866</v>
      </c>
      <c r="C604" s="230" t="n">
        <f aca="false">+C603*(1+(C$23/12))</f>
        <v>0</v>
      </c>
      <c r="D604" s="230" t="n">
        <f aca="false">+D603*(1+(D$23/12))</f>
        <v>17706.5979521889</v>
      </c>
      <c r="E604" s="230"/>
      <c r="F604" s="230"/>
      <c r="G604" s="233"/>
      <c r="H604" s="233"/>
    </row>
    <row r="605" customFormat="false" ht="12.75" hidden="false" customHeight="false" outlineLevel="0" collapsed="false">
      <c r="A605" s="234"/>
      <c r="B605" s="231" t="n">
        <f aca="false">+DATE(YEAR(B604),MONTH(B604)+1,1)</f>
        <v>44896</v>
      </c>
      <c r="C605" s="230" t="n">
        <f aca="false">+C604*(1+(C$23/12))</f>
        <v>0</v>
      </c>
      <c r="D605" s="230" t="n">
        <f aca="false">+D604*(1+(D$23/12))</f>
        <v>17743.4866979226</v>
      </c>
      <c r="E605" s="230"/>
      <c r="F605" s="230"/>
      <c r="G605" s="233"/>
      <c r="H605" s="233"/>
    </row>
    <row r="606" customFormat="false" ht="12.75" hidden="false" customHeight="false" outlineLevel="0" collapsed="false">
      <c r="A606" s="234"/>
      <c r="B606" s="231" t="n">
        <f aca="false">+DATE(YEAR(B605),MONTH(B605)+1,1)</f>
        <v>44927</v>
      </c>
      <c r="C606" s="230" t="n">
        <f aca="false">+C605*(1+(C$23/12))</f>
        <v>0</v>
      </c>
      <c r="D606" s="230" t="n">
        <f aca="false">+D605*(1+(D$23/12))</f>
        <v>17780.45229521</v>
      </c>
      <c r="E606" s="230"/>
      <c r="F606" s="230"/>
      <c r="G606" s="233"/>
      <c r="H606" s="233"/>
    </row>
    <row r="607" customFormat="false" ht="12.75" hidden="false" customHeight="false" outlineLevel="0" collapsed="false">
      <c r="A607" s="234"/>
      <c r="B607" s="231" t="n">
        <f aca="false">+DATE(YEAR(B606),MONTH(B606)+1,1)</f>
        <v>44958</v>
      </c>
      <c r="C607" s="230" t="n">
        <f aca="false">+C606*(1+(C$23/12))</f>
        <v>0</v>
      </c>
      <c r="D607" s="230" t="n">
        <f aca="false">+D606*(1+(D$23/12))</f>
        <v>17817.4949041583</v>
      </c>
      <c r="E607" s="230"/>
      <c r="F607" s="230"/>
      <c r="G607" s="233"/>
      <c r="H607" s="233"/>
    </row>
    <row r="608" customFormat="false" ht="12.75" hidden="false" customHeight="false" outlineLevel="0" collapsed="false">
      <c r="A608" s="234"/>
      <c r="B608" s="231" t="n">
        <f aca="false">+DATE(YEAR(B607),MONTH(B607)+1,1)</f>
        <v>44986</v>
      </c>
      <c r="C608" s="230" t="n">
        <f aca="false">+C607*(1+(C$23/12))</f>
        <v>0</v>
      </c>
      <c r="D608" s="230" t="n">
        <f aca="false">+D607*(1+(D$23/12))</f>
        <v>17854.6146852087</v>
      </c>
      <c r="E608" s="230"/>
      <c r="F608" s="230"/>
      <c r="G608" s="233"/>
      <c r="H608" s="233"/>
    </row>
    <row r="609" customFormat="false" ht="12.75" hidden="false" customHeight="false" outlineLevel="0" collapsed="false">
      <c r="A609" s="234"/>
      <c r="B609" s="231" t="n">
        <f aca="false">+DATE(YEAR(B608),MONTH(B608)+1,1)</f>
        <v>45017</v>
      </c>
      <c r="C609" s="230" t="n">
        <f aca="false">+C608*(1+(C$23/12))</f>
        <v>0</v>
      </c>
      <c r="D609" s="230" t="n">
        <f aca="false">+D608*(1+(D$23/12))</f>
        <v>17891.8117991362</v>
      </c>
      <c r="E609" s="230"/>
      <c r="F609" s="230"/>
      <c r="G609" s="233"/>
      <c r="H609" s="233"/>
    </row>
    <row r="610" customFormat="false" ht="12.75" hidden="false" customHeight="false" outlineLevel="0" collapsed="false">
      <c r="A610" s="234"/>
      <c r="B610" s="231" t="n">
        <f aca="false">+DATE(YEAR(B609),MONTH(B609)+1,1)</f>
        <v>45047</v>
      </c>
      <c r="C610" s="230" t="n">
        <f aca="false">+C609*(1+(C$23/12))</f>
        <v>0</v>
      </c>
      <c r="D610" s="230" t="n">
        <f aca="false">+D609*(1+(D$23/12))</f>
        <v>17929.086407051</v>
      </c>
      <c r="E610" s="230"/>
      <c r="F610" s="230"/>
      <c r="G610" s="233"/>
      <c r="H610" s="233"/>
    </row>
    <row r="611" customFormat="false" ht="12.75" hidden="false" customHeight="false" outlineLevel="0" collapsed="false">
      <c r="A611" s="234"/>
      <c r="B611" s="231" t="n">
        <f aca="false">+DATE(YEAR(B610),MONTH(B610)+1,1)</f>
        <v>45078</v>
      </c>
      <c r="C611" s="230" t="n">
        <f aca="false">+C610*(1+(C$23/12))</f>
        <v>0</v>
      </c>
      <c r="D611" s="230" t="n">
        <f aca="false">+D610*(1+(D$23/12))</f>
        <v>17966.4386703991</v>
      </c>
      <c r="E611" s="230"/>
      <c r="F611" s="230"/>
      <c r="G611" s="233"/>
      <c r="H611" s="233"/>
    </row>
    <row r="612" customFormat="false" ht="12.75" hidden="false" customHeight="false" outlineLevel="0" collapsed="false">
      <c r="A612" s="234"/>
      <c r="B612" s="231" t="n">
        <f aca="false">+DATE(YEAR(B611),MONTH(B611)+1,1)</f>
        <v>45108</v>
      </c>
      <c r="C612" s="230" t="n">
        <f aca="false">+C611*(1+(C$23/12))</f>
        <v>0</v>
      </c>
      <c r="D612" s="230" t="n">
        <f aca="false">+D611*(1+(D$23/12))</f>
        <v>18003.8687509624</v>
      </c>
      <c r="E612" s="230"/>
      <c r="F612" s="230"/>
      <c r="G612" s="233"/>
      <c r="H612" s="233"/>
    </row>
    <row r="613" customFormat="false" ht="12.75" hidden="false" customHeight="false" outlineLevel="0" collapsed="false">
      <c r="A613" s="234"/>
      <c r="B613" s="231" t="n">
        <f aca="false">+DATE(YEAR(B612),MONTH(B612)+1,1)</f>
        <v>45139</v>
      </c>
      <c r="C613" s="230" t="n">
        <f aca="false">+C612*(1+(C$23/12))</f>
        <v>0</v>
      </c>
      <c r="D613" s="230" t="n">
        <f aca="false">+D612*(1+(D$23/12))</f>
        <v>18041.3768108602</v>
      </c>
      <c r="E613" s="230"/>
      <c r="F613" s="230"/>
      <c r="G613" s="233"/>
      <c r="H613" s="233"/>
    </row>
    <row r="614" customFormat="false" ht="12.75" hidden="false" customHeight="false" outlineLevel="0" collapsed="false">
      <c r="A614" s="234"/>
      <c r="B614" s="231" t="n">
        <f aca="false">+DATE(YEAR(B613),MONTH(B613)+1,1)</f>
        <v>45170</v>
      </c>
      <c r="C614" s="230" t="n">
        <f aca="false">+C613*(1+(C$23/12))</f>
        <v>0</v>
      </c>
      <c r="D614" s="230" t="n">
        <f aca="false">+D613*(1+(D$23/12))</f>
        <v>18078.9630125495</v>
      </c>
      <c r="E614" s="230"/>
      <c r="F614" s="230"/>
      <c r="G614" s="233"/>
      <c r="H614" s="233"/>
    </row>
    <row r="615" customFormat="false" ht="12.75" hidden="false" customHeight="false" outlineLevel="0" collapsed="false">
      <c r="A615" s="234"/>
      <c r="B615" s="231" t="n">
        <f aca="false">+DATE(YEAR(B614),MONTH(B614)+1,1)</f>
        <v>45200</v>
      </c>
      <c r="C615" s="230" t="n">
        <f aca="false">+C614*(1+(C$23/12))</f>
        <v>0</v>
      </c>
      <c r="D615" s="230" t="n">
        <f aca="false">+D614*(1+(D$23/12))</f>
        <v>18116.6275188257</v>
      </c>
      <c r="E615" s="230"/>
      <c r="F615" s="230"/>
      <c r="G615" s="233"/>
      <c r="H615" s="233"/>
    </row>
    <row r="616" customFormat="false" ht="12.75" hidden="false" customHeight="false" outlineLevel="0" collapsed="false">
      <c r="A616" s="234"/>
      <c r="B616" s="231" t="n">
        <f aca="false">+DATE(YEAR(B615),MONTH(B615)+1,1)</f>
        <v>45231</v>
      </c>
      <c r="C616" s="230" t="n">
        <f aca="false">+C615*(1+(C$23/12))</f>
        <v>0</v>
      </c>
      <c r="D616" s="230" t="n">
        <f aca="false">+D615*(1+(D$23/12))</f>
        <v>18154.3704928232</v>
      </c>
      <c r="E616" s="230"/>
      <c r="F616" s="230"/>
      <c r="G616" s="233"/>
      <c r="H616" s="233"/>
    </row>
    <row r="617" customFormat="false" ht="12.75" hidden="false" customHeight="false" outlineLevel="0" collapsed="false">
      <c r="A617" s="234"/>
      <c r="B617" s="231" t="n">
        <f aca="false">+DATE(YEAR(B616),MONTH(B616)+1,1)</f>
        <v>45261</v>
      </c>
      <c r="C617" s="230" t="n">
        <f aca="false">+C616*(1+(C$23/12))</f>
        <v>0</v>
      </c>
      <c r="D617" s="230" t="n">
        <f aca="false">+D616*(1+(D$23/12))</f>
        <v>18192.1920980166</v>
      </c>
      <c r="E617" s="230"/>
      <c r="F617" s="230"/>
      <c r="G617" s="233"/>
      <c r="H617" s="233"/>
    </row>
    <row r="618" customFormat="false" ht="12.75" hidden="false" customHeight="false" outlineLevel="0" collapsed="false">
      <c r="A618" s="234"/>
      <c r="B618" s="231" t="n">
        <f aca="false">+DATE(YEAR(B617),MONTH(B617)+1,1)</f>
        <v>45292</v>
      </c>
      <c r="C618" s="230" t="n">
        <f aca="false">+C617*(1+(C$23/12))</f>
        <v>0</v>
      </c>
      <c r="D618" s="230" t="n">
        <f aca="false">+D617*(1+(D$23/12))</f>
        <v>18230.0924982208</v>
      </c>
      <c r="E618" s="230"/>
      <c r="F618" s="230"/>
      <c r="G618" s="233"/>
      <c r="H618" s="233"/>
    </row>
    <row r="619" customFormat="false" ht="12.75" hidden="false" customHeight="false" outlineLevel="0" collapsed="false">
      <c r="A619" s="234"/>
      <c r="B619" s="231" t="n">
        <f aca="false">+DATE(YEAR(B618),MONTH(B618)+1,1)</f>
        <v>45323</v>
      </c>
      <c r="C619" s="230" t="n">
        <f aca="false">+C618*(1+(C$23/12))</f>
        <v>0</v>
      </c>
      <c r="D619" s="230" t="n">
        <f aca="false">+D618*(1+(D$23/12))</f>
        <v>18268.0718575921</v>
      </c>
      <c r="E619" s="230"/>
      <c r="F619" s="230"/>
      <c r="G619" s="233"/>
      <c r="H619" s="233"/>
    </row>
    <row r="620" customFormat="false" ht="12.75" hidden="false" customHeight="false" outlineLevel="0" collapsed="false">
      <c r="A620" s="234"/>
      <c r="B620" s="231" t="n">
        <f aca="false">+DATE(YEAR(B619),MONTH(B619)+1,1)</f>
        <v>45352</v>
      </c>
      <c r="C620" s="230" t="n">
        <f aca="false">+C619*(1+(C$23/12))</f>
        <v>0</v>
      </c>
      <c r="D620" s="230" t="n">
        <f aca="false">+D619*(1+(D$23/12))</f>
        <v>18306.1303406288</v>
      </c>
      <c r="E620" s="230"/>
      <c r="F620" s="230"/>
      <c r="G620" s="233"/>
      <c r="H620" s="233"/>
    </row>
    <row r="621" customFormat="false" ht="12.75" hidden="false" customHeight="false" outlineLevel="0" collapsed="false">
      <c r="A621" s="234"/>
      <c r="B621" s="231" t="n">
        <f aca="false">+DATE(YEAR(B620),MONTH(B620)+1,1)</f>
        <v>45383</v>
      </c>
      <c r="C621" s="230" t="n">
        <f aca="false">+C620*(1+(C$23/12))</f>
        <v>0</v>
      </c>
      <c r="D621" s="230" t="n">
        <f aca="false">+D620*(1+(D$23/12))</f>
        <v>18344.2681121717</v>
      </c>
      <c r="E621" s="230"/>
      <c r="F621" s="230"/>
      <c r="G621" s="233"/>
      <c r="H621" s="233"/>
    </row>
    <row r="622" customFormat="false" ht="12.75" hidden="false" customHeight="false" outlineLevel="0" collapsed="false">
      <c r="A622" s="234"/>
      <c r="B622" s="231" t="n">
        <f aca="false">+DATE(YEAR(B621),MONTH(B621)+1,1)</f>
        <v>45413</v>
      </c>
      <c r="C622" s="230" t="n">
        <f aca="false">+C621*(1+(C$23/12))</f>
        <v>0</v>
      </c>
      <c r="D622" s="230" t="n">
        <f aca="false">+D621*(1+(D$23/12))</f>
        <v>18382.4853374054</v>
      </c>
      <c r="E622" s="230"/>
      <c r="F622" s="230"/>
      <c r="G622" s="233"/>
      <c r="H622" s="233"/>
    </row>
    <row r="623" customFormat="false" ht="12.75" hidden="false" customHeight="false" outlineLevel="0" collapsed="false">
      <c r="A623" s="234"/>
      <c r="B623" s="231" t="n">
        <f aca="false">+DATE(YEAR(B622),MONTH(B622)+1,1)</f>
        <v>45444</v>
      </c>
      <c r="C623" s="230" t="n">
        <f aca="false">+C622*(1+(C$23/12))</f>
        <v>0</v>
      </c>
      <c r="D623" s="230" t="n">
        <f aca="false">+D622*(1+(D$23/12))</f>
        <v>18420.7821818584</v>
      </c>
      <c r="E623" s="230"/>
      <c r="F623" s="230"/>
      <c r="G623" s="233"/>
      <c r="H623" s="233"/>
    </row>
    <row r="624" customFormat="false" ht="12.75" hidden="false" customHeight="false" outlineLevel="0" collapsed="false">
      <c r="A624" s="234"/>
      <c r="B624" s="231" t="n">
        <f aca="false">+DATE(YEAR(B623),MONTH(B623)+1,1)</f>
        <v>45474</v>
      </c>
      <c r="C624" s="230" t="n">
        <f aca="false">+C623*(1+(C$23/12))</f>
        <v>0</v>
      </c>
      <c r="D624" s="230" t="n">
        <f aca="false">+D623*(1+(D$23/12))</f>
        <v>18459.1588114039</v>
      </c>
      <c r="E624" s="230"/>
      <c r="F624" s="230"/>
      <c r="G624" s="233"/>
      <c r="H624" s="233"/>
    </row>
    <row r="625" customFormat="false" ht="12.75" hidden="false" customHeight="false" outlineLevel="0" collapsed="false">
      <c r="A625" s="234"/>
      <c r="B625" s="231" t="n">
        <f aca="false">+DATE(YEAR(B624),MONTH(B624)+1,1)</f>
        <v>45505</v>
      </c>
      <c r="C625" s="230" t="n">
        <f aca="false">+C624*(1+(C$23/12))</f>
        <v>0</v>
      </c>
      <c r="D625" s="230" t="n">
        <f aca="false">+D624*(1+(D$23/12))</f>
        <v>18497.615392261</v>
      </c>
      <c r="E625" s="230"/>
      <c r="F625" s="230"/>
      <c r="G625" s="233"/>
      <c r="H625" s="233"/>
    </row>
    <row r="626" customFormat="false" ht="12.75" hidden="false" customHeight="false" outlineLevel="0" collapsed="false">
      <c r="A626" s="234"/>
      <c r="B626" s="231" t="n">
        <f aca="false">+DATE(YEAR(B625),MONTH(B625)+1,1)</f>
        <v>45536</v>
      </c>
      <c r="C626" s="230" t="n">
        <f aca="false">+C625*(1+(C$23/12))</f>
        <v>0</v>
      </c>
      <c r="D626" s="230" t="n">
        <f aca="false">+D625*(1+(D$23/12))</f>
        <v>18536.1520909949</v>
      </c>
      <c r="E626" s="230"/>
      <c r="F626" s="230"/>
      <c r="G626" s="233"/>
      <c r="H626" s="233"/>
    </row>
    <row r="627" customFormat="false" ht="12.75" hidden="false" customHeight="false" outlineLevel="0" collapsed="false">
      <c r="A627" s="234"/>
      <c r="B627" s="231" t="n">
        <f aca="false">+DATE(YEAR(B626),MONTH(B626)+1,1)</f>
        <v>45566</v>
      </c>
      <c r="C627" s="230" t="n">
        <f aca="false">+C626*(1+(C$23/12))</f>
        <v>0</v>
      </c>
      <c r="D627" s="230" t="n">
        <f aca="false">+D626*(1+(D$23/12))</f>
        <v>18574.7690745178</v>
      </c>
      <c r="E627" s="230"/>
      <c r="F627" s="230"/>
      <c r="G627" s="233"/>
      <c r="H627" s="233"/>
    </row>
    <row r="628" customFormat="false" ht="12.75" hidden="false" customHeight="false" outlineLevel="0" collapsed="false">
      <c r="A628" s="234"/>
      <c r="B628" s="231" t="n">
        <f aca="false">+DATE(YEAR(B627),MONTH(B627)+1,1)</f>
        <v>45597</v>
      </c>
      <c r="C628" s="230" t="n">
        <f aca="false">+C627*(1+(C$23/12))</f>
        <v>0</v>
      </c>
      <c r="D628" s="230" t="n">
        <f aca="false">+D627*(1+(D$23/12))</f>
        <v>18613.4665100897</v>
      </c>
      <c r="E628" s="230"/>
      <c r="F628" s="230"/>
      <c r="G628" s="233"/>
      <c r="H628" s="233"/>
    </row>
    <row r="629" customFormat="false" ht="12.75" hidden="false" customHeight="false" outlineLevel="0" collapsed="false">
      <c r="A629" s="234"/>
      <c r="B629" s="231" t="n">
        <f aca="false">+DATE(YEAR(B628),MONTH(B628)+1,1)</f>
        <v>45627</v>
      </c>
      <c r="C629" s="230" t="n">
        <f aca="false">+C628*(1+(C$23/12))</f>
        <v>0</v>
      </c>
      <c r="D629" s="230" t="n">
        <f aca="false">+D628*(1+(D$23/12))</f>
        <v>18652.2445653191</v>
      </c>
      <c r="E629" s="230"/>
      <c r="F629" s="230"/>
      <c r="G629" s="233"/>
      <c r="H629" s="233"/>
    </row>
    <row r="630" customFormat="false" ht="12.75" hidden="false" customHeight="false" outlineLevel="0" collapsed="false">
      <c r="A630" s="234"/>
      <c r="B630" s="231" t="n">
        <f aca="false">+DATE(YEAR(B629),MONTH(B629)+1,1)</f>
        <v>45658</v>
      </c>
      <c r="C630" s="230" t="n">
        <f aca="false">+C629*(1+(C$23/12))</f>
        <v>0</v>
      </c>
      <c r="D630" s="230" t="n">
        <f aca="false">+D629*(1+(D$23/12))</f>
        <v>18691.1034081635</v>
      </c>
      <c r="E630" s="230"/>
      <c r="F630" s="230"/>
      <c r="G630" s="233"/>
      <c r="H630" s="233"/>
    </row>
    <row r="631" customFormat="false" ht="12.75" hidden="false" customHeight="false" outlineLevel="0" collapsed="false">
      <c r="A631" s="234"/>
      <c r="B631" s="231" t="n">
        <f aca="false">+DATE(YEAR(B630),MONTH(B630)+1,1)</f>
        <v>45689</v>
      </c>
      <c r="C631" s="230" t="n">
        <f aca="false">+C630*(1+(C$23/12))</f>
        <v>0</v>
      </c>
      <c r="D631" s="230" t="n">
        <f aca="false">+D630*(1+(D$23/12))</f>
        <v>18730.0432069305</v>
      </c>
      <c r="E631" s="230"/>
      <c r="F631" s="230"/>
      <c r="G631" s="233"/>
      <c r="H631" s="233"/>
    </row>
    <row r="632" customFormat="false" ht="12.75" hidden="false" customHeight="false" outlineLevel="0" collapsed="false">
      <c r="A632" s="234"/>
      <c r="B632" s="231" t="n">
        <f aca="false">+DATE(YEAR(B631),MONTH(B631)+1,1)</f>
        <v>45717</v>
      </c>
      <c r="C632" s="230" t="n">
        <f aca="false">+C631*(1+(C$23/12))</f>
        <v>0</v>
      </c>
      <c r="D632" s="230" t="n">
        <f aca="false">+D631*(1+(D$23/12))</f>
        <v>18769.0641302783</v>
      </c>
      <c r="E632" s="230"/>
      <c r="F632" s="230"/>
      <c r="G632" s="233"/>
      <c r="H632" s="233"/>
    </row>
    <row r="633" customFormat="false" ht="12.75" hidden="false" customHeight="false" outlineLevel="0" collapsed="false">
      <c r="A633" s="234"/>
      <c r="B633" s="231" t="n">
        <f aca="false">+DATE(YEAR(B632),MONTH(B632)+1,1)</f>
        <v>45748</v>
      </c>
      <c r="C633" s="230" t="n">
        <f aca="false">+C632*(1+(C$23/12))</f>
        <v>0</v>
      </c>
      <c r="D633" s="230" t="n">
        <f aca="false">+D632*(1+(D$23/12))</f>
        <v>18808.1663472163</v>
      </c>
      <c r="E633" s="230"/>
      <c r="F633" s="230"/>
      <c r="G633" s="233"/>
      <c r="H633" s="233"/>
    </row>
    <row r="634" customFormat="false" ht="12.75" hidden="false" customHeight="false" outlineLevel="0" collapsed="false">
      <c r="A634" s="234"/>
      <c r="B634" s="231" t="n">
        <f aca="false">+DATE(YEAR(B633),MONTH(B633)+1,1)</f>
        <v>45778</v>
      </c>
      <c r="C634" s="230" t="n">
        <f aca="false">+C633*(1+(C$23/12))</f>
        <v>0</v>
      </c>
      <c r="D634" s="230" t="n">
        <f aca="false">+D633*(1+(D$23/12))</f>
        <v>18847.3500271064</v>
      </c>
      <c r="E634" s="230"/>
      <c r="F634" s="230"/>
      <c r="G634" s="233"/>
      <c r="H634" s="233"/>
    </row>
    <row r="635" customFormat="false" ht="12.75" hidden="false" customHeight="false" outlineLevel="0" collapsed="false">
      <c r="A635" s="234"/>
      <c r="B635" s="231" t="n">
        <f aca="false">+DATE(YEAR(B634),MONTH(B634)+1,1)</f>
        <v>45809</v>
      </c>
      <c r="C635" s="230" t="n">
        <f aca="false">+C634*(1+(C$23/12))</f>
        <v>0</v>
      </c>
      <c r="D635" s="230" t="n">
        <f aca="false">+D634*(1+(D$23/12))</f>
        <v>18886.6153396628</v>
      </c>
      <c r="E635" s="230"/>
      <c r="F635" s="230"/>
      <c r="G635" s="233"/>
      <c r="H635" s="233"/>
    </row>
    <row r="636" customFormat="false" ht="12.75" hidden="false" customHeight="false" outlineLevel="0" collapsed="false">
      <c r="A636" s="234"/>
      <c r="B636" s="231" t="n">
        <f aca="false">+DATE(YEAR(B635),MONTH(B635)+1,1)</f>
        <v>45839</v>
      </c>
      <c r="C636" s="230" t="n">
        <f aca="false">+C635*(1+(C$23/12))</f>
        <v>0</v>
      </c>
      <c r="D636" s="230" t="n">
        <f aca="false">+D635*(1+(D$23/12))</f>
        <v>18925.9624549538</v>
      </c>
      <c r="E636" s="230"/>
      <c r="F636" s="230"/>
      <c r="G636" s="233"/>
      <c r="H636" s="233"/>
    </row>
    <row r="637" customFormat="false" ht="12.75" hidden="false" customHeight="false" outlineLevel="0" collapsed="false">
      <c r="A637" s="234"/>
      <c r="B637" s="231" t="n">
        <f aca="false">+DATE(YEAR(B636),MONTH(B636)+1,1)</f>
        <v>45870</v>
      </c>
      <c r="C637" s="230" t="n">
        <f aca="false">+C636*(1+(C$23/12))</f>
        <v>0</v>
      </c>
      <c r="D637" s="230" t="n">
        <f aca="false">+D636*(1+(D$23/12))</f>
        <v>18965.3915434016</v>
      </c>
      <c r="E637" s="230"/>
      <c r="F637" s="230"/>
      <c r="G637" s="233"/>
      <c r="H637" s="233"/>
    </row>
    <row r="638" customFormat="false" ht="12.75" hidden="false" customHeight="false" outlineLevel="0" collapsed="false">
      <c r="A638" s="234"/>
      <c r="B638" s="231" t="n">
        <f aca="false">+DATE(YEAR(B637),MONTH(B637)+1,1)</f>
        <v>45901</v>
      </c>
      <c r="C638" s="230" t="n">
        <f aca="false">+C637*(1+(C$23/12))</f>
        <v>0</v>
      </c>
      <c r="D638" s="230" t="n">
        <f aca="false">+D637*(1+(D$23/12))</f>
        <v>19004.9027757837</v>
      </c>
      <c r="E638" s="230"/>
      <c r="F638" s="230"/>
      <c r="G638" s="233"/>
      <c r="H638" s="233"/>
    </row>
    <row r="639" customFormat="false" ht="12.75" hidden="false" customHeight="false" outlineLevel="0" collapsed="false">
      <c r="A639" s="234"/>
      <c r="B639" s="231" t="n">
        <f aca="false">+DATE(YEAR(B638),MONTH(B638)+1,1)</f>
        <v>45931</v>
      </c>
      <c r="C639" s="230" t="n">
        <f aca="false">+C638*(1+(C$23/12))</f>
        <v>0</v>
      </c>
      <c r="D639" s="230" t="n">
        <f aca="false">+D638*(1+(D$23/12))</f>
        <v>19044.4963232333</v>
      </c>
      <c r="E639" s="230"/>
      <c r="F639" s="230"/>
      <c r="G639" s="233"/>
      <c r="H639" s="233"/>
    </row>
    <row r="640" customFormat="false" ht="12.75" hidden="false" customHeight="false" outlineLevel="0" collapsed="false">
      <c r="A640" s="234"/>
      <c r="B640" s="231" t="n">
        <f aca="false">+DATE(YEAR(B639),MONTH(B639)+1,1)</f>
        <v>45962</v>
      </c>
      <c r="C640" s="230" t="n">
        <f aca="false">+C639*(1+(C$23/12))</f>
        <v>0</v>
      </c>
      <c r="D640" s="230" t="n">
        <f aca="false">+D639*(1+(D$23/12))</f>
        <v>19084.17235724</v>
      </c>
      <c r="E640" s="230"/>
      <c r="F640" s="230"/>
      <c r="G640" s="233"/>
      <c r="H640" s="233"/>
    </row>
    <row r="641" customFormat="false" ht="12.75" hidden="false" customHeight="false" outlineLevel="0" collapsed="false">
      <c r="A641" s="234"/>
      <c r="B641" s="231" t="n">
        <f aca="false">+DATE(YEAR(B640),MONTH(B640)+1,1)</f>
        <v>45992</v>
      </c>
      <c r="C641" s="230" t="n">
        <f aca="false">+C640*(1+(C$23/12))</f>
        <v>0</v>
      </c>
      <c r="D641" s="230" t="n">
        <f aca="false">+D640*(1+(D$23/12))</f>
        <v>19123.9310496509</v>
      </c>
      <c r="E641" s="230"/>
      <c r="F641" s="230"/>
      <c r="G641" s="233"/>
      <c r="H641" s="233"/>
    </row>
    <row r="642" customFormat="false" ht="12.75" hidden="false" customHeight="false" outlineLevel="0" collapsed="false">
      <c r="A642" s="242"/>
      <c r="B642" s="243" t="n">
        <f aca="false">+DATE(YEAR(B641),MONTH(B641)+1,1)</f>
        <v>46023</v>
      </c>
      <c r="C642" s="230"/>
      <c r="D642" s="230"/>
      <c r="E642" s="230"/>
      <c r="F642" s="230"/>
      <c r="G642" s="233"/>
      <c r="H642" s="2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K25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52" activeCellId="0" sqref="A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7.85"/>
    <col collapsed="false" customWidth="true" hidden="false" outlineLevel="0" max="2" min="2" style="0" width="9.7"/>
    <col collapsed="false" customWidth="true" hidden="false" outlineLevel="0" max="8" min="3" style="0" width="19.85"/>
  </cols>
  <sheetData>
    <row r="2" customFormat="false" ht="12.75" hidden="false" customHeight="false" outlineLevel="0" collapsed="false">
      <c r="A2" s="121" t="s">
        <v>74</v>
      </c>
      <c r="B2" s="16"/>
      <c r="C2" s="16"/>
      <c r="D2" s="16"/>
      <c r="E2" s="16"/>
      <c r="F2" s="16"/>
      <c r="G2" s="16"/>
      <c r="H2" s="17"/>
    </row>
    <row r="3" customFormat="false" ht="12.75" hidden="false" customHeight="false" outlineLevel="0" collapsed="false">
      <c r="A3" s="193"/>
      <c r="B3" s="193"/>
      <c r="C3" s="193"/>
      <c r="D3" s="193"/>
      <c r="E3" s="193"/>
      <c r="F3" s="193"/>
      <c r="G3" s="193"/>
      <c r="H3" s="193"/>
      <c r="I3" s="43"/>
      <c r="J3" s="43"/>
      <c r="K3" s="43"/>
    </row>
    <row r="4" customFormat="false" ht="12.75" hidden="false" customHeight="false" outlineLevel="0" collapsed="false">
      <c r="A4" s="193"/>
      <c r="B4" s="193"/>
      <c r="C4" s="193" t="n">
        <v>1</v>
      </c>
      <c r="D4" s="193" t="n">
        <f aca="false">+C4+1</f>
        <v>2</v>
      </c>
      <c r="E4" s="193" t="n">
        <f aca="false">+D4+1</f>
        <v>3</v>
      </c>
      <c r="F4" s="193" t="n">
        <f aca="false">+E4+1</f>
        <v>4</v>
      </c>
      <c r="G4" s="193" t="n">
        <f aca="false">+F4+1</f>
        <v>5</v>
      </c>
      <c r="H4" s="193" t="n">
        <f aca="false">+G4+1</f>
        <v>6</v>
      </c>
      <c r="I4" s="43"/>
      <c r="J4" s="43"/>
      <c r="K4" s="43"/>
    </row>
    <row r="5" customFormat="false" ht="12.75" hidden="false" customHeight="false" outlineLevel="0" collapsed="false">
      <c r="A5" s="194" t="s">
        <v>41</v>
      </c>
      <c r="B5" s="131"/>
      <c r="C5" s="131" t="str">
        <f aca="false">+IF(SHIPS!C5="","",SHIPS!C5)</f>
        <v>HG</v>
      </c>
      <c r="D5" s="131" t="str">
        <f aca="false">+IF(SHIPS!D5="","",SHIPS!D5)</f>
        <v>EXMAR</v>
      </c>
      <c r="E5" s="131" t="str">
        <f aca="false">+IF(SHIPS!E5="","",SHIPS!E5)</f>
        <v/>
      </c>
      <c r="F5" s="131" t="str">
        <f aca="false">+IF(SHIPS!F5="","",SHIPS!F5)</f>
        <v/>
      </c>
      <c r="G5" s="131" t="str">
        <f aca="false">+IF(SHIPS!G5="","",SHIPS!G5)</f>
        <v/>
      </c>
      <c r="H5" s="132" t="str">
        <f aca="false">+IF(SHIPS!H5="","",SHIPS!H5)</f>
        <v/>
      </c>
      <c r="I5" s="43"/>
      <c r="J5" s="43"/>
      <c r="K5" s="43"/>
    </row>
    <row r="6" customFormat="false" ht="12.75" hidden="false" customHeight="false" outlineLevel="0" collapsed="false">
      <c r="A6" s="195" t="s">
        <v>75</v>
      </c>
      <c r="B6" s="196"/>
      <c r="C6" s="136" t="n">
        <f aca="false">+C4</f>
        <v>1</v>
      </c>
      <c r="D6" s="136" t="n">
        <f aca="false">+D4</f>
        <v>2</v>
      </c>
      <c r="E6" s="136" t="n">
        <f aca="false">+E4</f>
        <v>3</v>
      </c>
      <c r="F6" s="136" t="n">
        <f aca="false">+F4</f>
        <v>4</v>
      </c>
      <c r="G6" s="136" t="n">
        <f aca="false">+G4</f>
        <v>5</v>
      </c>
      <c r="H6" s="136" t="n">
        <f aca="false">+H4</f>
        <v>6</v>
      </c>
      <c r="I6" s="43"/>
      <c r="J6" s="43"/>
      <c r="K6" s="43"/>
    </row>
    <row r="7" customFormat="false" ht="12.75" hidden="false" customHeight="false" outlineLevel="0" collapsed="false">
      <c r="A7" s="197" t="s">
        <v>76</v>
      </c>
      <c r="B7" s="198"/>
      <c r="C7" s="244" t="n">
        <v>0.0075</v>
      </c>
      <c r="D7" s="245" t="n">
        <v>0.0075</v>
      </c>
      <c r="E7" s="245"/>
      <c r="F7" s="245"/>
      <c r="G7" s="245"/>
      <c r="H7" s="246"/>
      <c r="I7" s="43"/>
      <c r="J7" s="43"/>
      <c r="K7" s="43"/>
    </row>
    <row r="8" customFormat="false" ht="12.75" hidden="false" customHeight="false" outlineLevel="0" collapsed="false">
      <c r="A8" s="202"/>
      <c r="B8" s="203"/>
      <c r="C8" s="247"/>
      <c r="D8" s="160"/>
      <c r="E8" s="160"/>
      <c r="F8" s="160"/>
      <c r="G8" s="160"/>
      <c r="H8" s="161"/>
      <c r="I8" s="43"/>
      <c r="J8" s="43"/>
      <c r="K8" s="43"/>
    </row>
    <row r="9" customFormat="false" ht="12.75" hidden="false" customHeight="false" outlineLevel="0" collapsed="false">
      <c r="A9" s="202" t="s">
        <v>77</v>
      </c>
      <c r="B9" s="203"/>
      <c r="C9" s="207"/>
      <c r="D9" s="208"/>
      <c r="E9" s="208"/>
      <c r="F9" s="208"/>
      <c r="G9" s="208"/>
      <c r="H9" s="209"/>
      <c r="I9" s="43"/>
      <c r="J9" s="43"/>
      <c r="K9" s="43"/>
    </row>
    <row r="10" customFormat="false" ht="12.75" hidden="false" customHeight="false" outlineLevel="0" collapsed="false">
      <c r="A10" s="202" t="s">
        <v>78</v>
      </c>
      <c r="B10" s="203"/>
      <c r="C10" s="207"/>
      <c r="D10" s="208"/>
      <c r="E10" s="208"/>
      <c r="F10" s="208"/>
      <c r="G10" s="208"/>
      <c r="H10" s="209"/>
      <c r="I10" s="43"/>
      <c r="J10" s="43"/>
      <c r="K10" s="43"/>
    </row>
    <row r="11" customFormat="false" ht="12.75" hidden="false" customHeight="false" outlineLevel="0" collapsed="false">
      <c r="A11" s="202" t="s">
        <v>79</v>
      </c>
      <c r="B11" s="203"/>
      <c r="C11" s="212"/>
      <c r="D11" s="248"/>
      <c r="E11" s="249"/>
      <c r="F11" s="213"/>
      <c r="G11" s="213"/>
      <c r="H11" s="215"/>
      <c r="I11" s="43"/>
      <c r="J11" s="43"/>
      <c r="K11" s="43"/>
    </row>
    <row r="12" customFormat="false" ht="12.75" hidden="false" customHeight="false" outlineLevel="0" collapsed="false">
      <c r="A12" s="202"/>
      <c r="B12" s="203"/>
      <c r="C12" s="212"/>
      <c r="D12" s="216"/>
      <c r="E12" s="216"/>
      <c r="F12" s="216"/>
      <c r="G12" s="213"/>
      <c r="H12" s="215"/>
      <c r="I12" s="43"/>
      <c r="J12" s="43"/>
      <c r="K12" s="43"/>
    </row>
    <row r="13" customFormat="false" ht="12.75" hidden="false" customHeight="false" outlineLevel="0" collapsed="false">
      <c r="A13" s="202"/>
      <c r="B13" s="203"/>
      <c r="C13" s="204"/>
      <c r="D13" s="205"/>
      <c r="E13" s="205"/>
      <c r="F13" s="205"/>
      <c r="G13" s="205"/>
      <c r="H13" s="158"/>
      <c r="I13" s="43"/>
      <c r="J13" s="43"/>
      <c r="K13" s="43"/>
    </row>
    <row r="14" customFormat="false" ht="12.75" hidden="false" customHeight="false" outlineLevel="0" collapsed="false">
      <c r="A14" s="202"/>
      <c r="B14" s="203"/>
      <c r="C14" s="204"/>
      <c r="D14" s="205"/>
      <c r="E14" s="205"/>
      <c r="F14" s="205"/>
      <c r="G14" s="205"/>
      <c r="H14" s="158"/>
      <c r="I14" s="43"/>
      <c r="J14" s="43"/>
      <c r="K14" s="43"/>
    </row>
    <row r="15" customFormat="false" ht="12.75" hidden="false" customHeight="false" outlineLevel="0" collapsed="false">
      <c r="A15" s="202"/>
      <c r="B15" s="203"/>
      <c r="C15" s="204"/>
      <c r="D15" s="205"/>
      <c r="E15" s="205"/>
      <c r="F15" s="205"/>
      <c r="G15" s="205"/>
      <c r="H15" s="158"/>
      <c r="I15" s="43"/>
      <c r="J15" s="43"/>
      <c r="K15" s="43"/>
    </row>
    <row r="16" customFormat="false" ht="12.75" hidden="false" customHeight="false" outlineLevel="0" collapsed="false">
      <c r="A16" s="202"/>
      <c r="B16" s="203"/>
      <c r="C16" s="204"/>
      <c r="D16" s="205"/>
      <c r="E16" s="205"/>
      <c r="F16" s="205"/>
      <c r="G16" s="205"/>
      <c r="H16" s="158"/>
      <c r="I16" s="43"/>
      <c r="J16" s="43"/>
      <c r="K16" s="43"/>
    </row>
    <row r="17" customFormat="false" ht="12.75" hidden="false" customHeight="false" outlineLevel="0" collapsed="false">
      <c r="A17" s="202"/>
      <c r="B17" s="203"/>
      <c r="C17" s="204"/>
      <c r="D17" s="205"/>
      <c r="E17" s="205"/>
      <c r="F17" s="205"/>
      <c r="G17" s="205"/>
      <c r="H17" s="158"/>
      <c r="I17" s="43"/>
      <c r="J17" s="43"/>
      <c r="K17" s="43"/>
    </row>
    <row r="18" customFormat="false" ht="12.75" hidden="false" customHeight="false" outlineLevel="0" collapsed="false">
      <c r="A18" s="202"/>
      <c r="B18" s="203"/>
      <c r="C18" s="204"/>
      <c r="D18" s="205"/>
      <c r="E18" s="205"/>
      <c r="F18" s="205"/>
      <c r="G18" s="205"/>
      <c r="H18" s="158"/>
      <c r="I18" s="43"/>
      <c r="J18" s="43"/>
      <c r="K18" s="43"/>
    </row>
    <row r="19" customFormat="false" ht="12.75" hidden="false" customHeight="false" outlineLevel="0" collapsed="false">
      <c r="A19" s="202"/>
      <c r="B19" s="203"/>
      <c r="C19" s="219"/>
      <c r="D19" s="220"/>
      <c r="E19" s="220"/>
      <c r="F19" s="220"/>
      <c r="G19" s="220"/>
      <c r="H19" s="221"/>
      <c r="I19" s="43"/>
      <c r="J19" s="43"/>
      <c r="K19" s="43"/>
    </row>
    <row r="20" customFormat="false" ht="12.75" hidden="false" customHeight="false" outlineLevel="0" collapsed="false">
      <c r="A20" s="202"/>
      <c r="B20" s="203"/>
      <c r="C20" s="219"/>
      <c r="D20" s="220"/>
      <c r="E20" s="220"/>
      <c r="F20" s="220"/>
      <c r="G20" s="220"/>
      <c r="H20" s="221"/>
      <c r="I20" s="43"/>
      <c r="J20" s="43"/>
      <c r="K20" s="43"/>
    </row>
    <row r="21" customFormat="false" ht="12.75" hidden="false" customHeight="false" outlineLevel="0" collapsed="false">
      <c r="A21" s="202"/>
      <c r="B21" s="203"/>
      <c r="C21" s="219"/>
      <c r="D21" s="220"/>
      <c r="E21" s="220"/>
      <c r="F21" s="220"/>
      <c r="G21" s="220"/>
      <c r="H21" s="221"/>
      <c r="I21" s="43"/>
      <c r="J21" s="43"/>
      <c r="K21" s="43"/>
    </row>
    <row r="22" customFormat="false" ht="12.75" hidden="false" customHeight="false" outlineLevel="0" collapsed="false">
      <c r="A22" s="202"/>
      <c r="B22" s="203"/>
      <c r="C22" s="204"/>
      <c r="D22" s="205"/>
      <c r="E22" s="205"/>
      <c r="F22" s="205"/>
      <c r="G22" s="205"/>
      <c r="H22" s="158"/>
      <c r="I22" s="43"/>
      <c r="J22" s="43"/>
      <c r="K22" s="43"/>
    </row>
    <row r="23" customFormat="false" ht="12.75" hidden="false" customHeight="false" outlineLevel="0" collapsed="false">
      <c r="A23" s="222"/>
      <c r="B23" s="223"/>
      <c r="C23" s="224"/>
      <c r="D23" s="225"/>
      <c r="E23" s="225"/>
      <c r="F23" s="225"/>
      <c r="G23" s="225"/>
      <c r="H23" s="226"/>
      <c r="I23" s="43"/>
      <c r="J23" s="43"/>
      <c r="K23" s="43"/>
    </row>
    <row r="24" customFormat="false" ht="12.75" hidden="false" customHeight="false" outlineLevel="0" collapsed="false">
      <c r="A24" s="121"/>
      <c r="B24" s="227"/>
      <c r="C24" s="15" t="str">
        <f aca="false">+IF(C$5="","",C$5)</f>
        <v>HG</v>
      </c>
      <c r="D24" s="15" t="str">
        <f aca="false">+IF(D$5="","",D$5)</f>
        <v>EXMAR</v>
      </c>
      <c r="E24" s="15" t="str">
        <f aca="false">+IF(E$5="","",E$5)</f>
        <v/>
      </c>
      <c r="F24" s="15" t="str">
        <f aca="false">+IF(F$5="","",F$5)</f>
        <v/>
      </c>
      <c r="G24" s="15" t="str">
        <f aca="false">+IF(G$5="","",G$5)</f>
        <v/>
      </c>
      <c r="H24" s="42" t="str">
        <f aca="false">+IF(H$5="","",H$5)</f>
        <v/>
      </c>
    </row>
    <row r="25" customFormat="false" ht="12.75" hidden="false" customHeight="false" outlineLevel="0" collapsed="false">
      <c r="A25" s="121"/>
      <c r="B25" s="227"/>
      <c r="C25" s="15" t="n">
        <f aca="false">+C6</f>
        <v>1</v>
      </c>
      <c r="D25" s="15" t="n">
        <f aca="false">+D6</f>
        <v>2</v>
      </c>
      <c r="E25" s="15" t="n">
        <f aca="false">+E6</f>
        <v>3</v>
      </c>
      <c r="F25" s="15" t="n">
        <f aca="false">+F6</f>
        <v>4</v>
      </c>
      <c r="G25" s="15" t="n">
        <f aca="false">+G6</f>
        <v>5</v>
      </c>
      <c r="H25" s="42" t="n">
        <f aca="false">+H6</f>
        <v>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BD360"/>
  <sheetViews>
    <sheetView showFormulas="false" showGridLines="fals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3" ySplit="17" topLeftCell="D18" activePane="bottomRight" state="frozen"/>
      <selection pane="topLeft" activeCell="A1" activeCellId="0" sqref="A1"/>
      <selection pane="topRight" activeCell="D1" activeCellId="0" sqref="D1"/>
      <selection pane="bottomLeft" activeCell="A18" activeCellId="0" sqref="A18"/>
      <selection pane="bottomRight" activeCell="D18" activeCellId="0" sqref="D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41"/>
    <col collapsed="false" customWidth="true" hidden="false" outlineLevel="0" max="3" min="2" style="0" width="19.28"/>
    <col collapsed="false" customWidth="true" hidden="false" outlineLevel="0" max="4" min="4" style="0" width="24.7"/>
    <col collapsed="false" customWidth="true" hidden="false" outlineLevel="0" max="5" min="5" style="0" width="14.41"/>
    <col collapsed="false" customWidth="true" hidden="false" outlineLevel="0" max="6" min="6" style="0" width="17.14"/>
    <col collapsed="false" customWidth="true" hidden="false" outlineLevel="0" max="9" min="7" style="0" width="13.85"/>
    <col collapsed="false" customWidth="true" hidden="false" outlineLevel="0" max="10" min="10" style="0" width="15.41"/>
    <col collapsed="false" customWidth="true" hidden="false" outlineLevel="0" max="11" min="11" style="0" width="2.42"/>
    <col collapsed="false" customWidth="true" hidden="false" outlineLevel="0" max="12" min="12" style="0" width="13.85"/>
    <col collapsed="false" customWidth="true" hidden="false" outlineLevel="0" max="13" min="13" style="0" width="18.7"/>
    <col collapsed="false" customWidth="true" hidden="false" outlineLevel="0" max="14" min="14" style="0" width="17.56"/>
    <col collapsed="false" customWidth="true" hidden="false" outlineLevel="0" max="15" min="15" style="0" width="16.28"/>
    <col collapsed="false" customWidth="true" hidden="false" outlineLevel="0" max="17" min="16" style="0" width="17.56"/>
    <col collapsed="false" customWidth="true" hidden="false" outlineLevel="0" max="18" min="18" style="0" width="25.85"/>
    <col collapsed="false" customWidth="true" hidden="false" outlineLevel="0" max="20" min="19" style="0" width="17.56"/>
    <col collapsed="false" customWidth="true" hidden="false" outlineLevel="0" max="21" min="21" style="0" width="18.28"/>
    <col collapsed="false" customWidth="true" hidden="false" outlineLevel="0" max="22" min="22" style="0" width="14.41"/>
    <col collapsed="false" customWidth="true" hidden="false" outlineLevel="0" max="23" min="23" style="0" width="17.14"/>
    <col collapsed="false" customWidth="true" hidden="false" outlineLevel="0" max="24" min="24" style="0" width="13.85"/>
    <col collapsed="false" customWidth="true" hidden="false" outlineLevel="0" max="25" min="25" style="0" width="14.85"/>
    <col collapsed="false" customWidth="true" hidden="false" outlineLevel="0" max="26" min="26" style="0" width="13.85"/>
    <col collapsed="false" customWidth="true" hidden="false" outlineLevel="0" max="27" min="27" style="0" width="15.41"/>
    <col collapsed="false" customWidth="true" hidden="false" outlineLevel="0" max="28" min="28" style="0" width="2.42"/>
    <col collapsed="false" customWidth="true" hidden="false" outlineLevel="0" max="29" min="29" style="0" width="13.85"/>
    <col collapsed="false" customWidth="true" hidden="false" outlineLevel="0" max="30" min="30" style="0" width="17.28"/>
    <col collapsed="false" customWidth="true" hidden="false" outlineLevel="0" max="31" min="31" style="0" width="17.56"/>
    <col collapsed="false" customWidth="true" hidden="false" outlineLevel="0" max="32" min="32" style="0" width="16.28"/>
    <col collapsed="false" customWidth="true" hidden="false" outlineLevel="0" max="37" min="33" style="0" width="17.56"/>
    <col collapsed="false" customWidth="true" hidden="false" outlineLevel="0" max="38" min="38" style="0" width="37.28"/>
    <col collapsed="false" customWidth="true" hidden="false" outlineLevel="0" max="39" min="39" style="0" width="14.41"/>
    <col collapsed="false" customWidth="true" hidden="false" outlineLevel="0" max="40" min="40" style="0" width="17.14"/>
    <col collapsed="false" customWidth="true" hidden="false" outlineLevel="0" max="41" min="41" style="0" width="13.85"/>
    <col collapsed="false" customWidth="true" hidden="false" outlineLevel="0" max="42" min="42" style="0" width="14.85"/>
    <col collapsed="false" customWidth="true" hidden="false" outlineLevel="0" max="43" min="43" style="0" width="13.85"/>
    <col collapsed="false" customWidth="true" hidden="false" outlineLevel="0" max="44" min="44" style="0" width="15.41"/>
    <col collapsed="false" customWidth="true" hidden="false" outlineLevel="0" max="45" min="45" style="0" width="2.42"/>
    <col collapsed="false" customWidth="true" hidden="false" outlineLevel="0" max="46" min="46" style="0" width="13.85"/>
    <col collapsed="false" customWidth="true" hidden="false" outlineLevel="0" max="47" min="47" style="0" width="22.28"/>
    <col collapsed="false" customWidth="true" hidden="false" outlineLevel="0" max="48" min="48" style="0" width="17.56"/>
    <col collapsed="false" customWidth="true" hidden="false" outlineLevel="0" max="49" min="49" style="0" width="16.28"/>
    <col collapsed="false" customWidth="true" hidden="false" outlineLevel="0" max="52" min="50" style="0" width="18.85"/>
    <col collapsed="false" customWidth="true" hidden="false" outlineLevel="0" max="53" min="53" style="0" width="20.13"/>
    <col collapsed="false" customWidth="true" hidden="false" outlineLevel="0" max="54" min="54" style="0" width="17.56"/>
    <col collapsed="false" customWidth="true" hidden="false" outlineLevel="0" max="55" min="55" style="0" width="14.99"/>
    <col collapsed="false" customWidth="true" hidden="false" outlineLevel="0" max="56" min="56" style="0" width="10.71"/>
  </cols>
  <sheetData>
    <row r="3" customFormat="false" ht="27" hidden="false" customHeight="true" outlineLevel="0" collapsed="false">
      <c r="E3" s="250" t="s">
        <v>80</v>
      </c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V3" s="250" t="s">
        <v>81</v>
      </c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M3" s="250" t="s">
        <v>82</v>
      </c>
      <c r="AN3" s="250"/>
      <c r="AO3" s="250"/>
      <c r="AP3" s="250"/>
      <c r="AQ3" s="250"/>
      <c r="AR3" s="250"/>
      <c r="AS3" s="250"/>
      <c r="AT3" s="250"/>
      <c r="AU3" s="250"/>
      <c r="AV3" s="250"/>
      <c r="AW3" s="250"/>
      <c r="AX3" s="250"/>
      <c r="AY3" s="250"/>
      <c r="AZ3" s="250"/>
      <c r="BA3" s="250"/>
      <c r="BB3" s="250"/>
    </row>
    <row r="4" customFormat="false" ht="12.75" hidden="false" customHeight="false" outlineLevel="0" collapsed="false">
      <c r="A4" s="251"/>
      <c r="E4" s="251"/>
      <c r="F4" s="252" t="s">
        <v>83</v>
      </c>
      <c r="G4" s="253" t="s">
        <v>4</v>
      </c>
      <c r="H4" s="254"/>
      <c r="I4" s="255"/>
      <c r="J4" s="256"/>
      <c r="K4" s="257"/>
      <c r="L4" s="251"/>
      <c r="M4" s="252" t="s">
        <v>84</v>
      </c>
      <c r="N4" s="253" t="s">
        <v>85</v>
      </c>
      <c r="O4" s="255" t="s">
        <v>83</v>
      </c>
      <c r="P4" s="258" t="str">
        <f aca="false">+G4</f>
        <v>ALGERIA</v>
      </c>
      <c r="Q4" s="255"/>
      <c r="R4" s="255"/>
      <c r="S4" s="255"/>
      <c r="T4" s="256"/>
      <c r="V4" s="251"/>
      <c r="W4" s="252" t="s">
        <v>83</v>
      </c>
      <c r="X4" s="253" t="s">
        <v>4</v>
      </c>
      <c r="Y4" s="254"/>
      <c r="Z4" s="255"/>
      <c r="AA4" s="256"/>
      <c r="AB4" s="257"/>
      <c r="AC4" s="251"/>
      <c r="AD4" s="252" t="s">
        <v>84</v>
      </c>
      <c r="AE4" s="253" t="s">
        <v>85</v>
      </c>
      <c r="AF4" s="255" t="s">
        <v>83</v>
      </c>
      <c r="AG4" s="258" t="str">
        <f aca="false">+X4</f>
        <v>ALGERIA</v>
      </c>
      <c r="AH4" s="255"/>
      <c r="AI4" s="255"/>
      <c r="AJ4" s="255"/>
      <c r="AK4" s="256"/>
      <c r="AM4" s="251"/>
      <c r="AN4" s="252" t="s">
        <v>83</v>
      </c>
      <c r="AO4" s="253" t="s">
        <v>3</v>
      </c>
      <c r="AP4" s="254"/>
      <c r="AQ4" s="255"/>
      <c r="AR4" s="256"/>
      <c r="AS4" s="257"/>
      <c r="AT4" s="251"/>
      <c r="AU4" s="252" t="s">
        <v>84</v>
      </c>
      <c r="AV4" s="253" t="s">
        <v>85</v>
      </c>
      <c r="AW4" s="258" t="str">
        <f aca="false">+AN4</f>
        <v>Source</v>
      </c>
      <c r="AX4" s="258" t="str">
        <f aca="false">+AO4</f>
        <v>VENEZUELA</v>
      </c>
      <c r="AY4" s="255"/>
      <c r="AZ4" s="255"/>
      <c r="BA4" s="255"/>
      <c r="BB4" s="256"/>
    </row>
    <row r="5" customFormat="false" ht="12.75" hidden="false" customHeight="false" outlineLevel="0" collapsed="false">
      <c r="A5" s="259"/>
      <c r="E5" s="259"/>
      <c r="F5" s="260" t="s">
        <v>86</v>
      </c>
      <c r="G5" s="87" t="s">
        <v>6</v>
      </c>
      <c r="H5" s="86"/>
      <c r="I5" s="105"/>
      <c r="J5" s="106"/>
      <c r="K5" s="261"/>
      <c r="L5" s="259"/>
      <c r="M5" s="260" t="s">
        <v>87</v>
      </c>
      <c r="N5" s="87" t="n">
        <v>0.02</v>
      </c>
      <c r="O5" s="105" t="s">
        <v>86</v>
      </c>
      <c r="P5" s="262" t="str">
        <f aca="false">+G5</f>
        <v>ELBA</v>
      </c>
      <c r="Q5" s="105"/>
      <c r="R5" s="105"/>
      <c r="S5" s="105"/>
      <c r="T5" s="106"/>
      <c r="V5" s="259"/>
      <c r="W5" s="260" t="s">
        <v>86</v>
      </c>
      <c r="X5" s="87" t="s">
        <v>6</v>
      </c>
      <c r="Y5" s="86"/>
      <c r="Z5" s="105"/>
      <c r="AA5" s="106"/>
      <c r="AB5" s="261"/>
      <c r="AC5" s="259"/>
      <c r="AD5" s="260" t="s">
        <v>87</v>
      </c>
      <c r="AE5" s="87" t="n">
        <v>0.02</v>
      </c>
      <c r="AF5" s="105" t="s">
        <v>86</v>
      </c>
      <c r="AG5" s="262" t="str">
        <f aca="false">+X5</f>
        <v>ELBA</v>
      </c>
      <c r="AH5" s="105"/>
      <c r="AI5" s="105"/>
      <c r="AJ5" s="105"/>
      <c r="AK5" s="106"/>
      <c r="AM5" s="259"/>
      <c r="AN5" s="260" t="s">
        <v>86</v>
      </c>
      <c r="AO5" s="87" t="s">
        <v>6</v>
      </c>
      <c r="AP5" s="86"/>
      <c r="AQ5" s="105"/>
      <c r="AR5" s="106"/>
      <c r="AS5" s="261"/>
      <c r="AT5" s="259"/>
      <c r="AU5" s="260" t="s">
        <v>87</v>
      </c>
      <c r="AV5" s="87" t="n">
        <v>0.02</v>
      </c>
      <c r="AW5" s="262" t="str">
        <f aca="false">+AN5</f>
        <v>Destination</v>
      </c>
      <c r="AX5" s="262" t="str">
        <f aca="false">+AO5</f>
        <v>ELBA</v>
      </c>
      <c r="AY5" s="105"/>
      <c r="AZ5" s="105"/>
      <c r="BA5" s="105"/>
      <c r="BB5" s="106"/>
    </row>
    <row r="6" customFormat="false" ht="12.75" hidden="false" customHeight="false" outlineLevel="0" collapsed="false">
      <c r="A6" s="259"/>
      <c r="E6" s="259"/>
      <c r="F6" s="260" t="s">
        <v>88</v>
      </c>
      <c r="G6" s="263" t="s">
        <v>11</v>
      </c>
      <c r="H6" s="264"/>
      <c r="I6" s="105"/>
      <c r="J6" s="106"/>
      <c r="K6" s="261"/>
      <c r="L6" s="259"/>
      <c r="M6" s="260" t="s">
        <v>89</v>
      </c>
      <c r="N6" s="263" t="s">
        <v>90</v>
      </c>
      <c r="O6" s="105" t="s">
        <v>91</v>
      </c>
      <c r="P6" s="105" t="str">
        <f aca="false">+IF(G7="","",G7)</f>
        <v/>
      </c>
      <c r="Q6" s="105"/>
      <c r="R6" s="105"/>
      <c r="S6" s="105"/>
      <c r="T6" s="106"/>
      <c r="V6" s="259"/>
      <c r="W6" s="260" t="s">
        <v>88</v>
      </c>
      <c r="X6" s="263" t="s">
        <v>12</v>
      </c>
      <c r="Y6" s="264"/>
      <c r="Z6" s="105"/>
      <c r="AA6" s="106"/>
      <c r="AB6" s="261"/>
      <c r="AC6" s="259"/>
      <c r="AD6" s="260" t="s">
        <v>89</v>
      </c>
      <c r="AE6" s="263" t="s">
        <v>90</v>
      </c>
      <c r="AF6" s="105" t="s">
        <v>91</v>
      </c>
      <c r="AG6" s="105" t="str">
        <f aca="false">+IF(X7="","",X7)</f>
        <v/>
      </c>
      <c r="AH6" s="105"/>
      <c r="AI6" s="105"/>
      <c r="AJ6" s="105"/>
      <c r="AK6" s="106"/>
      <c r="AM6" s="259"/>
      <c r="AN6" s="260" t="s">
        <v>88</v>
      </c>
      <c r="AO6" s="263" t="s">
        <v>12</v>
      </c>
      <c r="AP6" s="264"/>
      <c r="AQ6" s="105"/>
      <c r="AR6" s="106"/>
      <c r="AS6" s="261"/>
      <c r="AT6" s="259"/>
      <c r="AU6" s="260" t="s">
        <v>89</v>
      </c>
      <c r="AV6" s="263" t="s">
        <v>90</v>
      </c>
      <c r="AW6" s="105" t="str">
        <f aca="false">+IF(AN7="","",AN7)</f>
        <v>Route</v>
      </c>
      <c r="AX6" s="105" t="str">
        <f aca="false">+IF(AO7="","",AO7)</f>
        <v/>
      </c>
      <c r="AY6" s="105"/>
      <c r="AZ6" s="105"/>
      <c r="BA6" s="105"/>
      <c r="BB6" s="106"/>
    </row>
    <row r="7" customFormat="false" ht="12.75" hidden="false" customHeight="false" outlineLevel="0" collapsed="false">
      <c r="A7" s="259"/>
      <c r="E7" s="259"/>
      <c r="F7" s="260" t="s">
        <v>91</v>
      </c>
      <c r="G7" s="87"/>
      <c r="H7" s="86"/>
      <c r="I7" s="105"/>
      <c r="J7" s="106"/>
      <c r="K7" s="261"/>
      <c r="L7" s="259"/>
      <c r="M7" s="260" t="s">
        <v>92</v>
      </c>
      <c r="N7" s="87" t="n">
        <v>0.09</v>
      </c>
      <c r="O7" s="105" t="s">
        <v>88</v>
      </c>
      <c r="P7" s="262" t="str">
        <f aca="false">+G6</f>
        <v>HG</v>
      </c>
      <c r="Q7" s="105"/>
      <c r="R7" s="105"/>
      <c r="S7" s="105"/>
      <c r="T7" s="106"/>
      <c r="V7" s="259"/>
      <c r="W7" s="260" t="s">
        <v>91</v>
      </c>
      <c r="X7" s="87"/>
      <c r="Y7" s="86"/>
      <c r="Z7" s="105"/>
      <c r="AA7" s="106"/>
      <c r="AB7" s="261"/>
      <c r="AC7" s="259"/>
      <c r="AD7" s="260" t="s">
        <v>92</v>
      </c>
      <c r="AE7" s="87" t="n">
        <v>0.09</v>
      </c>
      <c r="AF7" s="105" t="s">
        <v>88</v>
      </c>
      <c r="AG7" s="262" t="str">
        <f aca="false">+X6</f>
        <v>EXMAR</v>
      </c>
      <c r="AH7" s="105"/>
      <c r="AI7" s="105"/>
      <c r="AJ7" s="105"/>
      <c r="AK7" s="106"/>
      <c r="AM7" s="259"/>
      <c r="AN7" s="260" t="s">
        <v>91</v>
      </c>
      <c r="AO7" s="87"/>
      <c r="AP7" s="86"/>
      <c r="AQ7" s="105"/>
      <c r="AR7" s="106"/>
      <c r="AS7" s="261"/>
      <c r="AT7" s="259"/>
      <c r="AU7" s="260" t="s">
        <v>92</v>
      </c>
      <c r="AV7" s="87" t="n">
        <v>0.09</v>
      </c>
      <c r="AW7" s="262" t="str">
        <f aca="false">+AN6</f>
        <v>Ship</v>
      </c>
      <c r="AX7" s="262" t="str">
        <f aca="false">+AO6</f>
        <v>EXMAR</v>
      </c>
      <c r="AY7" s="105"/>
      <c r="AZ7" s="105"/>
      <c r="BA7" s="105"/>
      <c r="BB7" s="106"/>
    </row>
    <row r="8" customFormat="false" ht="12.75" hidden="false" customHeight="false" outlineLevel="0" collapsed="false">
      <c r="A8" s="259"/>
      <c r="B8" s="265" t="s">
        <v>93</v>
      </c>
      <c r="C8" s="266" t="n">
        <v>37347</v>
      </c>
      <c r="E8" s="259"/>
      <c r="F8" s="260" t="s">
        <v>93</v>
      </c>
      <c r="G8" s="263" t="n">
        <v>37347</v>
      </c>
      <c r="H8" s="264"/>
      <c r="I8" s="105"/>
      <c r="J8" s="106"/>
      <c r="K8" s="261"/>
      <c r="L8" s="259"/>
      <c r="M8" s="260" t="s">
        <v>94</v>
      </c>
      <c r="N8" s="267" t="n">
        <v>0</v>
      </c>
      <c r="O8" s="105"/>
      <c r="P8" s="105"/>
      <c r="Q8" s="105"/>
      <c r="R8" s="105"/>
      <c r="S8" s="105"/>
      <c r="T8" s="106"/>
      <c r="V8" s="259"/>
      <c r="W8" s="260" t="s">
        <v>93</v>
      </c>
      <c r="X8" s="263" t="n">
        <v>37622</v>
      </c>
      <c r="Y8" s="264"/>
      <c r="Z8" s="105"/>
      <c r="AA8" s="106"/>
      <c r="AB8" s="261"/>
      <c r="AC8" s="259"/>
      <c r="AD8" s="260" t="s">
        <v>94</v>
      </c>
      <c r="AE8" s="267" t="n">
        <f aca="false">+N8</f>
        <v>0</v>
      </c>
      <c r="AF8" s="105"/>
      <c r="AG8" s="105"/>
      <c r="AH8" s="105"/>
      <c r="AI8" s="105"/>
      <c r="AJ8" s="105"/>
      <c r="AK8" s="106"/>
      <c r="AM8" s="259"/>
      <c r="AN8" s="260" t="s">
        <v>93</v>
      </c>
      <c r="AO8" s="263" t="n">
        <v>37987</v>
      </c>
      <c r="AP8" s="264"/>
      <c r="AQ8" s="105"/>
      <c r="AR8" s="106"/>
      <c r="AS8" s="261"/>
      <c r="AT8" s="259"/>
      <c r="AU8" s="260" t="s">
        <v>94</v>
      </c>
      <c r="AV8" s="267" t="n">
        <f aca="false">+N8</f>
        <v>0</v>
      </c>
      <c r="AW8" s="105"/>
      <c r="AX8" s="105"/>
      <c r="AY8" s="105"/>
      <c r="AZ8" s="105"/>
      <c r="BA8" s="105"/>
      <c r="BB8" s="106"/>
    </row>
    <row r="9" customFormat="false" ht="12.75" hidden="false" customHeight="false" outlineLevel="0" collapsed="false">
      <c r="A9" s="259"/>
      <c r="B9" s="268" t="s">
        <v>95</v>
      </c>
      <c r="C9" s="269" t="n">
        <v>43525</v>
      </c>
      <c r="E9" s="259"/>
      <c r="F9" s="260" t="s">
        <v>95</v>
      </c>
      <c r="G9" s="263" t="n">
        <v>37956</v>
      </c>
      <c r="H9" s="264"/>
      <c r="I9" s="105"/>
      <c r="J9" s="106"/>
      <c r="K9" s="261"/>
      <c r="L9" s="259"/>
      <c r="M9" s="260"/>
      <c r="N9" s="263"/>
      <c r="O9" s="105"/>
      <c r="P9" s="105"/>
      <c r="Q9" s="105"/>
      <c r="R9" s="105"/>
      <c r="S9" s="105"/>
      <c r="T9" s="106"/>
      <c r="V9" s="259"/>
      <c r="W9" s="260" t="s">
        <v>95</v>
      </c>
      <c r="X9" s="263" t="n">
        <v>37956</v>
      </c>
      <c r="Y9" s="264"/>
      <c r="Z9" s="105"/>
      <c r="AA9" s="106"/>
      <c r="AB9" s="261"/>
      <c r="AC9" s="259"/>
      <c r="AD9" s="260"/>
      <c r="AE9" s="263"/>
      <c r="AF9" s="105"/>
      <c r="AG9" s="105"/>
      <c r="AH9" s="105"/>
      <c r="AI9" s="105"/>
      <c r="AJ9" s="105"/>
      <c r="AK9" s="106"/>
      <c r="AM9" s="259"/>
      <c r="AN9" s="260" t="s">
        <v>95</v>
      </c>
      <c r="AO9" s="263" t="n">
        <v>43525</v>
      </c>
      <c r="AP9" s="264"/>
      <c r="AQ9" s="105"/>
      <c r="AR9" s="106"/>
      <c r="AS9" s="261"/>
      <c r="AT9" s="259"/>
      <c r="AU9" s="260"/>
      <c r="AV9" s="263"/>
      <c r="AW9" s="105"/>
      <c r="AX9" s="105"/>
      <c r="AY9" s="105"/>
      <c r="AZ9" s="105"/>
      <c r="BA9" s="105"/>
      <c r="BB9" s="106"/>
    </row>
    <row r="10" customFormat="false" ht="12.75" hidden="false" customHeight="false" outlineLevel="0" collapsed="false">
      <c r="A10" s="259"/>
      <c r="E10" s="259"/>
      <c r="F10" s="109"/>
      <c r="G10" s="110"/>
      <c r="H10" s="109"/>
      <c r="I10" s="109"/>
      <c r="J10" s="110"/>
      <c r="K10" s="261"/>
      <c r="L10" s="259"/>
      <c r="M10" s="109"/>
      <c r="N10" s="110"/>
      <c r="O10" s="109"/>
      <c r="P10" s="270"/>
      <c r="Q10" s="109"/>
      <c r="R10" s="109"/>
      <c r="S10" s="109"/>
      <c r="T10" s="110"/>
      <c r="V10" s="259"/>
      <c r="W10" s="109"/>
      <c r="X10" s="110"/>
      <c r="Y10" s="109"/>
      <c r="Z10" s="109"/>
      <c r="AA10" s="110"/>
      <c r="AB10" s="261"/>
      <c r="AC10" s="259"/>
      <c r="AD10" s="109"/>
      <c r="AE10" s="110"/>
      <c r="AF10" s="109"/>
      <c r="AG10" s="109"/>
      <c r="AH10" s="109"/>
      <c r="AI10" s="109"/>
      <c r="AJ10" s="109"/>
      <c r="AK10" s="110"/>
      <c r="AM10" s="259"/>
      <c r="AN10" s="109"/>
      <c r="AO10" s="110"/>
      <c r="AP10" s="109"/>
      <c r="AQ10" s="109"/>
      <c r="AR10" s="110"/>
      <c r="AS10" s="261"/>
      <c r="AT10" s="259"/>
      <c r="AU10" s="109"/>
      <c r="AV10" s="110"/>
      <c r="AW10" s="109"/>
      <c r="AX10" s="109"/>
      <c r="AY10" s="109"/>
      <c r="AZ10" s="109"/>
      <c r="BA10" s="109"/>
      <c r="BB10" s="110"/>
    </row>
    <row r="11" customFormat="false" ht="18" hidden="false" customHeight="false" outlineLevel="0" collapsed="false">
      <c r="A11" s="259"/>
      <c r="E11" s="259"/>
      <c r="F11" s="271" t="s">
        <v>96</v>
      </c>
      <c r="G11" s="271"/>
      <c r="H11" s="271"/>
      <c r="I11" s="271"/>
      <c r="J11" s="271"/>
      <c r="K11" s="272"/>
      <c r="L11" s="259"/>
      <c r="M11" s="273" t="s">
        <v>97</v>
      </c>
      <c r="N11" s="273"/>
      <c r="O11" s="273"/>
      <c r="P11" s="273"/>
      <c r="Q11" s="273"/>
      <c r="R11" s="273"/>
      <c r="S11" s="273"/>
      <c r="T11" s="273"/>
      <c r="V11" s="259"/>
      <c r="W11" s="271" t="s">
        <v>96</v>
      </c>
      <c r="X11" s="271"/>
      <c r="Y11" s="271"/>
      <c r="Z11" s="271"/>
      <c r="AA11" s="271"/>
      <c r="AB11" s="272"/>
      <c r="AC11" s="259"/>
      <c r="AD11" s="273" t="s">
        <v>97</v>
      </c>
      <c r="AE11" s="273"/>
      <c r="AF11" s="273"/>
      <c r="AG11" s="273"/>
      <c r="AH11" s="273"/>
      <c r="AI11" s="273"/>
      <c r="AJ11" s="273"/>
      <c r="AK11" s="273"/>
      <c r="AM11" s="259"/>
      <c r="AN11" s="271" t="s">
        <v>96</v>
      </c>
      <c r="AO11" s="271"/>
      <c r="AP11" s="271"/>
      <c r="AQ11" s="271"/>
      <c r="AR11" s="271"/>
      <c r="AS11" s="272"/>
      <c r="AT11" s="259"/>
      <c r="AU11" s="274" t="s">
        <v>97</v>
      </c>
      <c r="AV11" s="274"/>
      <c r="AW11" s="274"/>
      <c r="AX11" s="274"/>
      <c r="AY11" s="274"/>
      <c r="AZ11" s="274"/>
      <c r="BA11" s="274"/>
      <c r="BB11" s="274"/>
    </row>
    <row r="12" customFormat="false" ht="15.75" hidden="false" customHeight="false" outlineLevel="0" collapsed="false">
      <c r="A12" s="275"/>
      <c r="B12" s="276" t="n">
        <f aca="false">SUM(B18:B323)</f>
        <v>1069371259.39651</v>
      </c>
      <c r="C12" s="277" t="n">
        <f aca="false">SUM(C18:C323)</f>
        <v>22689229.3257451</v>
      </c>
      <c r="E12" s="275"/>
      <c r="F12" s="278" t="n">
        <f aca="false">SUM(F18:F323)</f>
        <v>59382295.2727273</v>
      </c>
      <c r="G12" s="279" t="n">
        <f aca="false">SUM(G18:G323)</f>
        <v>-1959615.744</v>
      </c>
      <c r="H12" s="280" t="n">
        <f aca="false">SUM(H18:H323)</f>
        <v>57422679.5287273</v>
      </c>
      <c r="I12" s="279" t="n">
        <f aca="false">SUM(I18:I323)</f>
        <v>-1435566.98821818</v>
      </c>
      <c r="J12" s="281" t="n">
        <f aca="false">+H12+I12</f>
        <v>55987112.5405091</v>
      </c>
      <c r="K12" s="257"/>
      <c r="L12" s="275"/>
      <c r="M12" s="282" t="n">
        <f aca="false">SUM(M18:M323)</f>
        <v>180241148.478791</v>
      </c>
      <c r="N12" s="283" t="n">
        <f aca="false">SUM(N18:N323)</f>
        <v>-33657147.6559901</v>
      </c>
      <c r="O12" s="283" t="n">
        <f aca="false">SUM(O18:O323)</f>
        <v>-1571030.9558143</v>
      </c>
      <c r="P12" s="283" t="n">
        <f aca="false">SUM(P18:P323)</f>
        <v>-133437124.235452</v>
      </c>
      <c r="Q12" s="284" t="n">
        <f aca="false">SUM(N12:P12)</f>
        <v>-168665302.847257</v>
      </c>
      <c r="R12" s="285" t="n">
        <f aca="false">SUM(R18:R323)</f>
        <v>-10456103.3807243</v>
      </c>
      <c r="S12" s="286"/>
      <c r="T12" s="287" t="n">
        <f aca="false">SUM(T18:T323)</f>
        <v>1119742.25081018</v>
      </c>
      <c r="V12" s="275"/>
      <c r="W12" s="278" t="n">
        <f aca="false">SUM(W18:W323)</f>
        <v>30666797.6444991</v>
      </c>
      <c r="X12" s="279" t="n">
        <f aca="false">SUM(X18:X323)</f>
        <v>-552002.357600984</v>
      </c>
      <c r="Y12" s="280" t="n">
        <f aca="false">SUM(Y18:Y323)</f>
        <v>30114795.2868981</v>
      </c>
      <c r="Z12" s="279" t="n">
        <f aca="false">SUM(Z18:Z323)</f>
        <v>-752869.882172452</v>
      </c>
      <c r="AA12" s="281" t="n">
        <f aca="false">+Y12+Z12</f>
        <v>29361925.4047256</v>
      </c>
      <c r="AB12" s="257"/>
      <c r="AC12" s="275"/>
      <c r="AD12" s="282" t="n">
        <f aca="false">SUM(AD18:AD323)</f>
        <v>93508803.1709829</v>
      </c>
      <c r="AE12" s="283" t="n">
        <f aca="false">SUM(AE18:AE323)</f>
        <v>-18295975.6443699</v>
      </c>
      <c r="AF12" s="283" t="n">
        <f aca="false">SUM(AF18:AF323)</f>
        <v>-827787.738458332</v>
      </c>
      <c r="AG12" s="283" t="n">
        <f aca="false">SUM(AG18:AG323)</f>
        <v>-68290795.7585036</v>
      </c>
      <c r="AH12" s="284" t="n">
        <f aca="false">SUM(AH18:AH323)</f>
        <v>-87414559.1413319</v>
      </c>
      <c r="AI12" s="288" t="n">
        <f aca="false">SUM(AI18:AI323)</f>
        <v>-5507005.5215565</v>
      </c>
      <c r="AJ12" s="286"/>
      <c r="AK12" s="287" t="n">
        <f aca="false">SUM(AK18:AK323)</f>
        <v>587238.50809451</v>
      </c>
      <c r="AM12" s="275"/>
      <c r="AN12" s="278" t="n">
        <f aca="false">SUM(AN18:AN323)</f>
        <v>969322440.884431</v>
      </c>
      <c r="AO12" s="279" t="n">
        <f aca="false">SUM(AO18:AO323)</f>
        <v>-10177885.6292864</v>
      </c>
      <c r="AP12" s="280" t="n">
        <f aca="false">SUM(AP18:AP323)</f>
        <v>959144555.255144</v>
      </c>
      <c r="AQ12" s="279" t="n">
        <f aca="false">SUM(AQ18:AQ323)</f>
        <v>-23978613.8813786</v>
      </c>
      <c r="AR12" s="281" t="n">
        <f aca="false">+AP12+AQ12</f>
        <v>935165941.373766</v>
      </c>
      <c r="AS12" s="257"/>
      <c r="AT12" s="275"/>
      <c r="AU12" s="282" t="n">
        <f aca="false">SUM(AU18:AU323)</f>
        <v>3355838866.49414</v>
      </c>
      <c r="AV12" s="283" t="n">
        <f aca="false">SUM(AV18:AV323)</f>
        <v>-324219670.426223</v>
      </c>
      <c r="AW12" s="283" t="n">
        <f aca="false">SUM(AW18:AW323)</f>
        <v>-29224470.9092158</v>
      </c>
      <c r="AX12" s="283" t="n">
        <f aca="false">SUM(AX18:AX323)</f>
        <v>-2798993868.30992</v>
      </c>
      <c r="AY12" s="284" t="n">
        <f aca="false">SUM(AY18:AY323)</f>
        <v>-3152438009.64535</v>
      </c>
      <c r="AZ12" s="288" t="n">
        <f aca="false">SUM(AZ18:AZ323)</f>
        <v>-184697538.02131</v>
      </c>
      <c r="BA12" s="286" t="n">
        <f aca="false">SUM(BA18:BA323)</f>
        <v>-3337135547.66667</v>
      </c>
      <c r="BB12" s="287" t="n">
        <f aca="false">SUM(BB18:BB323)</f>
        <v>18703318.8274754</v>
      </c>
      <c r="BC12" s="289"/>
    </row>
    <row r="13" customFormat="false" ht="15.75" hidden="false" customHeight="false" outlineLevel="0" collapsed="false">
      <c r="A13" s="290"/>
      <c r="B13" s="291"/>
      <c r="C13" s="292"/>
      <c r="E13" s="275"/>
      <c r="F13" s="293"/>
      <c r="G13" s="294" t="n">
        <f aca="false">-G12/F12</f>
        <v>0.033</v>
      </c>
      <c r="H13" s="295" t="n">
        <f aca="false">+H12/F12</f>
        <v>0.967</v>
      </c>
      <c r="I13" s="294" t="n">
        <f aca="false">-I12/H12</f>
        <v>0.025</v>
      </c>
      <c r="J13" s="296" t="n">
        <f aca="false">+J12/F12</f>
        <v>0.942825</v>
      </c>
      <c r="K13" s="297"/>
      <c r="L13" s="275"/>
      <c r="M13" s="298" t="n">
        <f aca="false">+M12/J12</f>
        <v>3.2193328125</v>
      </c>
      <c r="N13" s="299" t="n">
        <f aca="false">+N12/J12</f>
        <v>-0.601158840467754</v>
      </c>
      <c r="O13" s="300" t="n">
        <f aca="false">+O12/J12</f>
        <v>-0.028060581882618</v>
      </c>
      <c r="P13" s="299" t="n">
        <f aca="false">+P12/J12</f>
        <v>-2.3833542788781</v>
      </c>
      <c r="Q13" s="301" t="n">
        <f aca="false">+Q12/J12</f>
        <v>-3.01257370122848</v>
      </c>
      <c r="R13" s="302" t="n">
        <f aca="false">+R12/J12</f>
        <v>-0.186759111271525</v>
      </c>
      <c r="S13" s="303"/>
      <c r="T13" s="304" t="n">
        <f aca="false">+T12/J12</f>
        <v>0.02</v>
      </c>
      <c r="V13" s="275"/>
      <c r="W13" s="293"/>
      <c r="X13" s="294" t="n">
        <f aca="false">-X12/W12</f>
        <v>0.018</v>
      </c>
      <c r="Y13" s="295" t="n">
        <f aca="false">+Y12/W12</f>
        <v>0.982</v>
      </c>
      <c r="Z13" s="294" t="n">
        <f aca="false">-Z12/Y12</f>
        <v>0.025</v>
      </c>
      <c r="AA13" s="296" t="n">
        <f aca="false">+AA12/W12</f>
        <v>0.95745</v>
      </c>
      <c r="AB13" s="297"/>
      <c r="AC13" s="275"/>
      <c r="AD13" s="298" t="n">
        <f aca="false">+AD12/AA12</f>
        <v>3.18469589041096</v>
      </c>
      <c r="AE13" s="299" t="n">
        <f aca="false">+AE12/AA12</f>
        <v>-0.623119069753692</v>
      </c>
      <c r="AF13" s="300" t="n">
        <f aca="false">+AF12/AA12</f>
        <v>-0.0281925564161097</v>
      </c>
      <c r="AG13" s="299" t="n">
        <f aca="false">+AG12/AA12</f>
        <v>-2.32582825605546</v>
      </c>
      <c r="AH13" s="301" t="n">
        <f aca="false">+AH12/AA12</f>
        <v>-2.97713988222526</v>
      </c>
      <c r="AI13" s="305" t="n">
        <f aca="false">+AI12/AA12</f>
        <v>-0.187556008185695</v>
      </c>
      <c r="AJ13" s="303"/>
      <c r="AK13" s="306" t="n">
        <f aca="false">+AK12/AA12</f>
        <v>0.0199999999999999</v>
      </c>
      <c r="AM13" s="275"/>
      <c r="AN13" s="293"/>
      <c r="AO13" s="294" t="n">
        <f aca="false">-AO12/AN12</f>
        <v>0.0104999999999999</v>
      </c>
      <c r="AP13" s="295" t="n">
        <f aca="false">+AP12/AN12</f>
        <v>0.9895</v>
      </c>
      <c r="AQ13" s="294" t="n">
        <f aca="false">-AQ12/AP12</f>
        <v>0.025</v>
      </c>
      <c r="AR13" s="296" t="n">
        <f aca="false">+AR12/AN12</f>
        <v>0.9647625</v>
      </c>
      <c r="AS13" s="297"/>
      <c r="AT13" s="275"/>
      <c r="AU13" s="298" t="n">
        <f aca="false">+AU12/AR12</f>
        <v>3.58849560064644</v>
      </c>
      <c r="AV13" s="299" t="n">
        <f aca="false">+AV12/AR12</f>
        <v>-0.34669747483526</v>
      </c>
      <c r="AW13" s="300" t="n">
        <f aca="false">+AW12/AR12</f>
        <v>-0.0312505723489939</v>
      </c>
      <c r="AX13" s="299" t="n">
        <f aca="false">+AX12/AR12</f>
        <v>-2.99304513185989</v>
      </c>
      <c r="AY13" s="301" t="n">
        <f aca="false">+AY12/AR12</f>
        <v>-3.37099317904414</v>
      </c>
      <c r="AZ13" s="305" t="n">
        <f aca="false">+AZ12/AR12</f>
        <v>-0.197502421602297</v>
      </c>
      <c r="BA13" s="303" t="n">
        <f aca="false">+BA12/AR12</f>
        <v>-3.56849560064644</v>
      </c>
      <c r="BB13" s="304" t="n">
        <f aca="false">+BB12/AR12</f>
        <v>0.0200000000000001</v>
      </c>
      <c r="BC13" s="307"/>
    </row>
    <row r="14" customFormat="false" ht="12.75" hidden="false" customHeight="false" outlineLevel="0" collapsed="false">
      <c r="A14" s="290"/>
      <c r="B14" s="133"/>
      <c r="C14" s="308"/>
      <c r="E14" s="275"/>
      <c r="F14" s="309"/>
      <c r="G14" s="310"/>
      <c r="H14" s="311"/>
      <c r="I14" s="310"/>
      <c r="J14" s="133"/>
      <c r="K14" s="297"/>
      <c r="L14" s="275"/>
      <c r="M14" s="309"/>
      <c r="N14" s="310"/>
      <c r="O14" s="312"/>
      <c r="P14" s="313"/>
      <c r="Q14" s="314"/>
      <c r="R14" s="315" t="s">
        <v>98</v>
      </c>
      <c r="S14" s="133"/>
      <c r="T14" s="316"/>
      <c r="V14" s="275"/>
      <c r="W14" s="309"/>
      <c r="X14" s="310"/>
      <c r="Y14" s="311"/>
      <c r="Z14" s="310"/>
      <c r="AA14" s="133"/>
      <c r="AB14" s="297"/>
      <c r="AC14" s="275"/>
      <c r="AD14" s="309"/>
      <c r="AE14" s="310"/>
      <c r="AF14" s="310"/>
      <c r="AG14" s="310"/>
      <c r="AH14" s="314"/>
      <c r="AI14" s="315" t="s">
        <v>98</v>
      </c>
      <c r="AJ14" s="133"/>
      <c r="AK14" s="316"/>
      <c r="AM14" s="275"/>
      <c r="AN14" s="309"/>
      <c r="AO14" s="310"/>
      <c r="AP14" s="311"/>
      <c r="AQ14" s="310"/>
      <c r="AR14" s="133"/>
      <c r="AS14" s="297"/>
      <c r="AT14" s="275"/>
      <c r="AU14" s="309"/>
      <c r="AV14" s="310"/>
      <c r="AW14" s="310"/>
      <c r="AX14" s="310"/>
      <c r="AY14" s="314"/>
      <c r="AZ14" s="315" t="s">
        <v>98</v>
      </c>
      <c r="BA14" s="133"/>
      <c r="BB14" s="316"/>
    </row>
    <row r="15" customFormat="false" ht="12.75" hidden="false" customHeight="false" outlineLevel="0" collapsed="false">
      <c r="A15" s="317"/>
      <c r="B15" s="133" t="s">
        <v>99</v>
      </c>
      <c r="C15" s="308"/>
      <c r="E15" s="259"/>
      <c r="F15" s="309"/>
      <c r="G15" s="310"/>
      <c r="H15" s="314"/>
      <c r="I15" s="310"/>
      <c r="J15" s="133" t="s">
        <v>100</v>
      </c>
      <c r="K15" s="297"/>
      <c r="L15" s="259"/>
      <c r="M15" s="309"/>
      <c r="N15" s="310"/>
      <c r="O15" s="310"/>
      <c r="P15" s="310" t="s">
        <v>101</v>
      </c>
      <c r="Q15" s="314" t="s">
        <v>99</v>
      </c>
      <c r="R15" s="315" t="s">
        <v>102</v>
      </c>
      <c r="S15" s="133"/>
      <c r="T15" s="316"/>
      <c r="V15" s="259"/>
      <c r="W15" s="309"/>
      <c r="X15" s="310"/>
      <c r="Y15" s="314"/>
      <c r="Z15" s="310"/>
      <c r="AA15" s="133" t="s">
        <v>100</v>
      </c>
      <c r="AB15" s="297"/>
      <c r="AC15" s="259"/>
      <c r="AD15" s="309"/>
      <c r="AE15" s="310"/>
      <c r="AF15" s="310"/>
      <c r="AG15" s="310" t="s">
        <v>101</v>
      </c>
      <c r="AH15" s="314" t="s">
        <v>99</v>
      </c>
      <c r="AI15" s="315" t="s">
        <v>102</v>
      </c>
      <c r="AJ15" s="133"/>
      <c r="AK15" s="316"/>
      <c r="AM15" s="259"/>
      <c r="AN15" s="309"/>
      <c r="AO15" s="310"/>
      <c r="AP15" s="314"/>
      <c r="AQ15" s="310"/>
      <c r="AR15" s="133" t="s">
        <v>100</v>
      </c>
      <c r="AS15" s="297"/>
      <c r="AT15" s="259"/>
      <c r="AU15" s="309"/>
      <c r="AV15" s="310"/>
      <c r="AW15" s="310"/>
      <c r="AX15" s="310" t="s">
        <v>101</v>
      </c>
      <c r="AY15" s="314" t="s">
        <v>99</v>
      </c>
      <c r="AZ15" s="315" t="s">
        <v>102</v>
      </c>
      <c r="BA15" s="133"/>
      <c r="BB15" s="316"/>
    </row>
    <row r="16" customFormat="false" ht="12.75" hidden="false" customHeight="false" outlineLevel="0" collapsed="false">
      <c r="A16" s="317"/>
      <c r="B16" s="133" t="s">
        <v>6</v>
      </c>
      <c r="C16" s="308" t="s">
        <v>103</v>
      </c>
      <c r="E16" s="259"/>
      <c r="F16" s="309" t="s">
        <v>104</v>
      </c>
      <c r="G16" s="310"/>
      <c r="H16" s="318"/>
      <c r="I16" s="310" t="s">
        <v>105</v>
      </c>
      <c r="J16" s="133" t="s">
        <v>106</v>
      </c>
      <c r="K16" s="297"/>
      <c r="L16" s="259"/>
      <c r="M16" s="309"/>
      <c r="N16" s="310"/>
      <c r="O16" s="310" t="s">
        <v>107</v>
      </c>
      <c r="P16" s="310" t="s">
        <v>1</v>
      </c>
      <c r="Q16" s="314" t="s">
        <v>108</v>
      </c>
      <c r="R16" s="315" t="s">
        <v>109</v>
      </c>
      <c r="S16" s="133" t="s">
        <v>99</v>
      </c>
      <c r="T16" s="316"/>
      <c r="V16" s="259"/>
      <c r="W16" s="309" t="s">
        <v>104</v>
      </c>
      <c r="X16" s="310"/>
      <c r="Y16" s="318"/>
      <c r="Z16" s="310" t="s">
        <v>105</v>
      </c>
      <c r="AA16" s="133" t="s">
        <v>106</v>
      </c>
      <c r="AB16" s="297"/>
      <c r="AC16" s="259"/>
      <c r="AD16" s="309"/>
      <c r="AE16" s="310"/>
      <c r="AF16" s="310" t="s">
        <v>107</v>
      </c>
      <c r="AG16" s="310" t="s">
        <v>1</v>
      </c>
      <c r="AH16" s="314" t="s">
        <v>108</v>
      </c>
      <c r="AI16" s="315" t="s">
        <v>109</v>
      </c>
      <c r="AJ16" s="133" t="s">
        <v>99</v>
      </c>
      <c r="AK16" s="316"/>
      <c r="AM16" s="259"/>
      <c r="AN16" s="309" t="s">
        <v>104</v>
      </c>
      <c r="AO16" s="310"/>
      <c r="AP16" s="318"/>
      <c r="AQ16" s="310" t="s">
        <v>105</v>
      </c>
      <c r="AR16" s="133" t="s">
        <v>106</v>
      </c>
      <c r="AS16" s="297"/>
      <c r="AT16" s="259"/>
      <c r="AU16" s="309"/>
      <c r="AV16" s="310"/>
      <c r="AW16" s="310" t="s">
        <v>107</v>
      </c>
      <c r="AX16" s="310" t="s">
        <v>1</v>
      </c>
      <c r="AY16" s="314" t="s">
        <v>108</v>
      </c>
      <c r="AZ16" s="315" t="s">
        <v>109</v>
      </c>
      <c r="BA16" s="133" t="s">
        <v>99</v>
      </c>
      <c r="BB16" s="316"/>
    </row>
    <row r="17" customFormat="false" ht="12.75" hidden="false" customHeight="false" outlineLevel="0" collapsed="false">
      <c r="A17" s="319"/>
      <c r="B17" s="320" t="s">
        <v>109</v>
      </c>
      <c r="C17" s="321" t="s">
        <v>109</v>
      </c>
      <c r="E17" s="322"/>
      <c r="F17" s="293" t="s">
        <v>96</v>
      </c>
      <c r="G17" s="323" t="s">
        <v>110</v>
      </c>
      <c r="H17" s="240" t="s">
        <v>111</v>
      </c>
      <c r="I17" s="323" t="s">
        <v>112</v>
      </c>
      <c r="J17" s="320" t="s">
        <v>113</v>
      </c>
      <c r="K17" s="297"/>
      <c r="L17" s="322"/>
      <c r="M17" s="293" t="s">
        <v>114</v>
      </c>
      <c r="N17" s="310" t="s">
        <v>115</v>
      </c>
      <c r="O17" s="310" t="s">
        <v>116</v>
      </c>
      <c r="P17" s="310" t="s">
        <v>117</v>
      </c>
      <c r="Q17" s="240" t="s">
        <v>117</v>
      </c>
      <c r="R17" s="324" t="s">
        <v>116</v>
      </c>
      <c r="S17" s="320" t="s">
        <v>117</v>
      </c>
      <c r="T17" s="325" t="s">
        <v>118</v>
      </c>
      <c r="V17" s="322"/>
      <c r="W17" s="293" t="s">
        <v>96</v>
      </c>
      <c r="X17" s="323" t="s">
        <v>110</v>
      </c>
      <c r="Y17" s="240" t="s">
        <v>111</v>
      </c>
      <c r="Z17" s="323" t="s">
        <v>112</v>
      </c>
      <c r="AA17" s="320" t="s">
        <v>113</v>
      </c>
      <c r="AB17" s="297"/>
      <c r="AC17" s="322"/>
      <c r="AD17" s="293" t="s">
        <v>114</v>
      </c>
      <c r="AE17" s="323" t="s">
        <v>115</v>
      </c>
      <c r="AF17" s="323" t="s">
        <v>116</v>
      </c>
      <c r="AG17" s="323" t="s">
        <v>117</v>
      </c>
      <c r="AH17" s="240" t="s">
        <v>117</v>
      </c>
      <c r="AI17" s="324" t="s">
        <v>116</v>
      </c>
      <c r="AJ17" s="320" t="s">
        <v>117</v>
      </c>
      <c r="AK17" s="325" t="s">
        <v>118</v>
      </c>
      <c r="AM17" s="322"/>
      <c r="AN17" s="293" t="s">
        <v>96</v>
      </c>
      <c r="AO17" s="323" t="s">
        <v>110</v>
      </c>
      <c r="AP17" s="240" t="s">
        <v>111</v>
      </c>
      <c r="AQ17" s="323" t="s">
        <v>112</v>
      </c>
      <c r="AR17" s="320" t="s">
        <v>113</v>
      </c>
      <c r="AS17" s="297"/>
      <c r="AT17" s="322"/>
      <c r="AU17" s="293" t="s">
        <v>114</v>
      </c>
      <c r="AV17" s="323" t="s">
        <v>115</v>
      </c>
      <c r="AW17" s="323" t="s">
        <v>116</v>
      </c>
      <c r="AX17" s="323" t="s">
        <v>117</v>
      </c>
      <c r="AY17" s="240" t="s">
        <v>117</v>
      </c>
      <c r="AZ17" s="324" t="s">
        <v>116</v>
      </c>
      <c r="BA17" s="320" t="s">
        <v>117</v>
      </c>
      <c r="BB17" s="325" t="s">
        <v>118</v>
      </c>
    </row>
    <row r="18" customFormat="false" ht="12.75" hidden="false" customHeight="false" outlineLevel="0" collapsed="false">
      <c r="A18" s="326" t="n">
        <v>36708</v>
      </c>
      <c r="B18" s="327" t="n">
        <f aca="false">+IF(AND($A18&gt;=$C$8,$A18&lt;=$C$9),1,0)*PORTS!$I$5/(365.25)*(A19-A18)</f>
        <v>0</v>
      </c>
      <c r="C18" s="328" t="n">
        <f aca="false">+B18-(SUMIF($F$17:$IV$17,$H$17,$F18:$IV18))</f>
        <v>0</v>
      </c>
      <c r="D18" s="0" t="n">
        <f aca="false">+YEAR(E18)</f>
        <v>2000</v>
      </c>
      <c r="E18" s="326" t="n">
        <v>36708</v>
      </c>
      <c r="F18" s="327" t="n">
        <f aca="false">+IF(AND(G$8&lt;=E18,G$9&gt;=E18),INDEX(ROUTE_PER_DAY_BY_SHIP,MATCH(CONCATENATE(G$4,G$5,G$7),ROUTE_PER_DAY_ROUTES,0),MATCH(G$6,ROUTE_PER_DAY_SHIPS,0))*(E19-E18),0)</f>
        <v>0</v>
      </c>
      <c r="G18" s="329" t="n">
        <f aca="false">-F18*HLOOKUP(G$6,SHIPS,7,0)*INDEX(LADEN_VOYAGE_DAYS,MATCH(CONCATENATE(G$4,G$5,G$7),LADEN_VOYAGE_ROUTES,0),MATCH(G$6,LADEN_VOYAGE_SHIPS,0))</f>
        <v>-0</v>
      </c>
      <c r="H18" s="330" t="n">
        <f aca="false">SUM(F18:G18)</f>
        <v>0</v>
      </c>
      <c r="I18" s="331" t="n">
        <f aca="false">-(H18)*HLOOKUP(G$5,TERMINAL_CHARGES,3,0)</f>
        <v>-0</v>
      </c>
      <c r="J18" s="332" t="n">
        <f aca="false">+H18+I18</f>
        <v>0</v>
      </c>
      <c r="K18" s="333"/>
      <c r="L18" s="326" t="n">
        <v>36708</v>
      </c>
      <c r="M18" s="334" t="n">
        <f aca="false">+J18*(VLOOKUP(L18,CURVECALC!$C$6:$J$312,4,0)+N$5)</f>
        <v>0</v>
      </c>
      <c r="N18" s="335" t="n">
        <f aca="false">-F18*INDEX(ship_curves,MATCH(L18,'SHIP CURVES'!$A$9:$A$316,0),MATCH(CONCATENATE(P$4,P$5,P$6,P$7),'SHIP CURVES'!$A$9:$AZ$9,0))</f>
        <v>-0</v>
      </c>
      <c r="O18" s="336" t="n">
        <f aca="false">-H18*INDEX(port_processing_fee,MATCH(L18,PORTS!$H$626:$H$933,0),MATCH(P$5,PORTS!$H$626:$Z$626,0))</f>
        <v>-0</v>
      </c>
      <c r="P18" s="337" t="n">
        <f aca="false">(((VLOOKUP(L18,curvecalc,4,0))*IF(F18=0,0,J18/F18)-INDEX(ship_curves,MATCH(L18,'SHIP CURVES'!$A$9:$A$316,0),MATCH(CONCATENATE(P$4,P$5,P$6,P$7),'SHIP CURVES'!$A$9:$Z$9,0))-INDEX(terminal_curves,MATCH(L18,'TERMINAL CURVES'!$A$4:$A$313,0),MATCH(P$5,'TERMINAL CURVES'!$A$4:$N$4,0))*IF(F18=0,0,H18/F18))-(N$8)*((N$7-$N$5)-(INDEX(ship_curves,MATCH(L18,'SHIP CURVES'!$A$9:$A$316,0),MATCH(CONCATENATE(P$4,P$5,P$6,P$7),'SHIP CURVES'!$A$9:$Z$9,0))-INDEX(ship_curves,MATCH(L18,'SHIP CURVES'!$A$9:$A$316,0),MATCH(CONCATENATE(P$4,N$6,P$6,P$7),'SHIP CURVES'!$A$9:$Z$9,0)))-(INDEX(terminal_curves,MATCH(L18,'TERMINAL CURVES'!$A$4:$A$313,0),MATCH(P$5,'TERMINAL CURVES'!$A$4:$N$4,0))-INDEX(terminal_curves,MATCH(L18,'TERMINAL CURVES'!$A$4:$A$313,0),MATCH(N$6,'TERMINAL CURVES'!$A$4:$N$4,0)))*IF(F18=0,0,H18/F18)))*-F18</f>
        <v>0</v>
      </c>
      <c r="Q18" s="338" t="n">
        <f aca="false">SUM(N18:P18)</f>
        <v>0</v>
      </c>
      <c r="R18" s="339" t="n">
        <f aca="false">(-H18/((HLOOKUP(P$5,port_specs,2,0)/(365.25))*(L19-L18)))*(INDEX(fixed_capacity_charge,MATCH(L18,PORTS!$H$11:$H$317,0),MATCH(P$5,PORTS!$H$11:$N$11,0))+INDEX(variable_om_charge,MATCH(L18,PORTS!$H$318:$H$625,0),MATCH(P$5,PORTS!$H$318:$N$318,0)))</f>
        <v>-0</v>
      </c>
      <c r="S18" s="340" t="n">
        <f aca="false">+R18+Q18</f>
        <v>0</v>
      </c>
      <c r="T18" s="341" t="n">
        <f aca="false">+S18+M18</f>
        <v>0</v>
      </c>
      <c r="U18" s="342"/>
      <c r="V18" s="326" t="n">
        <v>36708</v>
      </c>
      <c r="W18" s="327" t="n">
        <f aca="false">+Y18/(1-HLOOKUP(X$6,SHIPS,7,0)*INDEX(LADEN_VOYAGE_DAYS,MATCH(CONCATENATE(X$4,X$5),LADEN_VOYAGE_ROUTES,0),MATCH(X$6,LADEN_VOYAGE_SHIPS,0)))</f>
        <v>0</v>
      </c>
      <c r="X18" s="329" t="n">
        <f aca="false">+Y18-W18</f>
        <v>0</v>
      </c>
      <c r="Y18" s="330" t="n">
        <f aca="false">+IF(AND(X$8&lt;=V18,X$9&gt;=V18),+MIN($B18-SUMIF($H$17:X$17,Y$17,$H18:X18),((INDEX(ROUTE_PER_DAY_BY_SHIP,MATCH(CONCATENATE(X$4,X$5,X$7),ROUTE_PER_DAY_ROUTES,0),MATCH(X$6,ROUTE_PER_DAY_SHIPS,0))*(V19-V18))-(INDEX(ROUTE_PER_DAY_BY_SHIP,MATCH(CONCATENATE(X$4,X$5,X$7),ROUTE_PER_DAY_ROUTES,0),MATCH(X$6,ROUTE_PER_DAY_SHIPS,0))*(V19-V18))*HLOOKUP(X$6,SHIPS,7,0)*INDEX(LADEN_VOYAGE_DAYS,MATCH(CONCATENATE(X$4,X$5,X$7),LADEN_VOYAGE_ROUTES,0),MATCH(X$6,LADEN_VOYAGE_SHIPS,0)))),0)</f>
        <v>0</v>
      </c>
      <c r="Z18" s="331" t="n">
        <f aca="false">-(Y18)*HLOOKUP(X$5,TERMINAL_CHARGES,3,0)</f>
        <v>-0</v>
      </c>
      <c r="AA18" s="332" t="n">
        <f aca="false">+Y18+Z18</f>
        <v>0</v>
      </c>
      <c r="AB18" s="333"/>
      <c r="AC18" s="326" t="n">
        <v>36708</v>
      </c>
      <c r="AD18" s="343" t="n">
        <f aca="false">+AA18*(VLOOKUP(AC18,CURVECALC!$C$6:$J$312,4,0)+AE$5)</f>
        <v>0</v>
      </c>
      <c r="AE18" s="335" t="n">
        <f aca="false">-W18*INDEX(ship_curves,MATCH(AC18,'SHIP CURVES'!$A$9:$A$316,0),MATCH(CONCATENATE(AG$4,AG$5,AG$6,AG$7),'SHIP CURVES'!$A$9:$AZ$9,0))</f>
        <v>-0</v>
      </c>
      <c r="AF18" s="336" t="n">
        <f aca="false">-Y18*INDEX(port_processing_fee,MATCH(AC18,PORTS!$H$626:$H$933,0),MATCH(AG$5,PORTS!$H$626:$Z$626,0))</f>
        <v>-0</v>
      </c>
      <c r="AG18" s="337" t="n">
        <f aca="false">(((VLOOKUP(AC18,curvecalc,4,0))*IF(W18=0,0,AA18/W18)-INDEX(ship_curves,MATCH(AC18,'SHIP CURVES'!$A$9:$A$316,0),MATCH(CONCATENATE(AG$4,AG$5,AG$6,AG$7),'SHIP CURVES'!$A$9:$Z$9,0))-INDEX(terminal_curves,MATCH(AC18,'TERMINAL CURVES'!$A$4:$A$313,0),MATCH(AG$5,'TERMINAL CURVES'!$A$4:$N$4,0))*IF(W18=0,0,Y18/W18))-(AE$8)*((AE$7-$N$5)-(INDEX(ship_curves,MATCH(AC18,'SHIP CURVES'!$A$9:$A$316,0),MATCH(CONCATENATE(AG$4,AG$5,AG$6,AG$7),'SHIP CURVES'!$A$9:$Z$9,0))-INDEX(ship_curves,MATCH(AC18,'SHIP CURVES'!$A$9:$A$316,0),MATCH(CONCATENATE(AG$4,AE$6,AG$6,AG$7),'SHIP CURVES'!$A$9:$Z$9,0)))-(INDEX(terminal_curves,MATCH(AC18,'TERMINAL CURVES'!$A$4:$A$313,0),MATCH(AG$5,'TERMINAL CURVES'!$A$4:$N$4,0))-INDEX(terminal_curves,MATCH(AC18,'TERMINAL CURVES'!$A$4:$A$313,0),MATCH(AE$6,'TERMINAL CURVES'!$A$4:$N$4,0)))*IF(W18=0,0,Y18/W18)))*-W18</f>
        <v>0</v>
      </c>
      <c r="AH18" s="344" t="n">
        <f aca="false">SUM(AE18:AG18)</f>
        <v>0</v>
      </c>
      <c r="AI18" s="345" t="n">
        <f aca="false">(-Y18/((HLOOKUP(AG$5,port_specs,2,0)/(365.25))*(AC19-AC18)))*(INDEX(fixed_capacity_charge,MATCH(AC18,PORTS!$H$11:$H$317,0),MATCH(AG$5,PORTS!$H$11:$N$11,0))+INDEX(variable_om_charge,MATCH(AC18,PORTS!$H$318:$H$625,0),MATCH(AG$5,PORTS!$H$318:$N$318,0)))</f>
        <v>-0</v>
      </c>
      <c r="AJ18" s="340" t="n">
        <f aca="false">+AI18+AH18</f>
        <v>0</v>
      </c>
      <c r="AK18" s="341" t="n">
        <f aca="false">+AJ18+AD18</f>
        <v>0</v>
      </c>
      <c r="AM18" s="326" t="n">
        <v>36708</v>
      </c>
      <c r="AN18" s="327" t="n">
        <f aca="false">+AP18/(1-HLOOKUP(AO$6,SHIPS,7,0)*INDEX(LADEN_VOYAGE_DAYS,MATCH(CONCATENATE(AO$4,AO$5),LADEN_VOYAGE_ROUTES,0),MATCH(AO$6,LADEN_VOYAGE_SHIPS,0)))</f>
        <v>0</v>
      </c>
      <c r="AO18" s="329" t="n">
        <f aca="false">+AP18-AN18</f>
        <v>0</v>
      </c>
      <c r="AP18" s="330" t="n">
        <f aca="false">+IF(AND(AO$8&lt;=AM18,AO$9&gt;=AM18),+MIN($B18-SUMIF($H$17:AO$17,AP$17,$H18:AO18),((INDEX(ROUTE_PER_DAY_BY_SHIP,MATCH(CONCATENATE(AO$4,AO$5,AO$7),ROUTE_PER_DAY_ROUTES,0),MATCH(AO$6,ROUTE_PER_DAY_SHIPS,0))*(AM19-AM18))-(INDEX(ROUTE_PER_DAY_BY_SHIP,MATCH(CONCATENATE(AO$4,AO$5,AO$7),ROUTE_PER_DAY_ROUTES,0),MATCH(AO$6,ROUTE_PER_DAY_SHIPS,0))*(AM19-AM18))*HLOOKUP(AO$6,SHIPS,7,0)*INDEX(LADEN_VOYAGE_DAYS,MATCH(CONCATENATE(AO$4,AO$5,AO$7),LADEN_VOYAGE_ROUTES,0),MATCH(AO$6,LADEN_VOYAGE_SHIPS,0)))),0)</f>
        <v>0</v>
      </c>
      <c r="AQ18" s="331" t="n">
        <f aca="false">-(AP18)*PORTS!$I$6</f>
        <v>-0</v>
      </c>
      <c r="AR18" s="332" t="n">
        <f aca="false">+AP18+AQ18</f>
        <v>0</v>
      </c>
      <c r="AS18" s="333"/>
      <c r="AT18" s="326" t="n">
        <v>36708</v>
      </c>
      <c r="AU18" s="343" t="n">
        <f aca="false">+AR18*(VLOOKUP(AT18,CURVECALC!$C$6:$J$312,4,0)+AV$5)</f>
        <v>0</v>
      </c>
      <c r="AV18" s="335" t="n">
        <f aca="false">-AN18*INDEX(ship_curves,MATCH(AT18,'SHIP CURVES'!$A$9:$A$316,0),MATCH(CONCATENATE(AX$4,AX$5,AX$6,AX$7),'SHIP CURVES'!$A$9:$AZ$9,0))</f>
        <v>-0</v>
      </c>
      <c r="AW18" s="336" t="n">
        <f aca="false">-AP18*INDEX(port_processing_fee,MATCH(AT18,PORTS!$H$626:$H$933,0),MATCH(AX$5,PORTS!$H$626:$Z$626,0))</f>
        <v>-0</v>
      </c>
      <c r="AX18" s="337" t="n">
        <f aca="false">(((VLOOKUP(AT18,curvecalc,4,0))*IF(AN18=0,0,AR18/AN18)-INDEX(ship_curves,MATCH(AT18,'SHIP CURVES'!$A$9:$A$316,0),MATCH(CONCATENATE(AX$4,AX$5,AX$6,AX$7),'SHIP CURVES'!$A$9:$Z$9,0))-INDEX(terminal_curves,MATCH(AT18,'TERMINAL CURVES'!$A$4:$A$313,0),MATCH(AX$5,'TERMINAL CURVES'!$A$4:$N$4,0))*IF(AN18=0,0,AP18/AN18))-(AV$8)*((AV$7-$N$5)-(INDEX(ship_curves,MATCH(AT18,'SHIP CURVES'!$A$9:$A$316,0),MATCH(CONCATENATE(AX$4,AX$5,AX$6,AX$7),'SHIP CURVES'!$A$9:$Z$9,0))-INDEX(ship_curves,MATCH(AT18,'SHIP CURVES'!$A$9:$A$316,0),MATCH(CONCATENATE(AX$4,AV$6,AX$6,AX$7),'SHIP CURVES'!$A$9:$Z$9,0)))-(INDEX(terminal_curves,MATCH(AT18,'TERMINAL CURVES'!$A$4:$A$313,0),MATCH(AX$5,'TERMINAL CURVES'!$A$4:$N$4,0))-INDEX(terminal_curves,MATCH(AT18,'TERMINAL CURVES'!$A$4:$A$313,0),MATCH(AV$6,'TERMINAL CURVES'!$A$4:$N$4,0)))*IF(AN18=0,0,AP18/AN18)))*-AN18</f>
        <v>0</v>
      </c>
      <c r="AY18" s="344" t="n">
        <f aca="false">SUM(AV18:AX18)</f>
        <v>0</v>
      </c>
      <c r="AZ18" s="345" t="n">
        <f aca="false">(-AP18/((HLOOKUP(AX$5,port_specs,2,0)/(365.25))*(AT19-AT18)))*(INDEX(fixed_capacity_charge,MATCH(AT18,PORTS!$H$11:$H$317,0),MATCH(AX$5,PORTS!$H$11:$N$11,0))+INDEX(variable_om_charge,MATCH(AT18,PORTS!$H$318:$H$625,0),MATCH(AX$5,PORTS!$H$318:$N$318,0)))</f>
        <v>-0</v>
      </c>
      <c r="BA18" s="340" t="n">
        <f aca="false">+AZ18+AY18</f>
        <v>0</v>
      </c>
      <c r="BB18" s="341" t="n">
        <f aca="false">+BA18+AU18</f>
        <v>0</v>
      </c>
      <c r="BC18" s="99"/>
      <c r="BD18" s="345" t="n">
        <f aca="false">+PORTS!I12+PORTS!I320</f>
        <v>0</v>
      </c>
    </row>
    <row r="19" customFormat="false" ht="12.75" hidden="false" customHeight="false" outlineLevel="0" collapsed="false">
      <c r="A19" s="346" t="n">
        <f aca="false">+DATE(YEAR(A18),MONTH(A18)+1,1)</f>
        <v>36739</v>
      </c>
      <c r="B19" s="327" t="n">
        <f aca="false">+IF(AND($A19&gt;=$C$8,$A19&lt;=$C$9),1,0)*PORTS!$I$5/(365.25)*(A20-A19)</f>
        <v>0</v>
      </c>
      <c r="C19" s="328" t="n">
        <f aca="false">+B19-(SUMIF($F$17:$IV$17,$H$17,$F19:$IV19))</f>
        <v>0</v>
      </c>
      <c r="D19" s="0" t="n">
        <f aca="false">+YEAR(E19)</f>
        <v>2000</v>
      </c>
      <c r="E19" s="346" t="n">
        <f aca="false">+DATE(YEAR(E18),MONTH(E18)+1,1)</f>
        <v>36739</v>
      </c>
      <c r="F19" s="327" t="n">
        <f aca="false">+IF(AND(G$8&lt;=E19,G$9&gt;=E19),INDEX(ROUTE_PER_DAY_BY_SHIP,MATCH(CONCATENATE(G$4,G$5,G$7),ROUTE_PER_DAY_ROUTES,0),MATCH(G$6,ROUTE_PER_DAY_SHIPS,0))*(E20-E19),0)</f>
        <v>0</v>
      </c>
      <c r="G19" s="347" t="n">
        <f aca="false">-F19*HLOOKUP(G$6,SHIPS,7,0)*INDEX(LADEN_VOYAGE_DAYS,MATCH(CONCATENATE(G$4,G$5,G$7),LADEN_VOYAGE_ROUTES,0),MATCH(G$6,LADEN_VOYAGE_SHIPS,0))</f>
        <v>-0</v>
      </c>
      <c r="H19" s="348" t="n">
        <f aca="false">SUM(F19:G19)</f>
        <v>0</v>
      </c>
      <c r="I19" s="349" t="n">
        <f aca="false">-(H19)*HLOOKUP(G$5,TERMINAL_CHARGES,3,0)</f>
        <v>-0</v>
      </c>
      <c r="J19" s="327" t="n">
        <f aca="false">+H19+I19</f>
        <v>0</v>
      </c>
      <c r="K19" s="333"/>
      <c r="L19" s="346" t="n">
        <f aca="false">+DATE(YEAR(L18),MONTH(L18)+1,1)</f>
        <v>36739</v>
      </c>
      <c r="M19" s="334" t="n">
        <f aca="false">+J19*(VLOOKUP(L19,CURVECALC!$C$6:$J$312,4,0)+N$5)</f>
        <v>0</v>
      </c>
      <c r="N19" s="350" t="n">
        <f aca="false">-F19*INDEX(ship_curves,MATCH(L19,'SHIP CURVES'!$A$9:$A$316,0),MATCH(CONCATENATE(P$4,P$5,P$6,P$7),'SHIP CURVES'!$A$9:$AZ$9,0))</f>
        <v>-0</v>
      </c>
      <c r="O19" s="351" t="n">
        <f aca="false">-H19*INDEX(port_processing_fee,MATCH(L19,PORTS!$H$626:$H$933,0),MATCH(P$5,PORTS!$H$626:$Z$626,0))</f>
        <v>-0</v>
      </c>
      <c r="P19" s="352" t="n">
        <f aca="false">(((VLOOKUP(L19,curvecalc,4,0))*IF(F19=0,0,J19/F19)-INDEX(ship_curves,MATCH(L19,'SHIP CURVES'!$A$9:$A$316,0),MATCH(CONCATENATE(P$4,P$5,P$6,P$7),'SHIP CURVES'!$A$9:$Z$9,0))-INDEX(terminal_curves,MATCH(L19,'TERMINAL CURVES'!$A$4:$A$313,0),MATCH(P$5,'TERMINAL CURVES'!$A$4:$N$4,0))*IF(F19=0,0,H19/F19))-(N$8)*((N$7-$N$5)-(INDEX(ship_curves,MATCH(L19,'SHIP CURVES'!$A$9:$A$316,0),MATCH(CONCATENATE(P$4,P$5,P$6,P$7),'SHIP CURVES'!$A$9:$Z$9,0))-INDEX(ship_curves,MATCH(L19,'SHIP CURVES'!$A$9:$A$316,0),MATCH(CONCATENATE(P$4,N$6,P$6,P$7),'SHIP CURVES'!$A$9:$Z$9,0)))-(INDEX(terminal_curves,MATCH(L19,'TERMINAL CURVES'!$A$4:$A$313,0),MATCH(P$5,'TERMINAL CURVES'!$A$4:$N$4,0))-INDEX(terminal_curves,MATCH(L19,'TERMINAL CURVES'!$A$4:$A$313,0),MATCH(N$6,'TERMINAL CURVES'!$A$4:$N$4,0)))*IF(F19=0,0,H19/F19)))*-F19</f>
        <v>0</v>
      </c>
      <c r="Q19" s="353" t="n">
        <f aca="false">SUM(N19:P19)</f>
        <v>0</v>
      </c>
      <c r="R19" s="354" t="n">
        <f aca="false">(-H19/((HLOOKUP(P$5,port_specs,2,0)/(365.25))*(L20-L19)))*(INDEX(fixed_capacity_charge,MATCH(L19,PORTS!$H$11:$H$317,0),MATCH(P$5,PORTS!$H$11:$N$11,0))+INDEX(variable_om_charge,MATCH(L19,PORTS!$H$318:$H$625,0),MATCH(P$5,PORTS!$H$318:$N$318,0)))</f>
        <v>-0</v>
      </c>
      <c r="S19" s="343" t="n">
        <f aca="false">+R19+Q19</f>
        <v>0</v>
      </c>
      <c r="T19" s="355" t="n">
        <f aca="false">+S19+M19</f>
        <v>0</v>
      </c>
      <c r="U19" s="342"/>
      <c r="V19" s="346" t="n">
        <f aca="false">+DATE(YEAR(V18),MONTH(V18)+1,1)</f>
        <v>36739</v>
      </c>
      <c r="W19" s="327" t="n">
        <f aca="false">+Y19/(1-HLOOKUP(X$6,SHIPS,7,0)*INDEX(LADEN_VOYAGE_DAYS,MATCH(CONCATENATE(X$4,X$5),LADEN_VOYAGE_ROUTES,0),MATCH(X$6,LADEN_VOYAGE_SHIPS,0)))</f>
        <v>0</v>
      </c>
      <c r="X19" s="347" t="n">
        <f aca="false">+Y19-W19</f>
        <v>0</v>
      </c>
      <c r="Y19" s="348" t="n">
        <f aca="false">+IF(AND(X$8&lt;=V19,X$9&gt;=V19),+MIN($B19-SUMIF($H$17:X$17,Y$17,$H19:X19),((INDEX(ROUTE_PER_DAY_BY_SHIP,MATCH(CONCATENATE(X$4,X$5,X$7),ROUTE_PER_DAY_ROUTES,0),MATCH(X$6,ROUTE_PER_DAY_SHIPS,0))*(V20-V19))-(INDEX(ROUTE_PER_DAY_BY_SHIP,MATCH(CONCATENATE(X$4,X$5,X$7),ROUTE_PER_DAY_ROUTES,0),MATCH(X$6,ROUTE_PER_DAY_SHIPS,0))*(V20-V19))*HLOOKUP(X$6,SHIPS,7,0)*INDEX(LADEN_VOYAGE_DAYS,MATCH(CONCATENATE(X$4,X$5,X$7),LADEN_VOYAGE_ROUTES,0),MATCH(X$6,LADEN_VOYAGE_SHIPS,0)))),0)</f>
        <v>0</v>
      </c>
      <c r="Z19" s="349" t="n">
        <f aca="false">-(Y19)*HLOOKUP(X$5,TERMINAL_CHARGES,3,0)</f>
        <v>-0</v>
      </c>
      <c r="AA19" s="327" t="n">
        <f aca="false">+Y19+Z19</f>
        <v>0</v>
      </c>
      <c r="AB19" s="333"/>
      <c r="AC19" s="346" t="n">
        <f aca="false">+DATE(YEAR(AC18),MONTH(AC18)+1,1)</f>
        <v>36739</v>
      </c>
      <c r="AD19" s="343" t="n">
        <f aca="false">+AA19*(VLOOKUP(AC19,CURVECALC!$C$6:$J$312,4,0)+AE$5)</f>
        <v>0</v>
      </c>
      <c r="AE19" s="350" t="n">
        <f aca="false">-W19*INDEX(ship_curves,MATCH(AC19,'SHIP CURVES'!$A$9:$A$316,0),MATCH(CONCATENATE(AG$4,AG$5,AG$6,AG$7),'SHIP CURVES'!$A$9:$AZ$9,0))</f>
        <v>-0</v>
      </c>
      <c r="AF19" s="351" t="n">
        <f aca="false">-Y19*INDEX(port_processing_fee,MATCH(AC19,PORTS!$H$626:$H$933,0),MATCH(AG$5,PORTS!$H$626:$Z$626,0))</f>
        <v>-0</v>
      </c>
      <c r="AG19" s="352" t="n">
        <f aca="false">(((VLOOKUP(AC19,curvecalc,4,0))*IF(W19=0,0,AA19/W19)-INDEX(ship_curves,MATCH(AC19,'SHIP CURVES'!$A$9:$A$316,0),MATCH(CONCATENATE(AG$4,AG$5,AG$6,AG$7),'SHIP CURVES'!$A$9:$Z$9,0))-INDEX(terminal_curves,MATCH(AC19,'TERMINAL CURVES'!$A$4:$A$313,0),MATCH(AG$5,'TERMINAL CURVES'!$A$4:$N$4,0))*IF(W19=0,0,Y19/W19))-(AE$8)*((AE$7-$N$5)-(INDEX(ship_curves,MATCH(AC19,'SHIP CURVES'!$A$9:$A$316,0),MATCH(CONCATENATE(AG$4,AG$5,AG$6,AG$7),'SHIP CURVES'!$A$9:$Z$9,0))-INDEX(ship_curves,MATCH(AC19,'SHIP CURVES'!$A$9:$A$316,0),MATCH(CONCATENATE(AG$4,AE$6,AG$6,AG$7),'SHIP CURVES'!$A$9:$Z$9,0)))-(INDEX(terminal_curves,MATCH(AC19,'TERMINAL CURVES'!$A$4:$A$313,0),MATCH(AG$5,'TERMINAL CURVES'!$A$4:$N$4,0))-INDEX(terminal_curves,MATCH(AC19,'TERMINAL CURVES'!$A$4:$A$313,0),MATCH(AE$6,'TERMINAL CURVES'!$A$4:$N$4,0)))*IF(W19=0,0,Y19/W19)))*-W19</f>
        <v>0</v>
      </c>
      <c r="AH19" s="356" t="n">
        <f aca="false">SUM(AE19:AG19)</f>
        <v>0</v>
      </c>
      <c r="AI19" s="357" t="n">
        <f aca="false">(-Y19/((HLOOKUP(AG$5,port_specs,2,0)/(365.25))*(AC20-AC19)))*(INDEX(fixed_capacity_charge,MATCH(AC19,PORTS!$H$11:$H$317,0),MATCH(AG$5,PORTS!$H$11:$N$11,0))+INDEX(variable_om_charge,MATCH(AC19,PORTS!$H$318:$H$625,0),MATCH(AG$5,PORTS!$H$318:$N$318,0)))</f>
        <v>-0</v>
      </c>
      <c r="AJ19" s="343" t="n">
        <f aca="false">+AI19+AH19</f>
        <v>0</v>
      </c>
      <c r="AK19" s="355" t="n">
        <f aca="false">+AJ19+AD19</f>
        <v>0</v>
      </c>
      <c r="AM19" s="346" t="n">
        <f aca="false">+DATE(YEAR(AM18),MONTH(AM18)+1,1)</f>
        <v>36739</v>
      </c>
      <c r="AN19" s="327" t="n">
        <f aca="false">+AP19/(1-HLOOKUP(AO$6,SHIPS,7,0)*INDEX(LADEN_VOYAGE_DAYS,MATCH(CONCATENATE(AO$4,AO$5),LADEN_VOYAGE_ROUTES,0),MATCH(AO$6,LADEN_VOYAGE_SHIPS,0)))</f>
        <v>0</v>
      </c>
      <c r="AO19" s="347" t="n">
        <f aca="false">+AP19-AN19</f>
        <v>0</v>
      </c>
      <c r="AP19" s="348" t="n">
        <f aca="false">+IF(AND(AO$8&lt;=AM19,AO$9&gt;=AM19),+MIN($B19-SUMIF($H$17:AO$17,AP$17,$H19:AO19),((INDEX(ROUTE_PER_DAY_BY_SHIP,MATCH(CONCATENATE(AO$4,AO$5,AO$7),ROUTE_PER_DAY_ROUTES,0),MATCH(AO$6,ROUTE_PER_DAY_SHIPS,0))*(AM20-AM19))-(INDEX(ROUTE_PER_DAY_BY_SHIP,MATCH(CONCATENATE(AO$4,AO$5,AO$7),ROUTE_PER_DAY_ROUTES,0),MATCH(AO$6,ROUTE_PER_DAY_SHIPS,0))*(AM20-AM19))*HLOOKUP(AO$6,SHIPS,7,0)*INDEX(LADEN_VOYAGE_DAYS,MATCH(CONCATENATE(AO$4,AO$5,AO$7),LADEN_VOYAGE_ROUTES,0),MATCH(AO$6,LADEN_VOYAGE_SHIPS,0)))),0)</f>
        <v>0</v>
      </c>
      <c r="AQ19" s="349" t="n">
        <f aca="false">-(AP19)*PORTS!$I$6</f>
        <v>-0</v>
      </c>
      <c r="AR19" s="327" t="n">
        <f aca="false">+AP19+AQ19</f>
        <v>0</v>
      </c>
      <c r="AS19" s="333"/>
      <c r="AT19" s="346" t="n">
        <f aca="false">+DATE(YEAR(AT18),MONTH(AT18)+1,1)</f>
        <v>36739</v>
      </c>
      <c r="AU19" s="343" t="n">
        <f aca="false">+AR19*(VLOOKUP(AT19,CURVECALC!$C$6:$J$312,4,0)+AV$5)</f>
        <v>0</v>
      </c>
      <c r="AV19" s="350" t="n">
        <f aca="false">-AN19*INDEX(ship_curves,MATCH(AT19,'SHIP CURVES'!$A$9:$A$316,0),MATCH(CONCATENATE(AX$4,AX$5,AX$6,AX$7),'SHIP CURVES'!$A$9:$AZ$9,0))</f>
        <v>-0</v>
      </c>
      <c r="AW19" s="351" t="n">
        <f aca="false">-AP19*INDEX(port_processing_fee,MATCH(AT19,PORTS!$H$626:$H$933,0),MATCH(AX$5,PORTS!$H$626:$Z$626,0))</f>
        <v>-0</v>
      </c>
      <c r="AX19" s="352" t="n">
        <f aca="false">(((VLOOKUP(AT19,curvecalc,4,0))*IF(AN19=0,0,AR19/AN19)-INDEX(ship_curves,MATCH(AT19,'SHIP CURVES'!$A$9:$A$316,0),MATCH(CONCATENATE(AX$4,AX$5,AX$6,AX$7),'SHIP CURVES'!$A$9:$Z$9,0))-INDEX(terminal_curves,MATCH(AT19,'TERMINAL CURVES'!$A$4:$A$313,0),MATCH(AX$5,'TERMINAL CURVES'!$A$4:$N$4,0))*IF(AN19=0,0,AP19/AN19))-(AV$8)*((AV$7-$N$5)-(INDEX(ship_curves,MATCH(AT19,'SHIP CURVES'!$A$9:$A$316,0),MATCH(CONCATENATE(AX$4,AX$5,AX$6,AX$7),'SHIP CURVES'!$A$9:$Z$9,0))-INDEX(ship_curves,MATCH(AT19,'SHIP CURVES'!$A$9:$A$316,0),MATCH(CONCATENATE(AX$4,AV$6,AX$6,AX$7),'SHIP CURVES'!$A$9:$Z$9,0)))-(INDEX(terminal_curves,MATCH(AT19,'TERMINAL CURVES'!$A$4:$A$313,0),MATCH(AX$5,'TERMINAL CURVES'!$A$4:$N$4,0))-INDEX(terminal_curves,MATCH(AT19,'TERMINAL CURVES'!$A$4:$A$313,0),MATCH(AV$6,'TERMINAL CURVES'!$A$4:$N$4,0)))*IF(AN19=0,0,AP19/AN19)))*-AN19</f>
        <v>0</v>
      </c>
      <c r="AY19" s="356" t="n">
        <f aca="false">SUM(AV19:AX19)</f>
        <v>0</v>
      </c>
      <c r="AZ19" s="357" t="n">
        <f aca="false">(-AP19/((HLOOKUP(AX$5,port_specs,2,0)/(365.25))*(AT20-AT19)))*(INDEX(fixed_capacity_charge,MATCH(AT19,PORTS!$H$11:$H$317,0),MATCH(AX$5,PORTS!$H$11:$N$11,0))+INDEX(variable_om_charge,MATCH(AT19,PORTS!$H$318:$H$625,0),MATCH(AX$5,PORTS!$H$318:$N$318,0)))</f>
        <v>-0</v>
      </c>
      <c r="BA19" s="343" t="n">
        <f aca="false">+AZ19+AY19</f>
        <v>0</v>
      </c>
      <c r="BB19" s="355" t="n">
        <f aca="false">+BA19+AU19</f>
        <v>0</v>
      </c>
      <c r="BC19" s="99"/>
      <c r="BD19" s="357" t="n">
        <f aca="false">+PORTS!I13+PORTS!I321</f>
        <v>0</v>
      </c>
    </row>
    <row r="20" customFormat="false" ht="12.75" hidden="false" customHeight="false" outlineLevel="0" collapsed="false">
      <c r="A20" s="346" t="n">
        <f aca="false">+DATE(YEAR(A19),MONTH(A19)+1,1)</f>
        <v>36770</v>
      </c>
      <c r="B20" s="327" t="n">
        <f aca="false">+IF(AND($A20&gt;=$C$8,$A20&lt;=$C$9),1,0)*PORTS!$I$5/(365.25)*(A21-A20)</f>
        <v>0</v>
      </c>
      <c r="C20" s="328" t="n">
        <f aca="false">+B20-(SUMIF($F$17:$IV$17,$H$17,$F20:$IV20))</f>
        <v>0</v>
      </c>
      <c r="D20" s="0" t="n">
        <f aca="false">+YEAR(E20)</f>
        <v>2000</v>
      </c>
      <c r="E20" s="346" t="n">
        <f aca="false">+DATE(YEAR(E19),MONTH(E19)+1,1)</f>
        <v>36770</v>
      </c>
      <c r="F20" s="327" t="n">
        <f aca="false">+IF(AND(G$8&lt;=E20,G$9&gt;=E20),INDEX(ROUTE_PER_DAY_BY_SHIP,MATCH(CONCATENATE(G$4,G$5,G$7),ROUTE_PER_DAY_ROUTES,0),MATCH(G$6,ROUTE_PER_DAY_SHIPS,0))*(E21-E20),0)</f>
        <v>0</v>
      </c>
      <c r="G20" s="347" t="n">
        <f aca="false">-F20*HLOOKUP(G$6,SHIPS,7,0)*INDEX(LADEN_VOYAGE_DAYS,MATCH(CONCATENATE(G$4,G$5,G$7),LADEN_VOYAGE_ROUTES,0),MATCH(G$6,LADEN_VOYAGE_SHIPS,0))</f>
        <v>-0</v>
      </c>
      <c r="H20" s="348" t="n">
        <f aca="false">SUM(F20:G20)</f>
        <v>0</v>
      </c>
      <c r="I20" s="349" t="n">
        <f aca="false">-(H20)*HLOOKUP(G$5,TERMINAL_CHARGES,3,0)</f>
        <v>-0</v>
      </c>
      <c r="J20" s="327" t="n">
        <f aca="false">+H20+I20</f>
        <v>0</v>
      </c>
      <c r="K20" s="333"/>
      <c r="L20" s="346" t="n">
        <f aca="false">+DATE(YEAR(L19),MONTH(L19)+1,1)</f>
        <v>36770</v>
      </c>
      <c r="M20" s="334" t="n">
        <f aca="false">+J20*(VLOOKUP(L20,CURVECALC!$C$6:$J$312,4,0)+N$5)</f>
        <v>0</v>
      </c>
      <c r="N20" s="350" t="n">
        <f aca="false">-F20*INDEX(ship_curves,MATCH(L20,'SHIP CURVES'!$A$9:$A$316,0),MATCH(CONCATENATE(P$4,P$5,P$6,P$7),'SHIP CURVES'!$A$9:$AZ$9,0))</f>
        <v>-0</v>
      </c>
      <c r="O20" s="351" t="n">
        <f aca="false">-H20*INDEX(port_processing_fee,MATCH(L20,PORTS!$H$626:$H$933,0),MATCH(P$5,PORTS!$H$626:$Z$626,0))</f>
        <v>-0</v>
      </c>
      <c r="P20" s="352" t="n">
        <f aca="false">(((VLOOKUP(L20,curvecalc,4,0))*IF(F20=0,0,J20/F20)-INDEX(ship_curves,MATCH(L20,'SHIP CURVES'!$A$9:$A$316,0),MATCH(CONCATENATE(P$4,P$5,P$6,P$7),'SHIP CURVES'!$A$9:$Z$9,0))-INDEX(terminal_curves,MATCH(L20,'TERMINAL CURVES'!$A$4:$A$313,0),MATCH(P$5,'TERMINAL CURVES'!$A$4:$N$4,0))*IF(F20=0,0,H20/F20))-(N$8)*((N$7-$N$5)-(INDEX(ship_curves,MATCH(L20,'SHIP CURVES'!$A$9:$A$316,0),MATCH(CONCATENATE(P$4,P$5,P$6,P$7),'SHIP CURVES'!$A$9:$Z$9,0))-INDEX(ship_curves,MATCH(L20,'SHIP CURVES'!$A$9:$A$316,0),MATCH(CONCATENATE(P$4,N$6,P$6,P$7),'SHIP CURVES'!$A$9:$Z$9,0)))-(INDEX(terminal_curves,MATCH(L20,'TERMINAL CURVES'!$A$4:$A$313,0),MATCH(P$5,'TERMINAL CURVES'!$A$4:$N$4,0))-INDEX(terminal_curves,MATCH(L20,'TERMINAL CURVES'!$A$4:$A$313,0),MATCH(N$6,'TERMINAL CURVES'!$A$4:$N$4,0)))*IF(F20=0,0,H20/F20)))*-F20</f>
        <v>0</v>
      </c>
      <c r="Q20" s="353" t="n">
        <f aca="false">SUM(N20:P20)</f>
        <v>0</v>
      </c>
      <c r="R20" s="354" t="n">
        <f aca="false">(-H20/((HLOOKUP(P$5,port_specs,2,0)/(365.25))*(L21-L20)))*(INDEX(fixed_capacity_charge,MATCH(L20,PORTS!$H$11:$H$317,0),MATCH(P$5,PORTS!$H$11:$N$11,0))+INDEX(variable_om_charge,MATCH(L20,PORTS!$H$318:$H$625,0),MATCH(P$5,PORTS!$H$318:$N$318,0)))</f>
        <v>-0</v>
      </c>
      <c r="S20" s="343" t="n">
        <f aca="false">+R20+Q20</f>
        <v>0</v>
      </c>
      <c r="T20" s="355" t="n">
        <f aca="false">+S20+M20</f>
        <v>0</v>
      </c>
      <c r="U20" s="342"/>
      <c r="V20" s="346" t="n">
        <f aca="false">+DATE(YEAR(V19),MONTH(V19)+1,1)</f>
        <v>36770</v>
      </c>
      <c r="W20" s="327" t="n">
        <f aca="false">+Y20/(1-HLOOKUP(X$6,SHIPS,7,0)*INDEX(LADEN_VOYAGE_DAYS,MATCH(CONCATENATE(X$4,X$5),LADEN_VOYAGE_ROUTES,0),MATCH(X$6,LADEN_VOYAGE_SHIPS,0)))</f>
        <v>0</v>
      </c>
      <c r="X20" s="347" t="n">
        <f aca="false">+Y20-W20</f>
        <v>0</v>
      </c>
      <c r="Y20" s="348" t="n">
        <f aca="false">+IF(AND(X$8&lt;=V20,X$9&gt;=V20),+MIN($B20-SUMIF($H$17:X$17,Y$17,$H20:X20),((INDEX(ROUTE_PER_DAY_BY_SHIP,MATCH(CONCATENATE(X$4,X$5,X$7),ROUTE_PER_DAY_ROUTES,0),MATCH(X$6,ROUTE_PER_DAY_SHIPS,0))*(V21-V20))-(INDEX(ROUTE_PER_DAY_BY_SHIP,MATCH(CONCATENATE(X$4,X$5,X$7),ROUTE_PER_DAY_ROUTES,0),MATCH(X$6,ROUTE_PER_DAY_SHIPS,0))*(V21-V20))*HLOOKUP(X$6,SHIPS,7,0)*INDEX(LADEN_VOYAGE_DAYS,MATCH(CONCATENATE(X$4,X$5,X$7),LADEN_VOYAGE_ROUTES,0),MATCH(X$6,LADEN_VOYAGE_SHIPS,0)))),0)</f>
        <v>0</v>
      </c>
      <c r="Z20" s="349" t="n">
        <f aca="false">-(Y20)*HLOOKUP(X$5,TERMINAL_CHARGES,3,0)</f>
        <v>-0</v>
      </c>
      <c r="AA20" s="327" t="n">
        <f aca="false">+Y20+Z20</f>
        <v>0</v>
      </c>
      <c r="AB20" s="333"/>
      <c r="AC20" s="346" t="n">
        <f aca="false">+DATE(YEAR(AC19),MONTH(AC19)+1,1)</f>
        <v>36770</v>
      </c>
      <c r="AD20" s="343" t="n">
        <f aca="false">+AA20*(VLOOKUP(AC20,CURVECALC!$C$6:$J$312,4,0)+AE$5)</f>
        <v>0</v>
      </c>
      <c r="AE20" s="350" t="n">
        <f aca="false">-W20*INDEX(ship_curves,MATCH(AC20,'SHIP CURVES'!$A$9:$A$316,0),MATCH(CONCATENATE(AG$4,AG$5,AG$6,AG$7),'SHIP CURVES'!$A$9:$AZ$9,0))</f>
        <v>-0</v>
      </c>
      <c r="AF20" s="351" t="n">
        <f aca="false">-Y20*INDEX(port_processing_fee,MATCH(AC20,PORTS!$H$626:$H$933,0),MATCH(AG$5,PORTS!$H$626:$Z$626,0))</f>
        <v>-0</v>
      </c>
      <c r="AG20" s="352" t="n">
        <f aca="false">(((VLOOKUP(AC20,curvecalc,4,0))*IF(W20=0,0,AA20/W20)-INDEX(ship_curves,MATCH(AC20,'SHIP CURVES'!$A$9:$A$316,0),MATCH(CONCATENATE(AG$4,AG$5,AG$6,AG$7),'SHIP CURVES'!$A$9:$Z$9,0))-INDEX(terminal_curves,MATCH(AC20,'TERMINAL CURVES'!$A$4:$A$313,0),MATCH(AG$5,'TERMINAL CURVES'!$A$4:$N$4,0))*IF(W20=0,0,Y20/W20))-(AE$8)*((AE$7-$N$5)-(INDEX(ship_curves,MATCH(AC20,'SHIP CURVES'!$A$9:$A$316,0),MATCH(CONCATENATE(AG$4,AG$5,AG$6,AG$7),'SHIP CURVES'!$A$9:$Z$9,0))-INDEX(ship_curves,MATCH(AC20,'SHIP CURVES'!$A$9:$A$316,0),MATCH(CONCATENATE(AG$4,AE$6,AG$6,AG$7),'SHIP CURVES'!$A$9:$Z$9,0)))-(INDEX(terminal_curves,MATCH(AC20,'TERMINAL CURVES'!$A$4:$A$313,0),MATCH(AG$5,'TERMINAL CURVES'!$A$4:$N$4,0))-INDEX(terminal_curves,MATCH(AC20,'TERMINAL CURVES'!$A$4:$A$313,0),MATCH(AE$6,'TERMINAL CURVES'!$A$4:$N$4,0)))*IF(W20=0,0,Y20/W20)))*-W20</f>
        <v>0</v>
      </c>
      <c r="AH20" s="356" t="n">
        <f aca="false">SUM(AE20:AG20)</f>
        <v>0</v>
      </c>
      <c r="AI20" s="357" t="n">
        <f aca="false">(-Y20/((HLOOKUP(AG$5,port_specs,2,0)/(365.25))*(AC21-AC20)))*(INDEX(fixed_capacity_charge,MATCH(AC20,PORTS!$H$11:$H$317,0),MATCH(AG$5,PORTS!$H$11:$N$11,0))+INDEX(variable_om_charge,MATCH(AC20,PORTS!$H$318:$H$625,0),MATCH(AG$5,PORTS!$H$318:$N$318,0)))</f>
        <v>-0</v>
      </c>
      <c r="AJ20" s="343" t="n">
        <f aca="false">+AI20+AH20</f>
        <v>0</v>
      </c>
      <c r="AK20" s="355" t="n">
        <f aca="false">+AJ20+AD20</f>
        <v>0</v>
      </c>
      <c r="AM20" s="346" t="n">
        <f aca="false">+DATE(YEAR(AM19),MONTH(AM19)+1,1)</f>
        <v>36770</v>
      </c>
      <c r="AN20" s="327" t="n">
        <f aca="false">+AP20/(1-HLOOKUP(AO$6,SHIPS,7,0)*INDEX(LADEN_VOYAGE_DAYS,MATCH(CONCATENATE(AO$4,AO$5),LADEN_VOYAGE_ROUTES,0),MATCH(AO$6,LADEN_VOYAGE_SHIPS,0)))</f>
        <v>0</v>
      </c>
      <c r="AO20" s="347" t="n">
        <f aca="false">+AP20-AN20</f>
        <v>0</v>
      </c>
      <c r="AP20" s="348" t="n">
        <f aca="false">+IF(AND(AO$8&lt;=AM20,AO$9&gt;=AM20),+MIN($B20-SUMIF($H$17:AO$17,AP$17,$H20:AO20),((INDEX(ROUTE_PER_DAY_BY_SHIP,MATCH(CONCATENATE(AO$4,AO$5,AO$7),ROUTE_PER_DAY_ROUTES,0),MATCH(AO$6,ROUTE_PER_DAY_SHIPS,0))*(AM21-AM20))-(INDEX(ROUTE_PER_DAY_BY_SHIP,MATCH(CONCATENATE(AO$4,AO$5,AO$7),ROUTE_PER_DAY_ROUTES,0),MATCH(AO$6,ROUTE_PER_DAY_SHIPS,0))*(AM21-AM20))*HLOOKUP(AO$6,SHIPS,7,0)*INDEX(LADEN_VOYAGE_DAYS,MATCH(CONCATENATE(AO$4,AO$5,AO$7),LADEN_VOYAGE_ROUTES,0),MATCH(AO$6,LADEN_VOYAGE_SHIPS,0)))),0)</f>
        <v>0</v>
      </c>
      <c r="AQ20" s="349" t="n">
        <f aca="false">-(AP20)*PORTS!$I$6</f>
        <v>-0</v>
      </c>
      <c r="AR20" s="327" t="n">
        <f aca="false">+AP20+AQ20</f>
        <v>0</v>
      </c>
      <c r="AS20" s="333"/>
      <c r="AT20" s="346" t="n">
        <f aca="false">+DATE(YEAR(AT19),MONTH(AT19)+1,1)</f>
        <v>36770</v>
      </c>
      <c r="AU20" s="343" t="n">
        <f aca="false">+AR20*(VLOOKUP(AT20,CURVECALC!$C$6:$J$312,4,0)+AV$5)</f>
        <v>0</v>
      </c>
      <c r="AV20" s="350" t="n">
        <f aca="false">-AN20*INDEX(ship_curves,MATCH(AT20,'SHIP CURVES'!$A$9:$A$316,0),MATCH(CONCATENATE(AX$4,AX$5,AX$6,AX$7),'SHIP CURVES'!$A$9:$AZ$9,0))</f>
        <v>-0</v>
      </c>
      <c r="AW20" s="351" t="n">
        <f aca="false">-AP20*INDEX(port_processing_fee,MATCH(AT20,PORTS!$H$626:$H$933,0),MATCH(AX$5,PORTS!$H$626:$Z$626,0))</f>
        <v>-0</v>
      </c>
      <c r="AX20" s="352" t="n">
        <f aca="false">(((VLOOKUP(AT20,curvecalc,4,0))*IF(AN20=0,0,AR20/AN20)-INDEX(ship_curves,MATCH(AT20,'SHIP CURVES'!$A$9:$A$316,0),MATCH(CONCATENATE(AX$4,AX$5,AX$6,AX$7),'SHIP CURVES'!$A$9:$Z$9,0))-INDEX(terminal_curves,MATCH(AT20,'TERMINAL CURVES'!$A$4:$A$313,0),MATCH(AX$5,'TERMINAL CURVES'!$A$4:$N$4,0))*IF(AN20=0,0,AP20/AN20))-(AV$8)*((AV$7-$N$5)-(INDEX(ship_curves,MATCH(AT20,'SHIP CURVES'!$A$9:$A$316,0),MATCH(CONCATENATE(AX$4,AX$5,AX$6,AX$7),'SHIP CURVES'!$A$9:$Z$9,0))-INDEX(ship_curves,MATCH(AT20,'SHIP CURVES'!$A$9:$A$316,0),MATCH(CONCATENATE(AX$4,AV$6,AX$6,AX$7),'SHIP CURVES'!$A$9:$Z$9,0)))-(INDEX(terminal_curves,MATCH(AT20,'TERMINAL CURVES'!$A$4:$A$313,0),MATCH(AX$5,'TERMINAL CURVES'!$A$4:$N$4,0))-INDEX(terminal_curves,MATCH(AT20,'TERMINAL CURVES'!$A$4:$A$313,0),MATCH(AV$6,'TERMINAL CURVES'!$A$4:$N$4,0)))*IF(AN20=0,0,AP20/AN20)))*-AN20</f>
        <v>0</v>
      </c>
      <c r="AY20" s="356" t="n">
        <f aca="false">SUM(AV20:AX20)</f>
        <v>0</v>
      </c>
      <c r="AZ20" s="357" t="n">
        <f aca="false">(-AP20/((HLOOKUP(AX$5,port_specs,2,0)/(365.25))*(AT21-AT20)))*(INDEX(fixed_capacity_charge,MATCH(AT20,PORTS!$H$11:$H$317,0),MATCH(AX$5,PORTS!$H$11:$N$11,0))+INDEX(variable_om_charge,MATCH(AT20,PORTS!$H$318:$H$625,0),MATCH(AX$5,PORTS!$H$318:$N$318,0)))</f>
        <v>-0</v>
      </c>
      <c r="BA20" s="343" t="n">
        <f aca="false">+AZ20+AY20</f>
        <v>0</v>
      </c>
      <c r="BB20" s="355" t="n">
        <f aca="false">+BA20+AU20</f>
        <v>0</v>
      </c>
      <c r="BC20" s="99"/>
      <c r="BD20" s="357" t="n">
        <f aca="false">+PORTS!I14+PORTS!I322</f>
        <v>0</v>
      </c>
    </row>
    <row r="21" customFormat="false" ht="12.75" hidden="false" customHeight="false" outlineLevel="0" collapsed="false">
      <c r="A21" s="346" t="n">
        <f aca="false">+DATE(YEAR(A20),MONTH(A20)+1,1)</f>
        <v>36800</v>
      </c>
      <c r="B21" s="327" t="n">
        <f aca="false">+IF(AND($A21&gt;=$C$8,$A21&lt;=$C$9),1,0)*PORTS!$I$5/(365.25)*(A22-A21)</f>
        <v>0</v>
      </c>
      <c r="C21" s="328" t="n">
        <f aca="false">+B21-(SUMIF($F$17:$IV$17,$H$17,$F21:$IV21))</f>
        <v>0</v>
      </c>
      <c r="D21" s="0" t="n">
        <f aca="false">+YEAR(E21)</f>
        <v>2000</v>
      </c>
      <c r="E21" s="346" t="n">
        <f aca="false">+DATE(YEAR(E20),MONTH(E20)+1,1)</f>
        <v>36800</v>
      </c>
      <c r="F21" s="327" t="n">
        <f aca="false">+IF(AND(G$8&lt;=E21,G$9&gt;=E21),INDEX(ROUTE_PER_DAY_BY_SHIP,MATCH(CONCATENATE(G$4,G$5,G$7),ROUTE_PER_DAY_ROUTES,0),MATCH(G$6,ROUTE_PER_DAY_SHIPS,0))*(E22-E21),0)</f>
        <v>0</v>
      </c>
      <c r="G21" s="347" t="n">
        <f aca="false">-F21*HLOOKUP(G$6,SHIPS,7,0)*INDEX(LADEN_VOYAGE_DAYS,MATCH(CONCATENATE(G$4,G$5,G$7),LADEN_VOYAGE_ROUTES,0),MATCH(G$6,LADEN_VOYAGE_SHIPS,0))</f>
        <v>-0</v>
      </c>
      <c r="H21" s="348" t="n">
        <f aca="false">SUM(F21:G21)</f>
        <v>0</v>
      </c>
      <c r="I21" s="349" t="n">
        <f aca="false">-(H21)*HLOOKUP(G$5,TERMINAL_CHARGES,3,0)</f>
        <v>-0</v>
      </c>
      <c r="J21" s="327" t="n">
        <f aca="false">+H21+I21</f>
        <v>0</v>
      </c>
      <c r="K21" s="333"/>
      <c r="L21" s="346" t="n">
        <f aca="false">+DATE(YEAR(L20),MONTH(L20)+1,1)</f>
        <v>36800</v>
      </c>
      <c r="M21" s="334" t="n">
        <f aca="false">+J21*(VLOOKUP(L21,CURVECALC!$C$6:$J$312,4,0)+N$5)</f>
        <v>0</v>
      </c>
      <c r="N21" s="350" t="n">
        <f aca="false">-F21*INDEX(ship_curves,MATCH(L21,'SHIP CURVES'!$A$9:$A$316,0),MATCH(CONCATENATE(P$4,P$5,P$6,P$7),'SHIP CURVES'!$A$9:$AZ$9,0))</f>
        <v>-0</v>
      </c>
      <c r="O21" s="351" t="n">
        <f aca="false">-H21*INDEX(port_processing_fee,MATCH(L21,PORTS!$H$626:$H$933,0),MATCH(P$5,PORTS!$H$626:$Z$626,0))</f>
        <v>-0</v>
      </c>
      <c r="P21" s="352" t="n">
        <f aca="false">(((VLOOKUP(L21,curvecalc,4,0))*IF(F21=0,0,J21/F21)-INDEX(ship_curves,MATCH(L21,'SHIP CURVES'!$A$9:$A$316,0),MATCH(CONCATENATE(P$4,P$5,P$6,P$7),'SHIP CURVES'!$A$9:$Z$9,0))-INDEX(terminal_curves,MATCH(L21,'TERMINAL CURVES'!$A$4:$A$313,0),MATCH(P$5,'TERMINAL CURVES'!$A$4:$N$4,0))*IF(F21=0,0,H21/F21))-(N$8)*((N$7-$N$5)-(INDEX(ship_curves,MATCH(L21,'SHIP CURVES'!$A$9:$A$316,0),MATCH(CONCATENATE(P$4,P$5,P$6,P$7),'SHIP CURVES'!$A$9:$Z$9,0))-INDEX(ship_curves,MATCH(L21,'SHIP CURVES'!$A$9:$A$316,0),MATCH(CONCATENATE(P$4,N$6,P$6,P$7),'SHIP CURVES'!$A$9:$Z$9,0)))-(INDEX(terminal_curves,MATCH(L21,'TERMINAL CURVES'!$A$4:$A$313,0),MATCH(P$5,'TERMINAL CURVES'!$A$4:$N$4,0))-INDEX(terminal_curves,MATCH(L21,'TERMINAL CURVES'!$A$4:$A$313,0),MATCH(N$6,'TERMINAL CURVES'!$A$4:$N$4,0)))*IF(F21=0,0,H21/F21)))*-F21</f>
        <v>0</v>
      </c>
      <c r="Q21" s="353" t="n">
        <f aca="false">SUM(N21:P21)</f>
        <v>0</v>
      </c>
      <c r="R21" s="354" t="n">
        <f aca="false">(-H21/((HLOOKUP(P$5,port_specs,2,0)/(365.25))*(L22-L21)))*(INDEX(fixed_capacity_charge,MATCH(L21,PORTS!$H$11:$H$317,0),MATCH(P$5,PORTS!$H$11:$N$11,0))+INDEX(variable_om_charge,MATCH(L21,PORTS!$H$318:$H$625,0),MATCH(P$5,PORTS!$H$318:$N$318,0)))</f>
        <v>-0</v>
      </c>
      <c r="S21" s="343" t="n">
        <f aca="false">+R21+Q21</f>
        <v>0</v>
      </c>
      <c r="T21" s="355" t="n">
        <f aca="false">+S21+M21</f>
        <v>0</v>
      </c>
      <c r="U21" s="342"/>
      <c r="V21" s="346" t="n">
        <f aca="false">+DATE(YEAR(V20),MONTH(V20)+1,1)</f>
        <v>36800</v>
      </c>
      <c r="W21" s="327" t="n">
        <f aca="false">+Y21/(1-HLOOKUP(X$6,SHIPS,7,0)*INDEX(LADEN_VOYAGE_DAYS,MATCH(CONCATENATE(X$4,X$5),LADEN_VOYAGE_ROUTES,0),MATCH(X$6,LADEN_VOYAGE_SHIPS,0)))</f>
        <v>0</v>
      </c>
      <c r="X21" s="347" t="n">
        <f aca="false">+Y21-W21</f>
        <v>0</v>
      </c>
      <c r="Y21" s="348" t="n">
        <f aca="false">+IF(AND(X$8&lt;=V21,X$9&gt;=V21),+MIN($B21-SUMIF($H$17:X$17,Y$17,$H21:X21),((INDEX(ROUTE_PER_DAY_BY_SHIP,MATCH(CONCATENATE(X$4,X$5,X$7),ROUTE_PER_DAY_ROUTES,0),MATCH(X$6,ROUTE_PER_DAY_SHIPS,0))*(V22-V21))-(INDEX(ROUTE_PER_DAY_BY_SHIP,MATCH(CONCATENATE(X$4,X$5,X$7),ROUTE_PER_DAY_ROUTES,0),MATCH(X$6,ROUTE_PER_DAY_SHIPS,0))*(V22-V21))*HLOOKUP(X$6,SHIPS,7,0)*INDEX(LADEN_VOYAGE_DAYS,MATCH(CONCATENATE(X$4,X$5,X$7),LADEN_VOYAGE_ROUTES,0),MATCH(X$6,LADEN_VOYAGE_SHIPS,0)))),0)</f>
        <v>0</v>
      </c>
      <c r="Z21" s="349" t="n">
        <f aca="false">-(Y21)*HLOOKUP(X$5,TERMINAL_CHARGES,3,0)</f>
        <v>-0</v>
      </c>
      <c r="AA21" s="327" t="n">
        <f aca="false">+Y21+Z21</f>
        <v>0</v>
      </c>
      <c r="AB21" s="333"/>
      <c r="AC21" s="346" t="n">
        <f aca="false">+DATE(YEAR(AC20),MONTH(AC20)+1,1)</f>
        <v>36800</v>
      </c>
      <c r="AD21" s="343" t="n">
        <f aca="false">+AA21*(VLOOKUP(AC21,CURVECALC!$C$6:$J$312,4,0)+AE$5)</f>
        <v>0</v>
      </c>
      <c r="AE21" s="350" t="n">
        <f aca="false">-W21*INDEX(ship_curves,MATCH(AC21,'SHIP CURVES'!$A$9:$A$316,0),MATCH(CONCATENATE(AG$4,AG$5,AG$6,AG$7),'SHIP CURVES'!$A$9:$AZ$9,0))</f>
        <v>-0</v>
      </c>
      <c r="AF21" s="351" t="n">
        <f aca="false">-Y21*INDEX(port_processing_fee,MATCH(AC21,PORTS!$H$626:$H$933,0),MATCH(AG$5,PORTS!$H$626:$Z$626,0))</f>
        <v>-0</v>
      </c>
      <c r="AG21" s="352" t="n">
        <f aca="false">(((VLOOKUP(AC21,curvecalc,4,0))*IF(W21=0,0,AA21/W21)-INDEX(ship_curves,MATCH(AC21,'SHIP CURVES'!$A$9:$A$316,0),MATCH(CONCATENATE(AG$4,AG$5,AG$6,AG$7),'SHIP CURVES'!$A$9:$Z$9,0))-INDEX(terminal_curves,MATCH(AC21,'TERMINAL CURVES'!$A$4:$A$313,0),MATCH(AG$5,'TERMINAL CURVES'!$A$4:$N$4,0))*IF(W21=0,0,Y21/W21))-(AE$8)*((AE$7-$N$5)-(INDEX(ship_curves,MATCH(AC21,'SHIP CURVES'!$A$9:$A$316,0),MATCH(CONCATENATE(AG$4,AG$5,AG$6,AG$7),'SHIP CURVES'!$A$9:$Z$9,0))-INDEX(ship_curves,MATCH(AC21,'SHIP CURVES'!$A$9:$A$316,0),MATCH(CONCATENATE(AG$4,AE$6,AG$6,AG$7),'SHIP CURVES'!$A$9:$Z$9,0)))-(INDEX(terminal_curves,MATCH(AC21,'TERMINAL CURVES'!$A$4:$A$313,0),MATCH(AG$5,'TERMINAL CURVES'!$A$4:$N$4,0))-INDEX(terminal_curves,MATCH(AC21,'TERMINAL CURVES'!$A$4:$A$313,0),MATCH(AE$6,'TERMINAL CURVES'!$A$4:$N$4,0)))*IF(W21=0,0,Y21/W21)))*-W21</f>
        <v>0</v>
      </c>
      <c r="AH21" s="356" t="n">
        <f aca="false">SUM(AE21:AG21)</f>
        <v>0</v>
      </c>
      <c r="AI21" s="357" t="n">
        <f aca="false">(-Y21/((HLOOKUP(AG$5,port_specs,2,0)/(365.25))*(AC22-AC21)))*(INDEX(fixed_capacity_charge,MATCH(AC21,PORTS!$H$11:$H$317,0),MATCH(AG$5,PORTS!$H$11:$N$11,0))+INDEX(variable_om_charge,MATCH(AC21,PORTS!$H$318:$H$625,0),MATCH(AG$5,PORTS!$H$318:$N$318,0)))</f>
        <v>-0</v>
      </c>
      <c r="AJ21" s="343" t="n">
        <f aca="false">+AI21+AH21</f>
        <v>0</v>
      </c>
      <c r="AK21" s="355" t="n">
        <f aca="false">+AJ21+AD21</f>
        <v>0</v>
      </c>
      <c r="AM21" s="346" t="n">
        <f aca="false">+DATE(YEAR(AM20),MONTH(AM20)+1,1)</f>
        <v>36800</v>
      </c>
      <c r="AN21" s="327" t="n">
        <f aca="false">+AP21/(1-HLOOKUP(AO$6,SHIPS,7,0)*INDEX(LADEN_VOYAGE_DAYS,MATCH(CONCATENATE(AO$4,AO$5),LADEN_VOYAGE_ROUTES,0),MATCH(AO$6,LADEN_VOYAGE_SHIPS,0)))</f>
        <v>0</v>
      </c>
      <c r="AO21" s="347" t="n">
        <f aca="false">+AP21-AN21</f>
        <v>0</v>
      </c>
      <c r="AP21" s="348" t="n">
        <f aca="false">+IF(AND(AO$8&lt;=AM21,AO$9&gt;=AM21),+MIN($B21-SUMIF($H$17:AO$17,AP$17,$H21:AO21),((INDEX(ROUTE_PER_DAY_BY_SHIP,MATCH(CONCATENATE(AO$4,AO$5,AO$7),ROUTE_PER_DAY_ROUTES,0),MATCH(AO$6,ROUTE_PER_DAY_SHIPS,0))*(AM22-AM21))-(INDEX(ROUTE_PER_DAY_BY_SHIP,MATCH(CONCATENATE(AO$4,AO$5,AO$7),ROUTE_PER_DAY_ROUTES,0),MATCH(AO$6,ROUTE_PER_DAY_SHIPS,0))*(AM22-AM21))*HLOOKUP(AO$6,SHIPS,7,0)*INDEX(LADEN_VOYAGE_DAYS,MATCH(CONCATENATE(AO$4,AO$5,AO$7),LADEN_VOYAGE_ROUTES,0),MATCH(AO$6,LADEN_VOYAGE_SHIPS,0)))),0)</f>
        <v>0</v>
      </c>
      <c r="AQ21" s="349" t="n">
        <f aca="false">-(AP21)*PORTS!$I$6</f>
        <v>-0</v>
      </c>
      <c r="AR21" s="327" t="n">
        <f aca="false">+AP21+AQ21</f>
        <v>0</v>
      </c>
      <c r="AS21" s="333"/>
      <c r="AT21" s="346" t="n">
        <f aca="false">+DATE(YEAR(AT20),MONTH(AT20)+1,1)</f>
        <v>36800</v>
      </c>
      <c r="AU21" s="343" t="n">
        <f aca="false">+AR21*(VLOOKUP(AT21,CURVECALC!$C$6:$J$312,4,0)+AV$5)</f>
        <v>0</v>
      </c>
      <c r="AV21" s="350" t="n">
        <f aca="false">-AN21*INDEX(ship_curves,MATCH(AT21,'SHIP CURVES'!$A$9:$A$316,0),MATCH(CONCATENATE(AX$4,AX$5,AX$6,AX$7),'SHIP CURVES'!$A$9:$AZ$9,0))</f>
        <v>-0</v>
      </c>
      <c r="AW21" s="351" t="n">
        <f aca="false">-AP21*INDEX(port_processing_fee,MATCH(AT21,PORTS!$H$626:$H$933,0),MATCH(AX$5,PORTS!$H$626:$Z$626,0))</f>
        <v>-0</v>
      </c>
      <c r="AX21" s="352" t="n">
        <f aca="false">(((VLOOKUP(AT21,curvecalc,4,0))*IF(AN21=0,0,AR21/AN21)-INDEX(ship_curves,MATCH(AT21,'SHIP CURVES'!$A$9:$A$316,0),MATCH(CONCATENATE(AX$4,AX$5,AX$6,AX$7),'SHIP CURVES'!$A$9:$Z$9,0))-INDEX(terminal_curves,MATCH(AT21,'TERMINAL CURVES'!$A$4:$A$313,0),MATCH(AX$5,'TERMINAL CURVES'!$A$4:$N$4,0))*IF(AN21=0,0,AP21/AN21))-(AV$8)*((AV$7-$N$5)-(INDEX(ship_curves,MATCH(AT21,'SHIP CURVES'!$A$9:$A$316,0),MATCH(CONCATENATE(AX$4,AX$5,AX$6,AX$7),'SHIP CURVES'!$A$9:$Z$9,0))-INDEX(ship_curves,MATCH(AT21,'SHIP CURVES'!$A$9:$A$316,0),MATCH(CONCATENATE(AX$4,AV$6,AX$6,AX$7),'SHIP CURVES'!$A$9:$Z$9,0)))-(INDEX(terminal_curves,MATCH(AT21,'TERMINAL CURVES'!$A$4:$A$313,0),MATCH(AX$5,'TERMINAL CURVES'!$A$4:$N$4,0))-INDEX(terminal_curves,MATCH(AT21,'TERMINAL CURVES'!$A$4:$A$313,0),MATCH(AV$6,'TERMINAL CURVES'!$A$4:$N$4,0)))*IF(AN21=0,0,AP21/AN21)))*-AN21</f>
        <v>0</v>
      </c>
      <c r="AY21" s="356" t="n">
        <f aca="false">SUM(AV21:AX21)</f>
        <v>0</v>
      </c>
      <c r="AZ21" s="357" t="n">
        <f aca="false">(-AP21/((HLOOKUP(AX$5,port_specs,2,0)/(365.25))*(AT22-AT21)))*(INDEX(fixed_capacity_charge,MATCH(AT21,PORTS!$H$11:$H$317,0),MATCH(AX$5,PORTS!$H$11:$N$11,0))+INDEX(variable_om_charge,MATCH(AT21,PORTS!$H$318:$H$625,0),MATCH(AX$5,PORTS!$H$318:$N$318,0)))</f>
        <v>-0</v>
      </c>
      <c r="BA21" s="343" t="n">
        <f aca="false">+AZ21+AY21</f>
        <v>0</v>
      </c>
      <c r="BB21" s="355" t="n">
        <f aca="false">+BA21+AU21</f>
        <v>0</v>
      </c>
      <c r="BC21" s="99"/>
      <c r="BD21" s="357" t="n">
        <f aca="false">+PORTS!I15+PORTS!I323</f>
        <v>0</v>
      </c>
    </row>
    <row r="22" customFormat="false" ht="12.75" hidden="false" customHeight="false" outlineLevel="0" collapsed="false">
      <c r="A22" s="346" t="n">
        <f aca="false">+DATE(YEAR(A21),MONTH(A21)+1,1)</f>
        <v>36831</v>
      </c>
      <c r="B22" s="327" t="n">
        <f aca="false">+IF(AND($A22&gt;=$C$8,$A22&lt;=$C$9),1,0)*PORTS!$I$5/(365.25)*(A23-A22)</f>
        <v>0</v>
      </c>
      <c r="C22" s="328" t="n">
        <f aca="false">+B22-(SUMIF($F$17:$IV$17,$H$17,$F22:$IV22))</f>
        <v>0</v>
      </c>
      <c r="D22" s="0" t="n">
        <f aca="false">+YEAR(E22)</f>
        <v>2000</v>
      </c>
      <c r="E22" s="346" t="n">
        <f aca="false">+DATE(YEAR(E21),MONTH(E21)+1,1)</f>
        <v>36831</v>
      </c>
      <c r="F22" s="327" t="n">
        <f aca="false">+IF(AND(G$8&lt;=E22,G$9&gt;=E22),INDEX(ROUTE_PER_DAY_BY_SHIP,MATCH(CONCATENATE(G$4,G$5,G$7),ROUTE_PER_DAY_ROUTES,0),MATCH(G$6,ROUTE_PER_DAY_SHIPS,0))*(E23-E22),0)</f>
        <v>0</v>
      </c>
      <c r="G22" s="347" t="n">
        <f aca="false">-F22*HLOOKUP(G$6,SHIPS,7,0)*INDEX(LADEN_VOYAGE_DAYS,MATCH(CONCATENATE(G$4,G$5,G$7),LADEN_VOYAGE_ROUTES,0),MATCH(G$6,LADEN_VOYAGE_SHIPS,0))</f>
        <v>-0</v>
      </c>
      <c r="H22" s="348" t="n">
        <f aca="false">SUM(F22:G22)</f>
        <v>0</v>
      </c>
      <c r="I22" s="349" t="n">
        <f aca="false">-(H22)*HLOOKUP(G$5,TERMINAL_CHARGES,3,0)</f>
        <v>-0</v>
      </c>
      <c r="J22" s="327" t="n">
        <f aca="false">+H22+I22</f>
        <v>0</v>
      </c>
      <c r="K22" s="333"/>
      <c r="L22" s="346" t="n">
        <f aca="false">+DATE(YEAR(L21),MONTH(L21)+1,1)</f>
        <v>36831</v>
      </c>
      <c r="M22" s="334" t="n">
        <f aca="false">+J22*(VLOOKUP(L22,CURVECALC!$C$6:$J$312,4,0)+N$5)</f>
        <v>0</v>
      </c>
      <c r="N22" s="350" t="n">
        <f aca="false">-F22*INDEX(ship_curves,MATCH(L22,'SHIP CURVES'!$A$9:$A$316,0),MATCH(CONCATENATE(P$4,P$5,P$6,P$7),'SHIP CURVES'!$A$9:$AZ$9,0))</f>
        <v>-0</v>
      </c>
      <c r="O22" s="351" t="n">
        <f aca="false">-H22*INDEX(port_processing_fee,MATCH(L22,PORTS!$H$626:$H$933,0),MATCH(P$5,PORTS!$H$626:$Z$626,0))</f>
        <v>-0</v>
      </c>
      <c r="P22" s="352" t="n">
        <f aca="false">(((VLOOKUP(L22,curvecalc,4,0))*IF(F22=0,0,J22/F22)-INDEX(ship_curves,MATCH(L22,'SHIP CURVES'!$A$9:$A$316,0),MATCH(CONCATENATE(P$4,P$5,P$6,P$7),'SHIP CURVES'!$A$9:$Z$9,0))-INDEX(terminal_curves,MATCH(L22,'TERMINAL CURVES'!$A$4:$A$313,0),MATCH(P$5,'TERMINAL CURVES'!$A$4:$N$4,0))*IF(F22=0,0,H22/F22))-(N$8)*((N$7-$N$5)-(INDEX(ship_curves,MATCH(L22,'SHIP CURVES'!$A$9:$A$316,0),MATCH(CONCATENATE(P$4,P$5,P$6,P$7),'SHIP CURVES'!$A$9:$Z$9,0))-INDEX(ship_curves,MATCH(L22,'SHIP CURVES'!$A$9:$A$316,0),MATCH(CONCATENATE(P$4,N$6,P$6,P$7),'SHIP CURVES'!$A$9:$Z$9,0)))-(INDEX(terminal_curves,MATCH(L22,'TERMINAL CURVES'!$A$4:$A$313,0),MATCH(P$5,'TERMINAL CURVES'!$A$4:$N$4,0))-INDEX(terminal_curves,MATCH(L22,'TERMINAL CURVES'!$A$4:$A$313,0),MATCH(N$6,'TERMINAL CURVES'!$A$4:$N$4,0)))*IF(F22=0,0,H22/F22)))*-F22</f>
        <v>0</v>
      </c>
      <c r="Q22" s="353" t="n">
        <f aca="false">SUM(N22:P22)</f>
        <v>0</v>
      </c>
      <c r="R22" s="354" t="n">
        <f aca="false">(-H22/((HLOOKUP(P$5,port_specs,2,0)/(365.25))*(L23-L22)))*(INDEX(fixed_capacity_charge,MATCH(L22,PORTS!$H$11:$H$317,0),MATCH(P$5,PORTS!$H$11:$N$11,0))+INDEX(variable_om_charge,MATCH(L22,PORTS!$H$318:$H$625,0),MATCH(P$5,PORTS!$H$318:$N$318,0)))</f>
        <v>-0</v>
      </c>
      <c r="S22" s="343" t="n">
        <f aca="false">+R22+Q22</f>
        <v>0</v>
      </c>
      <c r="T22" s="355" t="n">
        <f aca="false">+S22+M22</f>
        <v>0</v>
      </c>
      <c r="U22" s="342"/>
      <c r="V22" s="346" t="n">
        <f aca="false">+DATE(YEAR(V21),MONTH(V21)+1,1)</f>
        <v>36831</v>
      </c>
      <c r="W22" s="327" t="n">
        <f aca="false">+Y22/(1-HLOOKUP(X$6,SHIPS,7,0)*INDEX(LADEN_VOYAGE_DAYS,MATCH(CONCATENATE(X$4,X$5),LADEN_VOYAGE_ROUTES,0),MATCH(X$6,LADEN_VOYAGE_SHIPS,0)))</f>
        <v>0</v>
      </c>
      <c r="X22" s="347" t="n">
        <f aca="false">+Y22-W22</f>
        <v>0</v>
      </c>
      <c r="Y22" s="348" t="n">
        <f aca="false">+IF(AND(X$8&lt;=V22,X$9&gt;=V22),+MIN($B22-SUMIF($H$17:X$17,Y$17,$H22:X22),((INDEX(ROUTE_PER_DAY_BY_SHIP,MATCH(CONCATENATE(X$4,X$5,X$7),ROUTE_PER_DAY_ROUTES,0),MATCH(X$6,ROUTE_PER_DAY_SHIPS,0))*(V23-V22))-(INDEX(ROUTE_PER_DAY_BY_SHIP,MATCH(CONCATENATE(X$4,X$5,X$7),ROUTE_PER_DAY_ROUTES,0),MATCH(X$6,ROUTE_PER_DAY_SHIPS,0))*(V23-V22))*HLOOKUP(X$6,SHIPS,7,0)*INDEX(LADEN_VOYAGE_DAYS,MATCH(CONCATENATE(X$4,X$5,X$7),LADEN_VOYAGE_ROUTES,0),MATCH(X$6,LADEN_VOYAGE_SHIPS,0)))),0)</f>
        <v>0</v>
      </c>
      <c r="Z22" s="349" t="n">
        <f aca="false">-(Y22)*HLOOKUP(X$5,TERMINAL_CHARGES,3,0)</f>
        <v>-0</v>
      </c>
      <c r="AA22" s="327" t="n">
        <f aca="false">+Y22+Z22</f>
        <v>0</v>
      </c>
      <c r="AB22" s="333"/>
      <c r="AC22" s="346" t="n">
        <f aca="false">+DATE(YEAR(AC21),MONTH(AC21)+1,1)</f>
        <v>36831</v>
      </c>
      <c r="AD22" s="343" t="n">
        <f aca="false">+AA22*(VLOOKUP(AC22,CURVECALC!$C$6:$J$312,4,0)+AE$5)</f>
        <v>0</v>
      </c>
      <c r="AE22" s="350" t="n">
        <f aca="false">-W22*INDEX(ship_curves,MATCH(AC22,'SHIP CURVES'!$A$9:$A$316,0),MATCH(CONCATENATE(AG$4,AG$5,AG$6,AG$7),'SHIP CURVES'!$A$9:$AZ$9,0))</f>
        <v>-0</v>
      </c>
      <c r="AF22" s="351" t="n">
        <f aca="false">-Y22*INDEX(port_processing_fee,MATCH(AC22,PORTS!$H$626:$H$933,0),MATCH(AG$5,PORTS!$H$626:$Z$626,0))</f>
        <v>-0</v>
      </c>
      <c r="AG22" s="352" t="n">
        <f aca="false">(((VLOOKUP(AC22,curvecalc,4,0))*IF(W22=0,0,AA22/W22)-INDEX(ship_curves,MATCH(AC22,'SHIP CURVES'!$A$9:$A$316,0),MATCH(CONCATENATE(AG$4,AG$5,AG$6,AG$7),'SHIP CURVES'!$A$9:$Z$9,0))-INDEX(terminal_curves,MATCH(AC22,'TERMINAL CURVES'!$A$4:$A$313,0),MATCH(AG$5,'TERMINAL CURVES'!$A$4:$N$4,0))*IF(W22=0,0,Y22/W22))-(AE$8)*((AE$7-$N$5)-(INDEX(ship_curves,MATCH(AC22,'SHIP CURVES'!$A$9:$A$316,0),MATCH(CONCATENATE(AG$4,AG$5,AG$6,AG$7),'SHIP CURVES'!$A$9:$Z$9,0))-INDEX(ship_curves,MATCH(AC22,'SHIP CURVES'!$A$9:$A$316,0),MATCH(CONCATENATE(AG$4,AE$6,AG$6,AG$7),'SHIP CURVES'!$A$9:$Z$9,0)))-(INDEX(terminal_curves,MATCH(AC22,'TERMINAL CURVES'!$A$4:$A$313,0),MATCH(AG$5,'TERMINAL CURVES'!$A$4:$N$4,0))-INDEX(terminal_curves,MATCH(AC22,'TERMINAL CURVES'!$A$4:$A$313,0),MATCH(AE$6,'TERMINAL CURVES'!$A$4:$N$4,0)))*IF(W22=0,0,Y22/W22)))*-W22</f>
        <v>0</v>
      </c>
      <c r="AH22" s="356" t="n">
        <f aca="false">SUM(AE22:AG22)</f>
        <v>0</v>
      </c>
      <c r="AI22" s="357" t="n">
        <f aca="false">(-Y22/((HLOOKUP(AG$5,port_specs,2,0)/(365.25))*(AC23-AC22)))*(INDEX(fixed_capacity_charge,MATCH(AC22,PORTS!$H$11:$H$317,0),MATCH(AG$5,PORTS!$H$11:$N$11,0))+INDEX(variable_om_charge,MATCH(AC22,PORTS!$H$318:$H$625,0),MATCH(AG$5,PORTS!$H$318:$N$318,0)))</f>
        <v>-0</v>
      </c>
      <c r="AJ22" s="343" t="n">
        <f aca="false">+AI22+AH22</f>
        <v>0</v>
      </c>
      <c r="AK22" s="355" t="n">
        <f aca="false">+AJ22+AD22</f>
        <v>0</v>
      </c>
      <c r="AM22" s="346" t="n">
        <f aca="false">+DATE(YEAR(AM21),MONTH(AM21)+1,1)</f>
        <v>36831</v>
      </c>
      <c r="AN22" s="327" t="n">
        <f aca="false">+AP22/(1-HLOOKUP(AO$6,SHIPS,7,0)*INDEX(LADEN_VOYAGE_DAYS,MATCH(CONCATENATE(AO$4,AO$5),LADEN_VOYAGE_ROUTES,0),MATCH(AO$6,LADEN_VOYAGE_SHIPS,0)))</f>
        <v>0</v>
      </c>
      <c r="AO22" s="347" t="n">
        <f aca="false">+AP22-AN22</f>
        <v>0</v>
      </c>
      <c r="AP22" s="348" t="n">
        <f aca="false">+IF(AND(AO$8&lt;=AM22,AO$9&gt;=AM22),+MIN($B22-SUMIF($H$17:AO$17,AP$17,$H22:AO22),((INDEX(ROUTE_PER_DAY_BY_SHIP,MATCH(CONCATENATE(AO$4,AO$5,AO$7),ROUTE_PER_DAY_ROUTES,0),MATCH(AO$6,ROUTE_PER_DAY_SHIPS,0))*(AM23-AM22))-(INDEX(ROUTE_PER_DAY_BY_SHIP,MATCH(CONCATENATE(AO$4,AO$5,AO$7),ROUTE_PER_DAY_ROUTES,0),MATCH(AO$6,ROUTE_PER_DAY_SHIPS,0))*(AM23-AM22))*HLOOKUP(AO$6,SHIPS,7,0)*INDEX(LADEN_VOYAGE_DAYS,MATCH(CONCATENATE(AO$4,AO$5,AO$7),LADEN_VOYAGE_ROUTES,0),MATCH(AO$6,LADEN_VOYAGE_SHIPS,0)))),0)</f>
        <v>0</v>
      </c>
      <c r="AQ22" s="349" t="n">
        <f aca="false">-(AP22)*PORTS!$I$6</f>
        <v>-0</v>
      </c>
      <c r="AR22" s="327" t="n">
        <f aca="false">+AP22+AQ22</f>
        <v>0</v>
      </c>
      <c r="AS22" s="333"/>
      <c r="AT22" s="346" t="n">
        <f aca="false">+DATE(YEAR(AT21),MONTH(AT21)+1,1)</f>
        <v>36831</v>
      </c>
      <c r="AU22" s="343" t="n">
        <f aca="false">+AR22*(VLOOKUP(AT22,CURVECALC!$C$6:$J$312,4,0)+AV$5)</f>
        <v>0</v>
      </c>
      <c r="AV22" s="350" t="n">
        <f aca="false">-AN22*INDEX(ship_curves,MATCH(AT22,'SHIP CURVES'!$A$9:$A$316,0),MATCH(CONCATENATE(AX$4,AX$5,AX$6,AX$7),'SHIP CURVES'!$A$9:$AZ$9,0))</f>
        <v>-0</v>
      </c>
      <c r="AW22" s="351" t="n">
        <f aca="false">-AP22*INDEX(port_processing_fee,MATCH(AT22,PORTS!$H$626:$H$933,0),MATCH(AX$5,PORTS!$H$626:$Z$626,0))</f>
        <v>-0</v>
      </c>
      <c r="AX22" s="352" t="n">
        <f aca="false">(((VLOOKUP(AT22,curvecalc,4,0))*IF(AN22=0,0,AR22/AN22)-INDEX(ship_curves,MATCH(AT22,'SHIP CURVES'!$A$9:$A$316,0),MATCH(CONCATENATE(AX$4,AX$5,AX$6,AX$7),'SHIP CURVES'!$A$9:$Z$9,0))-INDEX(terminal_curves,MATCH(AT22,'TERMINAL CURVES'!$A$4:$A$313,0),MATCH(AX$5,'TERMINAL CURVES'!$A$4:$N$4,0))*IF(AN22=0,0,AP22/AN22))-(AV$8)*((AV$7-$N$5)-(INDEX(ship_curves,MATCH(AT22,'SHIP CURVES'!$A$9:$A$316,0),MATCH(CONCATENATE(AX$4,AX$5,AX$6,AX$7),'SHIP CURVES'!$A$9:$Z$9,0))-INDEX(ship_curves,MATCH(AT22,'SHIP CURVES'!$A$9:$A$316,0),MATCH(CONCATENATE(AX$4,AV$6,AX$6,AX$7),'SHIP CURVES'!$A$9:$Z$9,0)))-(INDEX(terminal_curves,MATCH(AT22,'TERMINAL CURVES'!$A$4:$A$313,0),MATCH(AX$5,'TERMINAL CURVES'!$A$4:$N$4,0))-INDEX(terminal_curves,MATCH(AT22,'TERMINAL CURVES'!$A$4:$A$313,0),MATCH(AV$6,'TERMINAL CURVES'!$A$4:$N$4,0)))*IF(AN22=0,0,AP22/AN22)))*-AN22</f>
        <v>0</v>
      </c>
      <c r="AY22" s="356" t="n">
        <f aca="false">SUM(AV22:AX22)</f>
        <v>0</v>
      </c>
      <c r="AZ22" s="357" t="n">
        <f aca="false">(-AP22/((HLOOKUP(AX$5,port_specs,2,0)/(365.25))*(AT23-AT22)))*(INDEX(fixed_capacity_charge,MATCH(AT22,PORTS!$H$11:$H$317,0),MATCH(AX$5,PORTS!$H$11:$N$11,0))+INDEX(variable_om_charge,MATCH(AT22,PORTS!$H$318:$H$625,0),MATCH(AX$5,PORTS!$H$318:$N$318,0)))</f>
        <v>-0</v>
      </c>
      <c r="BA22" s="343" t="n">
        <f aca="false">+AZ22+AY22</f>
        <v>0</v>
      </c>
      <c r="BB22" s="355" t="n">
        <f aca="false">+BA22+AU22</f>
        <v>0</v>
      </c>
      <c r="BC22" s="99"/>
      <c r="BD22" s="357" t="n">
        <f aca="false">+PORTS!I16+PORTS!I324</f>
        <v>0</v>
      </c>
    </row>
    <row r="23" customFormat="false" ht="12.75" hidden="false" customHeight="false" outlineLevel="0" collapsed="false">
      <c r="A23" s="346" t="n">
        <f aca="false">+DATE(YEAR(A22),MONTH(A22)+1,1)</f>
        <v>36861</v>
      </c>
      <c r="B23" s="327" t="n">
        <f aca="false">+IF(AND($A23&gt;=$C$8,$A23&lt;=$C$9),1,0)*PORTS!$I$5/(365.25)*(A24-A23)</f>
        <v>0</v>
      </c>
      <c r="C23" s="328" t="n">
        <f aca="false">+B23-(SUMIF($F$17:$IV$17,$H$17,$F23:$IV23))</f>
        <v>0</v>
      </c>
      <c r="D23" s="0" t="n">
        <f aca="false">+YEAR(E23)</f>
        <v>2000</v>
      </c>
      <c r="E23" s="346" t="n">
        <f aca="false">+DATE(YEAR(E22),MONTH(E22)+1,1)</f>
        <v>36861</v>
      </c>
      <c r="F23" s="327" t="n">
        <f aca="false">+IF(AND(G$8&lt;=E23,G$9&gt;=E23),INDEX(ROUTE_PER_DAY_BY_SHIP,MATCH(CONCATENATE(G$4,G$5,G$7),ROUTE_PER_DAY_ROUTES,0),MATCH(G$6,ROUTE_PER_DAY_SHIPS,0))*(E24-E23),0)</f>
        <v>0</v>
      </c>
      <c r="G23" s="347" t="n">
        <f aca="false">-F23*HLOOKUP(G$6,SHIPS,7,0)*INDEX(LADEN_VOYAGE_DAYS,MATCH(CONCATENATE(G$4,G$5,G$7),LADEN_VOYAGE_ROUTES,0),MATCH(G$6,LADEN_VOYAGE_SHIPS,0))</f>
        <v>-0</v>
      </c>
      <c r="H23" s="348" t="n">
        <f aca="false">SUM(F23:G23)</f>
        <v>0</v>
      </c>
      <c r="I23" s="349" t="n">
        <f aca="false">-(H23)*HLOOKUP(G$5,TERMINAL_CHARGES,3,0)</f>
        <v>-0</v>
      </c>
      <c r="J23" s="327" t="n">
        <f aca="false">+H23+I23</f>
        <v>0</v>
      </c>
      <c r="K23" s="333"/>
      <c r="L23" s="346" t="n">
        <f aca="false">+DATE(YEAR(L22),MONTH(L22)+1,1)</f>
        <v>36861</v>
      </c>
      <c r="M23" s="334" t="n">
        <f aca="false">+J23*(VLOOKUP(L23,CURVECALC!$C$6:$J$312,4,0)+N$5)</f>
        <v>0</v>
      </c>
      <c r="N23" s="350" t="n">
        <f aca="false">-F23*INDEX(ship_curves,MATCH(L23,'SHIP CURVES'!$A$9:$A$316,0),MATCH(CONCATENATE(P$4,P$5,P$6,P$7),'SHIP CURVES'!$A$9:$AZ$9,0))</f>
        <v>-0</v>
      </c>
      <c r="O23" s="351" t="n">
        <f aca="false">-H23*INDEX(port_processing_fee,MATCH(L23,PORTS!$H$626:$H$933,0),MATCH(P$5,PORTS!$H$626:$Z$626,0))</f>
        <v>-0</v>
      </c>
      <c r="P23" s="352" t="n">
        <f aca="false">(((VLOOKUP(L23,curvecalc,4,0))*IF(F23=0,0,J23/F23)-INDEX(ship_curves,MATCH(L23,'SHIP CURVES'!$A$9:$A$316,0),MATCH(CONCATENATE(P$4,P$5,P$6,P$7),'SHIP CURVES'!$A$9:$Z$9,0))-INDEX(terminal_curves,MATCH(L23,'TERMINAL CURVES'!$A$4:$A$313,0),MATCH(P$5,'TERMINAL CURVES'!$A$4:$N$4,0))*IF(F23=0,0,H23/F23))-(N$8)*((N$7-$N$5)-(INDEX(ship_curves,MATCH(L23,'SHIP CURVES'!$A$9:$A$316,0),MATCH(CONCATENATE(P$4,P$5,P$6,P$7),'SHIP CURVES'!$A$9:$Z$9,0))-INDEX(ship_curves,MATCH(L23,'SHIP CURVES'!$A$9:$A$316,0),MATCH(CONCATENATE(P$4,N$6,P$6,P$7),'SHIP CURVES'!$A$9:$Z$9,0)))-(INDEX(terminal_curves,MATCH(L23,'TERMINAL CURVES'!$A$4:$A$313,0),MATCH(P$5,'TERMINAL CURVES'!$A$4:$N$4,0))-INDEX(terminal_curves,MATCH(L23,'TERMINAL CURVES'!$A$4:$A$313,0),MATCH(N$6,'TERMINAL CURVES'!$A$4:$N$4,0)))*IF(F23=0,0,H23/F23)))*-F23</f>
        <v>0</v>
      </c>
      <c r="Q23" s="353" t="n">
        <f aca="false">SUM(N23:P23)</f>
        <v>0</v>
      </c>
      <c r="R23" s="357" t="n">
        <f aca="false">(-H23/((HLOOKUP(P$5,port_specs,2,0)/(365.25))*(L24-L23)))*(INDEX(fixed_capacity_charge,MATCH(L23,PORTS!$H$11:$H$317,0),MATCH(P$5,PORTS!$H$11:$N$11,0))+INDEX(variable_om_charge,MATCH(L23,PORTS!$H$318:$H$625,0),MATCH(P$5,PORTS!$H$318:$N$318,0)))</f>
        <v>-0</v>
      </c>
      <c r="S23" s="343" t="n">
        <f aca="false">+R23+Q23</f>
        <v>0</v>
      </c>
      <c r="T23" s="355" t="n">
        <f aca="false">+S23+M23</f>
        <v>0</v>
      </c>
      <c r="U23" s="342"/>
      <c r="V23" s="346" t="n">
        <f aca="false">+DATE(YEAR(V22),MONTH(V22)+1,1)</f>
        <v>36861</v>
      </c>
      <c r="W23" s="327" t="n">
        <f aca="false">+Y23/(1-HLOOKUP(X$6,SHIPS,7,0)*INDEX(LADEN_VOYAGE_DAYS,MATCH(CONCATENATE(X$4,X$5),LADEN_VOYAGE_ROUTES,0),MATCH(X$6,LADEN_VOYAGE_SHIPS,0)))</f>
        <v>0</v>
      </c>
      <c r="X23" s="347" t="n">
        <f aca="false">+Y23-W23</f>
        <v>0</v>
      </c>
      <c r="Y23" s="348" t="n">
        <f aca="false">+IF(AND(X$8&lt;=V23,X$9&gt;=V23),+MIN($B23-SUMIF($H$17:X$17,Y$17,$H23:X23),((INDEX(ROUTE_PER_DAY_BY_SHIP,MATCH(CONCATENATE(X$4,X$5,X$7),ROUTE_PER_DAY_ROUTES,0),MATCH(X$6,ROUTE_PER_DAY_SHIPS,0))*(V24-V23))-(INDEX(ROUTE_PER_DAY_BY_SHIP,MATCH(CONCATENATE(X$4,X$5,X$7),ROUTE_PER_DAY_ROUTES,0),MATCH(X$6,ROUTE_PER_DAY_SHIPS,0))*(V24-V23))*HLOOKUP(X$6,SHIPS,7,0)*INDEX(LADEN_VOYAGE_DAYS,MATCH(CONCATENATE(X$4,X$5,X$7),LADEN_VOYAGE_ROUTES,0),MATCH(X$6,LADEN_VOYAGE_SHIPS,0)))),0)</f>
        <v>0</v>
      </c>
      <c r="Z23" s="349" t="n">
        <f aca="false">-(Y23)*HLOOKUP(X$5,TERMINAL_CHARGES,3,0)</f>
        <v>-0</v>
      </c>
      <c r="AA23" s="327" t="n">
        <f aca="false">+Y23+Z23</f>
        <v>0</v>
      </c>
      <c r="AB23" s="333"/>
      <c r="AC23" s="346" t="n">
        <f aca="false">+DATE(YEAR(AC22),MONTH(AC22)+1,1)</f>
        <v>36861</v>
      </c>
      <c r="AD23" s="343" t="n">
        <f aca="false">+AA23*(VLOOKUP(AC23,CURVECALC!$C$6:$J$312,4,0)+AE$5)</f>
        <v>0</v>
      </c>
      <c r="AE23" s="350" t="n">
        <f aca="false">-W23*INDEX(ship_curves,MATCH(AC23,'SHIP CURVES'!$A$9:$A$316,0),MATCH(CONCATENATE(AG$4,AG$5,AG$6,AG$7),'SHIP CURVES'!$A$9:$AZ$9,0))</f>
        <v>-0</v>
      </c>
      <c r="AF23" s="351" t="n">
        <f aca="false">-Y23*INDEX(port_processing_fee,MATCH(AC23,PORTS!$H$626:$H$933,0),MATCH(AG$5,PORTS!$H$626:$Z$626,0))</f>
        <v>-0</v>
      </c>
      <c r="AG23" s="352" t="n">
        <f aca="false">(((VLOOKUP(AC23,curvecalc,4,0))*IF(W23=0,0,AA23/W23)-INDEX(ship_curves,MATCH(AC23,'SHIP CURVES'!$A$9:$A$316,0),MATCH(CONCATENATE(AG$4,AG$5,AG$6,AG$7),'SHIP CURVES'!$A$9:$Z$9,0))-INDEX(terminal_curves,MATCH(AC23,'TERMINAL CURVES'!$A$4:$A$313,0),MATCH(AG$5,'TERMINAL CURVES'!$A$4:$N$4,0))*IF(W23=0,0,Y23/W23))-(AE$8)*((AE$7-$N$5)-(INDEX(ship_curves,MATCH(AC23,'SHIP CURVES'!$A$9:$A$316,0),MATCH(CONCATENATE(AG$4,AG$5,AG$6,AG$7),'SHIP CURVES'!$A$9:$Z$9,0))-INDEX(ship_curves,MATCH(AC23,'SHIP CURVES'!$A$9:$A$316,0),MATCH(CONCATENATE(AG$4,AE$6,AG$6,AG$7),'SHIP CURVES'!$A$9:$Z$9,0)))-(INDEX(terminal_curves,MATCH(AC23,'TERMINAL CURVES'!$A$4:$A$313,0),MATCH(AG$5,'TERMINAL CURVES'!$A$4:$N$4,0))-INDEX(terminal_curves,MATCH(AC23,'TERMINAL CURVES'!$A$4:$A$313,0),MATCH(AE$6,'TERMINAL CURVES'!$A$4:$N$4,0)))*IF(W23=0,0,Y23/W23)))*-W23</f>
        <v>0</v>
      </c>
      <c r="AH23" s="356" t="n">
        <f aca="false">SUM(AE23:AG23)</f>
        <v>0</v>
      </c>
      <c r="AI23" s="357" t="n">
        <f aca="false">(-Y23/((HLOOKUP(AG$5,port_specs,2,0)/(365.25))*(AC24-AC23)))*(INDEX(fixed_capacity_charge,MATCH(AC23,PORTS!$H$11:$H$317,0),MATCH(AG$5,PORTS!$H$11:$N$11,0))+INDEX(variable_om_charge,MATCH(AC23,PORTS!$H$318:$H$625,0),MATCH(AG$5,PORTS!$H$318:$N$318,0)))</f>
        <v>-0</v>
      </c>
      <c r="AJ23" s="343" t="n">
        <f aca="false">+AI23+AH23</f>
        <v>0</v>
      </c>
      <c r="AK23" s="355" t="n">
        <f aca="false">+AJ23+AD23</f>
        <v>0</v>
      </c>
      <c r="AM23" s="346" t="n">
        <f aca="false">+DATE(YEAR(AM22),MONTH(AM22)+1,1)</f>
        <v>36861</v>
      </c>
      <c r="AN23" s="327" t="n">
        <f aca="false">+AP23/(1-HLOOKUP(AO$6,SHIPS,7,0)*INDEX(LADEN_VOYAGE_DAYS,MATCH(CONCATENATE(AO$4,AO$5),LADEN_VOYAGE_ROUTES,0),MATCH(AO$6,LADEN_VOYAGE_SHIPS,0)))</f>
        <v>0</v>
      </c>
      <c r="AO23" s="347" t="n">
        <f aca="false">+AP23-AN23</f>
        <v>0</v>
      </c>
      <c r="AP23" s="348" t="n">
        <f aca="false">+IF(AND(AO$8&lt;=AM23,AO$9&gt;=AM23),+MIN($B23-SUMIF($H$17:AO$17,AP$17,$H23:AO23),((INDEX(ROUTE_PER_DAY_BY_SHIP,MATCH(CONCATENATE(AO$4,AO$5,AO$7),ROUTE_PER_DAY_ROUTES,0),MATCH(AO$6,ROUTE_PER_DAY_SHIPS,0))*(AM24-AM23))-(INDEX(ROUTE_PER_DAY_BY_SHIP,MATCH(CONCATENATE(AO$4,AO$5,AO$7),ROUTE_PER_DAY_ROUTES,0),MATCH(AO$6,ROUTE_PER_DAY_SHIPS,0))*(AM24-AM23))*HLOOKUP(AO$6,SHIPS,7,0)*INDEX(LADEN_VOYAGE_DAYS,MATCH(CONCATENATE(AO$4,AO$5,AO$7),LADEN_VOYAGE_ROUTES,0),MATCH(AO$6,LADEN_VOYAGE_SHIPS,0)))),0)</f>
        <v>0</v>
      </c>
      <c r="AQ23" s="349" t="n">
        <f aca="false">-(AP23)*PORTS!$I$6</f>
        <v>-0</v>
      </c>
      <c r="AR23" s="327" t="n">
        <f aca="false">+AP23+AQ23</f>
        <v>0</v>
      </c>
      <c r="AS23" s="333"/>
      <c r="AT23" s="346" t="n">
        <f aca="false">+DATE(YEAR(AT22),MONTH(AT22)+1,1)</f>
        <v>36861</v>
      </c>
      <c r="AU23" s="343" t="n">
        <f aca="false">+AR23*(VLOOKUP(AT23,CURVECALC!$C$6:$J$312,4,0)+AV$5)</f>
        <v>0</v>
      </c>
      <c r="AV23" s="350" t="n">
        <f aca="false">-AN23*INDEX(ship_curves,MATCH(AT23,'SHIP CURVES'!$A$9:$A$316,0),MATCH(CONCATENATE(AX$4,AX$5,AX$6,AX$7),'SHIP CURVES'!$A$9:$AZ$9,0))</f>
        <v>-0</v>
      </c>
      <c r="AW23" s="351" t="n">
        <f aca="false">-AP23*INDEX(port_processing_fee,MATCH(AT23,PORTS!$H$626:$H$933,0),MATCH(AX$5,PORTS!$H$626:$Z$626,0))</f>
        <v>-0</v>
      </c>
      <c r="AX23" s="352" t="n">
        <f aca="false">(((VLOOKUP(AT23,curvecalc,4,0))*IF(AN23=0,0,AR23/AN23)-INDEX(ship_curves,MATCH(AT23,'SHIP CURVES'!$A$9:$A$316,0),MATCH(CONCATENATE(AX$4,AX$5,AX$6,AX$7),'SHIP CURVES'!$A$9:$Z$9,0))-INDEX(terminal_curves,MATCH(AT23,'TERMINAL CURVES'!$A$4:$A$313,0),MATCH(AX$5,'TERMINAL CURVES'!$A$4:$N$4,0))*IF(AN23=0,0,AP23/AN23))-(AV$8)*((AV$7-$N$5)-(INDEX(ship_curves,MATCH(AT23,'SHIP CURVES'!$A$9:$A$316,0),MATCH(CONCATENATE(AX$4,AX$5,AX$6,AX$7),'SHIP CURVES'!$A$9:$Z$9,0))-INDEX(ship_curves,MATCH(AT23,'SHIP CURVES'!$A$9:$A$316,0),MATCH(CONCATENATE(AX$4,AV$6,AX$6,AX$7),'SHIP CURVES'!$A$9:$Z$9,0)))-(INDEX(terminal_curves,MATCH(AT23,'TERMINAL CURVES'!$A$4:$A$313,0),MATCH(AX$5,'TERMINAL CURVES'!$A$4:$N$4,0))-INDEX(terminal_curves,MATCH(AT23,'TERMINAL CURVES'!$A$4:$A$313,0),MATCH(AV$6,'TERMINAL CURVES'!$A$4:$N$4,0)))*IF(AN23=0,0,AP23/AN23)))*-AN23</f>
        <v>0</v>
      </c>
      <c r="AY23" s="356" t="n">
        <f aca="false">SUM(AV23:AX23)</f>
        <v>0</v>
      </c>
      <c r="AZ23" s="357" t="n">
        <f aca="false">(-AP23/((HLOOKUP(AX$5,port_specs,2,0)/(365.25))*(AT24-AT23)))*(INDEX(fixed_capacity_charge,MATCH(AT23,PORTS!$H$11:$H$317,0),MATCH(AX$5,PORTS!$H$11:$N$11,0))+INDEX(variable_om_charge,MATCH(AT23,PORTS!$H$318:$H$625,0),MATCH(AX$5,PORTS!$H$318:$N$318,0)))</f>
        <v>-0</v>
      </c>
      <c r="BA23" s="343" t="n">
        <f aca="false">+AZ23+AY23</f>
        <v>0</v>
      </c>
      <c r="BB23" s="355" t="n">
        <f aca="false">+BA23+AU23</f>
        <v>0</v>
      </c>
      <c r="BC23" s="99"/>
      <c r="BD23" s="357" t="n">
        <f aca="false">+PORTS!I17+PORTS!I325</f>
        <v>0</v>
      </c>
    </row>
    <row r="24" customFormat="false" ht="12.75" hidden="false" customHeight="false" outlineLevel="0" collapsed="false">
      <c r="A24" s="346" t="n">
        <f aca="false">+DATE(YEAR(A23),MONTH(A23)+1,1)</f>
        <v>36892</v>
      </c>
      <c r="B24" s="327" t="n">
        <f aca="false">+IF(AND($A24&gt;=$C$8,$A24&lt;=$C$9),1,0)*PORTS!$I$5/(365.25)*(A25-A24)</f>
        <v>0</v>
      </c>
      <c r="C24" s="328" t="n">
        <f aca="false">+B24-(SUMIF($F$17:$IV$17,$H$17,$F24:$IV24))</f>
        <v>0</v>
      </c>
      <c r="D24" s="0" t="n">
        <f aca="false">+YEAR(E24)</f>
        <v>2001</v>
      </c>
      <c r="E24" s="346" t="n">
        <f aca="false">+DATE(YEAR(E23),MONTH(E23)+1,1)</f>
        <v>36892</v>
      </c>
      <c r="F24" s="327" t="n">
        <f aca="false">+IF(AND(G$8&lt;=E24,G$9&gt;=E24),INDEX(ROUTE_PER_DAY_BY_SHIP,MATCH(CONCATENATE(G$4,G$5,G$7),ROUTE_PER_DAY_ROUTES,0),MATCH(G$6,ROUTE_PER_DAY_SHIPS,0))*(E25-E24),0)</f>
        <v>0</v>
      </c>
      <c r="G24" s="347" t="n">
        <f aca="false">-F24*HLOOKUP(G$6,SHIPS,7,0)*INDEX(LADEN_VOYAGE_DAYS,MATCH(CONCATENATE(G$4,G$5,G$7),LADEN_VOYAGE_ROUTES,0),MATCH(G$6,LADEN_VOYAGE_SHIPS,0))</f>
        <v>-0</v>
      </c>
      <c r="H24" s="348" t="n">
        <f aca="false">SUM(F24:G24)</f>
        <v>0</v>
      </c>
      <c r="I24" s="349" t="n">
        <f aca="false">-(H24)*HLOOKUP(G$5,TERMINAL_CHARGES,3,0)</f>
        <v>-0</v>
      </c>
      <c r="J24" s="327" t="n">
        <f aca="false">+H24+I24</f>
        <v>0</v>
      </c>
      <c r="K24" s="333"/>
      <c r="L24" s="346" t="n">
        <f aca="false">+DATE(YEAR(L23),MONTH(L23)+1,1)</f>
        <v>36892</v>
      </c>
      <c r="M24" s="334" t="n">
        <f aca="false">+J24*(VLOOKUP(L24,CURVECALC!$C$6:$J$312,4,0)+N$5)</f>
        <v>0</v>
      </c>
      <c r="N24" s="350" t="n">
        <f aca="false">-F24*INDEX(ship_curves,MATCH(L24,'SHIP CURVES'!$A$9:$A$316,0),MATCH(CONCATENATE(P$4,P$5,P$6,P$7),'SHIP CURVES'!$A$9:$AZ$9,0))</f>
        <v>-0</v>
      </c>
      <c r="O24" s="351" t="n">
        <f aca="false">-H24*INDEX(port_processing_fee,MATCH(L24,PORTS!$H$626:$H$933,0),MATCH(P$5,PORTS!$H$626:$Z$626,0))</f>
        <v>-0</v>
      </c>
      <c r="P24" s="352" t="n">
        <f aca="false">(((VLOOKUP(L24,curvecalc,4,0))*IF(F24=0,0,J24/F24)-INDEX(ship_curves,MATCH(L24,'SHIP CURVES'!$A$9:$A$316,0),MATCH(CONCATENATE(P$4,P$5,P$6,P$7),'SHIP CURVES'!$A$9:$Z$9,0))-INDEX(terminal_curves,MATCH(L24,'TERMINAL CURVES'!$A$4:$A$313,0),MATCH(P$5,'TERMINAL CURVES'!$A$4:$N$4,0))*IF(F24=0,0,H24/F24))-(N$8)*((N$7-$N$5)-(INDEX(ship_curves,MATCH(L24,'SHIP CURVES'!$A$9:$A$316,0),MATCH(CONCATENATE(P$4,P$5,P$6,P$7),'SHIP CURVES'!$A$9:$Z$9,0))-INDEX(ship_curves,MATCH(L24,'SHIP CURVES'!$A$9:$A$316,0),MATCH(CONCATENATE(P$4,N$6,P$6,P$7),'SHIP CURVES'!$A$9:$Z$9,0)))-(INDEX(terminal_curves,MATCH(L24,'TERMINAL CURVES'!$A$4:$A$313,0),MATCH(P$5,'TERMINAL CURVES'!$A$4:$N$4,0))-INDEX(terminal_curves,MATCH(L24,'TERMINAL CURVES'!$A$4:$A$313,0),MATCH(N$6,'TERMINAL CURVES'!$A$4:$N$4,0)))*IF(F24=0,0,H24/F24)))*-F24</f>
        <v>0</v>
      </c>
      <c r="Q24" s="353" t="n">
        <f aca="false">SUM(N24:P24)</f>
        <v>0</v>
      </c>
      <c r="R24" s="357" t="n">
        <f aca="false">(-H24/((HLOOKUP(P$5,port_specs,2,0)/(365.25))*(L25-L24)))*(INDEX(fixed_capacity_charge,MATCH(L24,PORTS!$H$11:$H$317,0),MATCH(P$5,PORTS!$H$11:$N$11,0))+INDEX(variable_om_charge,MATCH(L24,PORTS!$H$318:$H$625,0),MATCH(P$5,PORTS!$H$318:$N$318,0)))</f>
        <v>-0</v>
      </c>
      <c r="S24" s="343" t="n">
        <f aca="false">+R24+Q24</f>
        <v>0</v>
      </c>
      <c r="T24" s="355" t="n">
        <f aca="false">+S24+M24</f>
        <v>0</v>
      </c>
      <c r="U24" s="342"/>
      <c r="V24" s="346" t="n">
        <f aca="false">+DATE(YEAR(V23),MONTH(V23)+1,1)</f>
        <v>36892</v>
      </c>
      <c r="W24" s="327" t="n">
        <f aca="false">+Y24/(1-HLOOKUP(X$6,SHIPS,7,0)*INDEX(LADEN_VOYAGE_DAYS,MATCH(CONCATENATE(X$4,X$5),LADEN_VOYAGE_ROUTES,0),MATCH(X$6,LADEN_VOYAGE_SHIPS,0)))</f>
        <v>0</v>
      </c>
      <c r="X24" s="347" t="n">
        <f aca="false">+Y24-W24</f>
        <v>0</v>
      </c>
      <c r="Y24" s="348" t="n">
        <f aca="false">+IF(AND(X$8&lt;=V24,X$9&gt;=V24),+MIN($B24-SUMIF($H$17:X$17,Y$17,$H24:X24),((INDEX(ROUTE_PER_DAY_BY_SHIP,MATCH(CONCATENATE(X$4,X$5,X$7),ROUTE_PER_DAY_ROUTES,0),MATCH(X$6,ROUTE_PER_DAY_SHIPS,0))*(V25-V24))-(INDEX(ROUTE_PER_DAY_BY_SHIP,MATCH(CONCATENATE(X$4,X$5,X$7),ROUTE_PER_DAY_ROUTES,0),MATCH(X$6,ROUTE_PER_DAY_SHIPS,0))*(V25-V24))*HLOOKUP(X$6,SHIPS,7,0)*INDEX(LADEN_VOYAGE_DAYS,MATCH(CONCATENATE(X$4,X$5,X$7),LADEN_VOYAGE_ROUTES,0),MATCH(X$6,LADEN_VOYAGE_SHIPS,0)))),0)</f>
        <v>0</v>
      </c>
      <c r="Z24" s="349" t="n">
        <f aca="false">-(Y24)*HLOOKUP(X$5,TERMINAL_CHARGES,3,0)</f>
        <v>-0</v>
      </c>
      <c r="AA24" s="327" t="n">
        <f aca="false">+Y24+Z24</f>
        <v>0</v>
      </c>
      <c r="AB24" s="333"/>
      <c r="AC24" s="346" t="n">
        <f aca="false">+DATE(YEAR(AC23),MONTH(AC23)+1,1)</f>
        <v>36892</v>
      </c>
      <c r="AD24" s="343" t="n">
        <f aca="false">+AA24*(VLOOKUP(AC24,CURVECALC!$C$6:$J$312,4,0)+AE$5)</f>
        <v>0</v>
      </c>
      <c r="AE24" s="350" t="n">
        <f aca="false">-W24*INDEX(ship_curves,MATCH(AC24,'SHIP CURVES'!$A$9:$A$316,0),MATCH(CONCATENATE(AG$4,AG$5,AG$6,AG$7),'SHIP CURVES'!$A$9:$AZ$9,0))</f>
        <v>-0</v>
      </c>
      <c r="AF24" s="351" t="n">
        <f aca="false">-Y24*INDEX(port_processing_fee,MATCH(AC24,PORTS!$H$626:$H$933,0),MATCH(AG$5,PORTS!$H$626:$Z$626,0))</f>
        <v>-0</v>
      </c>
      <c r="AG24" s="352" t="n">
        <f aca="false">(((VLOOKUP(AC24,curvecalc,4,0))*IF(W24=0,0,AA24/W24)-INDEX(ship_curves,MATCH(AC24,'SHIP CURVES'!$A$9:$A$316,0),MATCH(CONCATENATE(AG$4,AG$5,AG$6,AG$7),'SHIP CURVES'!$A$9:$Z$9,0))-INDEX(terminal_curves,MATCH(AC24,'TERMINAL CURVES'!$A$4:$A$313,0),MATCH(AG$5,'TERMINAL CURVES'!$A$4:$N$4,0))*IF(W24=0,0,Y24/W24))-(AE$8)*((AE$7-$N$5)-(INDEX(ship_curves,MATCH(AC24,'SHIP CURVES'!$A$9:$A$316,0),MATCH(CONCATENATE(AG$4,AG$5,AG$6,AG$7),'SHIP CURVES'!$A$9:$Z$9,0))-INDEX(ship_curves,MATCH(AC24,'SHIP CURVES'!$A$9:$A$316,0),MATCH(CONCATENATE(AG$4,AE$6,AG$6,AG$7),'SHIP CURVES'!$A$9:$Z$9,0)))-(INDEX(terminal_curves,MATCH(AC24,'TERMINAL CURVES'!$A$4:$A$313,0),MATCH(AG$5,'TERMINAL CURVES'!$A$4:$N$4,0))-INDEX(terminal_curves,MATCH(AC24,'TERMINAL CURVES'!$A$4:$A$313,0),MATCH(AE$6,'TERMINAL CURVES'!$A$4:$N$4,0)))*IF(W24=0,0,Y24/W24)))*-W24</f>
        <v>0</v>
      </c>
      <c r="AH24" s="356" t="n">
        <f aca="false">SUM(AE24:AG24)</f>
        <v>0</v>
      </c>
      <c r="AI24" s="357" t="n">
        <f aca="false">(-Y24/((HLOOKUP(AG$5,port_specs,2,0)/(365.25))*(AC25-AC24)))*(INDEX(fixed_capacity_charge,MATCH(AC24,PORTS!$H$11:$H$317,0),MATCH(AG$5,PORTS!$H$11:$N$11,0))+INDEX(variable_om_charge,MATCH(AC24,PORTS!$H$318:$H$625,0),MATCH(AG$5,PORTS!$H$318:$N$318,0)))</f>
        <v>-0</v>
      </c>
      <c r="AJ24" s="343" t="n">
        <f aca="false">+AI24+AH24</f>
        <v>0</v>
      </c>
      <c r="AK24" s="355" t="n">
        <f aca="false">+AJ24+AD24</f>
        <v>0</v>
      </c>
      <c r="AM24" s="346" t="n">
        <f aca="false">+DATE(YEAR(AM23),MONTH(AM23)+1,1)</f>
        <v>36892</v>
      </c>
      <c r="AN24" s="327" t="n">
        <f aca="false">+AP24/(1-HLOOKUP(AO$6,SHIPS,7,0)*INDEX(LADEN_VOYAGE_DAYS,MATCH(CONCATENATE(AO$4,AO$5),LADEN_VOYAGE_ROUTES,0),MATCH(AO$6,LADEN_VOYAGE_SHIPS,0)))</f>
        <v>0</v>
      </c>
      <c r="AO24" s="347" t="n">
        <f aca="false">+AP24-AN24</f>
        <v>0</v>
      </c>
      <c r="AP24" s="348" t="n">
        <f aca="false">+IF(AND(AO$8&lt;=AM24,AO$9&gt;=AM24),+MIN($B24-SUMIF($H$17:AO$17,AP$17,$H24:AO24),((INDEX(ROUTE_PER_DAY_BY_SHIP,MATCH(CONCATENATE(AO$4,AO$5,AO$7),ROUTE_PER_DAY_ROUTES,0),MATCH(AO$6,ROUTE_PER_DAY_SHIPS,0))*(AM25-AM24))-(INDEX(ROUTE_PER_DAY_BY_SHIP,MATCH(CONCATENATE(AO$4,AO$5,AO$7),ROUTE_PER_DAY_ROUTES,0),MATCH(AO$6,ROUTE_PER_DAY_SHIPS,0))*(AM25-AM24))*HLOOKUP(AO$6,SHIPS,7,0)*INDEX(LADEN_VOYAGE_DAYS,MATCH(CONCATENATE(AO$4,AO$5,AO$7),LADEN_VOYAGE_ROUTES,0),MATCH(AO$6,LADEN_VOYAGE_SHIPS,0)))),0)</f>
        <v>0</v>
      </c>
      <c r="AQ24" s="349" t="n">
        <f aca="false">-(AP24)*PORTS!$I$6</f>
        <v>-0</v>
      </c>
      <c r="AR24" s="327" t="n">
        <f aca="false">+AP24+AQ24</f>
        <v>0</v>
      </c>
      <c r="AS24" s="333"/>
      <c r="AT24" s="346" t="n">
        <f aca="false">+DATE(YEAR(AT23),MONTH(AT23)+1,1)</f>
        <v>36892</v>
      </c>
      <c r="AU24" s="343" t="n">
        <f aca="false">+AR24*(VLOOKUP(AT24,CURVECALC!$C$6:$J$312,4,0)+AV$5)</f>
        <v>0</v>
      </c>
      <c r="AV24" s="350" t="n">
        <f aca="false">-AN24*INDEX(ship_curves,MATCH(AT24,'SHIP CURVES'!$A$9:$A$316,0),MATCH(CONCATENATE(AX$4,AX$5,AX$6,AX$7),'SHIP CURVES'!$A$9:$AZ$9,0))</f>
        <v>-0</v>
      </c>
      <c r="AW24" s="351" t="n">
        <f aca="false">-AP24*INDEX(port_processing_fee,MATCH(AT24,PORTS!$H$626:$H$933,0),MATCH(AX$5,PORTS!$H$626:$Z$626,0))</f>
        <v>-0</v>
      </c>
      <c r="AX24" s="352" t="n">
        <f aca="false">(((VLOOKUP(AT24,curvecalc,4,0))*IF(AN24=0,0,AR24/AN24)-INDEX(ship_curves,MATCH(AT24,'SHIP CURVES'!$A$9:$A$316,0),MATCH(CONCATENATE(AX$4,AX$5,AX$6,AX$7),'SHIP CURVES'!$A$9:$Z$9,0))-INDEX(terminal_curves,MATCH(AT24,'TERMINAL CURVES'!$A$4:$A$313,0),MATCH(AX$5,'TERMINAL CURVES'!$A$4:$N$4,0))*IF(AN24=0,0,AP24/AN24))-(AV$8)*((AV$7-$N$5)-(INDEX(ship_curves,MATCH(AT24,'SHIP CURVES'!$A$9:$A$316,0),MATCH(CONCATENATE(AX$4,AX$5,AX$6,AX$7),'SHIP CURVES'!$A$9:$Z$9,0))-INDEX(ship_curves,MATCH(AT24,'SHIP CURVES'!$A$9:$A$316,0),MATCH(CONCATENATE(AX$4,AV$6,AX$6,AX$7),'SHIP CURVES'!$A$9:$Z$9,0)))-(INDEX(terminal_curves,MATCH(AT24,'TERMINAL CURVES'!$A$4:$A$313,0),MATCH(AX$5,'TERMINAL CURVES'!$A$4:$N$4,0))-INDEX(terminal_curves,MATCH(AT24,'TERMINAL CURVES'!$A$4:$A$313,0),MATCH(AV$6,'TERMINAL CURVES'!$A$4:$N$4,0)))*IF(AN24=0,0,AP24/AN24)))*-AN24</f>
        <v>0</v>
      </c>
      <c r="AY24" s="356" t="n">
        <f aca="false">SUM(AV24:AX24)</f>
        <v>0</v>
      </c>
      <c r="AZ24" s="357" t="n">
        <f aca="false">(-AP24/((HLOOKUP(AX$5,port_specs,2,0)/(365.25))*(AT25-AT24)))*(INDEX(fixed_capacity_charge,MATCH(AT24,PORTS!$H$11:$H$317,0),MATCH(AX$5,PORTS!$H$11:$N$11,0))+INDEX(variable_om_charge,MATCH(AT24,PORTS!$H$318:$H$625,0),MATCH(AX$5,PORTS!$H$318:$N$318,0)))</f>
        <v>-0</v>
      </c>
      <c r="BA24" s="343" t="n">
        <f aca="false">+AZ24+AY24</f>
        <v>0</v>
      </c>
      <c r="BB24" s="355" t="n">
        <f aca="false">+BA24+AU24</f>
        <v>0</v>
      </c>
      <c r="BC24" s="99"/>
      <c r="BD24" s="357" t="n">
        <f aca="false">+PORTS!I18+PORTS!I326</f>
        <v>0</v>
      </c>
    </row>
    <row r="25" customFormat="false" ht="12.75" hidden="false" customHeight="false" outlineLevel="0" collapsed="false">
      <c r="A25" s="346" t="n">
        <f aca="false">+DATE(YEAR(A24),MONTH(A24)+1,1)</f>
        <v>36923</v>
      </c>
      <c r="B25" s="327" t="n">
        <f aca="false">+IF(AND($A25&gt;=$C$8,$A25&lt;=$C$9),1,0)*PORTS!$I$5/(365.25)*(A26-A25)</f>
        <v>0</v>
      </c>
      <c r="C25" s="328" t="n">
        <f aca="false">+B25-(SUMIF($F$17:$IV$17,$H$17,$F25:$IV25))</f>
        <v>0</v>
      </c>
      <c r="D25" s="0" t="n">
        <f aca="false">+YEAR(E25)</f>
        <v>2001</v>
      </c>
      <c r="E25" s="346" t="n">
        <f aca="false">+DATE(YEAR(E24),MONTH(E24)+1,1)</f>
        <v>36923</v>
      </c>
      <c r="F25" s="327" t="n">
        <f aca="false">+IF(AND(G$8&lt;=E25,G$9&gt;=E25),INDEX(ROUTE_PER_DAY_BY_SHIP,MATCH(CONCATENATE(G$4,G$5,G$7),ROUTE_PER_DAY_ROUTES,0),MATCH(G$6,ROUTE_PER_DAY_SHIPS,0))*(E26-E25),0)</f>
        <v>0</v>
      </c>
      <c r="G25" s="347" t="n">
        <f aca="false">-F25*HLOOKUP(G$6,SHIPS,7,0)*INDEX(LADEN_VOYAGE_DAYS,MATCH(CONCATENATE(G$4,G$5,G$7),LADEN_VOYAGE_ROUTES,0),MATCH(G$6,LADEN_VOYAGE_SHIPS,0))</f>
        <v>-0</v>
      </c>
      <c r="H25" s="348" t="n">
        <f aca="false">SUM(F25:G25)</f>
        <v>0</v>
      </c>
      <c r="I25" s="349" t="n">
        <f aca="false">-(H25)*HLOOKUP(G$5,TERMINAL_CHARGES,3,0)</f>
        <v>-0</v>
      </c>
      <c r="J25" s="327" t="n">
        <f aca="false">+H25+I25</f>
        <v>0</v>
      </c>
      <c r="K25" s="333"/>
      <c r="L25" s="346" t="n">
        <f aca="false">+DATE(YEAR(L24),MONTH(L24)+1,1)</f>
        <v>36923</v>
      </c>
      <c r="M25" s="334" t="n">
        <f aca="false">+J25*(VLOOKUP(L25,CURVECALC!$C$6:$J$312,4,0)+N$5)</f>
        <v>0</v>
      </c>
      <c r="N25" s="350" t="n">
        <f aca="false">-F25*INDEX(ship_curves,MATCH(L25,'SHIP CURVES'!$A$9:$A$316,0),MATCH(CONCATENATE(P$4,P$5,P$6,P$7),'SHIP CURVES'!$A$9:$AZ$9,0))</f>
        <v>-0</v>
      </c>
      <c r="O25" s="351" t="n">
        <f aca="false">-H25*INDEX(port_processing_fee,MATCH(L25,PORTS!$H$626:$H$933,0),MATCH(P$5,PORTS!$H$626:$Z$626,0))</f>
        <v>-0</v>
      </c>
      <c r="P25" s="352" t="n">
        <f aca="false">(((VLOOKUP(L25,curvecalc,4,0))*IF(F25=0,0,J25/F25)-INDEX(ship_curves,MATCH(L25,'SHIP CURVES'!$A$9:$A$316,0),MATCH(CONCATENATE(P$4,P$5,P$6,P$7),'SHIP CURVES'!$A$9:$Z$9,0))-INDEX(terminal_curves,MATCH(L25,'TERMINAL CURVES'!$A$4:$A$313,0),MATCH(P$5,'TERMINAL CURVES'!$A$4:$N$4,0))*IF(F25=0,0,H25/F25))-(N$8)*((N$7-$N$5)-(INDEX(ship_curves,MATCH(L25,'SHIP CURVES'!$A$9:$A$316,0),MATCH(CONCATENATE(P$4,P$5,P$6,P$7),'SHIP CURVES'!$A$9:$Z$9,0))-INDEX(ship_curves,MATCH(L25,'SHIP CURVES'!$A$9:$A$316,0),MATCH(CONCATENATE(P$4,N$6,P$6,P$7),'SHIP CURVES'!$A$9:$Z$9,0)))-(INDEX(terminal_curves,MATCH(L25,'TERMINAL CURVES'!$A$4:$A$313,0),MATCH(P$5,'TERMINAL CURVES'!$A$4:$N$4,0))-INDEX(terminal_curves,MATCH(L25,'TERMINAL CURVES'!$A$4:$A$313,0),MATCH(N$6,'TERMINAL CURVES'!$A$4:$N$4,0)))*IF(F25=0,0,H25/F25)))*-F25</f>
        <v>0</v>
      </c>
      <c r="Q25" s="353" t="n">
        <f aca="false">SUM(N25:P25)</f>
        <v>0</v>
      </c>
      <c r="R25" s="357" t="n">
        <f aca="false">(-H25/((HLOOKUP(P$5,port_specs,2,0)/(365.25))*(L26-L25)))*(INDEX(fixed_capacity_charge,MATCH(L25,PORTS!$H$11:$H$317,0),MATCH(P$5,PORTS!$H$11:$N$11,0))+INDEX(variable_om_charge,MATCH(L25,PORTS!$H$318:$H$625,0),MATCH(P$5,PORTS!$H$318:$N$318,0)))</f>
        <v>-0</v>
      </c>
      <c r="S25" s="343" t="n">
        <f aca="false">+R25+Q25</f>
        <v>0</v>
      </c>
      <c r="T25" s="355" t="n">
        <f aca="false">+S25+M25</f>
        <v>0</v>
      </c>
      <c r="U25" s="342"/>
      <c r="V25" s="346" t="n">
        <f aca="false">+DATE(YEAR(V24),MONTH(V24)+1,1)</f>
        <v>36923</v>
      </c>
      <c r="W25" s="327" t="n">
        <f aca="false">+Y25/(1-HLOOKUP(X$6,SHIPS,7,0)*INDEX(LADEN_VOYAGE_DAYS,MATCH(CONCATENATE(X$4,X$5),LADEN_VOYAGE_ROUTES,0),MATCH(X$6,LADEN_VOYAGE_SHIPS,0)))</f>
        <v>0</v>
      </c>
      <c r="X25" s="347" t="n">
        <f aca="false">+Y25-W25</f>
        <v>0</v>
      </c>
      <c r="Y25" s="348" t="n">
        <f aca="false">+IF(AND(X$8&lt;=V25,X$9&gt;=V25),+MIN($B25-SUMIF($H$17:X$17,Y$17,$H25:X25),((INDEX(ROUTE_PER_DAY_BY_SHIP,MATCH(CONCATENATE(X$4,X$5,X$7),ROUTE_PER_DAY_ROUTES,0),MATCH(X$6,ROUTE_PER_DAY_SHIPS,0))*(V26-V25))-(INDEX(ROUTE_PER_DAY_BY_SHIP,MATCH(CONCATENATE(X$4,X$5,X$7),ROUTE_PER_DAY_ROUTES,0),MATCH(X$6,ROUTE_PER_DAY_SHIPS,0))*(V26-V25))*HLOOKUP(X$6,SHIPS,7,0)*INDEX(LADEN_VOYAGE_DAYS,MATCH(CONCATENATE(X$4,X$5,X$7),LADEN_VOYAGE_ROUTES,0),MATCH(X$6,LADEN_VOYAGE_SHIPS,0)))),0)</f>
        <v>0</v>
      </c>
      <c r="Z25" s="349" t="n">
        <f aca="false">-(Y25)*HLOOKUP(X$5,TERMINAL_CHARGES,3,0)</f>
        <v>-0</v>
      </c>
      <c r="AA25" s="327" t="n">
        <f aca="false">+Y25+Z25</f>
        <v>0</v>
      </c>
      <c r="AB25" s="333"/>
      <c r="AC25" s="346" t="n">
        <f aca="false">+DATE(YEAR(AC24),MONTH(AC24)+1,1)</f>
        <v>36923</v>
      </c>
      <c r="AD25" s="343" t="n">
        <f aca="false">+AA25*(VLOOKUP(AC25,CURVECALC!$C$6:$J$312,4,0)+AE$5)</f>
        <v>0</v>
      </c>
      <c r="AE25" s="350" t="n">
        <f aca="false">-W25*INDEX(ship_curves,MATCH(AC25,'SHIP CURVES'!$A$9:$A$316,0),MATCH(CONCATENATE(AG$4,AG$5,AG$6,AG$7),'SHIP CURVES'!$A$9:$AZ$9,0))</f>
        <v>-0</v>
      </c>
      <c r="AF25" s="351" t="n">
        <f aca="false">-Y25*INDEX(port_processing_fee,MATCH(AC25,PORTS!$H$626:$H$933,0),MATCH(AG$5,PORTS!$H$626:$Z$626,0))</f>
        <v>-0</v>
      </c>
      <c r="AG25" s="352" t="n">
        <f aca="false">(((VLOOKUP(AC25,curvecalc,4,0))*IF(W25=0,0,AA25/W25)-INDEX(ship_curves,MATCH(AC25,'SHIP CURVES'!$A$9:$A$316,0),MATCH(CONCATENATE(AG$4,AG$5,AG$6,AG$7),'SHIP CURVES'!$A$9:$Z$9,0))-INDEX(terminal_curves,MATCH(AC25,'TERMINAL CURVES'!$A$4:$A$313,0),MATCH(AG$5,'TERMINAL CURVES'!$A$4:$N$4,0))*IF(W25=0,0,Y25/W25))-(AE$8)*((AE$7-$N$5)-(INDEX(ship_curves,MATCH(AC25,'SHIP CURVES'!$A$9:$A$316,0),MATCH(CONCATENATE(AG$4,AG$5,AG$6,AG$7),'SHIP CURVES'!$A$9:$Z$9,0))-INDEX(ship_curves,MATCH(AC25,'SHIP CURVES'!$A$9:$A$316,0),MATCH(CONCATENATE(AG$4,AE$6,AG$6,AG$7),'SHIP CURVES'!$A$9:$Z$9,0)))-(INDEX(terminal_curves,MATCH(AC25,'TERMINAL CURVES'!$A$4:$A$313,0),MATCH(AG$5,'TERMINAL CURVES'!$A$4:$N$4,0))-INDEX(terminal_curves,MATCH(AC25,'TERMINAL CURVES'!$A$4:$A$313,0),MATCH(AE$6,'TERMINAL CURVES'!$A$4:$N$4,0)))*IF(W25=0,0,Y25/W25)))*-W25</f>
        <v>0</v>
      </c>
      <c r="AH25" s="356" t="n">
        <f aca="false">SUM(AE25:AG25)</f>
        <v>0</v>
      </c>
      <c r="AI25" s="357" t="n">
        <f aca="false">(-Y25/((HLOOKUP(AG$5,port_specs,2,0)/(365.25))*(AC26-AC25)))*(INDEX(fixed_capacity_charge,MATCH(AC25,PORTS!$H$11:$H$317,0),MATCH(AG$5,PORTS!$H$11:$N$11,0))+INDEX(variable_om_charge,MATCH(AC25,PORTS!$H$318:$H$625,0),MATCH(AG$5,PORTS!$H$318:$N$318,0)))</f>
        <v>-0</v>
      </c>
      <c r="AJ25" s="343" t="n">
        <f aca="false">+AI25+AH25</f>
        <v>0</v>
      </c>
      <c r="AK25" s="355" t="n">
        <f aca="false">+AJ25+AD25</f>
        <v>0</v>
      </c>
      <c r="AM25" s="346" t="n">
        <f aca="false">+DATE(YEAR(AM24),MONTH(AM24)+1,1)</f>
        <v>36923</v>
      </c>
      <c r="AN25" s="327" t="n">
        <f aca="false">+AP25/(1-HLOOKUP(AO$6,SHIPS,7,0)*INDEX(LADEN_VOYAGE_DAYS,MATCH(CONCATENATE(AO$4,AO$5),LADEN_VOYAGE_ROUTES,0),MATCH(AO$6,LADEN_VOYAGE_SHIPS,0)))</f>
        <v>0</v>
      </c>
      <c r="AO25" s="347" t="n">
        <f aca="false">+AP25-AN25</f>
        <v>0</v>
      </c>
      <c r="AP25" s="348" t="n">
        <f aca="false">+IF(AND(AO$8&lt;=AM25,AO$9&gt;=AM25),+MIN($B25-SUMIF($H$17:AO$17,AP$17,$H25:AO25),((INDEX(ROUTE_PER_DAY_BY_SHIP,MATCH(CONCATENATE(AO$4,AO$5,AO$7),ROUTE_PER_DAY_ROUTES,0),MATCH(AO$6,ROUTE_PER_DAY_SHIPS,0))*(AM26-AM25))-(INDEX(ROUTE_PER_DAY_BY_SHIP,MATCH(CONCATENATE(AO$4,AO$5,AO$7),ROUTE_PER_DAY_ROUTES,0),MATCH(AO$6,ROUTE_PER_DAY_SHIPS,0))*(AM26-AM25))*HLOOKUP(AO$6,SHIPS,7,0)*INDEX(LADEN_VOYAGE_DAYS,MATCH(CONCATENATE(AO$4,AO$5,AO$7),LADEN_VOYAGE_ROUTES,0),MATCH(AO$6,LADEN_VOYAGE_SHIPS,0)))),0)</f>
        <v>0</v>
      </c>
      <c r="AQ25" s="349" t="n">
        <f aca="false">-(AP25)*PORTS!$I$6</f>
        <v>-0</v>
      </c>
      <c r="AR25" s="327" t="n">
        <f aca="false">+AP25+AQ25</f>
        <v>0</v>
      </c>
      <c r="AS25" s="333"/>
      <c r="AT25" s="346" t="n">
        <f aca="false">+DATE(YEAR(AT24),MONTH(AT24)+1,1)</f>
        <v>36923</v>
      </c>
      <c r="AU25" s="343" t="n">
        <f aca="false">+AR25*(VLOOKUP(AT25,CURVECALC!$C$6:$J$312,4,0)+AV$5)</f>
        <v>0</v>
      </c>
      <c r="AV25" s="350" t="n">
        <f aca="false">-AN25*INDEX(ship_curves,MATCH(AT25,'SHIP CURVES'!$A$9:$A$316,0),MATCH(CONCATENATE(AX$4,AX$5,AX$6,AX$7),'SHIP CURVES'!$A$9:$AZ$9,0))</f>
        <v>-0</v>
      </c>
      <c r="AW25" s="351" t="n">
        <f aca="false">-AP25*INDEX(port_processing_fee,MATCH(AT25,PORTS!$H$626:$H$933,0),MATCH(AX$5,PORTS!$H$626:$Z$626,0))</f>
        <v>-0</v>
      </c>
      <c r="AX25" s="352" t="n">
        <f aca="false">(((VLOOKUP(AT25,curvecalc,4,0))*IF(AN25=0,0,AR25/AN25)-INDEX(ship_curves,MATCH(AT25,'SHIP CURVES'!$A$9:$A$316,0),MATCH(CONCATENATE(AX$4,AX$5,AX$6,AX$7),'SHIP CURVES'!$A$9:$Z$9,0))-INDEX(terminal_curves,MATCH(AT25,'TERMINAL CURVES'!$A$4:$A$313,0),MATCH(AX$5,'TERMINAL CURVES'!$A$4:$N$4,0))*IF(AN25=0,0,AP25/AN25))-(AV$8)*((AV$7-$N$5)-(INDEX(ship_curves,MATCH(AT25,'SHIP CURVES'!$A$9:$A$316,0),MATCH(CONCATENATE(AX$4,AX$5,AX$6,AX$7),'SHIP CURVES'!$A$9:$Z$9,0))-INDEX(ship_curves,MATCH(AT25,'SHIP CURVES'!$A$9:$A$316,0),MATCH(CONCATENATE(AX$4,AV$6,AX$6,AX$7),'SHIP CURVES'!$A$9:$Z$9,0)))-(INDEX(terminal_curves,MATCH(AT25,'TERMINAL CURVES'!$A$4:$A$313,0),MATCH(AX$5,'TERMINAL CURVES'!$A$4:$N$4,0))-INDEX(terminal_curves,MATCH(AT25,'TERMINAL CURVES'!$A$4:$A$313,0),MATCH(AV$6,'TERMINAL CURVES'!$A$4:$N$4,0)))*IF(AN25=0,0,AP25/AN25)))*-AN25</f>
        <v>0</v>
      </c>
      <c r="AY25" s="356" t="n">
        <f aca="false">SUM(AV25:AX25)</f>
        <v>0</v>
      </c>
      <c r="AZ25" s="357" t="n">
        <f aca="false">(-AP25/((HLOOKUP(AX$5,port_specs,2,0)/(365.25))*(AT26-AT25)))*(INDEX(fixed_capacity_charge,MATCH(AT25,PORTS!$H$11:$H$317,0),MATCH(AX$5,PORTS!$H$11:$N$11,0))+INDEX(variable_om_charge,MATCH(AT25,PORTS!$H$318:$H$625,0),MATCH(AX$5,PORTS!$H$318:$N$318,0)))</f>
        <v>-0</v>
      </c>
      <c r="BA25" s="343" t="n">
        <f aca="false">+AZ25+AY25</f>
        <v>0</v>
      </c>
      <c r="BB25" s="355" t="n">
        <f aca="false">+BA25+AU25</f>
        <v>0</v>
      </c>
      <c r="BC25" s="99"/>
      <c r="BD25" s="357" t="n">
        <f aca="false">+PORTS!I19+PORTS!I327</f>
        <v>0</v>
      </c>
    </row>
    <row r="26" customFormat="false" ht="12.75" hidden="false" customHeight="false" outlineLevel="0" collapsed="false">
      <c r="A26" s="346" t="n">
        <f aca="false">+DATE(YEAR(A25),MONTH(A25)+1,1)</f>
        <v>36951</v>
      </c>
      <c r="B26" s="327" t="n">
        <f aca="false">+IF(AND($A26&gt;=$C$8,$A26&lt;=$C$9),1,0)*PORTS!$I$5/(365.25)*(A27-A26)</f>
        <v>0</v>
      </c>
      <c r="C26" s="328" t="n">
        <f aca="false">+B26-(SUMIF($F$17:$IV$17,$H$17,$F26:$IV26))</f>
        <v>0</v>
      </c>
      <c r="D26" s="0" t="n">
        <f aca="false">+YEAR(E26)</f>
        <v>2001</v>
      </c>
      <c r="E26" s="346" t="n">
        <f aca="false">+DATE(YEAR(E25),MONTH(E25)+1,1)</f>
        <v>36951</v>
      </c>
      <c r="F26" s="327" t="n">
        <f aca="false">+IF(AND(G$8&lt;=E26,G$9&gt;=E26),INDEX(ROUTE_PER_DAY_BY_SHIP,MATCH(CONCATENATE(G$4,G$5,G$7),ROUTE_PER_DAY_ROUTES,0),MATCH(G$6,ROUTE_PER_DAY_SHIPS,0))*(E27-E26),0)</f>
        <v>0</v>
      </c>
      <c r="G26" s="347" t="n">
        <f aca="false">-F26*HLOOKUP(G$6,SHIPS,7,0)*INDEX(LADEN_VOYAGE_DAYS,MATCH(CONCATENATE(G$4,G$5,G$7),LADEN_VOYAGE_ROUTES,0),MATCH(G$6,LADEN_VOYAGE_SHIPS,0))</f>
        <v>-0</v>
      </c>
      <c r="H26" s="348" t="n">
        <f aca="false">SUM(F26:G26)</f>
        <v>0</v>
      </c>
      <c r="I26" s="349" t="n">
        <f aca="false">-(H26)*HLOOKUP(G$5,TERMINAL_CHARGES,3,0)</f>
        <v>-0</v>
      </c>
      <c r="J26" s="327" t="n">
        <f aca="false">+H26+I26</f>
        <v>0</v>
      </c>
      <c r="K26" s="333"/>
      <c r="L26" s="346" t="n">
        <f aca="false">+DATE(YEAR(L25),MONTH(L25)+1,1)</f>
        <v>36951</v>
      </c>
      <c r="M26" s="334" t="n">
        <f aca="false">+J26*(VLOOKUP(L26,CURVECALC!$C$6:$J$312,4,0)+N$5)</f>
        <v>0</v>
      </c>
      <c r="N26" s="350" t="n">
        <f aca="false">-F26*INDEX(ship_curves,MATCH(L26,'SHIP CURVES'!$A$9:$A$316,0),MATCH(CONCATENATE(P$4,P$5,P$6,P$7),'SHIP CURVES'!$A$9:$AZ$9,0))</f>
        <v>-0</v>
      </c>
      <c r="O26" s="351" t="n">
        <f aca="false">-H26*INDEX(port_processing_fee,MATCH(L26,PORTS!$H$626:$H$933,0),MATCH(P$5,PORTS!$H$626:$Z$626,0))</f>
        <v>-0</v>
      </c>
      <c r="P26" s="352" t="n">
        <f aca="false">(((VLOOKUP(L26,curvecalc,4,0))*IF(F26=0,0,J26/F26)-INDEX(ship_curves,MATCH(L26,'SHIP CURVES'!$A$9:$A$316,0),MATCH(CONCATENATE(P$4,P$5,P$6,P$7),'SHIP CURVES'!$A$9:$Z$9,0))-INDEX(terminal_curves,MATCH(L26,'TERMINAL CURVES'!$A$4:$A$313,0),MATCH(P$5,'TERMINAL CURVES'!$A$4:$N$4,0))*IF(F26=0,0,H26/F26))-(N$8)*((N$7-$N$5)-(INDEX(ship_curves,MATCH(L26,'SHIP CURVES'!$A$9:$A$316,0),MATCH(CONCATENATE(P$4,P$5,P$6,P$7),'SHIP CURVES'!$A$9:$Z$9,0))-INDEX(ship_curves,MATCH(L26,'SHIP CURVES'!$A$9:$A$316,0),MATCH(CONCATENATE(P$4,N$6,P$6,P$7),'SHIP CURVES'!$A$9:$Z$9,0)))-(INDEX(terminal_curves,MATCH(L26,'TERMINAL CURVES'!$A$4:$A$313,0),MATCH(P$5,'TERMINAL CURVES'!$A$4:$N$4,0))-INDEX(terminal_curves,MATCH(L26,'TERMINAL CURVES'!$A$4:$A$313,0),MATCH(N$6,'TERMINAL CURVES'!$A$4:$N$4,0)))*IF(F26=0,0,H26/F26)))*-F26</f>
        <v>0</v>
      </c>
      <c r="Q26" s="353" t="n">
        <f aca="false">SUM(N26:P26)</f>
        <v>0</v>
      </c>
      <c r="R26" s="357" t="n">
        <f aca="false">(-H26/((HLOOKUP(P$5,port_specs,2,0)/(365.25))*(L27-L26)))*(INDEX(fixed_capacity_charge,MATCH(L26,PORTS!$H$11:$H$317,0),MATCH(P$5,PORTS!$H$11:$N$11,0))+INDEX(variable_om_charge,MATCH(L26,PORTS!$H$318:$H$625,0),MATCH(P$5,PORTS!$H$318:$N$318,0)))</f>
        <v>-0</v>
      </c>
      <c r="S26" s="343" t="n">
        <f aca="false">+R26+Q26</f>
        <v>0</v>
      </c>
      <c r="T26" s="355" t="n">
        <f aca="false">+S26+M26</f>
        <v>0</v>
      </c>
      <c r="U26" s="342"/>
      <c r="V26" s="346" t="n">
        <f aca="false">+DATE(YEAR(V25),MONTH(V25)+1,1)</f>
        <v>36951</v>
      </c>
      <c r="W26" s="327" t="n">
        <f aca="false">+Y26/(1-HLOOKUP(X$6,SHIPS,7,0)*INDEX(LADEN_VOYAGE_DAYS,MATCH(CONCATENATE(X$4,X$5),LADEN_VOYAGE_ROUTES,0),MATCH(X$6,LADEN_VOYAGE_SHIPS,0)))</f>
        <v>0</v>
      </c>
      <c r="X26" s="347" t="n">
        <f aca="false">+Y26-W26</f>
        <v>0</v>
      </c>
      <c r="Y26" s="348" t="n">
        <f aca="false">+IF(AND(X$8&lt;=V26,X$9&gt;=V26),+MIN($B26-SUMIF($H$17:X$17,Y$17,$H26:X26),((INDEX(ROUTE_PER_DAY_BY_SHIP,MATCH(CONCATENATE(X$4,X$5,X$7),ROUTE_PER_DAY_ROUTES,0),MATCH(X$6,ROUTE_PER_DAY_SHIPS,0))*(V27-V26))-(INDEX(ROUTE_PER_DAY_BY_SHIP,MATCH(CONCATENATE(X$4,X$5,X$7),ROUTE_PER_DAY_ROUTES,0),MATCH(X$6,ROUTE_PER_DAY_SHIPS,0))*(V27-V26))*HLOOKUP(X$6,SHIPS,7,0)*INDEX(LADEN_VOYAGE_DAYS,MATCH(CONCATENATE(X$4,X$5,X$7),LADEN_VOYAGE_ROUTES,0),MATCH(X$6,LADEN_VOYAGE_SHIPS,0)))),0)</f>
        <v>0</v>
      </c>
      <c r="Z26" s="349" t="n">
        <f aca="false">-(Y26)*HLOOKUP(X$5,TERMINAL_CHARGES,3,0)</f>
        <v>-0</v>
      </c>
      <c r="AA26" s="327" t="n">
        <f aca="false">+Y26+Z26</f>
        <v>0</v>
      </c>
      <c r="AB26" s="333"/>
      <c r="AC26" s="346" t="n">
        <f aca="false">+DATE(YEAR(AC25),MONTH(AC25)+1,1)</f>
        <v>36951</v>
      </c>
      <c r="AD26" s="343" t="n">
        <f aca="false">+AA26*(VLOOKUP(AC26,CURVECALC!$C$6:$J$312,4,0)+AE$5)</f>
        <v>0</v>
      </c>
      <c r="AE26" s="350" t="n">
        <f aca="false">-W26*INDEX(ship_curves,MATCH(AC26,'SHIP CURVES'!$A$9:$A$316,0),MATCH(CONCATENATE(AG$4,AG$5,AG$6,AG$7),'SHIP CURVES'!$A$9:$AZ$9,0))</f>
        <v>-0</v>
      </c>
      <c r="AF26" s="351" t="n">
        <f aca="false">-Y26*INDEX(port_processing_fee,MATCH(AC26,PORTS!$H$626:$H$933,0),MATCH(AG$5,PORTS!$H$626:$Z$626,0))</f>
        <v>-0</v>
      </c>
      <c r="AG26" s="352" t="n">
        <f aca="false">(((VLOOKUP(AC26,curvecalc,4,0))*IF(W26=0,0,AA26/W26)-INDEX(ship_curves,MATCH(AC26,'SHIP CURVES'!$A$9:$A$316,0),MATCH(CONCATENATE(AG$4,AG$5,AG$6,AG$7),'SHIP CURVES'!$A$9:$Z$9,0))-INDEX(terminal_curves,MATCH(AC26,'TERMINAL CURVES'!$A$4:$A$313,0),MATCH(AG$5,'TERMINAL CURVES'!$A$4:$N$4,0))*IF(W26=0,0,Y26/W26))-(AE$8)*((AE$7-$N$5)-(INDEX(ship_curves,MATCH(AC26,'SHIP CURVES'!$A$9:$A$316,0),MATCH(CONCATENATE(AG$4,AG$5,AG$6,AG$7),'SHIP CURVES'!$A$9:$Z$9,0))-INDEX(ship_curves,MATCH(AC26,'SHIP CURVES'!$A$9:$A$316,0),MATCH(CONCATENATE(AG$4,AE$6,AG$6,AG$7),'SHIP CURVES'!$A$9:$Z$9,0)))-(INDEX(terminal_curves,MATCH(AC26,'TERMINAL CURVES'!$A$4:$A$313,0),MATCH(AG$5,'TERMINAL CURVES'!$A$4:$N$4,0))-INDEX(terminal_curves,MATCH(AC26,'TERMINAL CURVES'!$A$4:$A$313,0),MATCH(AE$6,'TERMINAL CURVES'!$A$4:$N$4,0)))*IF(W26=0,0,Y26/W26)))*-W26</f>
        <v>0</v>
      </c>
      <c r="AH26" s="356" t="n">
        <f aca="false">SUM(AE26:AG26)</f>
        <v>0</v>
      </c>
      <c r="AI26" s="357" t="n">
        <f aca="false">(-Y26/((HLOOKUP(AG$5,port_specs,2,0)/(365.25))*(AC27-AC26)))*(INDEX(fixed_capacity_charge,MATCH(AC26,PORTS!$H$11:$H$317,0),MATCH(AG$5,PORTS!$H$11:$N$11,0))+INDEX(variable_om_charge,MATCH(AC26,PORTS!$H$318:$H$625,0),MATCH(AG$5,PORTS!$H$318:$N$318,0)))</f>
        <v>-0</v>
      </c>
      <c r="AJ26" s="343" t="n">
        <f aca="false">+AI26+AH26</f>
        <v>0</v>
      </c>
      <c r="AK26" s="355" t="n">
        <f aca="false">+AJ26+AD26</f>
        <v>0</v>
      </c>
      <c r="AM26" s="346" t="n">
        <f aca="false">+DATE(YEAR(AM25),MONTH(AM25)+1,1)</f>
        <v>36951</v>
      </c>
      <c r="AN26" s="327" t="n">
        <f aca="false">+AP26/(1-HLOOKUP(AO$6,SHIPS,7,0)*INDEX(LADEN_VOYAGE_DAYS,MATCH(CONCATENATE(AO$4,AO$5),LADEN_VOYAGE_ROUTES,0),MATCH(AO$6,LADEN_VOYAGE_SHIPS,0)))</f>
        <v>0</v>
      </c>
      <c r="AO26" s="347" t="n">
        <f aca="false">+AP26-AN26</f>
        <v>0</v>
      </c>
      <c r="AP26" s="348" t="n">
        <f aca="false">+IF(AND(AO$8&lt;=AM26,AO$9&gt;=AM26),+MIN($B26-SUMIF($H$17:AO$17,AP$17,$H26:AO26),((INDEX(ROUTE_PER_DAY_BY_SHIP,MATCH(CONCATENATE(AO$4,AO$5,AO$7),ROUTE_PER_DAY_ROUTES,0),MATCH(AO$6,ROUTE_PER_DAY_SHIPS,0))*(AM27-AM26))-(INDEX(ROUTE_PER_DAY_BY_SHIP,MATCH(CONCATENATE(AO$4,AO$5,AO$7),ROUTE_PER_DAY_ROUTES,0),MATCH(AO$6,ROUTE_PER_DAY_SHIPS,0))*(AM27-AM26))*HLOOKUP(AO$6,SHIPS,7,0)*INDEX(LADEN_VOYAGE_DAYS,MATCH(CONCATENATE(AO$4,AO$5,AO$7),LADEN_VOYAGE_ROUTES,0),MATCH(AO$6,LADEN_VOYAGE_SHIPS,0)))),0)</f>
        <v>0</v>
      </c>
      <c r="AQ26" s="349" t="n">
        <f aca="false">-(AP26)*PORTS!$I$6</f>
        <v>-0</v>
      </c>
      <c r="AR26" s="327" t="n">
        <f aca="false">+AP26+AQ26</f>
        <v>0</v>
      </c>
      <c r="AS26" s="333"/>
      <c r="AT26" s="346" t="n">
        <f aca="false">+DATE(YEAR(AT25),MONTH(AT25)+1,1)</f>
        <v>36951</v>
      </c>
      <c r="AU26" s="343" t="n">
        <f aca="false">+AR26*(VLOOKUP(AT26,CURVECALC!$C$6:$J$312,4,0)+AV$5)</f>
        <v>0</v>
      </c>
      <c r="AV26" s="350" t="n">
        <f aca="false">-AN26*INDEX(ship_curves,MATCH(AT26,'SHIP CURVES'!$A$9:$A$316,0),MATCH(CONCATENATE(AX$4,AX$5,AX$6,AX$7),'SHIP CURVES'!$A$9:$AZ$9,0))</f>
        <v>-0</v>
      </c>
      <c r="AW26" s="351" t="n">
        <f aca="false">-AP26*INDEX(port_processing_fee,MATCH(AT26,PORTS!$H$626:$H$933,0),MATCH(AX$5,PORTS!$H$626:$Z$626,0))</f>
        <v>-0</v>
      </c>
      <c r="AX26" s="352" t="n">
        <f aca="false">(((VLOOKUP(AT26,curvecalc,4,0))*IF(AN26=0,0,AR26/AN26)-INDEX(ship_curves,MATCH(AT26,'SHIP CURVES'!$A$9:$A$316,0),MATCH(CONCATENATE(AX$4,AX$5,AX$6,AX$7),'SHIP CURVES'!$A$9:$Z$9,0))-INDEX(terminal_curves,MATCH(AT26,'TERMINAL CURVES'!$A$4:$A$313,0),MATCH(AX$5,'TERMINAL CURVES'!$A$4:$N$4,0))*IF(AN26=0,0,AP26/AN26))-(AV$8)*((AV$7-$N$5)-(INDEX(ship_curves,MATCH(AT26,'SHIP CURVES'!$A$9:$A$316,0),MATCH(CONCATENATE(AX$4,AX$5,AX$6,AX$7),'SHIP CURVES'!$A$9:$Z$9,0))-INDEX(ship_curves,MATCH(AT26,'SHIP CURVES'!$A$9:$A$316,0),MATCH(CONCATENATE(AX$4,AV$6,AX$6,AX$7),'SHIP CURVES'!$A$9:$Z$9,0)))-(INDEX(terminal_curves,MATCH(AT26,'TERMINAL CURVES'!$A$4:$A$313,0),MATCH(AX$5,'TERMINAL CURVES'!$A$4:$N$4,0))-INDEX(terminal_curves,MATCH(AT26,'TERMINAL CURVES'!$A$4:$A$313,0),MATCH(AV$6,'TERMINAL CURVES'!$A$4:$N$4,0)))*IF(AN26=0,0,AP26/AN26)))*-AN26</f>
        <v>0</v>
      </c>
      <c r="AY26" s="356" t="n">
        <f aca="false">SUM(AV26:AX26)</f>
        <v>0</v>
      </c>
      <c r="AZ26" s="357" t="n">
        <f aca="false">(-AP26/((HLOOKUP(AX$5,port_specs,2,0)/(365.25))*(AT27-AT26)))*(INDEX(fixed_capacity_charge,MATCH(AT26,PORTS!$H$11:$H$317,0),MATCH(AX$5,PORTS!$H$11:$N$11,0))+INDEX(variable_om_charge,MATCH(AT26,PORTS!$H$318:$H$625,0),MATCH(AX$5,PORTS!$H$318:$N$318,0)))</f>
        <v>-0</v>
      </c>
      <c r="BA26" s="343" t="n">
        <f aca="false">+AZ26+AY26</f>
        <v>0</v>
      </c>
      <c r="BB26" s="355" t="n">
        <f aca="false">+BA26+AU26</f>
        <v>0</v>
      </c>
      <c r="BC26" s="99"/>
      <c r="BD26" s="357" t="n">
        <f aca="false">+PORTS!I20+PORTS!I328</f>
        <v>0</v>
      </c>
    </row>
    <row r="27" customFormat="false" ht="12.75" hidden="false" customHeight="false" outlineLevel="0" collapsed="false">
      <c r="A27" s="346" t="n">
        <f aca="false">+DATE(YEAR(A26),MONTH(A26)+1,1)</f>
        <v>36982</v>
      </c>
      <c r="B27" s="327" t="n">
        <f aca="false">+IF(AND($A27&gt;=$C$8,$A27&lt;=$C$9),1,0)*PORTS!$I$5/(365.25)*(A28-A27)</f>
        <v>0</v>
      </c>
      <c r="C27" s="328" t="n">
        <f aca="false">+B27-(SUMIF($F$17:$IV$17,$H$17,$F27:$IV27))</f>
        <v>0</v>
      </c>
      <c r="D27" s="0" t="n">
        <f aca="false">+YEAR(E27)</f>
        <v>2001</v>
      </c>
      <c r="E27" s="346" t="n">
        <f aca="false">+DATE(YEAR(E26),MONTH(E26)+1,1)</f>
        <v>36982</v>
      </c>
      <c r="F27" s="327" t="n">
        <f aca="false">+IF(AND(G$8&lt;=E27,G$9&gt;=E27),INDEX(ROUTE_PER_DAY_BY_SHIP,MATCH(CONCATENATE(G$4,G$5,G$7),ROUTE_PER_DAY_ROUTES,0),MATCH(G$6,ROUTE_PER_DAY_SHIPS,0))*(E28-E27),0)</f>
        <v>0</v>
      </c>
      <c r="G27" s="347" t="n">
        <f aca="false">-F27*HLOOKUP(G$6,SHIPS,7,0)*INDEX(LADEN_VOYAGE_DAYS,MATCH(CONCATENATE(G$4,G$5,G$7),LADEN_VOYAGE_ROUTES,0),MATCH(G$6,LADEN_VOYAGE_SHIPS,0))</f>
        <v>-0</v>
      </c>
      <c r="H27" s="348" t="n">
        <f aca="false">SUM(F27:G27)</f>
        <v>0</v>
      </c>
      <c r="I27" s="349" t="n">
        <f aca="false">-(H27)*HLOOKUP(G$5,TERMINAL_CHARGES,3,0)</f>
        <v>-0</v>
      </c>
      <c r="J27" s="327" t="n">
        <f aca="false">+H27+I27</f>
        <v>0</v>
      </c>
      <c r="K27" s="333"/>
      <c r="L27" s="346" t="n">
        <f aca="false">+DATE(YEAR(L26),MONTH(L26)+1,1)</f>
        <v>36982</v>
      </c>
      <c r="M27" s="334" t="n">
        <f aca="false">+J27*(VLOOKUP(L27,CURVECALC!$C$6:$J$312,4,0)+N$5)</f>
        <v>0</v>
      </c>
      <c r="N27" s="350" t="n">
        <f aca="false">-F27*INDEX(ship_curves,MATCH(L27,'SHIP CURVES'!$A$9:$A$316,0),MATCH(CONCATENATE(P$4,P$5,P$6,P$7),'SHIP CURVES'!$A$9:$AZ$9,0))</f>
        <v>-0</v>
      </c>
      <c r="O27" s="351" t="n">
        <f aca="false">-H27*INDEX(port_processing_fee,MATCH(L27,PORTS!$H$626:$H$933,0),MATCH(P$5,PORTS!$H$626:$Z$626,0))</f>
        <v>-0</v>
      </c>
      <c r="P27" s="352" t="n">
        <f aca="false">(((VLOOKUP(L27,curvecalc,4,0))*IF(F27=0,0,J27/F27)-INDEX(ship_curves,MATCH(L27,'SHIP CURVES'!$A$9:$A$316,0),MATCH(CONCATENATE(P$4,P$5,P$6,P$7),'SHIP CURVES'!$A$9:$Z$9,0))-INDEX(terminal_curves,MATCH(L27,'TERMINAL CURVES'!$A$4:$A$313,0),MATCH(P$5,'TERMINAL CURVES'!$A$4:$N$4,0))*IF(F27=0,0,H27/F27))-(N$8)*((N$7-$N$5)-(INDEX(ship_curves,MATCH(L27,'SHIP CURVES'!$A$9:$A$316,0),MATCH(CONCATENATE(P$4,P$5,P$6,P$7),'SHIP CURVES'!$A$9:$Z$9,0))-INDEX(ship_curves,MATCH(L27,'SHIP CURVES'!$A$9:$A$316,0),MATCH(CONCATENATE(P$4,N$6,P$6,P$7),'SHIP CURVES'!$A$9:$Z$9,0)))-(INDEX(terminal_curves,MATCH(L27,'TERMINAL CURVES'!$A$4:$A$313,0),MATCH(P$5,'TERMINAL CURVES'!$A$4:$N$4,0))-INDEX(terminal_curves,MATCH(L27,'TERMINAL CURVES'!$A$4:$A$313,0),MATCH(N$6,'TERMINAL CURVES'!$A$4:$N$4,0)))*IF(F27=0,0,H27/F27)))*-F27</f>
        <v>0</v>
      </c>
      <c r="Q27" s="353" t="n">
        <f aca="false">SUM(N27:P27)</f>
        <v>0</v>
      </c>
      <c r="R27" s="357" t="n">
        <f aca="false">(-H27/((HLOOKUP(P$5,port_specs,2,0)/(365.25))*(L28-L27)))*(INDEX(fixed_capacity_charge,MATCH(L27,PORTS!$H$11:$H$317,0),MATCH(P$5,PORTS!$H$11:$N$11,0))+INDEX(variable_om_charge,MATCH(L27,PORTS!$H$318:$H$625,0),MATCH(P$5,PORTS!$H$318:$N$318,0)))</f>
        <v>-0</v>
      </c>
      <c r="S27" s="343" t="n">
        <f aca="false">+R27+Q27</f>
        <v>0</v>
      </c>
      <c r="T27" s="355" t="n">
        <f aca="false">+S27+M27</f>
        <v>0</v>
      </c>
      <c r="U27" s="342"/>
      <c r="V27" s="346" t="n">
        <f aca="false">+DATE(YEAR(V26),MONTH(V26)+1,1)</f>
        <v>36982</v>
      </c>
      <c r="W27" s="327" t="n">
        <f aca="false">+Y27/(1-HLOOKUP(X$6,SHIPS,7,0)*INDEX(LADEN_VOYAGE_DAYS,MATCH(CONCATENATE(X$4,X$5),LADEN_VOYAGE_ROUTES,0),MATCH(X$6,LADEN_VOYAGE_SHIPS,0)))</f>
        <v>0</v>
      </c>
      <c r="X27" s="347" t="n">
        <f aca="false">+Y27-W27</f>
        <v>0</v>
      </c>
      <c r="Y27" s="348" t="n">
        <f aca="false">+IF(AND(X$8&lt;=V27,X$9&gt;=V27),+MIN($B27-SUMIF($H$17:X$17,Y$17,$H27:X27),((INDEX(ROUTE_PER_DAY_BY_SHIP,MATCH(CONCATENATE(X$4,X$5,X$7),ROUTE_PER_DAY_ROUTES,0),MATCH(X$6,ROUTE_PER_DAY_SHIPS,0))*(V28-V27))-(INDEX(ROUTE_PER_DAY_BY_SHIP,MATCH(CONCATENATE(X$4,X$5,X$7),ROUTE_PER_DAY_ROUTES,0),MATCH(X$6,ROUTE_PER_DAY_SHIPS,0))*(V28-V27))*HLOOKUP(X$6,SHIPS,7,0)*INDEX(LADEN_VOYAGE_DAYS,MATCH(CONCATENATE(X$4,X$5,X$7),LADEN_VOYAGE_ROUTES,0),MATCH(X$6,LADEN_VOYAGE_SHIPS,0)))),0)</f>
        <v>0</v>
      </c>
      <c r="Z27" s="349" t="n">
        <f aca="false">-(Y27)*HLOOKUP(X$5,TERMINAL_CHARGES,3,0)</f>
        <v>-0</v>
      </c>
      <c r="AA27" s="327" t="n">
        <f aca="false">+Y27+Z27</f>
        <v>0</v>
      </c>
      <c r="AB27" s="333"/>
      <c r="AC27" s="346" t="n">
        <f aca="false">+DATE(YEAR(AC26),MONTH(AC26)+1,1)</f>
        <v>36982</v>
      </c>
      <c r="AD27" s="343" t="n">
        <f aca="false">+AA27*(VLOOKUP(AC27,CURVECALC!$C$6:$J$312,4,0)+AE$5)</f>
        <v>0</v>
      </c>
      <c r="AE27" s="350" t="n">
        <f aca="false">-W27*INDEX(ship_curves,MATCH(AC27,'SHIP CURVES'!$A$9:$A$316,0),MATCH(CONCATENATE(AG$4,AG$5,AG$6,AG$7),'SHIP CURVES'!$A$9:$AZ$9,0))</f>
        <v>-0</v>
      </c>
      <c r="AF27" s="351" t="n">
        <f aca="false">-Y27*INDEX(port_processing_fee,MATCH(AC27,PORTS!$H$626:$H$933,0),MATCH(AG$5,PORTS!$H$626:$Z$626,0))</f>
        <v>-0</v>
      </c>
      <c r="AG27" s="352" t="n">
        <f aca="false">(((VLOOKUP(AC27,curvecalc,4,0))*IF(W27=0,0,AA27/W27)-INDEX(ship_curves,MATCH(AC27,'SHIP CURVES'!$A$9:$A$316,0),MATCH(CONCATENATE(AG$4,AG$5,AG$6,AG$7),'SHIP CURVES'!$A$9:$Z$9,0))-INDEX(terminal_curves,MATCH(AC27,'TERMINAL CURVES'!$A$4:$A$313,0),MATCH(AG$5,'TERMINAL CURVES'!$A$4:$N$4,0))*IF(W27=0,0,Y27/W27))-(AE$8)*((AE$7-$N$5)-(INDEX(ship_curves,MATCH(AC27,'SHIP CURVES'!$A$9:$A$316,0),MATCH(CONCATENATE(AG$4,AG$5,AG$6,AG$7),'SHIP CURVES'!$A$9:$Z$9,0))-INDEX(ship_curves,MATCH(AC27,'SHIP CURVES'!$A$9:$A$316,0),MATCH(CONCATENATE(AG$4,AE$6,AG$6,AG$7),'SHIP CURVES'!$A$9:$Z$9,0)))-(INDEX(terminal_curves,MATCH(AC27,'TERMINAL CURVES'!$A$4:$A$313,0),MATCH(AG$5,'TERMINAL CURVES'!$A$4:$N$4,0))-INDEX(terminal_curves,MATCH(AC27,'TERMINAL CURVES'!$A$4:$A$313,0),MATCH(AE$6,'TERMINAL CURVES'!$A$4:$N$4,0)))*IF(W27=0,0,Y27/W27)))*-W27</f>
        <v>0</v>
      </c>
      <c r="AH27" s="356" t="n">
        <f aca="false">SUM(AE27:AG27)</f>
        <v>0</v>
      </c>
      <c r="AI27" s="357" t="n">
        <f aca="false">(-Y27/((HLOOKUP(AG$5,port_specs,2,0)/(365.25))*(AC28-AC27)))*(INDEX(fixed_capacity_charge,MATCH(AC27,PORTS!$H$11:$H$317,0),MATCH(AG$5,PORTS!$H$11:$N$11,0))+INDEX(variable_om_charge,MATCH(AC27,PORTS!$H$318:$H$625,0),MATCH(AG$5,PORTS!$H$318:$N$318,0)))</f>
        <v>-0</v>
      </c>
      <c r="AJ27" s="343" t="n">
        <f aca="false">+AI27+AH27</f>
        <v>0</v>
      </c>
      <c r="AK27" s="355" t="n">
        <f aca="false">+AJ27+AD27</f>
        <v>0</v>
      </c>
      <c r="AM27" s="346" t="n">
        <f aca="false">+DATE(YEAR(AM26),MONTH(AM26)+1,1)</f>
        <v>36982</v>
      </c>
      <c r="AN27" s="327" t="n">
        <f aca="false">+AP27/(1-HLOOKUP(AO$6,SHIPS,7,0)*INDEX(LADEN_VOYAGE_DAYS,MATCH(CONCATENATE(AO$4,AO$5),LADEN_VOYAGE_ROUTES,0),MATCH(AO$6,LADEN_VOYAGE_SHIPS,0)))</f>
        <v>0</v>
      </c>
      <c r="AO27" s="347" t="n">
        <f aca="false">+AP27-AN27</f>
        <v>0</v>
      </c>
      <c r="AP27" s="348" t="n">
        <f aca="false">+IF(AND(AO$8&lt;=AM27,AO$9&gt;=AM27),+MIN($B27-SUMIF($H$17:AO$17,AP$17,$H27:AO27),((INDEX(ROUTE_PER_DAY_BY_SHIP,MATCH(CONCATENATE(AO$4,AO$5,AO$7),ROUTE_PER_DAY_ROUTES,0),MATCH(AO$6,ROUTE_PER_DAY_SHIPS,0))*(AM28-AM27))-(INDEX(ROUTE_PER_DAY_BY_SHIP,MATCH(CONCATENATE(AO$4,AO$5,AO$7),ROUTE_PER_DAY_ROUTES,0),MATCH(AO$6,ROUTE_PER_DAY_SHIPS,0))*(AM28-AM27))*HLOOKUP(AO$6,SHIPS,7,0)*INDEX(LADEN_VOYAGE_DAYS,MATCH(CONCATENATE(AO$4,AO$5,AO$7),LADEN_VOYAGE_ROUTES,0),MATCH(AO$6,LADEN_VOYAGE_SHIPS,0)))),0)</f>
        <v>0</v>
      </c>
      <c r="AQ27" s="349" t="n">
        <f aca="false">-(AP27)*PORTS!$I$6</f>
        <v>-0</v>
      </c>
      <c r="AR27" s="327" t="n">
        <f aca="false">+AP27+AQ27</f>
        <v>0</v>
      </c>
      <c r="AS27" s="333"/>
      <c r="AT27" s="346" t="n">
        <f aca="false">+DATE(YEAR(AT26),MONTH(AT26)+1,1)</f>
        <v>36982</v>
      </c>
      <c r="AU27" s="343" t="n">
        <f aca="false">+AR27*(VLOOKUP(AT27,CURVECALC!$C$6:$J$312,4,0)+AV$5)</f>
        <v>0</v>
      </c>
      <c r="AV27" s="350" t="n">
        <f aca="false">-AN27*INDEX(ship_curves,MATCH(AT27,'SHIP CURVES'!$A$9:$A$316,0),MATCH(CONCATENATE(AX$4,AX$5,AX$6,AX$7),'SHIP CURVES'!$A$9:$AZ$9,0))</f>
        <v>-0</v>
      </c>
      <c r="AW27" s="351" t="n">
        <f aca="false">-AP27*INDEX(port_processing_fee,MATCH(AT27,PORTS!$H$626:$H$933,0),MATCH(AX$5,PORTS!$H$626:$Z$626,0))</f>
        <v>-0</v>
      </c>
      <c r="AX27" s="352" t="n">
        <f aca="false">(((VLOOKUP(AT27,curvecalc,4,0))*IF(AN27=0,0,AR27/AN27)-INDEX(ship_curves,MATCH(AT27,'SHIP CURVES'!$A$9:$A$316,0),MATCH(CONCATENATE(AX$4,AX$5,AX$6,AX$7),'SHIP CURVES'!$A$9:$Z$9,0))-INDEX(terminal_curves,MATCH(AT27,'TERMINAL CURVES'!$A$4:$A$313,0),MATCH(AX$5,'TERMINAL CURVES'!$A$4:$N$4,0))*IF(AN27=0,0,AP27/AN27))-(AV$8)*((AV$7-$N$5)-(INDEX(ship_curves,MATCH(AT27,'SHIP CURVES'!$A$9:$A$316,0),MATCH(CONCATENATE(AX$4,AX$5,AX$6,AX$7),'SHIP CURVES'!$A$9:$Z$9,0))-INDEX(ship_curves,MATCH(AT27,'SHIP CURVES'!$A$9:$A$316,0),MATCH(CONCATENATE(AX$4,AV$6,AX$6,AX$7),'SHIP CURVES'!$A$9:$Z$9,0)))-(INDEX(terminal_curves,MATCH(AT27,'TERMINAL CURVES'!$A$4:$A$313,0),MATCH(AX$5,'TERMINAL CURVES'!$A$4:$N$4,0))-INDEX(terminal_curves,MATCH(AT27,'TERMINAL CURVES'!$A$4:$A$313,0),MATCH(AV$6,'TERMINAL CURVES'!$A$4:$N$4,0)))*IF(AN27=0,0,AP27/AN27)))*-AN27</f>
        <v>0</v>
      </c>
      <c r="AY27" s="356" t="n">
        <f aca="false">SUM(AV27:AX27)</f>
        <v>0</v>
      </c>
      <c r="AZ27" s="357" t="n">
        <f aca="false">(-AP27/((HLOOKUP(AX$5,port_specs,2,0)/(365.25))*(AT28-AT27)))*(INDEX(fixed_capacity_charge,MATCH(AT27,PORTS!$H$11:$H$317,0),MATCH(AX$5,PORTS!$H$11:$N$11,0))+INDEX(variable_om_charge,MATCH(AT27,PORTS!$H$318:$H$625,0),MATCH(AX$5,PORTS!$H$318:$N$318,0)))</f>
        <v>-0</v>
      </c>
      <c r="BA27" s="343" t="n">
        <f aca="false">+AZ27+AY27</f>
        <v>0</v>
      </c>
      <c r="BB27" s="355" t="n">
        <f aca="false">+BA27+AU27</f>
        <v>0</v>
      </c>
      <c r="BC27" s="99"/>
      <c r="BD27" s="357" t="n">
        <f aca="false">+PORTS!I21+PORTS!I329</f>
        <v>0</v>
      </c>
    </row>
    <row r="28" customFormat="false" ht="12.75" hidden="false" customHeight="false" outlineLevel="0" collapsed="false">
      <c r="A28" s="346" t="n">
        <f aca="false">+DATE(YEAR(A27),MONTH(A27)+1,1)</f>
        <v>37012</v>
      </c>
      <c r="B28" s="327" t="n">
        <f aca="false">+IF(AND($A28&gt;=$C$8,$A28&lt;=$C$9),1,0)*PORTS!$I$5/(365.25)*(A29-A28)</f>
        <v>0</v>
      </c>
      <c r="C28" s="328" t="n">
        <f aca="false">+B28-(SUMIF($F$17:$IV$17,$H$17,$F28:$IV28))</f>
        <v>0</v>
      </c>
      <c r="D28" s="0" t="n">
        <f aca="false">+YEAR(E28)</f>
        <v>2001</v>
      </c>
      <c r="E28" s="346" t="n">
        <f aca="false">+DATE(YEAR(E27),MONTH(E27)+1,1)</f>
        <v>37012</v>
      </c>
      <c r="F28" s="327" t="n">
        <f aca="false">+IF(AND(G$8&lt;=E28,G$9&gt;=E28),INDEX(ROUTE_PER_DAY_BY_SHIP,MATCH(CONCATENATE(G$4,G$5,G$7),ROUTE_PER_DAY_ROUTES,0),MATCH(G$6,ROUTE_PER_DAY_SHIPS,0))*(E29-E28),0)</f>
        <v>0</v>
      </c>
      <c r="G28" s="347" t="n">
        <f aca="false">-F28*HLOOKUP(G$6,SHIPS,7,0)*INDEX(LADEN_VOYAGE_DAYS,MATCH(CONCATENATE(G$4,G$5,G$7),LADEN_VOYAGE_ROUTES,0),MATCH(G$6,LADEN_VOYAGE_SHIPS,0))</f>
        <v>-0</v>
      </c>
      <c r="H28" s="348" t="n">
        <f aca="false">SUM(F28:G28)</f>
        <v>0</v>
      </c>
      <c r="I28" s="349" t="n">
        <f aca="false">-(H28)*HLOOKUP(G$5,TERMINAL_CHARGES,3,0)</f>
        <v>-0</v>
      </c>
      <c r="J28" s="327" t="n">
        <f aca="false">+H28+I28</f>
        <v>0</v>
      </c>
      <c r="K28" s="333"/>
      <c r="L28" s="346" t="n">
        <f aca="false">+DATE(YEAR(L27),MONTH(L27)+1,1)</f>
        <v>37012</v>
      </c>
      <c r="M28" s="334" t="n">
        <f aca="false">+J28*(VLOOKUP(L28,CURVECALC!$C$6:$J$312,4,0)+N$5)</f>
        <v>0</v>
      </c>
      <c r="N28" s="350" t="n">
        <f aca="false">-F28*INDEX(ship_curves,MATCH(L28,'SHIP CURVES'!$A$9:$A$316,0),MATCH(CONCATENATE(P$4,P$5,P$6,P$7),'SHIP CURVES'!$A$9:$AZ$9,0))</f>
        <v>-0</v>
      </c>
      <c r="O28" s="351" t="n">
        <f aca="false">-H28*INDEX(port_processing_fee,MATCH(L28,PORTS!$H$626:$H$933,0),MATCH(P$5,PORTS!$H$626:$Z$626,0))</f>
        <v>-0</v>
      </c>
      <c r="P28" s="352" t="n">
        <f aca="false">(((VLOOKUP(L28,curvecalc,4,0))*IF(F28=0,0,J28/F28)-INDEX(ship_curves,MATCH(L28,'SHIP CURVES'!$A$9:$A$316,0),MATCH(CONCATENATE(P$4,P$5,P$6,P$7),'SHIP CURVES'!$A$9:$Z$9,0))-INDEX(terminal_curves,MATCH(L28,'TERMINAL CURVES'!$A$4:$A$313,0),MATCH(P$5,'TERMINAL CURVES'!$A$4:$N$4,0))*IF(F28=0,0,H28/F28))-(N$8)*((N$7-$N$5)-(INDEX(ship_curves,MATCH(L28,'SHIP CURVES'!$A$9:$A$316,0),MATCH(CONCATENATE(P$4,P$5,P$6,P$7),'SHIP CURVES'!$A$9:$Z$9,0))-INDEX(ship_curves,MATCH(L28,'SHIP CURVES'!$A$9:$A$316,0),MATCH(CONCATENATE(P$4,N$6,P$6,P$7),'SHIP CURVES'!$A$9:$Z$9,0)))-(INDEX(terminal_curves,MATCH(L28,'TERMINAL CURVES'!$A$4:$A$313,0),MATCH(P$5,'TERMINAL CURVES'!$A$4:$N$4,0))-INDEX(terminal_curves,MATCH(L28,'TERMINAL CURVES'!$A$4:$A$313,0),MATCH(N$6,'TERMINAL CURVES'!$A$4:$N$4,0)))*IF(F28=0,0,H28/F28)))*-F28</f>
        <v>0</v>
      </c>
      <c r="Q28" s="353" t="n">
        <f aca="false">SUM(N28:P28)</f>
        <v>0</v>
      </c>
      <c r="R28" s="357" t="n">
        <f aca="false">(-H28/((HLOOKUP(P$5,port_specs,2,0)/(365.25))*(L29-L28)))*(INDEX(fixed_capacity_charge,MATCH(L28,PORTS!$H$11:$H$317,0),MATCH(P$5,PORTS!$H$11:$N$11,0))+INDEX(variable_om_charge,MATCH(L28,PORTS!$H$318:$H$625,0),MATCH(P$5,PORTS!$H$318:$N$318,0)))</f>
        <v>-0</v>
      </c>
      <c r="S28" s="343" t="n">
        <f aca="false">+R28+Q28</f>
        <v>0</v>
      </c>
      <c r="T28" s="355" t="n">
        <f aca="false">+S28+M28</f>
        <v>0</v>
      </c>
      <c r="U28" s="342"/>
      <c r="V28" s="346" t="n">
        <f aca="false">+DATE(YEAR(V27),MONTH(V27)+1,1)</f>
        <v>37012</v>
      </c>
      <c r="W28" s="327" t="n">
        <f aca="false">+Y28/(1-HLOOKUP(X$6,SHIPS,7,0)*INDEX(LADEN_VOYAGE_DAYS,MATCH(CONCATENATE(X$4,X$5),LADEN_VOYAGE_ROUTES,0),MATCH(X$6,LADEN_VOYAGE_SHIPS,0)))</f>
        <v>0</v>
      </c>
      <c r="X28" s="347" t="n">
        <f aca="false">+Y28-W28</f>
        <v>0</v>
      </c>
      <c r="Y28" s="348" t="n">
        <f aca="false">+IF(AND(X$8&lt;=V28,X$9&gt;=V28),+MIN($B28-SUMIF($H$17:X$17,Y$17,$H28:X28),((INDEX(ROUTE_PER_DAY_BY_SHIP,MATCH(CONCATENATE(X$4,X$5,X$7),ROUTE_PER_DAY_ROUTES,0),MATCH(X$6,ROUTE_PER_DAY_SHIPS,0))*(V29-V28))-(INDEX(ROUTE_PER_DAY_BY_SHIP,MATCH(CONCATENATE(X$4,X$5,X$7),ROUTE_PER_DAY_ROUTES,0),MATCH(X$6,ROUTE_PER_DAY_SHIPS,0))*(V29-V28))*HLOOKUP(X$6,SHIPS,7,0)*INDEX(LADEN_VOYAGE_DAYS,MATCH(CONCATENATE(X$4,X$5,X$7),LADEN_VOYAGE_ROUTES,0),MATCH(X$6,LADEN_VOYAGE_SHIPS,0)))),0)</f>
        <v>0</v>
      </c>
      <c r="Z28" s="349" t="n">
        <f aca="false">-(Y28)*HLOOKUP(X$5,TERMINAL_CHARGES,3,0)</f>
        <v>-0</v>
      </c>
      <c r="AA28" s="327" t="n">
        <f aca="false">+Y28+Z28</f>
        <v>0</v>
      </c>
      <c r="AB28" s="333"/>
      <c r="AC28" s="346" t="n">
        <f aca="false">+DATE(YEAR(AC27),MONTH(AC27)+1,1)</f>
        <v>37012</v>
      </c>
      <c r="AD28" s="343" t="n">
        <f aca="false">+AA28*(VLOOKUP(AC28,CURVECALC!$C$6:$J$312,4,0)+AE$5)</f>
        <v>0</v>
      </c>
      <c r="AE28" s="350" t="n">
        <f aca="false">-W28*INDEX(ship_curves,MATCH(AC28,'SHIP CURVES'!$A$9:$A$316,0),MATCH(CONCATENATE(AG$4,AG$5,AG$6,AG$7),'SHIP CURVES'!$A$9:$AZ$9,0))</f>
        <v>-0</v>
      </c>
      <c r="AF28" s="351" t="n">
        <f aca="false">-Y28*INDEX(port_processing_fee,MATCH(AC28,PORTS!$H$626:$H$933,0),MATCH(AG$5,PORTS!$H$626:$Z$626,0))</f>
        <v>-0</v>
      </c>
      <c r="AG28" s="352" t="n">
        <f aca="false">(((VLOOKUP(AC28,curvecalc,4,0))*IF(W28=0,0,AA28/W28)-INDEX(ship_curves,MATCH(AC28,'SHIP CURVES'!$A$9:$A$316,0),MATCH(CONCATENATE(AG$4,AG$5,AG$6,AG$7),'SHIP CURVES'!$A$9:$Z$9,0))-INDEX(terminal_curves,MATCH(AC28,'TERMINAL CURVES'!$A$4:$A$313,0),MATCH(AG$5,'TERMINAL CURVES'!$A$4:$N$4,0))*IF(W28=0,0,Y28/W28))-(AE$8)*((AE$7-$N$5)-(INDEX(ship_curves,MATCH(AC28,'SHIP CURVES'!$A$9:$A$316,0),MATCH(CONCATENATE(AG$4,AG$5,AG$6,AG$7),'SHIP CURVES'!$A$9:$Z$9,0))-INDEX(ship_curves,MATCH(AC28,'SHIP CURVES'!$A$9:$A$316,0),MATCH(CONCATENATE(AG$4,AE$6,AG$6,AG$7),'SHIP CURVES'!$A$9:$Z$9,0)))-(INDEX(terminal_curves,MATCH(AC28,'TERMINAL CURVES'!$A$4:$A$313,0),MATCH(AG$5,'TERMINAL CURVES'!$A$4:$N$4,0))-INDEX(terminal_curves,MATCH(AC28,'TERMINAL CURVES'!$A$4:$A$313,0),MATCH(AE$6,'TERMINAL CURVES'!$A$4:$N$4,0)))*IF(W28=0,0,Y28/W28)))*-W28</f>
        <v>0</v>
      </c>
      <c r="AH28" s="356" t="n">
        <f aca="false">SUM(AE28:AG28)</f>
        <v>0</v>
      </c>
      <c r="AI28" s="357" t="n">
        <f aca="false">(-Y28/((HLOOKUP(AG$5,port_specs,2,0)/(365.25))*(AC29-AC28)))*(INDEX(fixed_capacity_charge,MATCH(AC28,PORTS!$H$11:$H$317,0),MATCH(AG$5,PORTS!$H$11:$N$11,0))+INDEX(variable_om_charge,MATCH(AC28,PORTS!$H$318:$H$625,0),MATCH(AG$5,PORTS!$H$318:$N$318,0)))</f>
        <v>-0</v>
      </c>
      <c r="AJ28" s="343" t="n">
        <f aca="false">+AI28+AH28</f>
        <v>0</v>
      </c>
      <c r="AK28" s="355" t="n">
        <f aca="false">+AJ28+AD28</f>
        <v>0</v>
      </c>
      <c r="AM28" s="346" t="n">
        <f aca="false">+DATE(YEAR(AM27),MONTH(AM27)+1,1)</f>
        <v>37012</v>
      </c>
      <c r="AN28" s="327" t="n">
        <f aca="false">+AP28/(1-HLOOKUP(AO$6,SHIPS,7,0)*INDEX(LADEN_VOYAGE_DAYS,MATCH(CONCATENATE(AO$4,AO$5),LADEN_VOYAGE_ROUTES,0),MATCH(AO$6,LADEN_VOYAGE_SHIPS,0)))</f>
        <v>0</v>
      </c>
      <c r="AO28" s="347" t="n">
        <f aca="false">+AP28-AN28</f>
        <v>0</v>
      </c>
      <c r="AP28" s="348" t="n">
        <f aca="false">+IF(AND(AO$8&lt;=AM28,AO$9&gt;=AM28),+MIN($B28-SUMIF($H$17:AO$17,AP$17,$H28:AO28),((INDEX(ROUTE_PER_DAY_BY_SHIP,MATCH(CONCATENATE(AO$4,AO$5,AO$7),ROUTE_PER_DAY_ROUTES,0),MATCH(AO$6,ROUTE_PER_DAY_SHIPS,0))*(AM29-AM28))-(INDEX(ROUTE_PER_DAY_BY_SHIP,MATCH(CONCATENATE(AO$4,AO$5,AO$7),ROUTE_PER_DAY_ROUTES,0),MATCH(AO$6,ROUTE_PER_DAY_SHIPS,0))*(AM29-AM28))*HLOOKUP(AO$6,SHIPS,7,0)*INDEX(LADEN_VOYAGE_DAYS,MATCH(CONCATENATE(AO$4,AO$5,AO$7),LADEN_VOYAGE_ROUTES,0),MATCH(AO$6,LADEN_VOYAGE_SHIPS,0)))),0)</f>
        <v>0</v>
      </c>
      <c r="AQ28" s="349" t="n">
        <f aca="false">-(AP28)*PORTS!$I$6</f>
        <v>-0</v>
      </c>
      <c r="AR28" s="327" t="n">
        <f aca="false">+AP28+AQ28</f>
        <v>0</v>
      </c>
      <c r="AS28" s="333"/>
      <c r="AT28" s="346" t="n">
        <f aca="false">+DATE(YEAR(AT27),MONTH(AT27)+1,1)</f>
        <v>37012</v>
      </c>
      <c r="AU28" s="343" t="n">
        <f aca="false">+AR28*(VLOOKUP(AT28,CURVECALC!$C$6:$J$312,4,0)+AV$5)</f>
        <v>0</v>
      </c>
      <c r="AV28" s="350" t="n">
        <f aca="false">-AN28*INDEX(ship_curves,MATCH(AT28,'SHIP CURVES'!$A$9:$A$316,0),MATCH(CONCATENATE(AX$4,AX$5,AX$6,AX$7),'SHIP CURVES'!$A$9:$AZ$9,0))</f>
        <v>-0</v>
      </c>
      <c r="AW28" s="351" t="n">
        <f aca="false">-AP28*INDEX(port_processing_fee,MATCH(AT28,PORTS!$H$626:$H$933,0),MATCH(AX$5,PORTS!$H$626:$Z$626,0))</f>
        <v>-0</v>
      </c>
      <c r="AX28" s="352" t="n">
        <f aca="false">(((VLOOKUP(AT28,curvecalc,4,0))*IF(AN28=0,0,AR28/AN28)-INDEX(ship_curves,MATCH(AT28,'SHIP CURVES'!$A$9:$A$316,0),MATCH(CONCATENATE(AX$4,AX$5,AX$6,AX$7),'SHIP CURVES'!$A$9:$Z$9,0))-INDEX(terminal_curves,MATCH(AT28,'TERMINAL CURVES'!$A$4:$A$313,0),MATCH(AX$5,'TERMINAL CURVES'!$A$4:$N$4,0))*IF(AN28=0,0,AP28/AN28))-(AV$8)*((AV$7-$N$5)-(INDEX(ship_curves,MATCH(AT28,'SHIP CURVES'!$A$9:$A$316,0),MATCH(CONCATENATE(AX$4,AX$5,AX$6,AX$7),'SHIP CURVES'!$A$9:$Z$9,0))-INDEX(ship_curves,MATCH(AT28,'SHIP CURVES'!$A$9:$A$316,0),MATCH(CONCATENATE(AX$4,AV$6,AX$6,AX$7),'SHIP CURVES'!$A$9:$Z$9,0)))-(INDEX(terminal_curves,MATCH(AT28,'TERMINAL CURVES'!$A$4:$A$313,0),MATCH(AX$5,'TERMINAL CURVES'!$A$4:$N$4,0))-INDEX(terminal_curves,MATCH(AT28,'TERMINAL CURVES'!$A$4:$A$313,0),MATCH(AV$6,'TERMINAL CURVES'!$A$4:$N$4,0)))*IF(AN28=0,0,AP28/AN28)))*-AN28</f>
        <v>0</v>
      </c>
      <c r="AY28" s="356" t="n">
        <f aca="false">SUM(AV28:AX28)</f>
        <v>0</v>
      </c>
      <c r="AZ28" s="357" t="n">
        <f aca="false">(-AP28/((HLOOKUP(AX$5,port_specs,2,0)/(365.25))*(AT29-AT28)))*(INDEX(fixed_capacity_charge,MATCH(AT28,PORTS!$H$11:$H$317,0),MATCH(AX$5,PORTS!$H$11:$N$11,0))+INDEX(variable_om_charge,MATCH(AT28,PORTS!$H$318:$H$625,0),MATCH(AX$5,PORTS!$H$318:$N$318,0)))</f>
        <v>-0</v>
      </c>
      <c r="BA28" s="343" t="n">
        <f aca="false">+AZ28+AY28</f>
        <v>0</v>
      </c>
      <c r="BB28" s="355" t="n">
        <f aca="false">+BA28+AU28</f>
        <v>0</v>
      </c>
      <c r="BC28" s="99"/>
      <c r="BD28" s="357" t="n">
        <f aca="false">+PORTS!I22+PORTS!I330</f>
        <v>0</v>
      </c>
    </row>
    <row r="29" customFormat="false" ht="12.75" hidden="false" customHeight="false" outlineLevel="0" collapsed="false">
      <c r="A29" s="346" t="n">
        <f aca="false">+DATE(YEAR(A28),MONTH(A28)+1,1)</f>
        <v>37043</v>
      </c>
      <c r="B29" s="327" t="n">
        <f aca="false">+IF(AND($A29&gt;=$C$8,$A29&lt;=$C$9),1,0)*PORTS!$I$5/(365.25)*(A30-A29)</f>
        <v>0</v>
      </c>
      <c r="C29" s="328" t="n">
        <f aca="false">+B29-(SUMIF($F$17:$IV$17,$H$17,$F29:$IV29))</f>
        <v>0</v>
      </c>
      <c r="D29" s="0" t="n">
        <f aca="false">+YEAR(E29)</f>
        <v>2001</v>
      </c>
      <c r="E29" s="346" t="n">
        <f aca="false">+DATE(YEAR(E28),MONTH(E28)+1,1)</f>
        <v>37043</v>
      </c>
      <c r="F29" s="327" t="n">
        <f aca="false">+IF(AND(G$8&lt;=E29,G$9&gt;=E29),INDEX(ROUTE_PER_DAY_BY_SHIP,MATCH(CONCATENATE(G$4,G$5,G$7),ROUTE_PER_DAY_ROUTES,0),MATCH(G$6,ROUTE_PER_DAY_SHIPS,0))*(E30-E29),0)</f>
        <v>0</v>
      </c>
      <c r="G29" s="347" t="n">
        <f aca="false">-F29*HLOOKUP(G$6,SHIPS,7,0)*INDEX(LADEN_VOYAGE_DAYS,MATCH(CONCATENATE(G$4,G$5,G$7),LADEN_VOYAGE_ROUTES,0),MATCH(G$6,LADEN_VOYAGE_SHIPS,0))</f>
        <v>-0</v>
      </c>
      <c r="H29" s="348" t="n">
        <f aca="false">SUM(F29:G29)</f>
        <v>0</v>
      </c>
      <c r="I29" s="349" t="n">
        <f aca="false">-(H29)*HLOOKUP(G$5,TERMINAL_CHARGES,3,0)</f>
        <v>-0</v>
      </c>
      <c r="J29" s="327" t="n">
        <f aca="false">+H29+I29</f>
        <v>0</v>
      </c>
      <c r="K29" s="333"/>
      <c r="L29" s="346" t="n">
        <f aca="false">+DATE(YEAR(L28),MONTH(L28)+1,1)</f>
        <v>37043</v>
      </c>
      <c r="M29" s="334" t="n">
        <f aca="false">+J29*(VLOOKUP(L29,CURVECALC!$C$6:$J$312,4,0)+N$5)</f>
        <v>0</v>
      </c>
      <c r="N29" s="350" t="n">
        <f aca="false">-F29*INDEX(ship_curves,MATCH(L29,'SHIP CURVES'!$A$9:$A$316,0),MATCH(CONCATENATE(P$4,P$5,P$6,P$7),'SHIP CURVES'!$A$9:$AZ$9,0))</f>
        <v>-0</v>
      </c>
      <c r="O29" s="351" t="n">
        <f aca="false">-H29*INDEX(port_processing_fee,MATCH(L29,PORTS!$H$626:$H$933,0),MATCH(P$5,PORTS!$H$626:$Z$626,0))</f>
        <v>-0</v>
      </c>
      <c r="P29" s="352" t="n">
        <f aca="false">(((VLOOKUP(L29,curvecalc,4,0))*IF(F29=0,0,J29/F29)-INDEX(ship_curves,MATCH(L29,'SHIP CURVES'!$A$9:$A$316,0),MATCH(CONCATENATE(P$4,P$5,P$6,P$7),'SHIP CURVES'!$A$9:$Z$9,0))-INDEX(terminal_curves,MATCH(L29,'TERMINAL CURVES'!$A$4:$A$313,0),MATCH(P$5,'TERMINAL CURVES'!$A$4:$N$4,0))*IF(F29=0,0,H29/F29))-(N$8)*((N$7-$N$5)-(INDEX(ship_curves,MATCH(L29,'SHIP CURVES'!$A$9:$A$316,0),MATCH(CONCATENATE(P$4,P$5,P$6,P$7),'SHIP CURVES'!$A$9:$Z$9,0))-INDEX(ship_curves,MATCH(L29,'SHIP CURVES'!$A$9:$A$316,0),MATCH(CONCATENATE(P$4,N$6,P$6,P$7),'SHIP CURVES'!$A$9:$Z$9,0)))-(INDEX(terminal_curves,MATCH(L29,'TERMINAL CURVES'!$A$4:$A$313,0),MATCH(P$5,'TERMINAL CURVES'!$A$4:$N$4,0))-INDEX(terminal_curves,MATCH(L29,'TERMINAL CURVES'!$A$4:$A$313,0),MATCH(N$6,'TERMINAL CURVES'!$A$4:$N$4,0)))*IF(F29=0,0,H29/F29)))*-F29</f>
        <v>0</v>
      </c>
      <c r="Q29" s="353" t="n">
        <f aca="false">SUM(N29:P29)</f>
        <v>0</v>
      </c>
      <c r="R29" s="357" t="n">
        <f aca="false">(-H29/((HLOOKUP(P$5,port_specs,2,0)/(365.25))*(L30-L29)))*(INDEX(fixed_capacity_charge,MATCH(L29,PORTS!$H$11:$H$317,0),MATCH(P$5,PORTS!$H$11:$N$11,0))+INDEX(variable_om_charge,MATCH(L29,PORTS!$H$318:$H$625,0),MATCH(P$5,PORTS!$H$318:$N$318,0)))</f>
        <v>-0</v>
      </c>
      <c r="S29" s="343" t="n">
        <f aca="false">+R29+Q29</f>
        <v>0</v>
      </c>
      <c r="T29" s="355" t="n">
        <f aca="false">+S29+M29</f>
        <v>0</v>
      </c>
      <c r="U29" s="342"/>
      <c r="V29" s="346" t="n">
        <f aca="false">+DATE(YEAR(V28),MONTH(V28)+1,1)</f>
        <v>37043</v>
      </c>
      <c r="W29" s="327" t="n">
        <f aca="false">+Y29/(1-HLOOKUP(X$6,SHIPS,7,0)*INDEX(LADEN_VOYAGE_DAYS,MATCH(CONCATENATE(X$4,X$5),LADEN_VOYAGE_ROUTES,0),MATCH(X$6,LADEN_VOYAGE_SHIPS,0)))</f>
        <v>0</v>
      </c>
      <c r="X29" s="347" t="n">
        <f aca="false">+Y29-W29</f>
        <v>0</v>
      </c>
      <c r="Y29" s="348" t="n">
        <f aca="false">+IF(AND(X$8&lt;=V29,X$9&gt;=V29),+MIN($B29-SUMIF($H$17:X$17,Y$17,$H29:X29),((INDEX(ROUTE_PER_DAY_BY_SHIP,MATCH(CONCATENATE(X$4,X$5,X$7),ROUTE_PER_DAY_ROUTES,0),MATCH(X$6,ROUTE_PER_DAY_SHIPS,0))*(V30-V29))-(INDEX(ROUTE_PER_DAY_BY_SHIP,MATCH(CONCATENATE(X$4,X$5,X$7),ROUTE_PER_DAY_ROUTES,0),MATCH(X$6,ROUTE_PER_DAY_SHIPS,0))*(V30-V29))*HLOOKUP(X$6,SHIPS,7,0)*INDEX(LADEN_VOYAGE_DAYS,MATCH(CONCATENATE(X$4,X$5,X$7),LADEN_VOYAGE_ROUTES,0),MATCH(X$6,LADEN_VOYAGE_SHIPS,0)))),0)</f>
        <v>0</v>
      </c>
      <c r="Z29" s="349" t="n">
        <f aca="false">-(Y29)*HLOOKUP(X$5,TERMINAL_CHARGES,3,0)</f>
        <v>-0</v>
      </c>
      <c r="AA29" s="327" t="n">
        <f aca="false">+Y29+Z29</f>
        <v>0</v>
      </c>
      <c r="AB29" s="333"/>
      <c r="AC29" s="346" t="n">
        <f aca="false">+DATE(YEAR(AC28),MONTH(AC28)+1,1)</f>
        <v>37043</v>
      </c>
      <c r="AD29" s="343" t="n">
        <f aca="false">+AA29*(VLOOKUP(AC29,CURVECALC!$C$6:$J$312,4,0)+AE$5)</f>
        <v>0</v>
      </c>
      <c r="AE29" s="350" t="n">
        <f aca="false">-W29*INDEX(ship_curves,MATCH(AC29,'SHIP CURVES'!$A$9:$A$316,0),MATCH(CONCATENATE(AG$4,AG$5,AG$6,AG$7),'SHIP CURVES'!$A$9:$AZ$9,0))</f>
        <v>-0</v>
      </c>
      <c r="AF29" s="351" t="n">
        <f aca="false">-Y29*INDEX(port_processing_fee,MATCH(AC29,PORTS!$H$626:$H$933,0),MATCH(AG$5,PORTS!$H$626:$Z$626,0))</f>
        <v>-0</v>
      </c>
      <c r="AG29" s="352" t="n">
        <f aca="false">(((VLOOKUP(AC29,curvecalc,4,0))*IF(W29=0,0,AA29/W29)-INDEX(ship_curves,MATCH(AC29,'SHIP CURVES'!$A$9:$A$316,0),MATCH(CONCATENATE(AG$4,AG$5,AG$6,AG$7),'SHIP CURVES'!$A$9:$Z$9,0))-INDEX(terminal_curves,MATCH(AC29,'TERMINAL CURVES'!$A$4:$A$313,0),MATCH(AG$5,'TERMINAL CURVES'!$A$4:$N$4,0))*IF(W29=0,0,Y29/W29))-(AE$8)*((AE$7-$N$5)-(INDEX(ship_curves,MATCH(AC29,'SHIP CURVES'!$A$9:$A$316,0),MATCH(CONCATENATE(AG$4,AG$5,AG$6,AG$7),'SHIP CURVES'!$A$9:$Z$9,0))-INDEX(ship_curves,MATCH(AC29,'SHIP CURVES'!$A$9:$A$316,0),MATCH(CONCATENATE(AG$4,AE$6,AG$6,AG$7),'SHIP CURVES'!$A$9:$Z$9,0)))-(INDEX(terminal_curves,MATCH(AC29,'TERMINAL CURVES'!$A$4:$A$313,0),MATCH(AG$5,'TERMINAL CURVES'!$A$4:$N$4,0))-INDEX(terminal_curves,MATCH(AC29,'TERMINAL CURVES'!$A$4:$A$313,0),MATCH(AE$6,'TERMINAL CURVES'!$A$4:$N$4,0)))*IF(W29=0,0,Y29/W29)))*-W29</f>
        <v>0</v>
      </c>
      <c r="AH29" s="356" t="n">
        <f aca="false">SUM(AE29:AG29)</f>
        <v>0</v>
      </c>
      <c r="AI29" s="357" t="n">
        <f aca="false">(-Y29/((HLOOKUP(AG$5,port_specs,2,0)/(365.25))*(AC30-AC29)))*(INDEX(fixed_capacity_charge,MATCH(AC29,PORTS!$H$11:$H$317,0),MATCH(AG$5,PORTS!$H$11:$N$11,0))+INDEX(variable_om_charge,MATCH(AC29,PORTS!$H$318:$H$625,0),MATCH(AG$5,PORTS!$H$318:$N$318,0)))</f>
        <v>-0</v>
      </c>
      <c r="AJ29" s="343" t="n">
        <f aca="false">+AI29+AH29</f>
        <v>0</v>
      </c>
      <c r="AK29" s="355" t="n">
        <f aca="false">+AJ29+AD29</f>
        <v>0</v>
      </c>
      <c r="AM29" s="346" t="n">
        <f aca="false">+DATE(YEAR(AM28),MONTH(AM28)+1,1)</f>
        <v>37043</v>
      </c>
      <c r="AN29" s="327" t="n">
        <f aca="false">+AP29/(1-HLOOKUP(AO$6,SHIPS,7,0)*INDEX(LADEN_VOYAGE_DAYS,MATCH(CONCATENATE(AO$4,AO$5),LADEN_VOYAGE_ROUTES,0),MATCH(AO$6,LADEN_VOYAGE_SHIPS,0)))</f>
        <v>0</v>
      </c>
      <c r="AO29" s="347" t="n">
        <f aca="false">+AP29-AN29</f>
        <v>0</v>
      </c>
      <c r="AP29" s="348" t="n">
        <f aca="false">+IF(AND(AO$8&lt;=AM29,AO$9&gt;=AM29),+MIN($B29-SUMIF($H$17:AO$17,AP$17,$H29:AO29),((INDEX(ROUTE_PER_DAY_BY_SHIP,MATCH(CONCATENATE(AO$4,AO$5,AO$7),ROUTE_PER_DAY_ROUTES,0),MATCH(AO$6,ROUTE_PER_DAY_SHIPS,0))*(AM30-AM29))-(INDEX(ROUTE_PER_DAY_BY_SHIP,MATCH(CONCATENATE(AO$4,AO$5,AO$7),ROUTE_PER_DAY_ROUTES,0),MATCH(AO$6,ROUTE_PER_DAY_SHIPS,0))*(AM30-AM29))*HLOOKUP(AO$6,SHIPS,7,0)*INDEX(LADEN_VOYAGE_DAYS,MATCH(CONCATENATE(AO$4,AO$5,AO$7),LADEN_VOYAGE_ROUTES,0),MATCH(AO$6,LADEN_VOYAGE_SHIPS,0)))),0)</f>
        <v>0</v>
      </c>
      <c r="AQ29" s="349" t="n">
        <f aca="false">-(AP29)*PORTS!$I$6</f>
        <v>-0</v>
      </c>
      <c r="AR29" s="327" t="n">
        <f aca="false">+AP29+AQ29</f>
        <v>0</v>
      </c>
      <c r="AS29" s="333"/>
      <c r="AT29" s="346" t="n">
        <f aca="false">+DATE(YEAR(AT28),MONTH(AT28)+1,1)</f>
        <v>37043</v>
      </c>
      <c r="AU29" s="343" t="n">
        <f aca="false">+AR29*(VLOOKUP(AT29,CURVECALC!$C$6:$J$312,4,0)+AV$5)</f>
        <v>0</v>
      </c>
      <c r="AV29" s="350" t="n">
        <f aca="false">-AN29*INDEX(ship_curves,MATCH(AT29,'SHIP CURVES'!$A$9:$A$316,0),MATCH(CONCATENATE(AX$4,AX$5,AX$6,AX$7),'SHIP CURVES'!$A$9:$AZ$9,0))</f>
        <v>-0</v>
      </c>
      <c r="AW29" s="351" t="n">
        <f aca="false">-AP29*INDEX(port_processing_fee,MATCH(AT29,PORTS!$H$626:$H$933,0),MATCH(AX$5,PORTS!$H$626:$Z$626,0))</f>
        <v>-0</v>
      </c>
      <c r="AX29" s="352" t="n">
        <f aca="false">(((VLOOKUP(AT29,curvecalc,4,0))*IF(AN29=0,0,AR29/AN29)-INDEX(ship_curves,MATCH(AT29,'SHIP CURVES'!$A$9:$A$316,0),MATCH(CONCATENATE(AX$4,AX$5,AX$6,AX$7),'SHIP CURVES'!$A$9:$Z$9,0))-INDEX(terminal_curves,MATCH(AT29,'TERMINAL CURVES'!$A$4:$A$313,0),MATCH(AX$5,'TERMINAL CURVES'!$A$4:$N$4,0))*IF(AN29=0,0,AP29/AN29))-(AV$8)*((AV$7-$N$5)-(INDEX(ship_curves,MATCH(AT29,'SHIP CURVES'!$A$9:$A$316,0),MATCH(CONCATENATE(AX$4,AX$5,AX$6,AX$7),'SHIP CURVES'!$A$9:$Z$9,0))-INDEX(ship_curves,MATCH(AT29,'SHIP CURVES'!$A$9:$A$316,0),MATCH(CONCATENATE(AX$4,AV$6,AX$6,AX$7),'SHIP CURVES'!$A$9:$Z$9,0)))-(INDEX(terminal_curves,MATCH(AT29,'TERMINAL CURVES'!$A$4:$A$313,0),MATCH(AX$5,'TERMINAL CURVES'!$A$4:$N$4,0))-INDEX(terminal_curves,MATCH(AT29,'TERMINAL CURVES'!$A$4:$A$313,0),MATCH(AV$6,'TERMINAL CURVES'!$A$4:$N$4,0)))*IF(AN29=0,0,AP29/AN29)))*-AN29</f>
        <v>0</v>
      </c>
      <c r="AY29" s="356" t="n">
        <f aca="false">SUM(AV29:AX29)</f>
        <v>0</v>
      </c>
      <c r="AZ29" s="357" t="n">
        <f aca="false">(-AP29/((HLOOKUP(AX$5,port_specs,2,0)/(365.25))*(AT30-AT29)))*(INDEX(fixed_capacity_charge,MATCH(AT29,PORTS!$H$11:$H$317,0),MATCH(AX$5,PORTS!$H$11:$N$11,0))+INDEX(variable_om_charge,MATCH(AT29,PORTS!$H$318:$H$625,0),MATCH(AX$5,PORTS!$H$318:$N$318,0)))</f>
        <v>-0</v>
      </c>
      <c r="BA29" s="343" t="n">
        <f aca="false">+AZ29+AY29</f>
        <v>0</v>
      </c>
      <c r="BB29" s="355" t="n">
        <f aca="false">+BA29+AU29</f>
        <v>0</v>
      </c>
      <c r="BC29" s="99"/>
      <c r="BD29" s="357" t="n">
        <f aca="false">+PORTS!I23+PORTS!I331</f>
        <v>0</v>
      </c>
    </row>
    <row r="30" customFormat="false" ht="12.75" hidden="false" customHeight="false" outlineLevel="0" collapsed="false">
      <c r="A30" s="346" t="n">
        <f aca="false">+DATE(YEAR(A29),MONTH(A29)+1,1)</f>
        <v>37073</v>
      </c>
      <c r="B30" s="327" t="n">
        <f aca="false">+IF(AND($A30&gt;=$C$8,$A30&lt;=$C$9),1,0)*PORTS!$I$5/(365.25)*(A31-A30)</f>
        <v>0</v>
      </c>
      <c r="C30" s="328" t="n">
        <f aca="false">+B30-(SUMIF($F$17:$IV$17,$H$17,$F30:$IV30))</f>
        <v>0</v>
      </c>
      <c r="D30" s="0" t="n">
        <f aca="false">+YEAR(E30)</f>
        <v>2001</v>
      </c>
      <c r="E30" s="346" t="n">
        <f aca="false">+DATE(YEAR(E29),MONTH(E29)+1,1)</f>
        <v>37073</v>
      </c>
      <c r="F30" s="327" t="n">
        <f aca="false">+IF(AND(G$8&lt;=E30,G$9&gt;=E30),INDEX(ROUTE_PER_DAY_BY_SHIP,MATCH(CONCATENATE(G$4,G$5,G$7),ROUTE_PER_DAY_ROUTES,0),MATCH(G$6,ROUTE_PER_DAY_SHIPS,0))*(E31-E30),0)</f>
        <v>0</v>
      </c>
      <c r="G30" s="347" t="n">
        <f aca="false">-F30*HLOOKUP(G$6,SHIPS,7,0)*INDEX(LADEN_VOYAGE_DAYS,MATCH(CONCATENATE(G$4,G$5,G$7),LADEN_VOYAGE_ROUTES,0),MATCH(G$6,LADEN_VOYAGE_SHIPS,0))</f>
        <v>-0</v>
      </c>
      <c r="H30" s="348" t="n">
        <f aca="false">SUM(F30:G30)</f>
        <v>0</v>
      </c>
      <c r="I30" s="349" t="n">
        <f aca="false">-(H30)*HLOOKUP(G$5,TERMINAL_CHARGES,3,0)</f>
        <v>-0</v>
      </c>
      <c r="J30" s="327" t="n">
        <f aca="false">+H30+I30</f>
        <v>0</v>
      </c>
      <c r="K30" s="333"/>
      <c r="L30" s="346" t="n">
        <f aca="false">+DATE(YEAR(L29),MONTH(L29)+1,1)</f>
        <v>37073</v>
      </c>
      <c r="M30" s="334" t="n">
        <f aca="false">+J30*(VLOOKUP(L30,CURVECALC!$C$6:$J$312,4,0)+N$5)</f>
        <v>0</v>
      </c>
      <c r="N30" s="350" t="n">
        <f aca="false">-F30*INDEX(ship_curves,MATCH(L30,'SHIP CURVES'!$A$9:$A$316,0),MATCH(CONCATENATE(P$4,P$5,P$6,P$7),'SHIP CURVES'!$A$9:$AZ$9,0))</f>
        <v>-0</v>
      </c>
      <c r="O30" s="351" t="n">
        <f aca="false">-H30*INDEX(port_processing_fee,MATCH(L30,PORTS!$H$626:$H$933,0),MATCH(P$5,PORTS!$H$626:$Z$626,0))</f>
        <v>-0</v>
      </c>
      <c r="P30" s="352" t="n">
        <f aca="false">(((VLOOKUP(L30,curvecalc,4,0))*IF(F30=0,0,J30/F30)-INDEX(ship_curves,MATCH(L30,'SHIP CURVES'!$A$9:$A$316,0),MATCH(CONCATENATE(P$4,P$5,P$6,P$7),'SHIP CURVES'!$A$9:$Z$9,0))-INDEX(terminal_curves,MATCH(L30,'TERMINAL CURVES'!$A$4:$A$313,0),MATCH(P$5,'TERMINAL CURVES'!$A$4:$N$4,0))*IF(F30=0,0,H30/F30))-(N$8)*((N$7-$N$5)-(INDEX(ship_curves,MATCH(L30,'SHIP CURVES'!$A$9:$A$316,0),MATCH(CONCATENATE(P$4,P$5,P$6,P$7),'SHIP CURVES'!$A$9:$Z$9,0))-INDEX(ship_curves,MATCH(L30,'SHIP CURVES'!$A$9:$A$316,0),MATCH(CONCATENATE(P$4,N$6,P$6,P$7),'SHIP CURVES'!$A$9:$Z$9,0)))-(INDEX(terminal_curves,MATCH(L30,'TERMINAL CURVES'!$A$4:$A$313,0),MATCH(P$5,'TERMINAL CURVES'!$A$4:$N$4,0))-INDEX(terminal_curves,MATCH(L30,'TERMINAL CURVES'!$A$4:$A$313,0),MATCH(N$6,'TERMINAL CURVES'!$A$4:$N$4,0)))*IF(F30=0,0,H30/F30)))*-F30</f>
        <v>0</v>
      </c>
      <c r="Q30" s="353" t="n">
        <f aca="false">SUM(N30:P30)</f>
        <v>0</v>
      </c>
      <c r="R30" s="357" t="n">
        <f aca="false">(-H30/((HLOOKUP(P$5,port_specs,2,0)/(365.25))*(L31-L30)))*(INDEX(fixed_capacity_charge,MATCH(L30,PORTS!$H$11:$H$317,0),MATCH(P$5,PORTS!$H$11:$N$11,0))+INDEX(variable_om_charge,MATCH(L30,PORTS!$H$318:$H$625,0),MATCH(P$5,PORTS!$H$318:$N$318,0)))</f>
        <v>-0</v>
      </c>
      <c r="S30" s="343" t="n">
        <f aca="false">+R30+Q30</f>
        <v>0</v>
      </c>
      <c r="T30" s="355" t="n">
        <f aca="false">+S30+M30</f>
        <v>0</v>
      </c>
      <c r="U30" s="342"/>
      <c r="V30" s="346" t="n">
        <f aca="false">+DATE(YEAR(V29),MONTH(V29)+1,1)</f>
        <v>37073</v>
      </c>
      <c r="W30" s="327" t="n">
        <f aca="false">+Y30/(1-HLOOKUP(X$6,SHIPS,7,0)*INDEX(LADEN_VOYAGE_DAYS,MATCH(CONCATENATE(X$4,X$5),LADEN_VOYAGE_ROUTES,0),MATCH(X$6,LADEN_VOYAGE_SHIPS,0)))</f>
        <v>0</v>
      </c>
      <c r="X30" s="347" t="n">
        <f aca="false">+Y30-W30</f>
        <v>0</v>
      </c>
      <c r="Y30" s="348" t="n">
        <f aca="false">+IF(AND(X$8&lt;=V30,X$9&gt;=V30),+MIN($B30-SUMIF($H$17:X$17,Y$17,$H30:X30),((INDEX(ROUTE_PER_DAY_BY_SHIP,MATCH(CONCATENATE(X$4,X$5,X$7),ROUTE_PER_DAY_ROUTES,0),MATCH(X$6,ROUTE_PER_DAY_SHIPS,0))*(V31-V30))-(INDEX(ROUTE_PER_DAY_BY_SHIP,MATCH(CONCATENATE(X$4,X$5,X$7),ROUTE_PER_DAY_ROUTES,0),MATCH(X$6,ROUTE_PER_DAY_SHIPS,0))*(V31-V30))*HLOOKUP(X$6,SHIPS,7,0)*INDEX(LADEN_VOYAGE_DAYS,MATCH(CONCATENATE(X$4,X$5,X$7),LADEN_VOYAGE_ROUTES,0),MATCH(X$6,LADEN_VOYAGE_SHIPS,0)))),0)</f>
        <v>0</v>
      </c>
      <c r="Z30" s="349" t="n">
        <f aca="false">-(Y30)*HLOOKUP(X$5,TERMINAL_CHARGES,3,0)</f>
        <v>-0</v>
      </c>
      <c r="AA30" s="327" t="n">
        <f aca="false">+Y30+Z30</f>
        <v>0</v>
      </c>
      <c r="AB30" s="333"/>
      <c r="AC30" s="346" t="n">
        <f aca="false">+DATE(YEAR(AC29),MONTH(AC29)+1,1)</f>
        <v>37073</v>
      </c>
      <c r="AD30" s="343" t="n">
        <f aca="false">+AA30*(VLOOKUP(AC30,CURVECALC!$C$6:$J$312,4,0)+AE$5)</f>
        <v>0</v>
      </c>
      <c r="AE30" s="350" t="n">
        <f aca="false">-W30*INDEX(ship_curves,MATCH(AC30,'SHIP CURVES'!$A$9:$A$316,0),MATCH(CONCATENATE(AG$4,AG$5,AG$6,AG$7),'SHIP CURVES'!$A$9:$AZ$9,0))</f>
        <v>-0</v>
      </c>
      <c r="AF30" s="351" t="n">
        <f aca="false">-Y30*INDEX(port_processing_fee,MATCH(AC30,PORTS!$H$626:$H$933,0),MATCH(AG$5,PORTS!$H$626:$Z$626,0))</f>
        <v>-0</v>
      </c>
      <c r="AG30" s="352" t="n">
        <f aca="false">(((VLOOKUP(AC30,curvecalc,4,0))*IF(W30=0,0,AA30/W30)-INDEX(ship_curves,MATCH(AC30,'SHIP CURVES'!$A$9:$A$316,0),MATCH(CONCATENATE(AG$4,AG$5,AG$6,AG$7),'SHIP CURVES'!$A$9:$Z$9,0))-INDEX(terminal_curves,MATCH(AC30,'TERMINAL CURVES'!$A$4:$A$313,0),MATCH(AG$5,'TERMINAL CURVES'!$A$4:$N$4,0))*IF(W30=0,0,Y30/W30))-(AE$8)*((AE$7-$N$5)-(INDEX(ship_curves,MATCH(AC30,'SHIP CURVES'!$A$9:$A$316,0),MATCH(CONCATENATE(AG$4,AG$5,AG$6,AG$7),'SHIP CURVES'!$A$9:$Z$9,0))-INDEX(ship_curves,MATCH(AC30,'SHIP CURVES'!$A$9:$A$316,0),MATCH(CONCATENATE(AG$4,AE$6,AG$6,AG$7),'SHIP CURVES'!$A$9:$Z$9,0)))-(INDEX(terminal_curves,MATCH(AC30,'TERMINAL CURVES'!$A$4:$A$313,0),MATCH(AG$5,'TERMINAL CURVES'!$A$4:$N$4,0))-INDEX(terminal_curves,MATCH(AC30,'TERMINAL CURVES'!$A$4:$A$313,0),MATCH(AE$6,'TERMINAL CURVES'!$A$4:$N$4,0)))*IF(W30=0,0,Y30/W30)))*-W30</f>
        <v>0</v>
      </c>
      <c r="AH30" s="356" t="n">
        <f aca="false">SUM(AE30:AG30)</f>
        <v>0</v>
      </c>
      <c r="AI30" s="357" t="n">
        <f aca="false">(-Y30/((HLOOKUP(AG$5,port_specs,2,0)/(365.25))*(AC31-AC30)))*(INDEX(fixed_capacity_charge,MATCH(AC30,PORTS!$H$11:$H$317,0),MATCH(AG$5,PORTS!$H$11:$N$11,0))+INDEX(variable_om_charge,MATCH(AC30,PORTS!$H$318:$H$625,0),MATCH(AG$5,PORTS!$H$318:$N$318,0)))</f>
        <v>-0</v>
      </c>
      <c r="AJ30" s="343" t="n">
        <f aca="false">+AI30+AH30</f>
        <v>0</v>
      </c>
      <c r="AK30" s="355" t="n">
        <f aca="false">+AJ30+AD30</f>
        <v>0</v>
      </c>
      <c r="AM30" s="346" t="n">
        <f aca="false">+DATE(YEAR(AM29),MONTH(AM29)+1,1)</f>
        <v>37073</v>
      </c>
      <c r="AN30" s="327" t="n">
        <f aca="false">+AP30/(1-HLOOKUP(AO$6,SHIPS,7,0)*INDEX(LADEN_VOYAGE_DAYS,MATCH(CONCATENATE(AO$4,AO$5),LADEN_VOYAGE_ROUTES,0),MATCH(AO$6,LADEN_VOYAGE_SHIPS,0)))</f>
        <v>0</v>
      </c>
      <c r="AO30" s="347" t="n">
        <f aca="false">+AP30-AN30</f>
        <v>0</v>
      </c>
      <c r="AP30" s="348" t="n">
        <f aca="false">+IF(AND(AO$8&lt;=AM30,AO$9&gt;=AM30),+MIN($B30-SUMIF($H$17:AO$17,AP$17,$H30:AO30),((INDEX(ROUTE_PER_DAY_BY_SHIP,MATCH(CONCATENATE(AO$4,AO$5,AO$7),ROUTE_PER_DAY_ROUTES,0),MATCH(AO$6,ROUTE_PER_DAY_SHIPS,0))*(AM31-AM30))-(INDEX(ROUTE_PER_DAY_BY_SHIP,MATCH(CONCATENATE(AO$4,AO$5,AO$7),ROUTE_PER_DAY_ROUTES,0),MATCH(AO$6,ROUTE_PER_DAY_SHIPS,0))*(AM31-AM30))*HLOOKUP(AO$6,SHIPS,7,0)*INDEX(LADEN_VOYAGE_DAYS,MATCH(CONCATENATE(AO$4,AO$5,AO$7),LADEN_VOYAGE_ROUTES,0),MATCH(AO$6,LADEN_VOYAGE_SHIPS,0)))),0)</f>
        <v>0</v>
      </c>
      <c r="AQ30" s="349" t="n">
        <f aca="false">-(AP30)*PORTS!$I$6</f>
        <v>-0</v>
      </c>
      <c r="AR30" s="327" t="n">
        <f aca="false">+AP30+AQ30</f>
        <v>0</v>
      </c>
      <c r="AS30" s="333"/>
      <c r="AT30" s="346" t="n">
        <f aca="false">+DATE(YEAR(AT29),MONTH(AT29)+1,1)</f>
        <v>37073</v>
      </c>
      <c r="AU30" s="343" t="n">
        <f aca="false">+AR30*(VLOOKUP(AT30,CURVECALC!$C$6:$J$312,4,0)+AV$5)</f>
        <v>0</v>
      </c>
      <c r="AV30" s="350" t="n">
        <f aca="false">-AN30*INDEX(ship_curves,MATCH(AT30,'SHIP CURVES'!$A$9:$A$316,0),MATCH(CONCATENATE(AX$4,AX$5,AX$6,AX$7),'SHIP CURVES'!$A$9:$AZ$9,0))</f>
        <v>-0</v>
      </c>
      <c r="AW30" s="351" t="n">
        <f aca="false">-AP30*INDEX(port_processing_fee,MATCH(AT30,PORTS!$H$626:$H$933,0),MATCH(AX$5,PORTS!$H$626:$Z$626,0))</f>
        <v>-0</v>
      </c>
      <c r="AX30" s="352" t="n">
        <f aca="false">(((VLOOKUP(AT30,curvecalc,4,0))*IF(AN30=0,0,AR30/AN30)-INDEX(ship_curves,MATCH(AT30,'SHIP CURVES'!$A$9:$A$316,0),MATCH(CONCATENATE(AX$4,AX$5,AX$6,AX$7),'SHIP CURVES'!$A$9:$Z$9,0))-INDEX(terminal_curves,MATCH(AT30,'TERMINAL CURVES'!$A$4:$A$313,0),MATCH(AX$5,'TERMINAL CURVES'!$A$4:$N$4,0))*IF(AN30=0,0,AP30/AN30))-(AV$8)*((AV$7-$N$5)-(INDEX(ship_curves,MATCH(AT30,'SHIP CURVES'!$A$9:$A$316,0),MATCH(CONCATENATE(AX$4,AX$5,AX$6,AX$7),'SHIP CURVES'!$A$9:$Z$9,0))-INDEX(ship_curves,MATCH(AT30,'SHIP CURVES'!$A$9:$A$316,0),MATCH(CONCATENATE(AX$4,AV$6,AX$6,AX$7),'SHIP CURVES'!$A$9:$Z$9,0)))-(INDEX(terminal_curves,MATCH(AT30,'TERMINAL CURVES'!$A$4:$A$313,0),MATCH(AX$5,'TERMINAL CURVES'!$A$4:$N$4,0))-INDEX(terminal_curves,MATCH(AT30,'TERMINAL CURVES'!$A$4:$A$313,0),MATCH(AV$6,'TERMINAL CURVES'!$A$4:$N$4,0)))*IF(AN30=0,0,AP30/AN30)))*-AN30</f>
        <v>0</v>
      </c>
      <c r="AY30" s="356" t="n">
        <f aca="false">SUM(AV30:AX30)</f>
        <v>0</v>
      </c>
      <c r="AZ30" s="357" t="n">
        <f aca="false">(-AP30/((HLOOKUP(AX$5,port_specs,2,0)/(365.25))*(AT31-AT30)))*(INDEX(fixed_capacity_charge,MATCH(AT30,PORTS!$H$11:$H$317,0),MATCH(AX$5,PORTS!$H$11:$N$11,0))+INDEX(variable_om_charge,MATCH(AT30,PORTS!$H$318:$H$625,0),MATCH(AX$5,PORTS!$H$318:$N$318,0)))</f>
        <v>-0</v>
      </c>
      <c r="BA30" s="343" t="n">
        <f aca="false">+AZ30+AY30</f>
        <v>0</v>
      </c>
      <c r="BB30" s="355" t="n">
        <f aca="false">+BA30+AU30</f>
        <v>0</v>
      </c>
      <c r="BC30" s="99"/>
      <c r="BD30" s="357" t="n">
        <f aca="false">+PORTS!I24+PORTS!I332</f>
        <v>0</v>
      </c>
    </row>
    <row r="31" customFormat="false" ht="12.75" hidden="false" customHeight="false" outlineLevel="0" collapsed="false">
      <c r="A31" s="346" t="n">
        <f aca="false">+DATE(YEAR(A30),MONTH(A30)+1,1)</f>
        <v>37104</v>
      </c>
      <c r="B31" s="327" t="n">
        <f aca="false">+IF(AND($A31&gt;=$C$8,$A31&lt;=$C$9),1,0)*PORTS!$I$5/(365.25)*(A32-A31)</f>
        <v>0</v>
      </c>
      <c r="C31" s="328" t="n">
        <f aca="false">+B31-(SUMIF($F$17:$IV$17,$H$17,$F31:$IV31))</f>
        <v>0</v>
      </c>
      <c r="D31" s="0" t="n">
        <f aca="false">+YEAR(E31)</f>
        <v>2001</v>
      </c>
      <c r="E31" s="346" t="n">
        <f aca="false">+DATE(YEAR(E30),MONTH(E30)+1,1)</f>
        <v>37104</v>
      </c>
      <c r="F31" s="327" t="n">
        <f aca="false">+IF(AND(G$8&lt;=E31,G$9&gt;=E31),INDEX(ROUTE_PER_DAY_BY_SHIP,MATCH(CONCATENATE(G$4,G$5,G$7),ROUTE_PER_DAY_ROUTES,0),MATCH(G$6,ROUTE_PER_DAY_SHIPS,0))*(E32-E31),0)</f>
        <v>0</v>
      </c>
      <c r="G31" s="347" t="n">
        <f aca="false">-F31*HLOOKUP(G$6,SHIPS,7,0)*INDEX(LADEN_VOYAGE_DAYS,MATCH(CONCATENATE(G$4,G$5,G$7),LADEN_VOYAGE_ROUTES,0),MATCH(G$6,LADEN_VOYAGE_SHIPS,0))</f>
        <v>-0</v>
      </c>
      <c r="H31" s="348" t="n">
        <f aca="false">SUM(F31:G31)</f>
        <v>0</v>
      </c>
      <c r="I31" s="349" t="n">
        <f aca="false">-(H31)*HLOOKUP(G$5,TERMINAL_CHARGES,3,0)</f>
        <v>-0</v>
      </c>
      <c r="J31" s="327" t="n">
        <f aca="false">+H31+I31</f>
        <v>0</v>
      </c>
      <c r="K31" s="333"/>
      <c r="L31" s="346" t="n">
        <f aca="false">+DATE(YEAR(L30),MONTH(L30)+1,1)</f>
        <v>37104</v>
      </c>
      <c r="M31" s="334" t="n">
        <f aca="false">+J31*(VLOOKUP(L31,CURVECALC!$C$6:$J$312,4,0)+N$5)</f>
        <v>0</v>
      </c>
      <c r="N31" s="350" t="n">
        <f aca="false">-F31*INDEX(ship_curves,MATCH(L31,'SHIP CURVES'!$A$9:$A$316,0),MATCH(CONCATENATE(P$4,P$5,P$6,P$7),'SHIP CURVES'!$A$9:$AZ$9,0))</f>
        <v>-0</v>
      </c>
      <c r="O31" s="351" t="n">
        <f aca="false">-H31*INDEX(port_processing_fee,MATCH(L31,PORTS!$H$626:$H$933,0),MATCH(P$5,PORTS!$H$626:$Z$626,0))</f>
        <v>-0</v>
      </c>
      <c r="P31" s="352" t="n">
        <f aca="false">(((VLOOKUP(L31,curvecalc,4,0))*IF(F31=0,0,J31/F31)-INDEX(ship_curves,MATCH(L31,'SHIP CURVES'!$A$9:$A$316,0),MATCH(CONCATENATE(P$4,P$5,P$6,P$7),'SHIP CURVES'!$A$9:$Z$9,0))-INDEX(terminal_curves,MATCH(L31,'TERMINAL CURVES'!$A$4:$A$313,0),MATCH(P$5,'TERMINAL CURVES'!$A$4:$N$4,0))*IF(F31=0,0,H31/F31))-(N$8)*((N$7-$N$5)-(INDEX(ship_curves,MATCH(L31,'SHIP CURVES'!$A$9:$A$316,0),MATCH(CONCATENATE(P$4,P$5,P$6,P$7),'SHIP CURVES'!$A$9:$Z$9,0))-INDEX(ship_curves,MATCH(L31,'SHIP CURVES'!$A$9:$A$316,0),MATCH(CONCATENATE(P$4,N$6,P$6,P$7),'SHIP CURVES'!$A$9:$Z$9,0)))-(INDEX(terminal_curves,MATCH(L31,'TERMINAL CURVES'!$A$4:$A$313,0),MATCH(P$5,'TERMINAL CURVES'!$A$4:$N$4,0))-INDEX(terminal_curves,MATCH(L31,'TERMINAL CURVES'!$A$4:$A$313,0),MATCH(N$6,'TERMINAL CURVES'!$A$4:$N$4,0)))*IF(F31=0,0,H31/F31)))*-F31</f>
        <v>0</v>
      </c>
      <c r="Q31" s="353" t="n">
        <f aca="false">SUM(N31:P31)</f>
        <v>0</v>
      </c>
      <c r="R31" s="357" t="n">
        <f aca="false">(-H31/((HLOOKUP(P$5,port_specs,2,0)/(365.25))*(L32-L31)))*(INDEX(fixed_capacity_charge,MATCH(L31,PORTS!$H$11:$H$317,0),MATCH(P$5,PORTS!$H$11:$N$11,0))+INDEX(variable_om_charge,MATCH(L31,PORTS!$H$318:$H$625,0),MATCH(P$5,PORTS!$H$318:$N$318,0)))</f>
        <v>-0</v>
      </c>
      <c r="S31" s="343" t="n">
        <f aca="false">+R31+Q31</f>
        <v>0</v>
      </c>
      <c r="T31" s="355" t="n">
        <f aca="false">+S31+M31</f>
        <v>0</v>
      </c>
      <c r="U31" s="342"/>
      <c r="V31" s="346" t="n">
        <f aca="false">+DATE(YEAR(V30),MONTH(V30)+1,1)</f>
        <v>37104</v>
      </c>
      <c r="W31" s="327" t="n">
        <f aca="false">+Y31/(1-HLOOKUP(X$6,SHIPS,7,0)*INDEX(LADEN_VOYAGE_DAYS,MATCH(CONCATENATE(X$4,X$5),LADEN_VOYAGE_ROUTES,0),MATCH(X$6,LADEN_VOYAGE_SHIPS,0)))</f>
        <v>0</v>
      </c>
      <c r="X31" s="347" t="n">
        <f aca="false">+Y31-W31</f>
        <v>0</v>
      </c>
      <c r="Y31" s="348" t="n">
        <f aca="false">+IF(AND(X$8&lt;=V31,X$9&gt;=V31),+MIN($B31-SUMIF($H$17:X$17,Y$17,$H31:X31),((INDEX(ROUTE_PER_DAY_BY_SHIP,MATCH(CONCATENATE(X$4,X$5,X$7),ROUTE_PER_DAY_ROUTES,0),MATCH(X$6,ROUTE_PER_DAY_SHIPS,0))*(V32-V31))-(INDEX(ROUTE_PER_DAY_BY_SHIP,MATCH(CONCATENATE(X$4,X$5,X$7),ROUTE_PER_DAY_ROUTES,0),MATCH(X$6,ROUTE_PER_DAY_SHIPS,0))*(V32-V31))*HLOOKUP(X$6,SHIPS,7,0)*INDEX(LADEN_VOYAGE_DAYS,MATCH(CONCATENATE(X$4,X$5,X$7),LADEN_VOYAGE_ROUTES,0),MATCH(X$6,LADEN_VOYAGE_SHIPS,0)))),0)</f>
        <v>0</v>
      </c>
      <c r="Z31" s="349" t="n">
        <f aca="false">-(Y31)*HLOOKUP(X$5,TERMINAL_CHARGES,3,0)</f>
        <v>-0</v>
      </c>
      <c r="AA31" s="327" t="n">
        <f aca="false">+Y31+Z31</f>
        <v>0</v>
      </c>
      <c r="AB31" s="333"/>
      <c r="AC31" s="346" t="n">
        <f aca="false">+DATE(YEAR(AC30),MONTH(AC30)+1,1)</f>
        <v>37104</v>
      </c>
      <c r="AD31" s="343" t="n">
        <f aca="false">+AA31*(VLOOKUP(AC31,CURVECALC!$C$6:$J$312,4,0)+AE$5)</f>
        <v>0</v>
      </c>
      <c r="AE31" s="350" t="n">
        <f aca="false">-W31*INDEX(ship_curves,MATCH(AC31,'SHIP CURVES'!$A$9:$A$316,0),MATCH(CONCATENATE(AG$4,AG$5,AG$6,AG$7),'SHIP CURVES'!$A$9:$AZ$9,0))</f>
        <v>-0</v>
      </c>
      <c r="AF31" s="351" t="n">
        <f aca="false">-Y31*INDEX(port_processing_fee,MATCH(AC31,PORTS!$H$626:$H$933,0),MATCH(AG$5,PORTS!$H$626:$Z$626,0))</f>
        <v>-0</v>
      </c>
      <c r="AG31" s="352" t="n">
        <f aca="false">(((VLOOKUP(AC31,curvecalc,4,0))*IF(W31=0,0,AA31/W31)-INDEX(ship_curves,MATCH(AC31,'SHIP CURVES'!$A$9:$A$316,0),MATCH(CONCATENATE(AG$4,AG$5,AG$6,AG$7),'SHIP CURVES'!$A$9:$Z$9,0))-INDEX(terminal_curves,MATCH(AC31,'TERMINAL CURVES'!$A$4:$A$313,0),MATCH(AG$5,'TERMINAL CURVES'!$A$4:$N$4,0))*IF(W31=0,0,Y31/W31))-(AE$8)*((AE$7-$N$5)-(INDEX(ship_curves,MATCH(AC31,'SHIP CURVES'!$A$9:$A$316,0),MATCH(CONCATENATE(AG$4,AG$5,AG$6,AG$7),'SHIP CURVES'!$A$9:$Z$9,0))-INDEX(ship_curves,MATCH(AC31,'SHIP CURVES'!$A$9:$A$316,0),MATCH(CONCATENATE(AG$4,AE$6,AG$6,AG$7),'SHIP CURVES'!$A$9:$Z$9,0)))-(INDEX(terminal_curves,MATCH(AC31,'TERMINAL CURVES'!$A$4:$A$313,0),MATCH(AG$5,'TERMINAL CURVES'!$A$4:$N$4,0))-INDEX(terminal_curves,MATCH(AC31,'TERMINAL CURVES'!$A$4:$A$313,0),MATCH(AE$6,'TERMINAL CURVES'!$A$4:$N$4,0)))*IF(W31=0,0,Y31/W31)))*-W31</f>
        <v>0</v>
      </c>
      <c r="AH31" s="356" t="n">
        <f aca="false">SUM(AE31:AG31)</f>
        <v>0</v>
      </c>
      <c r="AI31" s="357" t="n">
        <f aca="false">(-Y31/((HLOOKUP(AG$5,port_specs,2,0)/(365.25))*(AC32-AC31)))*(INDEX(fixed_capacity_charge,MATCH(AC31,PORTS!$H$11:$H$317,0),MATCH(AG$5,PORTS!$H$11:$N$11,0))+INDEX(variable_om_charge,MATCH(AC31,PORTS!$H$318:$H$625,0),MATCH(AG$5,PORTS!$H$318:$N$318,0)))</f>
        <v>-0</v>
      </c>
      <c r="AJ31" s="343" t="n">
        <f aca="false">+AI31+AH31</f>
        <v>0</v>
      </c>
      <c r="AK31" s="355" t="n">
        <f aca="false">+AJ31+AD31</f>
        <v>0</v>
      </c>
      <c r="AM31" s="346" t="n">
        <f aca="false">+DATE(YEAR(AM30),MONTH(AM30)+1,1)</f>
        <v>37104</v>
      </c>
      <c r="AN31" s="327" t="n">
        <f aca="false">+AP31/(1-HLOOKUP(AO$6,SHIPS,7,0)*INDEX(LADEN_VOYAGE_DAYS,MATCH(CONCATENATE(AO$4,AO$5),LADEN_VOYAGE_ROUTES,0),MATCH(AO$6,LADEN_VOYAGE_SHIPS,0)))</f>
        <v>0</v>
      </c>
      <c r="AO31" s="347" t="n">
        <f aca="false">+AP31-AN31</f>
        <v>0</v>
      </c>
      <c r="AP31" s="348" t="n">
        <f aca="false">+IF(AND(AO$8&lt;=AM31,AO$9&gt;=AM31),+MIN($B31-SUMIF($H$17:AO$17,AP$17,$H31:AO31),((INDEX(ROUTE_PER_DAY_BY_SHIP,MATCH(CONCATENATE(AO$4,AO$5,AO$7),ROUTE_PER_DAY_ROUTES,0),MATCH(AO$6,ROUTE_PER_DAY_SHIPS,0))*(AM32-AM31))-(INDEX(ROUTE_PER_DAY_BY_SHIP,MATCH(CONCATENATE(AO$4,AO$5,AO$7),ROUTE_PER_DAY_ROUTES,0),MATCH(AO$6,ROUTE_PER_DAY_SHIPS,0))*(AM32-AM31))*HLOOKUP(AO$6,SHIPS,7,0)*INDEX(LADEN_VOYAGE_DAYS,MATCH(CONCATENATE(AO$4,AO$5,AO$7),LADEN_VOYAGE_ROUTES,0),MATCH(AO$6,LADEN_VOYAGE_SHIPS,0)))),0)</f>
        <v>0</v>
      </c>
      <c r="AQ31" s="349" t="n">
        <f aca="false">-(AP31)*PORTS!$I$6</f>
        <v>-0</v>
      </c>
      <c r="AR31" s="327" t="n">
        <f aca="false">+AP31+AQ31</f>
        <v>0</v>
      </c>
      <c r="AS31" s="333"/>
      <c r="AT31" s="346" t="n">
        <f aca="false">+DATE(YEAR(AT30),MONTH(AT30)+1,1)</f>
        <v>37104</v>
      </c>
      <c r="AU31" s="343" t="n">
        <f aca="false">+AR31*(VLOOKUP(AT31,CURVECALC!$C$6:$J$312,4,0)+AV$5)</f>
        <v>0</v>
      </c>
      <c r="AV31" s="350" t="n">
        <f aca="false">-AN31*INDEX(ship_curves,MATCH(AT31,'SHIP CURVES'!$A$9:$A$316,0),MATCH(CONCATENATE(AX$4,AX$5,AX$6,AX$7),'SHIP CURVES'!$A$9:$AZ$9,0))</f>
        <v>-0</v>
      </c>
      <c r="AW31" s="351" t="n">
        <f aca="false">-AP31*INDEX(port_processing_fee,MATCH(AT31,PORTS!$H$626:$H$933,0),MATCH(AX$5,PORTS!$H$626:$Z$626,0))</f>
        <v>-0</v>
      </c>
      <c r="AX31" s="352" t="n">
        <f aca="false">(((VLOOKUP(AT31,curvecalc,4,0))*IF(AN31=0,0,AR31/AN31)-INDEX(ship_curves,MATCH(AT31,'SHIP CURVES'!$A$9:$A$316,0),MATCH(CONCATENATE(AX$4,AX$5,AX$6,AX$7),'SHIP CURVES'!$A$9:$Z$9,0))-INDEX(terminal_curves,MATCH(AT31,'TERMINAL CURVES'!$A$4:$A$313,0),MATCH(AX$5,'TERMINAL CURVES'!$A$4:$N$4,0))*IF(AN31=0,0,AP31/AN31))-(AV$8)*((AV$7-$N$5)-(INDEX(ship_curves,MATCH(AT31,'SHIP CURVES'!$A$9:$A$316,0),MATCH(CONCATENATE(AX$4,AX$5,AX$6,AX$7),'SHIP CURVES'!$A$9:$Z$9,0))-INDEX(ship_curves,MATCH(AT31,'SHIP CURVES'!$A$9:$A$316,0),MATCH(CONCATENATE(AX$4,AV$6,AX$6,AX$7),'SHIP CURVES'!$A$9:$Z$9,0)))-(INDEX(terminal_curves,MATCH(AT31,'TERMINAL CURVES'!$A$4:$A$313,0),MATCH(AX$5,'TERMINAL CURVES'!$A$4:$N$4,0))-INDEX(terminal_curves,MATCH(AT31,'TERMINAL CURVES'!$A$4:$A$313,0),MATCH(AV$6,'TERMINAL CURVES'!$A$4:$N$4,0)))*IF(AN31=0,0,AP31/AN31)))*-AN31</f>
        <v>0</v>
      </c>
      <c r="AY31" s="356" t="n">
        <f aca="false">SUM(AV31:AX31)</f>
        <v>0</v>
      </c>
      <c r="AZ31" s="357" t="n">
        <f aca="false">(-AP31/((HLOOKUP(AX$5,port_specs,2,0)/(365.25))*(AT32-AT31)))*(INDEX(fixed_capacity_charge,MATCH(AT31,PORTS!$H$11:$H$317,0),MATCH(AX$5,PORTS!$H$11:$N$11,0))+INDEX(variable_om_charge,MATCH(AT31,PORTS!$H$318:$H$625,0),MATCH(AX$5,PORTS!$H$318:$N$318,0)))</f>
        <v>-0</v>
      </c>
      <c r="BA31" s="343" t="n">
        <f aca="false">+AZ31+AY31</f>
        <v>0</v>
      </c>
      <c r="BB31" s="355" t="n">
        <f aca="false">+BA31+AU31</f>
        <v>0</v>
      </c>
      <c r="BC31" s="99"/>
      <c r="BD31" s="357" t="n">
        <f aca="false">+PORTS!I25+PORTS!I333</f>
        <v>0</v>
      </c>
    </row>
    <row r="32" customFormat="false" ht="12.75" hidden="false" customHeight="false" outlineLevel="0" collapsed="false">
      <c r="A32" s="346" t="n">
        <f aca="false">+DATE(YEAR(A31),MONTH(A31)+1,1)</f>
        <v>37135</v>
      </c>
      <c r="B32" s="327" t="n">
        <f aca="false">+IF(AND($A32&gt;=$C$8,$A32&lt;=$C$9),1,0)*PORTS!$I$5/(365.25)*(A33-A32)</f>
        <v>0</v>
      </c>
      <c r="C32" s="328" t="n">
        <f aca="false">+B32-(SUMIF($F$17:$IV$17,$H$17,$F32:$IV32))</f>
        <v>0</v>
      </c>
      <c r="D32" s="0" t="n">
        <f aca="false">+YEAR(E32)</f>
        <v>2001</v>
      </c>
      <c r="E32" s="346" t="n">
        <f aca="false">+DATE(YEAR(E31),MONTH(E31)+1,1)</f>
        <v>37135</v>
      </c>
      <c r="F32" s="327" t="n">
        <f aca="false">+IF(AND(G$8&lt;=E32,G$9&gt;=E32),INDEX(ROUTE_PER_DAY_BY_SHIP,MATCH(CONCATENATE(G$4,G$5,G$7),ROUTE_PER_DAY_ROUTES,0),MATCH(G$6,ROUTE_PER_DAY_SHIPS,0))*(E33-E32),0)</f>
        <v>0</v>
      </c>
      <c r="G32" s="347" t="n">
        <f aca="false">-F32*HLOOKUP(G$6,SHIPS,7,0)*INDEX(LADEN_VOYAGE_DAYS,MATCH(CONCATENATE(G$4,G$5,G$7),LADEN_VOYAGE_ROUTES,0),MATCH(G$6,LADEN_VOYAGE_SHIPS,0))</f>
        <v>-0</v>
      </c>
      <c r="H32" s="348" t="n">
        <f aca="false">SUM(F32:G32)</f>
        <v>0</v>
      </c>
      <c r="I32" s="349" t="n">
        <f aca="false">-(H32)*HLOOKUP(G$5,TERMINAL_CHARGES,3,0)</f>
        <v>-0</v>
      </c>
      <c r="J32" s="327" t="n">
        <f aca="false">+H32+I32</f>
        <v>0</v>
      </c>
      <c r="K32" s="333"/>
      <c r="L32" s="346" t="n">
        <f aca="false">+DATE(YEAR(L31),MONTH(L31)+1,1)</f>
        <v>37135</v>
      </c>
      <c r="M32" s="334" t="n">
        <f aca="false">+J32*(VLOOKUP(L32,CURVECALC!$C$6:$J$312,4,0)+N$5)</f>
        <v>0</v>
      </c>
      <c r="N32" s="350" t="n">
        <f aca="false">-F32*INDEX(ship_curves,MATCH(L32,'SHIP CURVES'!$A$9:$A$316,0),MATCH(CONCATENATE(P$4,P$5,P$6,P$7),'SHIP CURVES'!$A$9:$AZ$9,0))</f>
        <v>-0</v>
      </c>
      <c r="O32" s="351" t="n">
        <f aca="false">-H32*INDEX(port_processing_fee,MATCH(L32,PORTS!$H$626:$H$933,0),MATCH(P$5,PORTS!$H$626:$Z$626,0))</f>
        <v>-0</v>
      </c>
      <c r="P32" s="352" t="n">
        <f aca="false">(((VLOOKUP(L32,curvecalc,4,0))*IF(F32=0,0,J32/F32)-INDEX(ship_curves,MATCH(L32,'SHIP CURVES'!$A$9:$A$316,0),MATCH(CONCATENATE(P$4,P$5,P$6,P$7),'SHIP CURVES'!$A$9:$Z$9,0))-INDEX(terminal_curves,MATCH(L32,'TERMINAL CURVES'!$A$4:$A$313,0),MATCH(P$5,'TERMINAL CURVES'!$A$4:$N$4,0))*IF(F32=0,0,H32/F32))-(N$8)*((N$7-$N$5)-(INDEX(ship_curves,MATCH(L32,'SHIP CURVES'!$A$9:$A$316,0),MATCH(CONCATENATE(P$4,P$5,P$6,P$7),'SHIP CURVES'!$A$9:$Z$9,0))-INDEX(ship_curves,MATCH(L32,'SHIP CURVES'!$A$9:$A$316,0),MATCH(CONCATENATE(P$4,N$6,P$6,P$7),'SHIP CURVES'!$A$9:$Z$9,0)))-(INDEX(terminal_curves,MATCH(L32,'TERMINAL CURVES'!$A$4:$A$313,0),MATCH(P$5,'TERMINAL CURVES'!$A$4:$N$4,0))-INDEX(terminal_curves,MATCH(L32,'TERMINAL CURVES'!$A$4:$A$313,0),MATCH(N$6,'TERMINAL CURVES'!$A$4:$N$4,0)))*IF(F32=0,0,H32/F32)))*-F32</f>
        <v>0</v>
      </c>
      <c r="Q32" s="353" t="n">
        <f aca="false">SUM(N32:P32)</f>
        <v>0</v>
      </c>
      <c r="R32" s="357" t="n">
        <f aca="false">(-H32/((HLOOKUP(P$5,port_specs,2,0)/(365.25))*(L33-L32)))*(INDEX(fixed_capacity_charge,MATCH(L32,PORTS!$H$11:$H$317,0),MATCH(P$5,PORTS!$H$11:$N$11,0))+INDEX(variable_om_charge,MATCH(L32,PORTS!$H$318:$H$625,0),MATCH(P$5,PORTS!$H$318:$N$318,0)))</f>
        <v>-0</v>
      </c>
      <c r="S32" s="343" t="n">
        <f aca="false">+R32+Q32</f>
        <v>0</v>
      </c>
      <c r="T32" s="355" t="n">
        <f aca="false">+S32+M32</f>
        <v>0</v>
      </c>
      <c r="U32" s="342"/>
      <c r="V32" s="346" t="n">
        <f aca="false">+DATE(YEAR(V31),MONTH(V31)+1,1)</f>
        <v>37135</v>
      </c>
      <c r="W32" s="327" t="n">
        <f aca="false">+Y32/(1-HLOOKUP(X$6,SHIPS,7,0)*INDEX(LADEN_VOYAGE_DAYS,MATCH(CONCATENATE(X$4,X$5),LADEN_VOYAGE_ROUTES,0),MATCH(X$6,LADEN_VOYAGE_SHIPS,0)))</f>
        <v>0</v>
      </c>
      <c r="X32" s="347" t="n">
        <f aca="false">+Y32-W32</f>
        <v>0</v>
      </c>
      <c r="Y32" s="348" t="n">
        <f aca="false">+IF(AND(X$8&lt;=V32,X$9&gt;=V32),+MIN($B32-SUMIF($H$17:X$17,Y$17,$H32:X32),((INDEX(ROUTE_PER_DAY_BY_SHIP,MATCH(CONCATENATE(X$4,X$5,X$7),ROUTE_PER_DAY_ROUTES,0),MATCH(X$6,ROUTE_PER_DAY_SHIPS,0))*(V33-V32))-(INDEX(ROUTE_PER_DAY_BY_SHIP,MATCH(CONCATENATE(X$4,X$5,X$7),ROUTE_PER_DAY_ROUTES,0),MATCH(X$6,ROUTE_PER_DAY_SHIPS,0))*(V33-V32))*HLOOKUP(X$6,SHIPS,7,0)*INDEX(LADEN_VOYAGE_DAYS,MATCH(CONCATENATE(X$4,X$5,X$7),LADEN_VOYAGE_ROUTES,0),MATCH(X$6,LADEN_VOYAGE_SHIPS,0)))),0)</f>
        <v>0</v>
      </c>
      <c r="Z32" s="349" t="n">
        <f aca="false">-(Y32)*HLOOKUP(X$5,TERMINAL_CHARGES,3,0)</f>
        <v>-0</v>
      </c>
      <c r="AA32" s="327" t="n">
        <f aca="false">+Y32+Z32</f>
        <v>0</v>
      </c>
      <c r="AB32" s="333"/>
      <c r="AC32" s="346" t="n">
        <f aca="false">+DATE(YEAR(AC31),MONTH(AC31)+1,1)</f>
        <v>37135</v>
      </c>
      <c r="AD32" s="343" t="n">
        <f aca="false">+AA32*(VLOOKUP(AC32,CURVECALC!$C$6:$J$312,4,0)+AE$5)</f>
        <v>0</v>
      </c>
      <c r="AE32" s="350" t="n">
        <f aca="false">-W32*INDEX(ship_curves,MATCH(AC32,'SHIP CURVES'!$A$9:$A$316,0),MATCH(CONCATENATE(AG$4,AG$5,AG$6,AG$7),'SHIP CURVES'!$A$9:$AZ$9,0))</f>
        <v>-0</v>
      </c>
      <c r="AF32" s="351" t="n">
        <f aca="false">-Y32*INDEX(port_processing_fee,MATCH(AC32,PORTS!$H$626:$H$933,0),MATCH(AG$5,PORTS!$H$626:$Z$626,0))</f>
        <v>-0</v>
      </c>
      <c r="AG32" s="352" t="n">
        <f aca="false">(((VLOOKUP(AC32,curvecalc,4,0))*IF(W32=0,0,AA32/W32)-INDEX(ship_curves,MATCH(AC32,'SHIP CURVES'!$A$9:$A$316,0),MATCH(CONCATENATE(AG$4,AG$5,AG$6,AG$7),'SHIP CURVES'!$A$9:$Z$9,0))-INDEX(terminal_curves,MATCH(AC32,'TERMINAL CURVES'!$A$4:$A$313,0),MATCH(AG$5,'TERMINAL CURVES'!$A$4:$N$4,0))*IF(W32=0,0,Y32/W32))-(AE$8)*((AE$7-$N$5)-(INDEX(ship_curves,MATCH(AC32,'SHIP CURVES'!$A$9:$A$316,0),MATCH(CONCATENATE(AG$4,AG$5,AG$6,AG$7),'SHIP CURVES'!$A$9:$Z$9,0))-INDEX(ship_curves,MATCH(AC32,'SHIP CURVES'!$A$9:$A$316,0),MATCH(CONCATENATE(AG$4,AE$6,AG$6,AG$7),'SHIP CURVES'!$A$9:$Z$9,0)))-(INDEX(terminal_curves,MATCH(AC32,'TERMINAL CURVES'!$A$4:$A$313,0),MATCH(AG$5,'TERMINAL CURVES'!$A$4:$N$4,0))-INDEX(terminal_curves,MATCH(AC32,'TERMINAL CURVES'!$A$4:$A$313,0),MATCH(AE$6,'TERMINAL CURVES'!$A$4:$N$4,0)))*IF(W32=0,0,Y32/W32)))*-W32</f>
        <v>0</v>
      </c>
      <c r="AH32" s="356" t="n">
        <f aca="false">SUM(AE32:AG32)</f>
        <v>0</v>
      </c>
      <c r="AI32" s="357" t="n">
        <f aca="false">(-Y32/((HLOOKUP(AG$5,port_specs,2,0)/(365.25))*(AC33-AC32)))*(INDEX(fixed_capacity_charge,MATCH(AC32,PORTS!$H$11:$H$317,0),MATCH(AG$5,PORTS!$H$11:$N$11,0))+INDEX(variable_om_charge,MATCH(AC32,PORTS!$H$318:$H$625,0),MATCH(AG$5,PORTS!$H$318:$N$318,0)))</f>
        <v>-0</v>
      </c>
      <c r="AJ32" s="343" t="n">
        <f aca="false">+AI32+AH32</f>
        <v>0</v>
      </c>
      <c r="AK32" s="355" t="n">
        <f aca="false">+AJ32+AD32</f>
        <v>0</v>
      </c>
      <c r="AM32" s="346" t="n">
        <f aca="false">+DATE(YEAR(AM31),MONTH(AM31)+1,1)</f>
        <v>37135</v>
      </c>
      <c r="AN32" s="327" t="n">
        <f aca="false">+AP32/(1-HLOOKUP(AO$6,SHIPS,7,0)*INDEX(LADEN_VOYAGE_DAYS,MATCH(CONCATENATE(AO$4,AO$5),LADEN_VOYAGE_ROUTES,0),MATCH(AO$6,LADEN_VOYAGE_SHIPS,0)))</f>
        <v>0</v>
      </c>
      <c r="AO32" s="347" t="n">
        <f aca="false">+AP32-AN32</f>
        <v>0</v>
      </c>
      <c r="AP32" s="348" t="n">
        <f aca="false">+IF(AND(AO$8&lt;=AM32,AO$9&gt;=AM32),+MIN($B32-SUMIF($H$17:AO$17,AP$17,$H32:AO32),((INDEX(ROUTE_PER_DAY_BY_SHIP,MATCH(CONCATENATE(AO$4,AO$5,AO$7),ROUTE_PER_DAY_ROUTES,0),MATCH(AO$6,ROUTE_PER_DAY_SHIPS,0))*(AM33-AM32))-(INDEX(ROUTE_PER_DAY_BY_SHIP,MATCH(CONCATENATE(AO$4,AO$5,AO$7),ROUTE_PER_DAY_ROUTES,0),MATCH(AO$6,ROUTE_PER_DAY_SHIPS,0))*(AM33-AM32))*HLOOKUP(AO$6,SHIPS,7,0)*INDEX(LADEN_VOYAGE_DAYS,MATCH(CONCATENATE(AO$4,AO$5,AO$7),LADEN_VOYAGE_ROUTES,0),MATCH(AO$6,LADEN_VOYAGE_SHIPS,0)))),0)</f>
        <v>0</v>
      </c>
      <c r="AQ32" s="349" t="n">
        <f aca="false">-(AP32)*PORTS!$I$6</f>
        <v>-0</v>
      </c>
      <c r="AR32" s="327" t="n">
        <f aca="false">+AP32+AQ32</f>
        <v>0</v>
      </c>
      <c r="AS32" s="333"/>
      <c r="AT32" s="346" t="n">
        <f aca="false">+DATE(YEAR(AT31),MONTH(AT31)+1,1)</f>
        <v>37135</v>
      </c>
      <c r="AU32" s="343" t="n">
        <f aca="false">+AR32*(VLOOKUP(AT32,CURVECALC!$C$6:$J$312,4,0)+AV$5)</f>
        <v>0</v>
      </c>
      <c r="AV32" s="350" t="n">
        <f aca="false">-AN32*INDEX(ship_curves,MATCH(AT32,'SHIP CURVES'!$A$9:$A$316,0),MATCH(CONCATENATE(AX$4,AX$5,AX$6,AX$7),'SHIP CURVES'!$A$9:$AZ$9,0))</f>
        <v>-0</v>
      </c>
      <c r="AW32" s="351" t="n">
        <f aca="false">-AP32*INDEX(port_processing_fee,MATCH(AT32,PORTS!$H$626:$H$933,0),MATCH(AX$5,PORTS!$H$626:$Z$626,0))</f>
        <v>-0</v>
      </c>
      <c r="AX32" s="352" t="n">
        <f aca="false">(((VLOOKUP(AT32,curvecalc,4,0))*IF(AN32=0,0,AR32/AN32)-INDEX(ship_curves,MATCH(AT32,'SHIP CURVES'!$A$9:$A$316,0),MATCH(CONCATENATE(AX$4,AX$5,AX$6,AX$7),'SHIP CURVES'!$A$9:$Z$9,0))-INDEX(terminal_curves,MATCH(AT32,'TERMINAL CURVES'!$A$4:$A$313,0),MATCH(AX$5,'TERMINAL CURVES'!$A$4:$N$4,0))*IF(AN32=0,0,AP32/AN32))-(AV$8)*((AV$7-$N$5)-(INDEX(ship_curves,MATCH(AT32,'SHIP CURVES'!$A$9:$A$316,0),MATCH(CONCATENATE(AX$4,AX$5,AX$6,AX$7),'SHIP CURVES'!$A$9:$Z$9,0))-INDEX(ship_curves,MATCH(AT32,'SHIP CURVES'!$A$9:$A$316,0),MATCH(CONCATENATE(AX$4,AV$6,AX$6,AX$7),'SHIP CURVES'!$A$9:$Z$9,0)))-(INDEX(terminal_curves,MATCH(AT32,'TERMINAL CURVES'!$A$4:$A$313,0),MATCH(AX$5,'TERMINAL CURVES'!$A$4:$N$4,0))-INDEX(terminal_curves,MATCH(AT32,'TERMINAL CURVES'!$A$4:$A$313,0),MATCH(AV$6,'TERMINAL CURVES'!$A$4:$N$4,0)))*IF(AN32=0,0,AP32/AN32)))*-AN32</f>
        <v>0</v>
      </c>
      <c r="AY32" s="356" t="n">
        <f aca="false">SUM(AV32:AX32)</f>
        <v>0</v>
      </c>
      <c r="AZ32" s="357" t="n">
        <f aca="false">(-AP32/((HLOOKUP(AX$5,port_specs,2,0)/(365.25))*(AT33-AT32)))*(INDEX(fixed_capacity_charge,MATCH(AT32,PORTS!$H$11:$H$317,0),MATCH(AX$5,PORTS!$H$11:$N$11,0))+INDEX(variable_om_charge,MATCH(AT32,PORTS!$H$318:$H$625,0),MATCH(AX$5,PORTS!$H$318:$N$318,0)))</f>
        <v>-0</v>
      </c>
      <c r="BA32" s="343" t="n">
        <f aca="false">+AZ32+AY32</f>
        <v>0</v>
      </c>
      <c r="BB32" s="355" t="n">
        <f aca="false">+BA32+AU32</f>
        <v>0</v>
      </c>
      <c r="BC32" s="99"/>
      <c r="BD32" s="357" t="n">
        <f aca="false">+PORTS!I26+PORTS!I334</f>
        <v>0</v>
      </c>
    </row>
    <row r="33" customFormat="false" ht="12.75" hidden="false" customHeight="false" outlineLevel="0" collapsed="false">
      <c r="A33" s="346" t="n">
        <f aca="false">+DATE(YEAR(A32),MONTH(A32)+1,1)</f>
        <v>37165</v>
      </c>
      <c r="B33" s="327" t="n">
        <f aca="false">+IF(AND($A33&gt;=$C$8,$A33&lt;=$C$9),1,0)*PORTS!$I$5/(365.25)*(A34-A33)</f>
        <v>0</v>
      </c>
      <c r="C33" s="328" t="n">
        <f aca="false">+B33-(SUMIF($F$17:$IV$17,$H$17,$F33:$IV33))</f>
        <v>0</v>
      </c>
      <c r="D33" s="0" t="n">
        <f aca="false">+YEAR(E33)</f>
        <v>2001</v>
      </c>
      <c r="E33" s="346" t="n">
        <f aca="false">+DATE(YEAR(E32),MONTH(E32)+1,1)</f>
        <v>37165</v>
      </c>
      <c r="F33" s="327" t="n">
        <f aca="false">+IF(AND(G$8&lt;=E33,G$9&gt;=E33),INDEX(ROUTE_PER_DAY_BY_SHIP,MATCH(CONCATENATE(G$4,G$5,G$7),ROUTE_PER_DAY_ROUTES,0),MATCH(G$6,ROUTE_PER_DAY_SHIPS,0))*(E34-E33),0)</f>
        <v>0</v>
      </c>
      <c r="G33" s="347" t="n">
        <f aca="false">-F33*HLOOKUP(G$6,SHIPS,7,0)*INDEX(LADEN_VOYAGE_DAYS,MATCH(CONCATENATE(G$4,G$5,G$7),LADEN_VOYAGE_ROUTES,0),MATCH(G$6,LADEN_VOYAGE_SHIPS,0))</f>
        <v>-0</v>
      </c>
      <c r="H33" s="348" t="n">
        <f aca="false">SUM(F33:G33)</f>
        <v>0</v>
      </c>
      <c r="I33" s="349" t="n">
        <f aca="false">-(H33)*HLOOKUP(G$5,TERMINAL_CHARGES,3,0)</f>
        <v>-0</v>
      </c>
      <c r="J33" s="327" t="n">
        <f aca="false">+H33+I33</f>
        <v>0</v>
      </c>
      <c r="K33" s="333"/>
      <c r="L33" s="346" t="n">
        <f aca="false">+DATE(YEAR(L32),MONTH(L32)+1,1)</f>
        <v>37165</v>
      </c>
      <c r="M33" s="334" t="n">
        <f aca="false">+J33*(VLOOKUP(L33,CURVECALC!$C$6:$J$312,4,0)+N$5)</f>
        <v>0</v>
      </c>
      <c r="N33" s="350" t="n">
        <f aca="false">-F33*INDEX(ship_curves,MATCH(L33,'SHIP CURVES'!$A$9:$A$316,0),MATCH(CONCATENATE(P$4,P$5,P$6,P$7),'SHIP CURVES'!$A$9:$AZ$9,0))</f>
        <v>-0</v>
      </c>
      <c r="O33" s="351" t="n">
        <f aca="false">-H33*INDEX(port_processing_fee,MATCH(L33,PORTS!$H$626:$H$933,0),MATCH(P$5,PORTS!$H$626:$Z$626,0))</f>
        <v>-0</v>
      </c>
      <c r="P33" s="352" t="n">
        <f aca="false">(((VLOOKUP(L33,curvecalc,4,0))*IF(F33=0,0,J33/F33)-INDEX(ship_curves,MATCH(L33,'SHIP CURVES'!$A$9:$A$316,0),MATCH(CONCATENATE(P$4,P$5,P$6,P$7),'SHIP CURVES'!$A$9:$Z$9,0))-INDEX(terminal_curves,MATCH(L33,'TERMINAL CURVES'!$A$4:$A$313,0),MATCH(P$5,'TERMINAL CURVES'!$A$4:$N$4,0))*IF(F33=0,0,H33/F33))-(N$8)*((N$7-$N$5)-(INDEX(ship_curves,MATCH(L33,'SHIP CURVES'!$A$9:$A$316,0),MATCH(CONCATENATE(P$4,P$5,P$6,P$7),'SHIP CURVES'!$A$9:$Z$9,0))-INDEX(ship_curves,MATCH(L33,'SHIP CURVES'!$A$9:$A$316,0),MATCH(CONCATENATE(P$4,N$6,P$6,P$7),'SHIP CURVES'!$A$9:$Z$9,0)))-(INDEX(terminal_curves,MATCH(L33,'TERMINAL CURVES'!$A$4:$A$313,0),MATCH(P$5,'TERMINAL CURVES'!$A$4:$N$4,0))-INDEX(terminal_curves,MATCH(L33,'TERMINAL CURVES'!$A$4:$A$313,0),MATCH(N$6,'TERMINAL CURVES'!$A$4:$N$4,0)))*IF(F33=0,0,H33/F33)))*-F33</f>
        <v>0</v>
      </c>
      <c r="Q33" s="353" t="n">
        <f aca="false">SUM(N33:P33)</f>
        <v>0</v>
      </c>
      <c r="R33" s="357" t="n">
        <f aca="false">(-H33/((HLOOKUP(P$5,port_specs,2,0)/(365.25))*(L34-L33)))*(INDEX(fixed_capacity_charge,MATCH(L33,PORTS!$H$11:$H$317,0),MATCH(P$5,PORTS!$H$11:$N$11,0))+INDEX(variable_om_charge,MATCH(L33,PORTS!$H$318:$H$625,0),MATCH(P$5,PORTS!$H$318:$N$318,0)))</f>
        <v>-0</v>
      </c>
      <c r="S33" s="343" t="n">
        <f aca="false">+R33+Q33</f>
        <v>0</v>
      </c>
      <c r="T33" s="355" t="n">
        <f aca="false">+S33+M33</f>
        <v>0</v>
      </c>
      <c r="U33" s="342"/>
      <c r="V33" s="346" t="n">
        <f aca="false">+DATE(YEAR(V32),MONTH(V32)+1,1)</f>
        <v>37165</v>
      </c>
      <c r="W33" s="327" t="n">
        <f aca="false">+Y33/(1-HLOOKUP(X$6,SHIPS,7,0)*INDEX(LADEN_VOYAGE_DAYS,MATCH(CONCATENATE(X$4,X$5),LADEN_VOYAGE_ROUTES,0),MATCH(X$6,LADEN_VOYAGE_SHIPS,0)))</f>
        <v>0</v>
      </c>
      <c r="X33" s="347" t="n">
        <f aca="false">+Y33-W33</f>
        <v>0</v>
      </c>
      <c r="Y33" s="348" t="n">
        <f aca="false">+IF(AND(X$8&lt;=V33,X$9&gt;=V33),+MIN($B33-SUMIF($H$17:X$17,Y$17,$H33:X33),((INDEX(ROUTE_PER_DAY_BY_SHIP,MATCH(CONCATENATE(X$4,X$5,X$7),ROUTE_PER_DAY_ROUTES,0),MATCH(X$6,ROUTE_PER_DAY_SHIPS,0))*(V34-V33))-(INDEX(ROUTE_PER_DAY_BY_SHIP,MATCH(CONCATENATE(X$4,X$5,X$7),ROUTE_PER_DAY_ROUTES,0),MATCH(X$6,ROUTE_PER_DAY_SHIPS,0))*(V34-V33))*HLOOKUP(X$6,SHIPS,7,0)*INDEX(LADEN_VOYAGE_DAYS,MATCH(CONCATENATE(X$4,X$5,X$7),LADEN_VOYAGE_ROUTES,0),MATCH(X$6,LADEN_VOYAGE_SHIPS,0)))),0)</f>
        <v>0</v>
      </c>
      <c r="Z33" s="349" t="n">
        <f aca="false">-(Y33)*HLOOKUP(X$5,TERMINAL_CHARGES,3,0)</f>
        <v>-0</v>
      </c>
      <c r="AA33" s="327" t="n">
        <f aca="false">+Y33+Z33</f>
        <v>0</v>
      </c>
      <c r="AB33" s="333"/>
      <c r="AC33" s="346" t="n">
        <f aca="false">+DATE(YEAR(AC32),MONTH(AC32)+1,1)</f>
        <v>37165</v>
      </c>
      <c r="AD33" s="343" t="n">
        <f aca="false">+AA33*(VLOOKUP(AC33,CURVECALC!$C$6:$J$312,4,0)+AE$5)</f>
        <v>0</v>
      </c>
      <c r="AE33" s="350" t="n">
        <f aca="false">-W33*INDEX(ship_curves,MATCH(AC33,'SHIP CURVES'!$A$9:$A$316,0),MATCH(CONCATENATE(AG$4,AG$5,AG$6,AG$7),'SHIP CURVES'!$A$9:$AZ$9,0))</f>
        <v>-0</v>
      </c>
      <c r="AF33" s="351" t="n">
        <f aca="false">-Y33*INDEX(port_processing_fee,MATCH(AC33,PORTS!$H$626:$H$933,0),MATCH(AG$5,PORTS!$H$626:$Z$626,0))</f>
        <v>-0</v>
      </c>
      <c r="AG33" s="352" t="n">
        <f aca="false">(((VLOOKUP(AC33,curvecalc,4,0))*IF(W33=0,0,AA33/W33)-INDEX(ship_curves,MATCH(AC33,'SHIP CURVES'!$A$9:$A$316,0),MATCH(CONCATENATE(AG$4,AG$5,AG$6,AG$7),'SHIP CURVES'!$A$9:$Z$9,0))-INDEX(terminal_curves,MATCH(AC33,'TERMINAL CURVES'!$A$4:$A$313,0),MATCH(AG$5,'TERMINAL CURVES'!$A$4:$N$4,0))*IF(W33=0,0,Y33/W33))-(AE$8)*((AE$7-$N$5)-(INDEX(ship_curves,MATCH(AC33,'SHIP CURVES'!$A$9:$A$316,0),MATCH(CONCATENATE(AG$4,AG$5,AG$6,AG$7),'SHIP CURVES'!$A$9:$Z$9,0))-INDEX(ship_curves,MATCH(AC33,'SHIP CURVES'!$A$9:$A$316,0),MATCH(CONCATENATE(AG$4,AE$6,AG$6,AG$7),'SHIP CURVES'!$A$9:$Z$9,0)))-(INDEX(terminal_curves,MATCH(AC33,'TERMINAL CURVES'!$A$4:$A$313,0),MATCH(AG$5,'TERMINAL CURVES'!$A$4:$N$4,0))-INDEX(terminal_curves,MATCH(AC33,'TERMINAL CURVES'!$A$4:$A$313,0),MATCH(AE$6,'TERMINAL CURVES'!$A$4:$N$4,0)))*IF(W33=0,0,Y33/W33)))*-W33</f>
        <v>0</v>
      </c>
      <c r="AH33" s="356" t="n">
        <f aca="false">SUM(AE33:AG33)</f>
        <v>0</v>
      </c>
      <c r="AI33" s="357" t="n">
        <f aca="false">(-Y33/((HLOOKUP(AG$5,port_specs,2,0)/(365.25))*(AC34-AC33)))*(INDEX(fixed_capacity_charge,MATCH(AC33,PORTS!$H$11:$H$317,0),MATCH(AG$5,PORTS!$H$11:$N$11,0))+INDEX(variable_om_charge,MATCH(AC33,PORTS!$H$318:$H$625,0),MATCH(AG$5,PORTS!$H$318:$N$318,0)))</f>
        <v>-0</v>
      </c>
      <c r="AJ33" s="343" t="n">
        <f aca="false">+AI33+AH33</f>
        <v>0</v>
      </c>
      <c r="AK33" s="355" t="n">
        <f aca="false">+AJ33+AD33</f>
        <v>0</v>
      </c>
      <c r="AM33" s="346" t="n">
        <f aca="false">+DATE(YEAR(AM32),MONTH(AM32)+1,1)</f>
        <v>37165</v>
      </c>
      <c r="AN33" s="327" t="n">
        <f aca="false">+AP33/(1-HLOOKUP(AO$6,SHIPS,7,0)*INDEX(LADEN_VOYAGE_DAYS,MATCH(CONCATENATE(AO$4,AO$5),LADEN_VOYAGE_ROUTES,0),MATCH(AO$6,LADEN_VOYAGE_SHIPS,0)))</f>
        <v>0</v>
      </c>
      <c r="AO33" s="347" t="n">
        <f aca="false">+AP33-AN33</f>
        <v>0</v>
      </c>
      <c r="AP33" s="348" t="n">
        <f aca="false">+IF(AND(AO$8&lt;=AM33,AO$9&gt;=AM33),+MIN($B33-SUMIF($H$17:AO$17,AP$17,$H33:AO33),((INDEX(ROUTE_PER_DAY_BY_SHIP,MATCH(CONCATENATE(AO$4,AO$5,AO$7),ROUTE_PER_DAY_ROUTES,0),MATCH(AO$6,ROUTE_PER_DAY_SHIPS,0))*(AM34-AM33))-(INDEX(ROUTE_PER_DAY_BY_SHIP,MATCH(CONCATENATE(AO$4,AO$5,AO$7),ROUTE_PER_DAY_ROUTES,0),MATCH(AO$6,ROUTE_PER_DAY_SHIPS,0))*(AM34-AM33))*HLOOKUP(AO$6,SHIPS,7,0)*INDEX(LADEN_VOYAGE_DAYS,MATCH(CONCATENATE(AO$4,AO$5,AO$7),LADEN_VOYAGE_ROUTES,0),MATCH(AO$6,LADEN_VOYAGE_SHIPS,0)))),0)</f>
        <v>0</v>
      </c>
      <c r="AQ33" s="349" t="n">
        <f aca="false">-(AP33)*PORTS!$I$6</f>
        <v>-0</v>
      </c>
      <c r="AR33" s="327" t="n">
        <f aca="false">+AP33+AQ33</f>
        <v>0</v>
      </c>
      <c r="AS33" s="333"/>
      <c r="AT33" s="346" t="n">
        <f aca="false">+DATE(YEAR(AT32),MONTH(AT32)+1,1)</f>
        <v>37165</v>
      </c>
      <c r="AU33" s="343" t="n">
        <f aca="false">+AR33*(VLOOKUP(AT33,CURVECALC!$C$6:$J$312,4,0)+AV$5)</f>
        <v>0</v>
      </c>
      <c r="AV33" s="350" t="n">
        <f aca="false">-AN33*INDEX(ship_curves,MATCH(AT33,'SHIP CURVES'!$A$9:$A$316,0),MATCH(CONCATENATE(AX$4,AX$5,AX$6,AX$7),'SHIP CURVES'!$A$9:$AZ$9,0))</f>
        <v>-0</v>
      </c>
      <c r="AW33" s="351" t="n">
        <f aca="false">-AP33*INDEX(port_processing_fee,MATCH(AT33,PORTS!$H$626:$H$933,0),MATCH(AX$5,PORTS!$H$626:$Z$626,0))</f>
        <v>-0</v>
      </c>
      <c r="AX33" s="352" t="n">
        <f aca="false">(((VLOOKUP(AT33,curvecalc,4,0))*IF(AN33=0,0,AR33/AN33)-INDEX(ship_curves,MATCH(AT33,'SHIP CURVES'!$A$9:$A$316,0),MATCH(CONCATENATE(AX$4,AX$5,AX$6,AX$7),'SHIP CURVES'!$A$9:$Z$9,0))-INDEX(terminal_curves,MATCH(AT33,'TERMINAL CURVES'!$A$4:$A$313,0),MATCH(AX$5,'TERMINAL CURVES'!$A$4:$N$4,0))*IF(AN33=0,0,AP33/AN33))-(AV$8)*((AV$7-$N$5)-(INDEX(ship_curves,MATCH(AT33,'SHIP CURVES'!$A$9:$A$316,0),MATCH(CONCATENATE(AX$4,AX$5,AX$6,AX$7),'SHIP CURVES'!$A$9:$Z$9,0))-INDEX(ship_curves,MATCH(AT33,'SHIP CURVES'!$A$9:$A$316,0),MATCH(CONCATENATE(AX$4,AV$6,AX$6,AX$7),'SHIP CURVES'!$A$9:$Z$9,0)))-(INDEX(terminal_curves,MATCH(AT33,'TERMINAL CURVES'!$A$4:$A$313,0),MATCH(AX$5,'TERMINAL CURVES'!$A$4:$N$4,0))-INDEX(terminal_curves,MATCH(AT33,'TERMINAL CURVES'!$A$4:$A$313,0),MATCH(AV$6,'TERMINAL CURVES'!$A$4:$N$4,0)))*IF(AN33=0,0,AP33/AN33)))*-AN33</f>
        <v>0</v>
      </c>
      <c r="AY33" s="356" t="n">
        <f aca="false">SUM(AV33:AX33)</f>
        <v>0</v>
      </c>
      <c r="AZ33" s="357" t="n">
        <f aca="false">(-AP33/((HLOOKUP(AX$5,port_specs,2,0)/(365.25))*(AT34-AT33)))*(INDEX(fixed_capacity_charge,MATCH(AT33,PORTS!$H$11:$H$317,0),MATCH(AX$5,PORTS!$H$11:$N$11,0))+INDEX(variable_om_charge,MATCH(AT33,PORTS!$H$318:$H$625,0),MATCH(AX$5,PORTS!$H$318:$N$318,0)))</f>
        <v>-0</v>
      </c>
      <c r="BA33" s="343" t="n">
        <f aca="false">+AZ33+AY33</f>
        <v>0</v>
      </c>
      <c r="BB33" s="355" t="n">
        <f aca="false">+BA33+AU33</f>
        <v>0</v>
      </c>
      <c r="BC33" s="99"/>
      <c r="BD33" s="357" t="n">
        <f aca="false">+PORTS!I27+PORTS!I335</f>
        <v>0</v>
      </c>
    </row>
    <row r="34" customFormat="false" ht="12.75" hidden="false" customHeight="false" outlineLevel="0" collapsed="false">
      <c r="A34" s="346" t="n">
        <f aca="false">+DATE(YEAR(A33),MONTH(A33)+1,1)</f>
        <v>37196</v>
      </c>
      <c r="B34" s="327" t="n">
        <f aca="false">+IF(AND($A34&gt;=$C$8,$A34&lt;=$C$9),1,0)*PORTS!$I$5/(365.25)*(A35-A34)</f>
        <v>0</v>
      </c>
      <c r="C34" s="328" t="n">
        <f aca="false">+B34-(SUMIF($F$17:$IV$17,$H$17,$F34:$IV34))</f>
        <v>0</v>
      </c>
      <c r="D34" s="0" t="n">
        <f aca="false">+YEAR(E34)</f>
        <v>2001</v>
      </c>
      <c r="E34" s="346" t="n">
        <f aca="false">+DATE(YEAR(E33),MONTH(E33)+1,1)</f>
        <v>37196</v>
      </c>
      <c r="F34" s="327" t="n">
        <f aca="false">+IF(AND(G$8&lt;=E34,G$9&gt;=E34),INDEX(ROUTE_PER_DAY_BY_SHIP,MATCH(CONCATENATE(G$4,G$5,G$7),ROUTE_PER_DAY_ROUTES,0),MATCH(G$6,ROUTE_PER_DAY_SHIPS,0))*(E35-E34),0)</f>
        <v>0</v>
      </c>
      <c r="G34" s="347" t="n">
        <f aca="false">-F34*HLOOKUP(G$6,SHIPS,7,0)*INDEX(LADEN_VOYAGE_DAYS,MATCH(CONCATENATE(G$4,G$5,G$7),LADEN_VOYAGE_ROUTES,0),MATCH(G$6,LADEN_VOYAGE_SHIPS,0))</f>
        <v>-0</v>
      </c>
      <c r="H34" s="348" t="n">
        <f aca="false">SUM(F34:G34)</f>
        <v>0</v>
      </c>
      <c r="I34" s="349" t="n">
        <f aca="false">-(H34)*HLOOKUP(G$5,TERMINAL_CHARGES,3,0)</f>
        <v>-0</v>
      </c>
      <c r="J34" s="327" t="n">
        <f aca="false">+H34+I34</f>
        <v>0</v>
      </c>
      <c r="K34" s="333"/>
      <c r="L34" s="346" t="n">
        <f aca="false">+DATE(YEAR(L33),MONTH(L33)+1,1)</f>
        <v>37196</v>
      </c>
      <c r="M34" s="334" t="n">
        <f aca="false">+J34*(VLOOKUP(L34,CURVECALC!$C$6:$J$312,4,0)+N$5)</f>
        <v>0</v>
      </c>
      <c r="N34" s="350" t="n">
        <f aca="false">-F34*INDEX(ship_curves,MATCH(L34,'SHIP CURVES'!$A$9:$A$316,0),MATCH(CONCATENATE(P$4,P$5,P$6,P$7),'SHIP CURVES'!$A$9:$AZ$9,0))</f>
        <v>-0</v>
      </c>
      <c r="O34" s="351" t="n">
        <f aca="false">-H34*INDEX(port_processing_fee,MATCH(L34,PORTS!$H$626:$H$933,0),MATCH(P$5,PORTS!$H$626:$Z$626,0))</f>
        <v>-0</v>
      </c>
      <c r="P34" s="352" t="n">
        <f aca="false">(((VLOOKUP(L34,curvecalc,4,0))*IF(F34=0,0,J34/F34)-INDEX(ship_curves,MATCH(L34,'SHIP CURVES'!$A$9:$A$316,0),MATCH(CONCATENATE(P$4,P$5,P$6,P$7),'SHIP CURVES'!$A$9:$Z$9,0))-INDEX(terminal_curves,MATCH(L34,'TERMINAL CURVES'!$A$4:$A$313,0),MATCH(P$5,'TERMINAL CURVES'!$A$4:$N$4,0))*IF(F34=0,0,H34/F34))-(N$8)*((N$7-$N$5)-(INDEX(ship_curves,MATCH(L34,'SHIP CURVES'!$A$9:$A$316,0),MATCH(CONCATENATE(P$4,P$5,P$6,P$7),'SHIP CURVES'!$A$9:$Z$9,0))-INDEX(ship_curves,MATCH(L34,'SHIP CURVES'!$A$9:$A$316,0),MATCH(CONCATENATE(P$4,N$6,P$6,P$7),'SHIP CURVES'!$A$9:$Z$9,0)))-(INDEX(terminal_curves,MATCH(L34,'TERMINAL CURVES'!$A$4:$A$313,0),MATCH(P$5,'TERMINAL CURVES'!$A$4:$N$4,0))-INDEX(terminal_curves,MATCH(L34,'TERMINAL CURVES'!$A$4:$A$313,0),MATCH(N$6,'TERMINAL CURVES'!$A$4:$N$4,0)))*IF(F34=0,0,H34/F34)))*-F34</f>
        <v>0</v>
      </c>
      <c r="Q34" s="353" t="n">
        <f aca="false">SUM(N34:P34)</f>
        <v>0</v>
      </c>
      <c r="R34" s="357" t="n">
        <f aca="false">(-H34/((HLOOKUP(P$5,port_specs,2,0)/(365.25))*(L35-L34)))*(INDEX(fixed_capacity_charge,MATCH(L34,PORTS!$H$11:$H$317,0),MATCH(P$5,PORTS!$H$11:$N$11,0))+INDEX(variable_om_charge,MATCH(L34,PORTS!$H$318:$H$625,0),MATCH(P$5,PORTS!$H$318:$N$318,0)))</f>
        <v>-0</v>
      </c>
      <c r="S34" s="343" t="n">
        <f aca="false">+R34+Q34</f>
        <v>0</v>
      </c>
      <c r="T34" s="355" t="n">
        <f aca="false">+S34+M34</f>
        <v>0</v>
      </c>
      <c r="U34" s="342"/>
      <c r="V34" s="346" t="n">
        <f aca="false">+DATE(YEAR(V33),MONTH(V33)+1,1)</f>
        <v>37196</v>
      </c>
      <c r="W34" s="327" t="n">
        <f aca="false">+Y34/(1-HLOOKUP(X$6,SHIPS,7,0)*INDEX(LADEN_VOYAGE_DAYS,MATCH(CONCATENATE(X$4,X$5),LADEN_VOYAGE_ROUTES,0),MATCH(X$6,LADEN_VOYAGE_SHIPS,0)))</f>
        <v>0</v>
      </c>
      <c r="X34" s="347" t="n">
        <f aca="false">+Y34-W34</f>
        <v>0</v>
      </c>
      <c r="Y34" s="348" t="n">
        <f aca="false">+IF(AND(X$8&lt;=V34,X$9&gt;=V34),+MIN($B34-SUMIF($H$17:X$17,Y$17,$H34:X34),((INDEX(ROUTE_PER_DAY_BY_SHIP,MATCH(CONCATENATE(X$4,X$5,X$7),ROUTE_PER_DAY_ROUTES,0),MATCH(X$6,ROUTE_PER_DAY_SHIPS,0))*(V35-V34))-(INDEX(ROUTE_PER_DAY_BY_SHIP,MATCH(CONCATENATE(X$4,X$5,X$7),ROUTE_PER_DAY_ROUTES,0),MATCH(X$6,ROUTE_PER_DAY_SHIPS,0))*(V35-V34))*HLOOKUP(X$6,SHIPS,7,0)*INDEX(LADEN_VOYAGE_DAYS,MATCH(CONCATENATE(X$4,X$5,X$7),LADEN_VOYAGE_ROUTES,0),MATCH(X$6,LADEN_VOYAGE_SHIPS,0)))),0)</f>
        <v>0</v>
      </c>
      <c r="Z34" s="349" t="n">
        <f aca="false">-(Y34)*HLOOKUP(X$5,TERMINAL_CHARGES,3,0)</f>
        <v>-0</v>
      </c>
      <c r="AA34" s="327" t="n">
        <f aca="false">+Y34+Z34</f>
        <v>0</v>
      </c>
      <c r="AB34" s="333"/>
      <c r="AC34" s="346" t="n">
        <f aca="false">+DATE(YEAR(AC33),MONTH(AC33)+1,1)</f>
        <v>37196</v>
      </c>
      <c r="AD34" s="343" t="n">
        <f aca="false">+AA34*(VLOOKUP(AC34,CURVECALC!$C$6:$J$312,4,0)+AE$5)</f>
        <v>0</v>
      </c>
      <c r="AE34" s="350" t="n">
        <f aca="false">-W34*INDEX(ship_curves,MATCH(AC34,'SHIP CURVES'!$A$9:$A$316,0),MATCH(CONCATENATE(AG$4,AG$5,AG$6,AG$7),'SHIP CURVES'!$A$9:$AZ$9,0))</f>
        <v>-0</v>
      </c>
      <c r="AF34" s="351" t="n">
        <f aca="false">-Y34*INDEX(port_processing_fee,MATCH(AC34,PORTS!$H$626:$H$933,0),MATCH(AG$5,PORTS!$H$626:$Z$626,0))</f>
        <v>-0</v>
      </c>
      <c r="AG34" s="352" t="n">
        <f aca="false">(((VLOOKUP(AC34,curvecalc,4,0))*IF(W34=0,0,AA34/W34)-INDEX(ship_curves,MATCH(AC34,'SHIP CURVES'!$A$9:$A$316,0),MATCH(CONCATENATE(AG$4,AG$5,AG$6,AG$7),'SHIP CURVES'!$A$9:$Z$9,0))-INDEX(terminal_curves,MATCH(AC34,'TERMINAL CURVES'!$A$4:$A$313,0),MATCH(AG$5,'TERMINAL CURVES'!$A$4:$N$4,0))*IF(W34=0,0,Y34/W34))-(AE$8)*((AE$7-$N$5)-(INDEX(ship_curves,MATCH(AC34,'SHIP CURVES'!$A$9:$A$316,0),MATCH(CONCATENATE(AG$4,AG$5,AG$6,AG$7),'SHIP CURVES'!$A$9:$Z$9,0))-INDEX(ship_curves,MATCH(AC34,'SHIP CURVES'!$A$9:$A$316,0),MATCH(CONCATENATE(AG$4,AE$6,AG$6,AG$7),'SHIP CURVES'!$A$9:$Z$9,0)))-(INDEX(terminal_curves,MATCH(AC34,'TERMINAL CURVES'!$A$4:$A$313,0),MATCH(AG$5,'TERMINAL CURVES'!$A$4:$N$4,0))-INDEX(terminal_curves,MATCH(AC34,'TERMINAL CURVES'!$A$4:$A$313,0),MATCH(AE$6,'TERMINAL CURVES'!$A$4:$N$4,0)))*IF(W34=0,0,Y34/W34)))*-W34</f>
        <v>0</v>
      </c>
      <c r="AH34" s="356" t="n">
        <f aca="false">SUM(AE34:AG34)</f>
        <v>0</v>
      </c>
      <c r="AI34" s="357" t="n">
        <f aca="false">(-Y34/((HLOOKUP(AG$5,port_specs,2,0)/(365.25))*(AC35-AC34)))*(INDEX(fixed_capacity_charge,MATCH(AC34,PORTS!$H$11:$H$317,0),MATCH(AG$5,PORTS!$H$11:$N$11,0))+INDEX(variable_om_charge,MATCH(AC34,PORTS!$H$318:$H$625,0),MATCH(AG$5,PORTS!$H$318:$N$318,0)))</f>
        <v>-0</v>
      </c>
      <c r="AJ34" s="343" t="n">
        <f aca="false">+AI34+AH34</f>
        <v>0</v>
      </c>
      <c r="AK34" s="355" t="n">
        <f aca="false">+AJ34+AD34</f>
        <v>0</v>
      </c>
      <c r="AM34" s="346" t="n">
        <f aca="false">+DATE(YEAR(AM33),MONTH(AM33)+1,1)</f>
        <v>37196</v>
      </c>
      <c r="AN34" s="327" t="n">
        <f aca="false">+AP34/(1-HLOOKUP(AO$6,SHIPS,7,0)*INDEX(LADEN_VOYAGE_DAYS,MATCH(CONCATENATE(AO$4,AO$5),LADEN_VOYAGE_ROUTES,0),MATCH(AO$6,LADEN_VOYAGE_SHIPS,0)))</f>
        <v>0</v>
      </c>
      <c r="AO34" s="347" t="n">
        <f aca="false">+AP34-AN34</f>
        <v>0</v>
      </c>
      <c r="AP34" s="348" t="n">
        <f aca="false">+IF(AND(AO$8&lt;=AM34,AO$9&gt;=AM34),+MIN($B34-SUMIF($H$17:AO$17,AP$17,$H34:AO34),((INDEX(ROUTE_PER_DAY_BY_SHIP,MATCH(CONCATENATE(AO$4,AO$5,AO$7),ROUTE_PER_DAY_ROUTES,0),MATCH(AO$6,ROUTE_PER_DAY_SHIPS,0))*(AM35-AM34))-(INDEX(ROUTE_PER_DAY_BY_SHIP,MATCH(CONCATENATE(AO$4,AO$5,AO$7),ROUTE_PER_DAY_ROUTES,0),MATCH(AO$6,ROUTE_PER_DAY_SHIPS,0))*(AM35-AM34))*HLOOKUP(AO$6,SHIPS,7,0)*INDEX(LADEN_VOYAGE_DAYS,MATCH(CONCATENATE(AO$4,AO$5,AO$7),LADEN_VOYAGE_ROUTES,0),MATCH(AO$6,LADEN_VOYAGE_SHIPS,0)))),0)</f>
        <v>0</v>
      </c>
      <c r="AQ34" s="349" t="n">
        <f aca="false">-(AP34)*PORTS!$I$6</f>
        <v>-0</v>
      </c>
      <c r="AR34" s="327" t="n">
        <f aca="false">+AP34+AQ34</f>
        <v>0</v>
      </c>
      <c r="AS34" s="333"/>
      <c r="AT34" s="346" t="n">
        <f aca="false">+DATE(YEAR(AT33),MONTH(AT33)+1,1)</f>
        <v>37196</v>
      </c>
      <c r="AU34" s="343" t="n">
        <f aca="false">+AR34*(VLOOKUP(AT34,CURVECALC!$C$6:$J$312,4,0)+AV$5)</f>
        <v>0</v>
      </c>
      <c r="AV34" s="350" t="n">
        <f aca="false">-AN34*INDEX(ship_curves,MATCH(AT34,'SHIP CURVES'!$A$9:$A$316,0),MATCH(CONCATENATE(AX$4,AX$5,AX$6,AX$7),'SHIP CURVES'!$A$9:$AZ$9,0))</f>
        <v>-0</v>
      </c>
      <c r="AW34" s="351" t="n">
        <f aca="false">-AP34*INDEX(port_processing_fee,MATCH(AT34,PORTS!$H$626:$H$933,0),MATCH(AX$5,PORTS!$H$626:$Z$626,0))</f>
        <v>-0</v>
      </c>
      <c r="AX34" s="352" t="n">
        <f aca="false">(((VLOOKUP(AT34,curvecalc,4,0))*IF(AN34=0,0,AR34/AN34)-INDEX(ship_curves,MATCH(AT34,'SHIP CURVES'!$A$9:$A$316,0),MATCH(CONCATENATE(AX$4,AX$5,AX$6,AX$7),'SHIP CURVES'!$A$9:$Z$9,0))-INDEX(terminal_curves,MATCH(AT34,'TERMINAL CURVES'!$A$4:$A$313,0),MATCH(AX$5,'TERMINAL CURVES'!$A$4:$N$4,0))*IF(AN34=0,0,AP34/AN34))-(AV$8)*((AV$7-$N$5)-(INDEX(ship_curves,MATCH(AT34,'SHIP CURVES'!$A$9:$A$316,0),MATCH(CONCATENATE(AX$4,AX$5,AX$6,AX$7),'SHIP CURVES'!$A$9:$Z$9,0))-INDEX(ship_curves,MATCH(AT34,'SHIP CURVES'!$A$9:$A$316,0),MATCH(CONCATENATE(AX$4,AV$6,AX$6,AX$7),'SHIP CURVES'!$A$9:$Z$9,0)))-(INDEX(terminal_curves,MATCH(AT34,'TERMINAL CURVES'!$A$4:$A$313,0),MATCH(AX$5,'TERMINAL CURVES'!$A$4:$N$4,0))-INDEX(terminal_curves,MATCH(AT34,'TERMINAL CURVES'!$A$4:$A$313,0),MATCH(AV$6,'TERMINAL CURVES'!$A$4:$N$4,0)))*IF(AN34=0,0,AP34/AN34)))*-AN34</f>
        <v>0</v>
      </c>
      <c r="AY34" s="356" t="n">
        <f aca="false">SUM(AV34:AX34)</f>
        <v>0</v>
      </c>
      <c r="AZ34" s="357" t="n">
        <f aca="false">(-AP34/((HLOOKUP(AX$5,port_specs,2,0)/(365.25))*(AT35-AT34)))*(INDEX(fixed_capacity_charge,MATCH(AT34,PORTS!$H$11:$H$317,0),MATCH(AX$5,PORTS!$H$11:$N$11,0))+INDEX(variable_om_charge,MATCH(AT34,PORTS!$H$318:$H$625,0),MATCH(AX$5,PORTS!$H$318:$N$318,0)))</f>
        <v>-0</v>
      </c>
      <c r="BA34" s="343" t="n">
        <f aca="false">+AZ34+AY34</f>
        <v>0</v>
      </c>
      <c r="BB34" s="355" t="n">
        <f aca="false">+BA34+AU34</f>
        <v>0</v>
      </c>
      <c r="BC34" s="99"/>
      <c r="BD34" s="357" t="n">
        <f aca="false">+PORTS!I28+PORTS!I336</f>
        <v>0</v>
      </c>
    </row>
    <row r="35" customFormat="false" ht="12.75" hidden="false" customHeight="false" outlineLevel="0" collapsed="false">
      <c r="A35" s="346" t="n">
        <f aca="false">+DATE(YEAR(A34),MONTH(A34)+1,1)</f>
        <v>37226</v>
      </c>
      <c r="B35" s="327" t="n">
        <f aca="false">+IF(AND($A35&gt;=$C$8,$A35&lt;=$C$9),1,0)*PORTS!$I$5/(365.25)*(A36-A35)</f>
        <v>0</v>
      </c>
      <c r="C35" s="328" t="n">
        <f aca="false">+B35-(SUMIF($F$17:$IV$17,$H$17,$F35:$IV35))</f>
        <v>0</v>
      </c>
      <c r="D35" s="0" t="n">
        <f aca="false">+YEAR(E35)</f>
        <v>2001</v>
      </c>
      <c r="E35" s="346" t="n">
        <f aca="false">+DATE(YEAR(E34),MONTH(E34)+1,1)</f>
        <v>37226</v>
      </c>
      <c r="F35" s="327" t="n">
        <f aca="false">+IF(AND(G$8&lt;=E35,G$9&gt;=E35),INDEX(ROUTE_PER_DAY_BY_SHIP,MATCH(CONCATENATE(G$4,G$5,G$7),ROUTE_PER_DAY_ROUTES,0),MATCH(G$6,ROUTE_PER_DAY_SHIPS,0))*(E36-E35),0)</f>
        <v>0</v>
      </c>
      <c r="G35" s="347" t="n">
        <f aca="false">-F35*HLOOKUP(G$6,SHIPS,7,0)*INDEX(LADEN_VOYAGE_DAYS,MATCH(CONCATENATE(G$4,G$5,G$7),LADEN_VOYAGE_ROUTES,0),MATCH(G$6,LADEN_VOYAGE_SHIPS,0))</f>
        <v>-0</v>
      </c>
      <c r="H35" s="348" t="n">
        <f aca="false">SUM(F35:G35)</f>
        <v>0</v>
      </c>
      <c r="I35" s="349" t="n">
        <f aca="false">-(H35)*HLOOKUP(G$5,TERMINAL_CHARGES,3,0)</f>
        <v>-0</v>
      </c>
      <c r="J35" s="327" t="n">
        <f aca="false">+H35+I35</f>
        <v>0</v>
      </c>
      <c r="K35" s="333"/>
      <c r="L35" s="346" t="n">
        <f aca="false">+DATE(YEAR(L34),MONTH(L34)+1,1)</f>
        <v>37226</v>
      </c>
      <c r="M35" s="334" t="n">
        <f aca="false">+J35*(VLOOKUP(L35,CURVECALC!$C$6:$J$312,4,0)+N$5)</f>
        <v>0</v>
      </c>
      <c r="N35" s="350" t="n">
        <f aca="false">-F35*INDEX(ship_curves,MATCH(L35,'SHIP CURVES'!$A$9:$A$316,0),MATCH(CONCATENATE(P$4,P$5,P$6,P$7),'SHIP CURVES'!$A$9:$AZ$9,0))</f>
        <v>-0</v>
      </c>
      <c r="O35" s="351" t="n">
        <f aca="false">-H35*INDEX(port_processing_fee,MATCH(L35,PORTS!$H$626:$H$933,0),MATCH(P$5,PORTS!$H$626:$Z$626,0))</f>
        <v>-0</v>
      </c>
      <c r="P35" s="352" t="n">
        <f aca="false">(((VLOOKUP(L35,curvecalc,4,0))*IF(F35=0,0,J35/F35)-INDEX(ship_curves,MATCH(L35,'SHIP CURVES'!$A$9:$A$316,0),MATCH(CONCATENATE(P$4,P$5,P$6,P$7),'SHIP CURVES'!$A$9:$Z$9,0))-INDEX(terminal_curves,MATCH(L35,'TERMINAL CURVES'!$A$4:$A$313,0),MATCH(P$5,'TERMINAL CURVES'!$A$4:$N$4,0))*IF(F35=0,0,H35/F35))-(N$8)*((N$7-$N$5)-(INDEX(ship_curves,MATCH(L35,'SHIP CURVES'!$A$9:$A$316,0),MATCH(CONCATENATE(P$4,P$5,P$6,P$7),'SHIP CURVES'!$A$9:$Z$9,0))-INDEX(ship_curves,MATCH(L35,'SHIP CURVES'!$A$9:$A$316,0),MATCH(CONCATENATE(P$4,N$6,P$6,P$7),'SHIP CURVES'!$A$9:$Z$9,0)))-(INDEX(terminal_curves,MATCH(L35,'TERMINAL CURVES'!$A$4:$A$313,0),MATCH(P$5,'TERMINAL CURVES'!$A$4:$N$4,0))-INDEX(terminal_curves,MATCH(L35,'TERMINAL CURVES'!$A$4:$A$313,0),MATCH(N$6,'TERMINAL CURVES'!$A$4:$N$4,0)))*IF(F35=0,0,H35/F35)))*-F35</f>
        <v>0</v>
      </c>
      <c r="Q35" s="353" t="n">
        <f aca="false">SUM(N35:P35)</f>
        <v>0</v>
      </c>
      <c r="R35" s="357" t="n">
        <f aca="false">(-H35/((HLOOKUP(P$5,port_specs,2,0)/(365.25))*(L36-L35)))*(INDEX(fixed_capacity_charge,MATCH(L35,PORTS!$H$11:$H$317,0),MATCH(P$5,PORTS!$H$11:$N$11,0))+INDEX(variable_om_charge,MATCH(L35,PORTS!$H$318:$H$625,0),MATCH(P$5,PORTS!$H$318:$N$318,0)))</f>
        <v>-0</v>
      </c>
      <c r="S35" s="343" t="n">
        <f aca="false">+R35+Q35</f>
        <v>0</v>
      </c>
      <c r="T35" s="355" t="n">
        <f aca="false">+S35+M35</f>
        <v>0</v>
      </c>
      <c r="U35" s="342"/>
      <c r="V35" s="346" t="n">
        <f aca="false">+DATE(YEAR(V34),MONTH(V34)+1,1)</f>
        <v>37226</v>
      </c>
      <c r="W35" s="327" t="n">
        <f aca="false">+Y35/(1-HLOOKUP(X$6,SHIPS,7,0)*INDEX(LADEN_VOYAGE_DAYS,MATCH(CONCATENATE(X$4,X$5),LADEN_VOYAGE_ROUTES,0),MATCH(X$6,LADEN_VOYAGE_SHIPS,0)))</f>
        <v>0</v>
      </c>
      <c r="X35" s="347" t="n">
        <f aca="false">+Y35-W35</f>
        <v>0</v>
      </c>
      <c r="Y35" s="348" t="n">
        <f aca="false">+IF(AND(X$8&lt;=V35,X$9&gt;=V35),+MIN($B35-SUMIF($H$17:X$17,Y$17,$H35:X35),((INDEX(ROUTE_PER_DAY_BY_SHIP,MATCH(CONCATENATE(X$4,X$5,X$7),ROUTE_PER_DAY_ROUTES,0),MATCH(X$6,ROUTE_PER_DAY_SHIPS,0))*(V36-V35))-(INDEX(ROUTE_PER_DAY_BY_SHIP,MATCH(CONCATENATE(X$4,X$5,X$7),ROUTE_PER_DAY_ROUTES,0),MATCH(X$6,ROUTE_PER_DAY_SHIPS,0))*(V36-V35))*HLOOKUP(X$6,SHIPS,7,0)*INDEX(LADEN_VOYAGE_DAYS,MATCH(CONCATENATE(X$4,X$5,X$7),LADEN_VOYAGE_ROUTES,0),MATCH(X$6,LADEN_VOYAGE_SHIPS,0)))),0)</f>
        <v>0</v>
      </c>
      <c r="Z35" s="349" t="n">
        <f aca="false">-(Y35)*HLOOKUP(X$5,TERMINAL_CHARGES,3,0)</f>
        <v>-0</v>
      </c>
      <c r="AA35" s="327" t="n">
        <f aca="false">+Y35+Z35</f>
        <v>0</v>
      </c>
      <c r="AB35" s="333"/>
      <c r="AC35" s="346" t="n">
        <f aca="false">+DATE(YEAR(AC34),MONTH(AC34)+1,1)</f>
        <v>37226</v>
      </c>
      <c r="AD35" s="343" t="n">
        <f aca="false">+AA35*(VLOOKUP(AC35,CURVECALC!$C$6:$J$312,4,0)+AE$5)</f>
        <v>0</v>
      </c>
      <c r="AE35" s="350" t="n">
        <f aca="false">-W35*INDEX(ship_curves,MATCH(AC35,'SHIP CURVES'!$A$9:$A$316,0),MATCH(CONCATENATE(AG$4,AG$5,AG$6,AG$7),'SHIP CURVES'!$A$9:$AZ$9,0))</f>
        <v>-0</v>
      </c>
      <c r="AF35" s="351" t="n">
        <f aca="false">-Y35*INDEX(port_processing_fee,MATCH(AC35,PORTS!$H$626:$H$933,0),MATCH(AG$5,PORTS!$H$626:$Z$626,0))</f>
        <v>-0</v>
      </c>
      <c r="AG35" s="352" t="n">
        <f aca="false">(((VLOOKUP(AC35,curvecalc,4,0))*IF(W35=0,0,AA35/W35)-INDEX(ship_curves,MATCH(AC35,'SHIP CURVES'!$A$9:$A$316,0),MATCH(CONCATENATE(AG$4,AG$5,AG$6,AG$7),'SHIP CURVES'!$A$9:$Z$9,0))-INDEX(terminal_curves,MATCH(AC35,'TERMINAL CURVES'!$A$4:$A$313,0),MATCH(AG$5,'TERMINAL CURVES'!$A$4:$N$4,0))*IF(W35=0,0,Y35/W35))-(AE$8)*((AE$7-$N$5)-(INDEX(ship_curves,MATCH(AC35,'SHIP CURVES'!$A$9:$A$316,0),MATCH(CONCATENATE(AG$4,AG$5,AG$6,AG$7),'SHIP CURVES'!$A$9:$Z$9,0))-INDEX(ship_curves,MATCH(AC35,'SHIP CURVES'!$A$9:$A$316,0),MATCH(CONCATENATE(AG$4,AE$6,AG$6,AG$7),'SHIP CURVES'!$A$9:$Z$9,0)))-(INDEX(terminal_curves,MATCH(AC35,'TERMINAL CURVES'!$A$4:$A$313,0),MATCH(AG$5,'TERMINAL CURVES'!$A$4:$N$4,0))-INDEX(terminal_curves,MATCH(AC35,'TERMINAL CURVES'!$A$4:$A$313,0),MATCH(AE$6,'TERMINAL CURVES'!$A$4:$N$4,0)))*IF(W35=0,0,Y35/W35)))*-W35</f>
        <v>0</v>
      </c>
      <c r="AH35" s="356" t="n">
        <f aca="false">SUM(AE35:AG35)</f>
        <v>0</v>
      </c>
      <c r="AI35" s="357" t="n">
        <f aca="false">(-Y35/((HLOOKUP(AG$5,port_specs,2,0)/(365.25))*(AC36-AC35)))*(INDEX(fixed_capacity_charge,MATCH(AC35,PORTS!$H$11:$H$317,0),MATCH(AG$5,PORTS!$H$11:$N$11,0))+INDEX(variable_om_charge,MATCH(AC35,PORTS!$H$318:$H$625,0),MATCH(AG$5,PORTS!$H$318:$N$318,0)))</f>
        <v>-0</v>
      </c>
      <c r="AJ35" s="343" t="n">
        <f aca="false">+AI35+AH35</f>
        <v>0</v>
      </c>
      <c r="AK35" s="355" t="n">
        <f aca="false">+AJ35+AD35</f>
        <v>0</v>
      </c>
      <c r="AM35" s="346" t="n">
        <f aca="false">+DATE(YEAR(AM34),MONTH(AM34)+1,1)</f>
        <v>37226</v>
      </c>
      <c r="AN35" s="327" t="n">
        <f aca="false">+AP35/(1-HLOOKUP(AO$6,SHIPS,7,0)*INDEX(LADEN_VOYAGE_DAYS,MATCH(CONCATENATE(AO$4,AO$5),LADEN_VOYAGE_ROUTES,0),MATCH(AO$6,LADEN_VOYAGE_SHIPS,0)))</f>
        <v>0</v>
      </c>
      <c r="AO35" s="347" t="n">
        <f aca="false">+AP35-AN35</f>
        <v>0</v>
      </c>
      <c r="AP35" s="348" t="n">
        <f aca="false">+IF(AND(AO$8&lt;=AM35,AO$9&gt;=AM35),+MIN($B35-SUMIF($H$17:AO$17,AP$17,$H35:AO35),((INDEX(ROUTE_PER_DAY_BY_SHIP,MATCH(CONCATENATE(AO$4,AO$5,AO$7),ROUTE_PER_DAY_ROUTES,0),MATCH(AO$6,ROUTE_PER_DAY_SHIPS,0))*(AM36-AM35))-(INDEX(ROUTE_PER_DAY_BY_SHIP,MATCH(CONCATENATE(AO$4,AO$5,AO$7),ROUTE_PER_DAY_ROUTES,0),MATCH(AO$6,ROUTE_PER_DAY_SHIPS,0))*(AM36-AM35))*HLOOKUP(AO$6,SHIPS,7,0)*INDEX(LADEN_VOYAGE_DAYS,MATCH(CONCATENATE(AO$4,AO$5,AO$7),LADEN_VOYAGE_ROUTES,0),MATCH(AO$6,LADEN_VOYAGE_SHIPS,0)))),0)</f>
        <v>0</v>
      </c>
      <c r="AQ35" s="349" t="n">
        <f aca="false">-(AP35)*PORTS!$I$6</f>
        <v>-0</v>
      </c>
      <c r="AR35" s="327" t="n">
        <f aca="false">+AP35+AQ35</f>
        <v>0</v>
      </c>
      <c r="AS35" s="333"/>
      <c r="AT35" s="346" t="n">
        <f aca="false">+DATE(YEAR(AT34),MONTH(AT34)+1,1)</f>
        <v>37226</v>
      </c>
      <c r="AU35" s="343" t="n">
        <f aca="false">+AR35*(VLOOKUP(AT35,CURVECALC!$C$6:$J$312,4,0)+AV$5)</f>
        <v>0</v>
      </c>
      <c r="AV35" s="350" t="n">
        <f aca="false">-AN35*INDEX(ship_curves,MATCH(AT35,'SHIP CURVES'!$A$9:$A$316,0),MATCH(CONCATENATE(AX$4,AX$5,AX$6,AX$7),'SHIP CURVES'!$A$9:$AZ$9,0))</f>
        <v>-0</v>
      </c>
      <c r="AW35" s="351" t="n">
        <f aca="false">-AP35*INDEX(port_processing_fee,MATCH(AT35,PORTS!$H$626:$H$933,0),MATCH(AX$5,PORTS!$H$626:$Z$626,0))</f>
        <v>-0</v>
      </c>
      <c r="AX35" s="352" t="n">
        <f aca="false">(((VLOOKUP(AT35,curvecalc,4,0))*IF(AN35=0,0,AR35/AN35)-INDEX(ship_curves,MATCH(AT35,'SHIP CURVES'!$A$9:$A$316,0),MATCH(CONCATENATE(AX$4,AX$5,AX$6,AX$7),'SHIP CURVES'!$A$9:$Z$9,0))-INDEX(terminal_curves,MATCH(AT35,'TERMINAL CURVES'!$A$4:$A$313,0),MATCH(AX$5,'TERMINAL CURVES'!$A$4:$N$4,0))*IF(AN35=0,0,AP35/AN35))-(AV$8)*((AV$7-$N$5)-(INDEX(ship_curves,MATCH(AT35,'SHIP CURVES'!$A$9:$A$316,0),MATCH(CONCATENATE(AX$4,AX$5,AX$6,AX$7),'SHIP CURVES'!$A$9:$Z$9,0))-INDEX(ship_curves,MATCH(AT35,'SHIP CURVES'!$A$9:$A$316,0),MATCH(CONCATENATE(AX$4,AV$6,AX$6,AX$7),'SHIP CURVES'!$A$9:$Z$9,0)))-(INDEX(terminal_curves,MATCH(AT35,'TERMINAL CURVES'!$A$4:$A$313,0),MATCH(AX$5,'TERMINAL CURVES'!$A$4:$N$4,0))-INDEX(terminal_curves,MATCH(AT35,'TERMINAL CURVES'!$A$4:$A$313,0),MATCH(AV$6,'TERMINAL CURVES'!$A$4:$N$4,0)))*IF(AN35=0,0,AP35/AN35)))*-AN35</f>
        <v>0</v>
      </c>
      <c r="AY35" s="356" t="n">
        <f aca="false">SUM(AV35:AX35)</f>
        <v>0</v>
      </c>
      <c r="AZ35" s="357" t="n">
        <f aca="false">(-AP35/((HLOOKUP(AX$5,port_specs,2,0)/(365.25))*(AT36-AT35)))*(INDEX(fixed_capacity_charge,MATCH(AT35,PORTS!$H$11:$H$317,0),MATCH(AX$5,PORTS!$H$11:$N$11,0))+INDEX(variable_om_charge,MATCH(AT35,PORTS!$H$318:$H$625,0),MATCH(AX$5,PORTS!$H$318:$N$318,0)))</f>
        <v>-0</v>
      </c>
      <c r="BA35" s="343" t="n">
        <f aca="false">+AZ35+AY35</f>
        <v>0</v>
      </c>
      <c r="BB35" s="355" t="n">
        <f aca="false">+BA35+AU35</f>
        <v>0</v>
      </c>
      <c r="BC35" s="99"/>
      <c r="BD35" s="357" t="n">
        <f aca="false">+PORTS!I29+PORTS!I337</f>
        <v>0</v>
      </c>
    </row>
    <row r="36" customFormat="false" ht="12.75" hidden="false" customHeight="false" outlineLevel="0" collapsed="false">
      <c r="A36" s="346" t="n">
        <f aca="false">+DATE(YEAR(A35),MONTH(A35)+1,1)</f>
        <v>37257</v>
      </c>
      <c r="B36" s="327" t="n">
        <f aca="false">+IF(AND($A36&gt;=$C$8,$A36&lt;=$C$9),1,0)*PORTS!$I$5/(365.25)*(A37-A36)</f>
        <v>0</v>
      </c>
      <c r="C36" s="328" t="n">
        <f aca="false">+B36-(SUMIF($F$17:$IV$17,$H$17,$F36:$IV36))</f>
        <v>0</v>
      </c>
      <c r="D36" s="0" t="n">
        <f aca="false">+YEAR(E36)</f>
        <v>2002</v>
      </c>
      <c r="E36" s="346" t="n">
        <f aca="false">+DATE(YEAR(E35),MONTH(E35)+1,1)</f>
        <v>37257</v>
      </c>
      <c r="F36" s="327" t="n">
        <f aca="false">+IF(AND(G$8&lt;=E36,G$9&gt;=E36),INDEX(ROUTE_PER_DAY_BY_SHIP,MATCH(CONCATENATE(G$4,G$5,G$7),ROUTE_PER_DAY_ROUTES,0),MATCH(G$6,ROUTE_PER_DAY_SHIPS,0))*(E37-E36),0)</f>
        <v>0</v>
      </c>
      <c r="G36" s="347" t="n">
        <f aca="false">-F36*HLOOKUP(G$6,SHIPS,7,0)*INDEX(LADEN_VOYAGE_DAYS,MATCH(CONCATENATE(G$4,G$5,G$7),LADEN_VOYAGE_ROUTES,0),MATCH(G$6,LADEN_VOYAGE_SHIPS,0))</f>
        <v>-0</v>
      </c>
      <c r="H36" s="348" t="n">
        <f aca="false">SUM(F36:G36)</f>
        <v>0</v>
      </c>
      <c r="I36" s="349" t="n">
        <f aca="false">-(H36)*HLOOKUP(G$5,TERMINAL_CHARGES,3,0)</f>
        <v>-0</v>
      </c>
      <c r="J36" s="327" t="n">
        <f aca="false">+H36+I36</f>
        <v>0</v>
      </c>
      <c r="K36" s="333"/>
      <c r="L36" s="346" t="n">
        <f aca="false">+DATE(YEAR(L35),MONTH(L35)+1,1)</f>
        <v>37257</v>
      </c>
      <c r="M36" s="334" t="n">
        <f aca="false">+J36*(VLOOKUP(L36,CURVECALC!$C$6:$J$312,4,0)+N$5)</f>
        <v>0</v>
      </c>
      <c r="N36" s="350" t="n">
        <f aca="false">-F36*INDEX(ship_curves,MATCH(L36,'SHIP CURVES'!$A$9:$A$316,0),MATCH(CONCATENATE(P$4,P$5,P$6,P$7),'SHIP CURVES'!$A$9:$AZ$9,0))</f>
        <v>-0</v>
      </c>
      <c r="O36" s="351" t="n">
        <f aca="false">-H36*INDEX(port_processing_fee,MATCH(L36,PORTS!$H$626:$H$933,0),MATCH(P$5,PORTS!$H$626:$Z$626,0))</f>
        <v>-0</v>
      </c>
      <c r="P36" s="352" t="n">
        <f aca="false">(((VLOOKUP(L36,curvecalc,4,0))*IF(F36=0,0,J36/F36)-INDEX(ship_curves,MATCH(L36,'SHIP CURVES'!$A$9:$A$316,0),MATCH(CONCATENATE(P$4,P$5,P$6,P$7),'SHIP CURVES'!$A$9:$Z$9,0))-INDEX(terminal_curves,MATCH(L36,'TERMINAL CURVES'!$A$4:$A$313,0),MATCH(P$5,'TERMINAL CURVES'!$A$4:$N$4,0))*IF(F36=0,0,H36/F36))-(N$8)*((N$7-$N$5)-(INDEX(ship_curves,MATCH(L36,'SHIP CURVES'!$A$9:$A$316,0),MATCH(CONCATENATE(P$4,P$5,P$6,P$7),'SHIP CURVES'!$A$9:$Z$9,0))-INDEX(ship_curves,MATCH(L36,'SHIP CURVES'!$A$9:$A$316,0),MATCH(CONCATENATE(P$4,N$6,P$6,P$7),'SHIP CURVES'!$A$9:$Z$9,0)))-(INDEX(terminal_curves,MATCH(L36,'TERMINAL CURVES'!$A$4:$A$313,0),MATCH(P$5,'TERMINAL CURVES'!$A$4:$N$4,0))-INDEX(terminal_curves,MATCH(L36,'TERMINAL CURVES'!$A$4:$A$313,0),MATCH(N$6,'TERMINAL CURVES'!$A$4:$N$4,0)))*IF(F36=0,0,H36/F36)))*-F36</f>
        <v>0</v>
      </c>
      <c r="Q36" s="353" t="n">
        <f aca="false">SUM(N36:P36)</f>
        <v>0</v>
      </c>
      <c r="R36" s="357" t="n">
        <f aca="false">(-H36/((HLOOKUP(P$5,port_specs,2,0)/(365.25))*(L37-L36)))*(INDEX(fixed_capacity_charge,MATCH(L36,PORTS!$H$11:$H$317,0),MATCH(P$5,PORTS!$H$11:$N$11,0))+INDEX(variable_om_charge,MATCH(L36,PORTS!$H$318:$H$625,0),MATCH(P$5,PORTS!$H$318:$N$318,0)))</f>
        <v>-0</v>
      </c>
      <c r="S36" s="343" t="n">
        <f aca="false">+R36+Q36</f>
        <v>0</v>
      </c>
      <c r="T36" s="355" t="n">
        <f aca="false">+S36+M36</f>
        <v>0</v>
      </c>
      <c r="U36" s="342"/>
      <c r="V36" s="346" t="n">
        <f aca="false">+DATE(YEAR(V35),MONTH(V35)+1,1)</f>
        <v>37257</v>
      </c>
      <c r="W36" s="327" t="n">
        <f aca="false">+Y36/(1-HLOOKUP(X$6,SHIPS,7,0)*INDEX(LADEN_VOYAGE_DAYS,MATCH(CONCATENATE(X$4,X$5),LADEN_VOYAGE_ROUTES,0),MATCH(X$6,LADEN_VOYAGE_SHIPS,0)))</f>
        <v>0</v>
      </c>
      <c r="X36" s="347" t="n">
        <f aca="false">+Y36-W36</f>
        <v>0</v>
      </c>
      <c r="Y36" s="348" t="n">
        <f aca="false">+IF(AND(X$8&lt;=V36,X$9&gt;=V36),+MIN($B36-SUMIF($H$17:X$17,Y$17,$H36:X36),((INDEX(ROUTE_PER_DAY_BY_SHIP,MATCH(CONCATENATE(X$4,X$5,X$7),ROUTE_PER_DAY_ROUTES,0),MATCH(X$6,ROUTE_PER_DAY_SHIPS,0))*(V37-V36))-(INDEX(ROUTE_PER_DAY_BY_SHIP,MATCH(CONCATENATE(X$4,X$5,X$7),ROUTE_PER_DAY_ROUTES,0),MATCH(X$6,ROUTE_PER_DAY_SHIPS,0))*(V37-V36))*HLOOKUP(X$6,SHIPS,7,0)*INDEX(LADEN_VOYAGE_DAYS,MATCH(CONCATENATE(X$4,X$5,X$7),LADEN_VOYAGE_ROUTES,0),MATCH(X$6,LADEN_VOYAGE_SHIPS,0)))),0)</f>
        <v>0</v>
      </c>
      <c r="Z36" s="349" t="n">
        <f aca="false">-(Y36)*HLOOKUP(X$5,TERMINAL_CHARGES,3,0)</f>
        <v>-0</v>
      </c>
      <c r="AA36" s="327" t="n">
        <f aca="false">+Y36+Z36</f>
        <v>0</v>
      </c>
      <c r="AB36" s="333"/>
      <c r="AC36" s="346" t="n">
        <f aca="false">+DATE(YEAR(AC35),MONTH(AC35)+1,1)</f>
        <v>37257</v>
      </c>
      <c r="AD36" s="343" t="n">
        <f aca="false">+AA36*(VLOOKUP(AC36,CURVECALC!$C$6:$J$312,4,0)+AE$5)</f>
        <v>0</v>
      </c>
      <c r="AE36" s="350" t="n">
        <f aca="false">-W36*INDEX(ship_curves,MATCH(AC36,'SHIP CURVES'!$A$9:$A$316,0),MATCH(CONCATENATE(AG$4,AG$5,AG$6,AG$7),'SHIP CURVES'!$A$9:$AZ$9,0))</f>
        <v>-0</v>
      </c>
      <c r="AF36" s="351" t="n">
        <f aca="false">-Y36*INDEX(port_processing_fee,MATCH(AC36,PORTS!$H$626:$H$933,0),MATCH(AG$5,PORTS!$H$626:$Z$626,0))</f>
        <v>-0</v>
      </c>
      <c r="AG36" s="352" t="n">
        <f aca="false">(((VLOOKUP(AC36,curvecalc,4,0))*IF(W36=0,0,AA36/W36)-INDEX(ship_curves,MATCH(AC36,'SHIP CURVES'!$A$9:$A$316,0),MATCH(CONCATENATE(AG$4,AG$5,AG$6,AG$7),'SHIP CURVES'!$A$9:$Z$9,0))-INDEX(terminal_curves,MATCH(AC36,'TERMINAL CURVES'!$A$4:$A$313,0),MATCH(AG$5,'TERMINAL CURVES'!$A$4:$N$4,0))*IF(W36=0,0,Y36/W36))-(AE$8)*((AE$7-$N$5)-(INDEX(ship_curves,MATCH(AC36,'SHIP CURVES'!$A$9:$A$316,0),MATCH(CONCATENATE(AG$4,AG$5,AG$6,AG$7),'SHIP CURVES'!$A$9:$Z$9,0))-INDEX(ship_curves,MATCH(AC36,'SHIP CURVES'!$A$9:$A$316,0),MATCH(CONCATENATE(AG$4,AE$6,AG$6,AG$7),'SHIP CURVES'!$A$9:$Z$9,0)))-(INDEX(terminal_curves,MATCH(AC36,'TERMINAL CURVES'!$A$4:$A$313,0),MATCH(AG$5,'TERMINAL CURVES'!$A$4:$N$4,0))-INDEX(terminal_curves,MATCH(AC36,'TERMINAL CURVES'!$A$4:$A$313,0),MATCH(AE$6,'TERMINAL CURVES'!$A$4:$N$4,0)))*IF(W36=0,0,Y36/W36)))*-W36</f>
        <v>0</v>
      </c>
      <c r="AH36" s="356" t="n">
        <f aca="false">SUM(AE36:AG36)</f>
        <v>0</v>
      </c>
      <c r="AI36" s="357" t="n">
        <f aca="false">(-Y36/((HLOOKUP(AG$5,port_specs,2,0)/(365.25))*(AC37-AC36)))*(INDEX(fixed_capacity_charge,MATCH(AC36,PORTS!$H$11:$H$317,0),MATCH(AG$5,PORTS!$H$11:$N$11,0))+INDEX(variable_om_charge,MATCH(AC36,PORTS!$H$318:$H$625,0),MATCH(AG$5,PORTS!$H$318:$N$318,0)))</f>
        <v>-0</v>
      </c>
      <c r="AJ36" s="343" t="n">
        <f aca="false">+AI36+AH36</f>
        <v>0</v>
      </c>
      <c r="AK36" s="355" t="n">
        <f aca="false">+AJ36+AD36</f>
        <v>0</v>
      </c>
      <c r="AM36" s="346" t="n">
        <f aca="false">+DATE(YEAR(AM35),MONTH(AM35)+1,1)</f>
        <v>37257</v>
      </c>
      <c r="AN36" s="327" t="n">
        <f aca="false">+AP36/(1-HLOOKUP(AO$6,SHIPS,7,0)*INDEX(LADEN_VOYAGE_DAYS,MATCH(CONCATENATE(AO$4,AO$5),LADEN_VOYAGE_ROUTES,0),MATCH(AO$6,LADEN_VOYAGE_SHIPS,0)))</f>
        <v>0</v>
      </c>
      <c r="AO36" s="347" t="n">
        <f aca="false">+AP36-AN36</f>
        <v>0</v>
      </c>
      <c r="AP36" s="348" t="n">
        <f aca="false">+IF(AND(AO$8&lt;=AM36,AO$9&gt;=AM36),+MIN($B36-SUMIF($H$17:AO$17,AP$17,$H36:AO36),((INDEX(ROUTE_PER_DAY_BY_SHIP,MATCH(CONCATENATE(AO$4,AO$5,AO$7),ROUTE_PER_DAY_ROUTES,0),MATCH(AO$6,ROUTE_PER_DAY_SHIPS,0))*(AM37-AM36))-(INDEX(ROUTE_PER_DAY_BY_SHIP,MATCH(CONCATENATE(AO$4,AO$5,AO$7),ROUTE_PER_DAY_ROUTES,0),MATCH(AO$6,ROUTE_PER_DAY_SHIPS,0))*(AM37-AM36))*HLOOKUP(AO$6,SHIPS,7,0)*INDEX(LADEN_VOYAGE_DAYS,MATCH(CONCATENATE(AO$4,AO$5,AO$7),LADEN_VOYAGE_ROUTES,0),MATCH(AO$6,LADEN_VOYAGE_SHIPS,0)))),0)</f>
        <v>0</v>
      </c>
      <c r="AQ36" s="349" t="n">
        <f aca="false">-(AP36)*PORTS!$I$6</f>
        <v>-0</v>
      </c>
      <c r="AR36" s="327" t="n">
        <f aca="false">+AP36+AQ36</f>
        <v>0</v>
      </c>
      <c r="AS36" s="333"/>
      <c r="AT36" s="346" t="n">
        <f aca="false">+DATE(YEAR(AT35),MONTH(AT35)+1,1)</f>
        <v>37257</v>
      </c>
      <c r="AU36" s="343" t="n">
        <f aca="false">+AR36*(VLOOKUP(AT36,CURVECALC!$C$6:$J$312,4,0)+AV$5)</f>
        <v>0</v>
      </c>
      <c r="AV36" s="350" t="n">
        <f aca="false">-AN36*INDEX(ship_curves,MATCH(AT36,'SHIP CURVES'!$A$9:$A$316,0),MATCH(CONCATENATE(AX$4,AX$5,AX$6,AX$7),'SHIP CURVES'!$A$9:$AZ$9,0))</f>
        <v>-0</v>
      </c>
      <c r="AW36" s="351" t="n">
        <f aca="false">-AP36*INDEX(port_processing_fee,MATCH(AT36,PORTS!$H$626:$H$933,0),MATCH(AX$5,PORTS!$H$626:$Z$626,0))</f>
        <v>-0</v>
      </c>
      <c r="AX36" s="352" t="n">
        <f aca="false">(((VLOOKUP(AT36,curvecalc,4,0))*IF(AN36=0,0,AR36/AN36)-INDEX(ship_curves,MATCH(AT36,'SHIP CURVES'!$A$9:$A$316,0),MATCH(CONCATENATE(AX$4,AX$5,AX$6,AX$7),'SHIP CURVES'!$A$9:$Z$9,0))-INDEX(terminal_curves,MATCH(AT36,'TERMINAL CURVES'!$A$4:$A$313,0),MATCH(AX$5,'TERMINAL CURVES'!$A$4:$N$4,0))*IF(AN36=0,0,AP36/AN36))-(AV$8)*((AV$7-$N$5)-(INDEX(ship_curves,MATCH(AT36,'SHIP CURVES'!$A$9:$A$316,0),MATCH(CONCATENATE(AX$4,AX$5,AX$6,AX$7),'SHIP CURVES'!$A$9:$Z$9,0))-INDEX(ship_curves,MATCH(AT36,'SHIP CURVES'!$A$9:$A$316,0),MATCH(CONCATENATE(AX$4,AV$6,AX$6,AX$7),'SHIP CURVES'!$A$9:$Z$9,0)))-(INDEX(terminal_curves,MATCH(AT36,'TERMINAL CURVES'!$A$4:$A$313,0),MATCH(AX$5,'TERMINAL CURVES'!$A$4:$N$4,0))-INDEX(terminal_curves,MATCH(AT36,'TERMINAL CURVES'!$A$4:$A$313,0),MATCH(AV$6,'TERMINAL CURVES'!$A$4:$N$4,0)))*IF(AN36=0,0,AP36/AN36)))*-AN36</f>
        <v>0</v>
      </c>
      <c r="AY36" s="356" t="n">
        <f aca="false">SUM(AV36:AX36)</f>
        <v>0</v>
      </c>
      <c r="AZ36" s="357" t="n">
        <f aca="false">(-AP36/((HLOOKUP(AX$5,port_specs,2,0)/(365.25))*(AT37-AT36)))*(INDEX(fixed_capacity_charge,MATCH(AT36,PORTS!$H$11:$H$317,0),MATCH(AX$5,PORTS!$H$11:$N$11,0))+INDEX(variable_om_charge,MATCH(AT36,PORTS!$H$318:$H$625,0),MATCH(AX$5,PORTS!$H$318:$N$318,0)))</f>
        <v>-0</v>
      </c>
      <c r="BA36" s="343" t="n">
        <f aca="false">+AZ36+AY36</f>
        <v>0</v>
      </c>
      <c r="BB36" s="355" t="n">
        <f aca="false">+BA36+AU36</f>
        <v>0</v>
      </c>
      <c r="BC36" s="99"/>
      <c r="BD36" s="357" t="n">
        <f aca="false">+PORTS!I30+PORTS!I338</f>
        <v>0</v>
      </c>
    </row>
    <row r="37" customFormat="false" ht="12.75" hidden="false" customHeight="false" outlineLevel="0" collapsed="false">
      <c r="A37" s="346" t="n">
        <f aca="false">+DATE(YEAR(A36),MONTH(A36)+1,1)</f>
        <v>37288</v>
      </c>
      <c r="B37" s="327" t="n">
        <f aca="false">+IF(AND($A37&gt;=$C$8,$A37&lt;=$C$9),1,0)*PORTS!$I$5/(365.25)*(A38-A37)</f>
        <v>0</v>
      </c>
      <c r="C37" s="328" t="n">
        <f aca="false">+B37-(SUMIF($F$17:$IV$17,$H$17,$F37:$IV37))</f>
        <v>0</v>
      </c>
      <c r="D37" s="0" t="n">
        <f aca="false">+YEAR(E37)</f>
        <v>2002</v>
      </c>
      <c r="E37" s="346" t="n">
        <f aca="false">+DATE(YEAR(E36),MONTH(E36)+1,1)</f>
        <v>37288</v>
      </c>
      <c r="F37" s="327" t="n">
        <f aca="false">+IF(AND(G$8&lt;=E37,G$9&gt;=E37),INDEX(ROUTE_PER_DAY_BY_SHIP,MATCH(CONCATENATE(G$4,G$5,G$7),ROUTE_PER_DAY_ROUTES,0),MATCH(G$6,ROUTE_PER_DAY_SHIPS,0))*(E38-E37),0)</f>
        <v>0</v>
      </c>
      <c r="G37" s="347" t="n">
        <f aca="false">-F37*HLOOKUP(G$6,SHIPS,7,0)*INDEX(LADEN_VOYAGE_DAYS,MATCH(CONCATENATE(G$4,G$5,G$7),LADEN_VOYAGE_ROUTES,0),MATCH(G$6,LADEN_VOYAGE_SHIPS,0))</f>
        <v>-0</v>
      </c>
      <c r="H37" s="348" t="n">
        <f aca="false">SUM(F37:G37)</f>
        <v>0</v>
      </c>
      <c r="I37" s="349" t="n">
        <f aca="false">-(H37)*HLOOKUP(G$5,TERMINAL_CHARGES,3,0)</f>
        <v>-0</v>
      </c>
      <c r="J37" s="327" t="n">
        <f aca="false">+H37+I37</f>
        <v>0</v>
      </c>
      <c r="K37" s="333"/>
      <c r="L37" s="346" t="n">
        <f aca="false">+DATE(YEAR(L36),MONTH(L36)+1,1)</f>
        <v>37288</v>
      </c>
      <c r="M37" s="334" t="n">
        <f aca="false">+J37*(VLOOKUP(L37,CURVECALC!$C$6:$J$312,4,0)+N$5)</f>
        <v>0</v>
      </c>
      <c r="N37" s="350" t="n">
        <f aca="false">-F37*INDEX(ship_curves,MATCH(L37,'SHIP CURVES'!$A$9:$A$316,0),MATCH(CONCATENATE(P$4,P$5,P$6,P$7),'SHIP CURVES'!$A$9:$AZ$9,0))</f>
        <v>-0</v>
      </c>
      <c r="O37" s="351" t="n">
        <f aca="false">-H37*INDEX(port_processing_fee,MATCH(L37,PORTS!$H$626:$H$933,0),MATCH(P$5,PORTS!$H$626:$Z$626,0))</f>
        <v>-0</v>
      </c>
      <c r="P37" s="352" t="n">
        <f aca="false">(((VLOOKUP(L37,curvecalc,4,0))*IF(F37=0,0,J37/F37)-INDEX(ship_curves,MATCH(L37,'SHIP CURVES'!$A$9:$A$316,0),MATCH(CONCATENATE(P$4,P$5,P$6,P$7),'SHIP CURVES'!$A$9:$Z$9,0))-INDEX(terminal_curves,MATCH(L37,'TERMINAL CURVES'!$A$4:$A$313,0),MATCH(P$5,'TERMINAL CURVES'!$A$4:$N$4,0))*IF(F37=0,0,H37/F37))-(N$8)*((N$7-$N$5)-(INDEX(ship_curves,MATCH(L37,'SHIP CURVES'!$A$9:$A$316,0),MATCH(CONCATENATE(P$4,P$5,P$6,P$7),'SHIP CURVES'!$A$9:$Z$9,0))-INDEX(ship_curves,MATCH(L37,'SHIP CURVES'!$A$9:$A$316,0),MATCH(CONCATENATE(P$4,N$6,P$6,P$7),'SHIP CURVES'!$A$9:$Z$9,0)))-(INDEX(terminal_curves,MATCH(L37,'TERMINAL CURVES'!$A$4:$A$313,0),MATCH(P$5,'TERMINAL CURVES'!$A$4:$N$4,0))-INDEX(terminal_curves,MATCH(L37,'TERMINAL CURVES'!$A$4:$A$313,0),MATCH(N$6,'TERMINAL CURVES'!$A$4:$N$4,0)))*IF(F37=0,0,H37/F37)))*-F37</f>
        <v>0</v>
      </c>
      <c r="Q37" s="353" t="n">
        <f aca="false">SUM(N37:P37)</f>
        <v>0</v>
      </c>
      <c r="R37" s="357" t="n">
        <f aca="false">(-H37/((HLOOKUP(P$5,port_specs,2,0)/(365.25))*(L38-L37)))*(INDEX(fixed_capacity_charge,MATCH(L37,PORTS!$H$11:$H$317,0),MATCH(P$5,PORTS!$H$11:$N$11,0))+INDEX(variable_om_charge,MATCH(L37,PORTS!$H$318:$H$625,0),MATCH(P$5,PORTS!$H$318:$N$318,0)))</f>
        <v>-0</v>
      </c>
      <c r="S37" s="343" t="n">
        <f aca="false">+R37+Q37</f>
        <v>0</v>
      </c>
      <c r="T37" s="355" t="n">
        <f aca="false">+S37+M37</f>
        <v>0</v>
      </c>
      <c r="U37" s="342"/>
      <c r="V37" s="346" t="n">
        <f aca="false">+DATE(YEAR(V36),MONTH(V36)+1,1)</f>
        <v>37288</v>
      </c>
      <c r="W37" s="327" t="n">
        <f aca="false">+Y37/(1-HLOOKUP(X$6,SHIPS,7,0)*INDEX(LADEN_VOYAGE_DAYS,MATCH(CONCATENATE(X$4,X$5),LADEN_VOYAGE_ROUTES,0),MATCH(X$6,LADEN_VOYAGE_SHIPS,0)))</f>
        <v>0</v>
      </c>
      <c r="X37" s="347" t="n">
        <f aca="false">+Y37-W37</f>
        <v>0</v>
      </c>
      <c r="Y37" s="348" t="n">
        <f aca="false">+IF(AND(X$8&lt;=V37,X$9&gt;=V37),+MIN($B37-SUMIF($H$17:X$17,Y$17,$H37:X37),((INDEX(ROUTE_PER_DAY_BY_SHIP,MATCH(CONCATENATE(X$4,X$5,X$7),ROUTE_PER_DAY_ROUTES,0),MATCH(X$6,ROUTE_PER_DAY_SHIPS,0))*(V38-V37))-(INDEX(ROUTE_PER_DAY_BY_SHIP,MATCH(CONCATENATE(X$4,X$5,X$7),ROUTE_PER_DAY_ROUTES,0),MATCH(X$6,ROUTE_PER_DAY_SHIPS,0))*(V38-V37))*HLOOKUP(X$6,SHIPS,7,0)*INDEX(LADEN_VOYAGE_DAYS,MATCH(CONCATENATE(X$4,X$5,X$7),LADEN_VOYAGE_ROUTES,0),MATCH(X$6,LADEN_VOYAGE_SHIPS,0)))),0)</f>
        <v>0</v>
      </c>
      <c r="Z37" s="349" t="n">
        <f aca="false">-(Y37)*HLOOKUP(X$5,TERMINAL_CHARGES,3,0)</f>
        <v>-0</v>
      </c>
      <c r="AA37" s="327" t="n">
        <f aca="false">+Y37+Z37</f>
        <v>0</v>
      </c>
      <c r="AB37" s="333"/>
      <c r="AC37" s="346" t="n">
        <f aca="false">+DATE(YEAR(AC36),MONTH(AC36)+1,1)</f>
        <v>37288</v>
      </c>
      <c r="AD37" s="343" t="n">
        <f aca="false">+AA37*(VLOOKUP(AC37,CURVECALC!$C$6:$J$312,4,0)+AE$5)</f>
        <v>0</v>
      </c>
      <c r="AE37" s="350" t="n">
        <f aca="false">-W37*INDEX(ship_curves,MATCH(AC37,'SHIP CURVES'!$A$9:$A$316,0),MATCH(CONCATENATE(AG$4,AG$5,AG$6,AG$7),'SHIP CURVES'!$A$9:$AZ$9,0))</f>
        <v>-0</v>
      </c>
      <c r="AF37" s="351" t="n">
        <f aca="false">-Y37*INDEX(port_processing_fee,MATCH(AC37,PORTS!$H$626:$H$933,0),MATCH(AG$5,PORTS!$H$626:$Z$626,0))</f>
        <v>-0</v>
      </c>
      <c r="AG37" s="352" t="n">
        <f aca="false">(((VLOOKUP(AC37,curvecalc,4,0))*IF(W37=0,0,AA37/W37)-INDEX(ship_curves,MATCH(AC37,'SHIP CURVES'!$A$9:$A$316,0),MATCH(CONCATENATE(AG$4,AG$5,AG$6,AG$7),'SHIP CURVES'!$A$9:$Z$9,0))-INDEX(terminal_curves,MATCH(AC37,'TERMINAL CURVES'!$A$4:$A$313,0),MATCH(AG$5,'TERMINAL CURVES'!$A$4:$N$4,0))*IF(W37=0,0,Y37/W37))-(AE$8)*((AE$7-$N$5)-(INDEX(ship_curves,MATCH(AC37,'SHIP CURVES'!$A$9:$A$316,0),MATCH(CONCATENATE(AG$4,AG$5,AG$6,AG$7),'SHIP CURVES'!$A$9:$Z$9,0))-INDEX(ship_curves,MATCH(AC37,'SHIP CURVES'!$A$9:$A$316,0),MATCH(CONCATENATE(AG$4,AE$6,AG$6,AG$7),'SHIP CURVES'!$A$9:$Z$9,0)))-(INDEX(terminal_curves,MATCH(AC37,'TERMINAL CURVES'!$A$4:$A$313,0),MATCH(AG$5,'TERMINAL CURVES'!$A$4:$N$4,0))-INDEX(terminal_curves,MATCH(AC37,'TERMINAL CURVES'!$A$4:$A$313,0),MATCH(AE$6,'TERMINAL CURVES'!$A$4:$N$4,0)))*IF(W37=0,0,Y37/W37)))*-W37</f>
        <v>0</v>
      </c>
      <c r="AH37" s="356" t="n">
        <f aca="false">SUM(AE37:AG37)</f>
        <v>0</v>
      </c>
      <c r="AI37" s="357" t="n">
        <f aca="false">(-Y37/((HLOOKUP(AG$5,port_specs,2,0)/(365.25))*(AC38-AC37)))*(INDEX(fixed_capacity_charge,MATCH(AC37,PORTS!$H$11:$H$317,0),MATCH(AG$5,PORTS!$H$11:$N$11,0))+INDEX(variable_om_charge,MATCH(AC37,PORTS!$H$318:$H$625,0),MATCH(AG$5,PORTS!$H$318:$N$318,0)))</f>
        <v>-0</v>
      </c>
      <c r="AJ37" s="343" t="n">
        <f aca="false">+AI37+AH37</f>
        <v>0</v>
      </c>
      <c r="AK37" s="355" t="n">
        <f aca="false">+AJ37+AD37</f>
        <v>0</v>
      </c>
      <c r="AM37" s="346" t="n">
        <f aca="false">+DATE(YEAR(AM36),MONTH(AM36)+1,1)</f>
        <v>37288</v>
      </c>
      <c r="AN37" s="327" t="n">
        <f aca="false">+AP37/(1-HLOOKUP(AO$6,SHIPS,7,0)*INDEX(LADEN_VOYAGE_DAYS,MATCH(CONCATENATE(AO$4,AO$5),LADEN_VOYAGE_ROUTES,0),MATCH(AO$6,LADEN_VOYAGE_SHIPS,0)))</f>
        <v>0</v>
      </c>
      <c r="AO37" s="347" t="n">
        <f aca="false">+AP37-AN37</f>
        <v>0</v>
      </c>
      <c r="AP37" s="348" t="n">
        <f aca="false">+IF(AND(AO$8&lt;=AM37,AO$9&gt;=AM37),+MIN($B37-SUMIF($H$17:AO$17,AP$17,$H37:AO37),((INDEX(ROUTE_PER_DAY_BY_SHIP,MATCH(CONCATENATE(AO$4,AO$5,AO$7),ROUTE_PER_DAY_ROUTES,0),MATCH(AO$6,ROUTE_PER_DAY_SHIPS,0))*(AM38-AM37))-(INDEX(ROUTE_PER_DAY_BY_SHIP,MATCH(CONCATENATE(AO$4,AO$5,AO$7),ROUTE_PER_DAY_ROUTES,0),MATCH(AO$6,ROUTE_PER_DAY_SHIPS,0))*(AM38-AM37))*HLOOKUP(AO$6,SHIPS,7,0)*INDEX(LADEN_VOYAGE_DAYS,MATCH(CONCATENATE(AO$4,AO$5,AO$7),LADEN_VOYAGE_ROUTES,0),MATCH(AO$6,LADEN_VOYAGE_SHIPS,0)))),0)</f>
        <v>0</v>
      </c>
      <c r="AQ37" s="349" t="n">
        <f aca="false">-(AP37)*PORTS!$I$6</f>
        <v>-0</v>
      </c>
      <c r="AR37" s="327" t="n">
        <f aca="false">+AP37+AQ37</f>
        <v>0</v>
      </c>
      <c r="AS37" s="333"/>
      <c r="AT37" s="346" t="n">
        <f aca="false">+DATE(YEAR(AT36),MONTH(AT36)+1,1)</f>
        <v>37288</v>
      </c>
      <c r="AU37" s="343" t="n">
        <f aca="false">+AR37*(VLOOKUP(AT37,CURVECALC!$C$6:$J$312,4,0)+AV$5)</f>
        <v>0</v>
      </c>
      <c r="AV37" s="350" t="n">
        <f aca="false">-AN37*INDEX(ship_curves,MATCH(AT37,'SHIP CURVES'!$A$9:$A$316,0),MATCH(CONCATENATE(AX$4,AX$5,AX$6,AX$7),'SHIP CURVES'!$A$9:$AZ$9,0))</f>
        <v>-0</v>
      </c>
      <c r="AW37" s="351" t="n">
        <f aca="false">-AP37*INDEX(port_processing_fee,MATCH(AT37,PORTS!$H$626:$H$933,0),MATCH(AX$5,PORTS!$H$626:$Z$626,0))</f>
        <v>-0</v>
      </c>
      <c r="AX37" s="352" t="n">
        <f aca="false">(((VLOOKUP(AT37,curvecalc,4,0))*IF(AN37=0,0,AR37/AN37)-INDEX(ship_curves,MATCH(AT37,'SHIP CURVES'!$A$9:$A$316,0),MATCH(CONCATENATE(AX$4,AX$5,AX$6,AX$7),'SHIP CURVES'!$A$9:$Z$9,0))-INDEX(terminal_curves,MATCH(AT37,'TERMINAL CURVES'!$A$4:$A$313,0),MATCH(AX$5,'TERMINAL CURVES'!$A$4:$N$4,0))*IF(AN37=0,0,AP37/AN37))-(AV$8)*((AV$7-$N$5)-(INDEX(ship_curves,MATCH(AT37,'SHIP CURVES'!$A$9:$A$316,0),MATCH(CONCATENATE(AX$4,AX$5,AX$6,AX$7),'SHIP CURVES'!$A$9:$Z$9,0))-INDEX(ship_curves,MATCH(AT37,'SHIP CURVES'!$A$9:$A$316,0),MATCH(CONCATENATE(AX$4,AV$6,AX$6,AX$7),'SHIP CURVES'!$A$9:$Z$9,0)))-(INDEX(terminal_curves,MATCH(AT37,'TERMINAL CURVES'!$A$4:$A$313,0),MATCH(AX$5,'TERMINAL CURVES'!$A$4:$N$4,0))-INDEX(terminal_curves,MATCH(AT37,'TERMINAL CURVES'!$A$4:$A$313,0),MATCH(AV$6,'TERMINAL CURVES'!$A$4:$N$4,0)))*IF(AN37=0,0,AP37/AN37)))*-AN37</f>
        <v>0</v>
      </c>
      <c r="AY37" s="356" t="n">
        <f aca="false">SUM(AV37:AX37)</f>
        <v>0</v>
      </c>
      <c r="AZ37" s="357" t="n">
        <f aca="false">(-AP37/((HLOOKUP(AX$5,port_specs,2,0)/(365.25))*(AT38-AT37)))*(INDEX(fixed_capacity_charge,MATCH(AT37,PORTS!$H$11:$H$317,0),MATCH(AX$5,PORTS!$H$11:$N$11,0))+INDEX(variable_om_charge,MATCH(AT37,PORTS!$H$318:$H$625,0),MATCH(AX$5,PORTS!$H$318:$N$318,0)))</f>
        <v>-0</v>
      </c>
      <c r="BA37" s="343" t="n">
        <f aca="false">+AZ37+AY37</f>
        <v>0</v>
      </c>
      <c r="BB37" s="355" t="n">
        <f aca="false">+BA37+AU37</f>
        <v>0</v>
      </c>
      <c r="BC37" s="99"/>
      <c r="BD37" s="357" t="n">
        <f aca="false">+PORTS!I31+PORTS!I339</f>
        <v>0</v>
      </c>
    </row>
    <row r="38" customFormat="false" ht="12.75" hidden="false" customHeight="false" outlineLevel="0" collapsed="false">
      <c r="A38" s="346" t="n">
        <f aca="false">+DATE(YEAR(A37),MONTH(A37)+1,1)</f>
        <v>37316</v>
      </c>
      <c r="B38" s="327" t="n">
        <f aca="false">+IF(AND($A38&gt;=$C$8,$A38&lt;=$C$9),1,0)*PORTS!$I$5/(365.25)*(A39-A38)</f>
        <v>0</v>
      </c>
      <c r="C38" s="328" t="n">
        <f aca="false">+B38-(SUMIF($F$17:$IV$17,$H$17,$F38:$IV38))</f>
        <v>0</v>
      </c>
      <c r="D38" s="0" t="n">
        <f aca="false">+YEAR(E38)</f>
        <v>2002</v>
      </c>
      <c r="E38" s="346" t="n">
        <f aca="false">+DATE(YEAR(E37),MONTH(E37)+1,1)</f>
        <v>37316</v>
      </c>
      <c r="F38" s="327" t="n">
        <f aca="false">+IF(AND(G$8&lt;=E38,G$9&gt;=E38),INDEX(ROUTE_PER_DAY_BY_SHIP,MATCH(CONCATENATE(G$4,G$5,G$7),ROUTE_PER_DAY_ROUTES,0),MATCH(G$6,ROUTE_PER_DAY_SHIPS,0))*(E39-E38),0)</f>
        <v>0</v>
      </c>
      <c r="G38" s="347" t="n">
        <f aca="false">-F38*HLOOKUP(G$6,SHIPS,7,0)*INDEX(LADEN_VOYAGE_DAYS,MATCH(CONCATENATE(G$4,G$5,G$7),LADEN_VOYAGE_ROUTES,0),MATCH(G$6,LADEN_VOYAGE_SHIPS,0))</f>
        <v>-0</v>
      </c>
      <c r="H38" s="348" t="n">
        <f aca="false">SUM(F38:G38)</f>
        <v>0</v>
      </c>
      <c r="I38" s="349" t="n">
        <f aca="false">-(H38)*HLOOKUP(G$5,TERMINAL_CHARGES,3,0)</f>
        <v>-0</v>
      </c>
      <c r="J38" s="327" t="n">
        <f aca="false">+H38+I38</f>
        <v>0</v>
      </c>
      <c r="K38" s="333"/>
      <c r="L38" s="346" t="n">
        <f aca="false">+DATE(YEAR(L37),MONTH(L37)+1,1)</f>
        <v>37316</v>
      </c>
      <c r="M38" s="334" t="n">
        <f aca="false">+J38*(VLOOKUP(L38,CURVECALC!$C$6:$J$312,4,0)+N$5)</f>
        <v>0</v>
      </c>
      <c r="N38" s="350" t="n">
        <f aca="false">-F38*INDEX(ship_curves,MATCH(L38,'SHIP CURVES'!$A$9:$A$316,0),MATCH(CONCATENATE(P$4,P$5,P$6,P$7),'SHIP CURVES'!$A$9:$AZ$9,0))</f>
        <v>-0</v>
      </c>
      <c r="O38" s="351" t="n">
        <f aca="false">-H38*INDEX(port_processing_fee,MATCH(L38,PORTS!$H$626:$H$933,0),MATCH(P$5,PORTS!$H$626:$Z$626,0))</f>
        <v>-0</v>
      </c>
      <c r="P38" s="352" t="n">
        <f aca="false">(((VLOOKUP(L38,curvecalc,4,0))*IF(F38=0,0,J38/F38)-INDEX(ship_curves,MATCH(L38,'SHIP CURVES'!$A$9:$A$316,0),MATCH(CONCATENATE(P$4,P$5,P$6,P$7),'SHIP CURVES'!$A$9:$Z$9,0))-INDEX(terminal_curves,MATCH(L38,'TERMINAL CURVES'!$A$4:$A$313,0),MATCH(P$5,'TERMINAL CURVES'!$A$4:$N$4,0))*IF(F38=0,0,H38/F38))-(N$8)*((N$7-$N$5)-(INDEX(ship_curves,MATCH(L38,'SHIP CURVES'!$A$9:$A$316,0),MATCH(CONCATENATE(P$4,P$5,P$6,P$7),'SHIP CURVES'!$A$9:$Z$9,0))-INDEX(ship_curves,MATCH(L38,'SHIP CURVES'!$A$9:$A$316,0),MATCH(CONCATENATE(P$4,N$6,P$6,P$7),'SHIP CURVES'!$A$9:$Z$9,0)))-(INDEX(terminal_curves,MATCH(L38,'TERMINAL CURVES'!$A$4:$A$313,0),MATCH(P$5,'TERMINAL CURVES'!$A$4:$N$4,0))-INDEX(terminal_curves,MATCH(L38,'TERMINAL CURVES'!$A$4:$A$313,0),MATCH(N$6,'TERMINAL CURVES'!$A$4:$N$4,0)))*IF(F38=0,0,H38/F38)))*-F38</f>
        <v>0</v>
      </c>
      <c r="Q38" s="353" t="n">
        <f aca="false">SUM(N38:P38)</f>
        <v>0</v>
      </c>
      <c r="R38" s="357" t="n">
        <f aca="false">(-H38/((HLOOKUP(P$5,port_specs,2,0)/(365.25))*(L39-L38)))*(INDEX(fixed_capacity_charge,MATCH(L38,PORTS!$H$11:$H$317,0),MATCH(P$5,PORTS!$H$11:$N$11,0))+INDEX(variable_om_charge,MATCH(L38,PORTS!$H$318:$H$625,0),MATCH(P$5,PORTS!$H$318:$N$318,0)))</f>
        <v>-0</v>
      </c>
      <c r="S38" s="343" t="n">
        <f aca="false">+R38+Q38</f>
        <v>0</v>
      </c>
      <c r="T38" s="355" t="n">
        <f aca="false">+S38+M38</f>
        <v>0</v>
      </c>
      <c r="U38" s="342"/>
      <c r="V38" s="346" t="n">
        <f aca="false">+DATE(YEAR(V37),MONTH(V37)+1,1)</f>
        <v>37316</v>
      </c>
      <c r="W38" s="327" t="n">
        <f aca="false">+Y38/(1-HLOOKUP(X$6,SHIPS,7,0)*INDEX(LADEN_VOYAGE_DAYS,MATCH(CONCATENATE(X$4,X$5),LADEN_VOYAGE_ROUTES,0),MATCH(X$6,LADEN_VOYAGE_SHIPS,0)))</f>
        <v>0</v>
      </c>
      <c r="X38" s="347" t="n">
        <f aca="false">+Y38-W38</f>
        <v>0</v>
      </c>
      <c r="Y38" s="348" t="n">
        <f aca="false">+IF(AND(X$8&lt;=V38,X$9&gt;=V38),+MIN($B38-SUMIF($H$17:X$17,Y$17,$H38:X38),((INDEX(ROUTE_PER_DAY_BY_SHIP,MATCH(CONCATENATE(X$4,X$5,X$7),ROUTE_PER_DAY_ROUTES,0),MATCH(X$6,ROUTE_PER_DAY_SHIPS,0))*(V39-V38))-(INDEX(ROUTE_PER_DAY_BY_SHIP,MATCH(CONCATENATE(X$4,X$5,X$7),ROUTE_PER_DAY_ROUTES,0),MATCH(X$6,ROUTE_PER_DAY_SHIPS,0))*(V39-V38))*HLOOKUP(X$6,SHIPS,7,0)*INDEX(LADEN_VOYAGE_DAYS,MATCH(CONCATENATE(X$4,X$5,X$7),LADEN_VOYAGE_ROUTES,0),MATCH(X$6,LADEN_VOYAGE_SHIPS,0)))),0)</f>
        <v>0</v>
      </c>
      <c r="Z38" s="349" t="n">
        <f aca="false">-(Y38)*HLOOKUP(X$5,TERMINAL_CHARGES,3,0)</f>
        <v>-0</v>
      </c>
      <c r="AA38" s="327" t="n">
        <f aca="false">+Y38+Z38</f>
        <v>0</v>
      </c>
      <c r="AB38" s="333"/>
      <c r="AC38" s="346" t="n">
        <f aca="false">+DATE(YEAR(AC37),MONTH(AC37)+1,1)</f>
        <v>37316</v>
      </c>
      <c r="AD38" s="343" t="n">
        <f aca="false">+AA38*(VLOOKUP(AC38,CURVECALC!$C$6:$J$312,4,0)+AE$5)</f>
        <v>0</v>
      </c>
      <c r="AE38" s="350" t="n">
        <f aca="false">-W38*INDEX(ship_curves,MATCH(AC38,'SHIP CURVES'!$A$9:$A$316,0),MATCH(CONCATENATE(AG$4,AG$5,AG$6,AG$7),'SHIP CURVES'!$A$9:$AZ$9,0))</f>
        <v>-0</v>
      </c>
      <c r="AF38" s="351" t="n">
        <f aca="false">-Y38*INDEX(port_processing_fee,MATCH(AC38,PORTS!$H$626:$H$933,0),MATCH(AG$5,PORTS!$H$626:$Z$626,0))</f>
        <v>-0</v>
      </c>
      <c r="AG38" s="352" t="n">
        <f aca="false">(((VLOOKUP(AC38,curvecalc,4,0))*IF(W38=0,0,AA38/W38)-INDEX(ship_curves,MATCH(AC38,'SHIP CURVES'!$A$9:$A$316,0),MATCH(CONCATENATE(AG$4,AG$5,AG$6,AG$7),'SHIP CURVES'!$A$9:$Z$9,0))-INDEX(terminal_curves,MATCH(AC38,'TERMINAL CURVES'!$A$4:$A$313,0),MATCH(AG$5,'TERMINAL CURVES'!$A$4:$N$4,0))*IF(W38=0,0,Y38/W38))-(AE$8)*((AE$7-$N$5)-(INDEX(ship_curves,MATCH(AC38,'SHIP CURVES'!$A$9:$A$316,0),MATCH(CONCATENATE(AG$4,AG$5,AG$6,AG$7),'SHIP CURVES'!$A$9:$Z$9,0))-INDEX(ship_curves,MATCH(AC38,'SHIP CURVES'!$A$9:$A$316,0),MATCH(CONCATENATE(AG$4,AE$6,AG$6,AG$7),'SHIP CURVES'!$A$9:$Z$9,0)))-(INDEX(terminal_curves,MATCH(AC38,'TERMINAL CURVES'!$A$4:$A$313,0),MATCH(AG$5,'TERMINAL CURVES'!$A$4:$N$4,0))-INDEX(terminal_curves,MATCH(AC38,'TERMINAL CURVES'!$A$4:$A$313,0),MATCH(AE$6,'TERMINAL CURVES'!$A$4:$N$4,0)))*IF(W38=0,0,Y38/W38)))*-W38</f>
        <v>0</v>
      </c>
      <c r="AH38" s="356" t="n">
        <f aca="false">SUM(AE38:AG38)</f>
        <v>0</v>
      </c>
      <c r="AI38" s="357" t="n">
        <f aca="false">(-Y38/((HLOOKUP(AG$5,port_specs,2,0)/(365.25))*(AC39-AC38)))*(INDEX(fixed_capacity_charge,MATCH(AC38,PORTS!$H$11:$H$317,0),MATCH(AG$5,PORTS!$H$11:$N$11,0))+INDEX(variable_om_charge,MATCH(AC38,PORTS!$H$318:$H$625,0),MATCH(AG$5,PORTS!$H$318:$N$318,0)))</f>
        <v>-0</v>
      </c>
      <c r="AJ38" s="343" t="n">
        <f aca="false">+AI38+AH38</f>
        <v>0</v>
      </c>
      <c r="AK38" s="355" t="n">
        <f aca="false">+AJ38+AD38</f>
        <v>0</v>
      </c>
      <c r="AM38" s="346" t="n">
        <f aca="false">+DATE(YEAR(AM37),MONTH(AM37)+1,1)</f>
        <v>37316</v>
      </c>
      <c r="AN38" s="327" t="n">
        <f aca="false">+AP38/(1-HLOOKUP(AO$6,SHIPS,7,0)*INDEX(LADEN_VOYAGE_DAYS,MATCH(CONCATENATE(AO$4,AO$5),LADEN_VOYAGE_ROUTES,0),MATCH(AO$6,LADEN_VOYAGE_SHIPS,0)))</f>
        <v>0</v>
      </c>
      <c r="AO38" s="347" t="n">
        <f aca="false">+AP38-AN38</f>
        <v>0</v>
      </c>
      <c r="AP38" s="348" t="n">
        <f aca="false">+IF(AND(AO$8&lt;=AM38,AO$9&gt;=AM38),+MIN($B38-SUMIF($H$17:AO$17,AP$17,$H38:AO38),((INDEX(ROUTE_PER_DAY_BY_SHIP,MATCH(CONCATENATE(AO$4,AO$5,AO$7),ROUTE_PER_DAY_ROUTES,0),MATCH(AO$6,ROUTE_PER_DAY_SHIPS,0))*(AM39-AM38))-(INDEX(ROUTE_PER_DAY_BY_SHIP,MATCH(CONCATENATE(AO$4,AO$5,AO$7),ROUTE_PER_DAY_ROUTES,0),MATCH(AO$6,ROUTE_PER_DAY_SHIPS,0))*(AM39-AM38))*HLOOKUP(AO$6,SHIPS,7,0)*INDEX(LADEN_VOYAGE_DAYS,MATCH(CONCATENATE(AO$4,AO$5,AO$7),LADEN_VOYAGE_ROUTES,0),MATCH(AO$6,LADEN_VOYAGE_SHIPS,0)))),0)</f>
        <v>0</v>
      </c>
      <c r="AQ38" s="349" t="n">
        <f aca="false">-(AP38)*PORTS!$I$6</f>
        <v>-0</v>
      </c>
      <c r="AR38" s="327" t="n">
        <f aca="false">+AP38+AQ38</f>
        <v>0</v>
      </c>
      <c r="AS38" s="333"/>
      <c r="AT38" s="346" t="n">
        <f aca="false">+DATE(YEAR(AT37),MONTH(AT37)+1,1)</f>
        <v>37316</v>
      </c>
      <c r="AU38" s="343" t="n">
        <f aca="false">+AR38*(VLOOKUP(AT38,CURVECALC!$C$6:$J$312,4,0)+AV$5)</f>
        <v>0</v>
      </c>
      <c r="AV38" s="350" t="n">
        <f aca="false">-AN38*INDEX(ship_curves,MATCH(AT38,'SHIP CURVES'!$A$9:$A$316,0),MATCH(CONCATENATE(AX$4,AX$5,AX$6,AX$7),'SHIP CURVES'!$A$9:$AZ$9,0))</f>
        <v>-0</v>
      </c>
      <c r="AW38" s="351" t="n">
        <f aca="false">-AP38*INDEX(port_processing_fee,MATCH(AT38,PORTS!$H$626:$H$933,0),MATCH(AX$5,PORTS!$H$626:$Z$626,0))</f>
        <v>-0</v>
      </c>
      <c r="AX38" s="352" t="n">
        <f aca="false">(((VLOOKUP(AT38,curvecalc,4,0))*IF(AN38=0,0,AR38/AN38)-INDEX(ship_curves,MATCH(AT38,'SHIP CURVES'!$A$9:$A$316,0),MATCH(CONCATENATE(AX$4,AX$5,AX$6,AX$7),'SHIP CURVES'!$A$9:$Z$9,0))-INDEX(terminal_curves,MATCH(AT38,'TERMINAL CURVES'!$A$4:$A$313,0),MATCH(AX$5,'TERMINAL CURVES'!$A$4:$N$4,0))*IF(AN38=0,0,AP38/AN38))-(AV$8)*((AV$7-$N$5)-(INDEX(ship_curves,MATCH(AT38,'SHIP CURVES'!$A$9:$A$316,0),MATCH(CONCATENATE(AX$4,AX$5,AX$6,AX$7),'SHIP CURVES'!$A$9:$Z$9,0))-INDEX(ship_curves,MATCH(AT38,'SHIP CURVES'!$A$9:$A$316,0),MATCH(CONCATENATE(AX$4,AV$6,AX$6,AX$7),'SHIP CURVES'!$A$9:$Z$9,0)))-(INDEX(terminal_curves,MATCH(AT38,'TERMINAL CURVES'!$A$4:$A$313,0),MATCH(AX$5,'TERMINAL CURVES'!$A$4:$N$4,0))-INDEX(terminal_curves,MATCH(AT38,'TERMINAL CURVES'!$A$4:$A$313,0),MATCH(AV$6,'TERMINAL CURVES'!$A$4:$N$4,0)))*IF(AN38=0,0,AP38/AN38)))*-AN38</f>
        <v>0</v>
      </c>
      <c r="AY38" s="356" t="n">
        <f aca="false">SUM(AV38:AX38)</f>
        <v>0</v>
      </c>
      <c r="AZ38" s="357" t="n">
        <f aca="false">(-AP38/((HLOOKUP(AX$5,port_specs,2,0)/(365.25))*(AT39-AT38)))*(INDEX(fixed_capacity_charge,MATCH(AT38,PORTS!$H$11:$H$317,0),MATCH(AX$5,PORTS!$H$11:$N$11,0))+INDEX(variable_om_charge,MATCH(AT38,PORTS!$H$318:$H$625,0),MATCH(AX$5,PORTS!$H$318:$N$318,0)))</f>
        <v>-0</v>
      </c>
      <c r="BA38" s="343" t="n">
        <f aca="false">+AZ38+AY38</f>
        <v>0</v>
      </c>
      <c r="BB38" s="355" t="n">
        <f aca="false">+BA38+AU38</f>
        <v>0</v>
      </c>
      <c r="BC38" s="99"/>
      <c r="BD38" s="357" t="n">
        <f aca="false">+PORTS!I32+PORTS!I340</f>
        <v>0</v>
      </c>
    </row>
    <row r="39" customFormat="false" ht="12.75" hidden="false" customHeight="false" outlineLevel="0" collapsed="false">
      <c r="A39" s="346" t="n">
        <f aca="false">+DATE(YEAR(A38),MONTH(A38)+1,1)</f>
        <v>37347</v>
      </c>
      <c r="B39" s="327" t="n">
        <f aca="false">+IF(AND($A39&gt;=$C$8,$A39&lt;=$C$9),1,0)*PORTS!$I$5/(365.25)*(A40-A39)</f>
        <v>5166876.75662674</v>
      </c>
      <c r="C39" s="328" t="n">
        <f aca="false">+B39-(SUMIF($F$17:$IV$17,$H$17,$F39:$IV39))</f>
        <v>2475188.65371765</v>
      </c>
      <c r="D39" s="0" t="n">
        <f aca="false">+YEAR(E39)</f>
        <v>2002</v>
      </c>
      <c r="E39" s="346" t="n">
        <f aca="false">+DATE(YEAR(E38),MONTH(E38)+1,1)</f>
        <v>37347</v>
      </c>
      <c r="F39" s="327" t="n">
        <f aca="false">+IF(AND(G$8&lt;=E39,G$9&gt;=E39),INDEX(ROUTE_PER_DAY_BY_SHIP,MATCH(CONCATENATE(G$4,G$5,G$7),ROUTE_PER_DAY_ROUTES,0),MATCH(G$6,ROUTE_PER_DAY_SHIPS,0))*(E40-E39),0)</f>
        <v>2783545.09090909</v>
      </c>
      <c r="G39" s="347" t="n">
        <f aca="false">-F39*HLOOKUP(G$6,SHIPS,7,0)*INDEX(LADEN_VOYAGE_DAYS,MATCH(CONCATENATE(G$4,G$5,G$7),LADEN_VOYAGE_ROUTES,0),MATCH(G$6,LADEN_VOYAGE_SHIPS,0))</f>
        <v>-91856.988</v>
      </c>
      <c r="H39" s="348" t="n">
        <f aca="false">SUM(F39:G39)</f>
        <v>2691688.10290909</v>
      </c>
      <c r="I39" s="349" t="n">
        <f aca="false">-(H39)*HLOOKUP(G$5,TERMINAL_CHARGES,3,0)</f>
        <v>-67292.2025727273</v>
      </c>
      <c r="J39" s="327" t="n">
        <f aca="false">+H39+I39</f>
        <v>2624395.90033636</v>
      </c>
      <c r="K39" s="333"/>
      <c r="L39" s="346" t="n">
        <f aca="false">+DATE(YEAR(L38),MONTH(L38)+1,1)</f>
        <v>37347</v>
      </c>
      <c r="M39" s="334" t="n">
        <f aca="false">+J39*(VLOOKUP(L39,CURVECALC!$C$6:$J$312,4,0)+N$5)</f>
        <v>8571277.01049857</v>
      </c>
      <c r="N39" s="350" t="n">
        <f aca="false">-F39*INDEX(ship_curves,MATCH(L39,'SHIP CURVES'!$A$9:$A$316,0),MATCH(CONCATENATE(P$4,P$5,P$6,P$7),'SHIP CURVES'!$A$9:$AZ$9,0))</f>
        <v>-1457333.3525663</v>
      </c>
      <c r="O39" s="351" t="n">
        <f aca="false">-H39*INDEX(port_processing_fee,MATCH(L39,PORTS!$H$626:$H$933,0),MATCH(P$5,PORTS!$H$626:$Z$626,0))</f>
        <v>-72877.421829379</v>
      </c>
      <c r="P39" s="352" t="n">
        <f aca="false">(((VLOOKUP(L39,curvecalc,4,0))*IF(F39=0,0,J39/F39)-INDEX(ship_curves,MATCH(L39,'SHIP CURVES'!$A$9:$A$316,0),MATCH(CONCATENATE(P$4,P$5,P$6,P$7),'SHIP CURVES'!$A$9:$Z$9,0))-INDEX(terminal_curves,MATCH(L39,'TERMINAL CURVES'!$A$4:$A$313,0),MATCH(P$5,'TERMINAL CURVES'!$A$4:$N$4,0))*IF(F39=0,0,H39/F39))-(N$8)*((N$7-$N$5)-(INDEX(ship_curves,MATCH(L39,'SHIP CURVES'!$A$9:$A$316,0),MATCH(CONCATENATE(P$4,P$5,P$6,P$7),'SHIP CURVES'!$A$9:$Z$9,0))-INDEX(ship_curves,MATCH(L39,'SHIP CURVES'!$A$9:$A$316,0),MATCH(CONCATENATE(P$4,N$6,P$6,P$7),'SHIP CURVES'!$A$9:$Z$9,0)))-(INDEX(terminal_curves,MATCH(L39,'TERMINAL CURVES'!$A$4:$A$313,0),MATCH(P$5,'TERMINAL CURVES'!$A$4:$N$4,0))-INDEX(terminal_curves,MATCH(L39,'TERMINAL CURVES'!$A$4:$A$313,0),MATCH(N$6,'TERMINAL CURVES'!$A$4:$N$4,0)))*IF(F39=0,0,H39/F39)))*-F39</f>
        <v>-6493212.54527883</v>
      </c>
      <c r="Q39" s="353" t="n">
        <f aca="false">SUM(N39:P39)</f>
        <v>-8023423.31967451</v>
      </c>
      <c r="R39" s="357" t="n">
        <f aca="false">(-H39/((HLOOKUP(P$5,port_specs,2,0)/(365.25))*(L40-L39)))*(INDEX(fixed_capacity_charge,MATCH(L39,PORTS!$H$11:$H$317,0),MATCH(P$5,PORTS!$H$11:$N$11,0))+INDEX(variable_om_charge,MATCH(L39,PORTS!$H$318:$H$625,0),MATCH(P$5,PORTS!$H$318:$N$318,0)))</f>
        <v>-495365.772817331</v>
      </c>
      <c r="S39" s="343" t="n">
        <f aca="false">+R39+Q39</f>
        <v>-8518789.09249184</v>
      </c>
      <c r="T39" s="355" t="n">
        <f aca="false">+S39+M39</f>
        <v>52487.9180067293</v>
      </c>
      <c r="U39" s="342"/>
      <c r="V39" s="346" t="n">
        <f aca="false">+DATE(YEAR(V38),MONTH(V38)+1,1)</f>
        <v>37347</v>
      </c>
      <c r="W39" s="327" t="n">
        <f aca="false">+Y39/(1-HLOOKUP(X$6,SHIPS,7,0)*INDEX(LADEN_VOYAGE_DAYS,MATCH(CONCATENATE(X$4,X$5),LADEN_VOYAGE_ROUTES,0),MATCH(X$6,LADEN_VOYAGE_SHIPS,0)))</f>
        <v>0</v>
      </c>
      <c r="X39" s="347" t="n">
        <f aca="false">+Y39-W39</f>
        <v>0</v>
      </c>
      <c r="Y39" s="348" t="n">
        <f aca="false">+IF(AND(X$8&lt;=V39,X$9&gt;=V39),+MIN($B39-SUMIF($H$17:X$17,Y$17,$H39:X39),((INDEX(ROUTE_PER_DAY_BY_SHIP,MATCH(CONCATENATE(X$4,X$5,X$7),ROUTE_PER_DAY_ROUTES,0),MATCH(X$6,ROUTE_PER_DAY_SHIPS,0))*(V40-V39))-(INDEX(ROUTE_PER_DAY_BY_SHIP,MATCH(CONCATENATE(X$4,X$5,X$7),ROUTE_PER_DAY_ROUTES,0),MATCH(X$6,ROUTE_PER_DAY_SHIPS,0))*(V40-V39))*HLOOKUP(X$6,SHIPS,7,0)*INDEX(LADEN_VOYAGE_DAYS,MATCH(CONCATENATE(X$4,X$5,X$7),LADEN_VOYAGE_ROUTES,0),MATCH(X$6,LADEN_VOYAGE_SHIPS,0)))),0)</f>
        <v>0</v>
      </c>
      <c r="Z39" s="349" t="n">
        <f aca="false">-(Y39)*HLOOKUP(X$5,TERMINAL_CHARGES,3,0)</f>
        <v>-0</v>
      </c>
      <c r="AA39" s="327" t="n">
        <f aca="false">+Y39+Z39</f>
        <v>0</v>
      </c>
      <c r="AB39" s="333"/>
      <c r="AC39" s="346" t="n">
        <f aca="false">+DATE(YEAR(AC38),MONTH(AC38)+1,1)</f>
        <v>37347</v>
      </c>
      <c r="AD39" s="343" t="n">
        <f aca="false">+AA39*(VLOOKUP(AC39,CURVECALC!$C$6:$J$312,4,0)+AE$5)</f>
        <v>0</v>
      </c>
      <c r="AE39" s="350" t="n">
        <f aca="false">-W39*INDEX(ship_curves,MATCH(AC39,'SHIP CURVES'!$A$9:$A$316,0),MATCH(CONCATENATE(AG$4,AG$5,AG$6,AG$7),'SHIP CURVES'!$A$9:$AZ$9,0))</f>
        <v>-0</v>
      </c>
      <c r="AF39" s="351" t="n">
        <f aca="false">-Y39*INDEX(port_processing_fee,MATCH(AC39,PORTS!$H$626:$H$933,0),MATCH(AG$5,PORTS!$H$626:$Z$626,0))</f>
        <v>-0</v>
      </c>
      <c r="AG39" s="352" t="n">
        <f aca="false">(((VLOOKUP(AC39,curvecalc,4,0))*IF(W39=0,0,AA39/W39)-INDEX(ship_curves,MATCH(AC39,'SHIP CURVES'!$A$9:$A$316,0),MATCH(CONCATENATE(AG$4,AG$5,AG$6,AG$7),'SHIP CURVES'!$A$9:$Z$9,0))-INDEX(terminal_curves,MATCH(AC39,'TERMINAL CURVES'!$A$4:$A$313,0),MATCH(AG$5,'TERMINAL CURVES'!$A$4:$N$4,0))*IF(W39=0,0,Y39/W39))-(AE$8)*((AE$7-$N$5)-(INDEX(ship_curves,MATCH(AC39,'SHIP CURVES'!$A$9:$A$316,0),MATCH(CONCATENATE(AG$4,AG$5,AG$6,AG$7),'SHIP CURVES'!$A$9:$Z$9,0))-INDEX(ship_curves,MATCH(AC39,'SHIP CURVES'!$A$9:$A$316,0),MATCH(CONCATENATE(AG$4,AE$6,AG$6,AG$7),'SHIP CURVES'!$A$9:$Z$9,0)))-(INDEX(terminal_curves,MATCH(AC39,'TERMINAL CURVES'!$A$4:$A$313,0),MATCH(AG$5,'TERMINAL CURVES'!$A$4:$N$4,0))-INDEX(terminal_curves,MATCH(AC39,'TERMINAL CURVES'!$A$4:$A$313,0),MATCH(AE$6,'TERMINAL CURVES'!$A$4:$N$4,0)))*IF(W39=0,0,Y39/W39)))*-W39</f>
        <v>0</v>
      </c>
      <c r="AH39" s="356" t="n">
        <f aca="false">SUM(AE39:AG39)</f>
        <v>0</v>
      </c>
      <c r="AI39" s="357" t="n">
        <f aca="false">(-Y39/((HLOOKUP(AG$5,port_specs,2,0)/(365.25))*(AC40-AC39)))*(INDEX(fixed_capacity_charge,MATCH(AC39,PORTS!$H$11:$H$317,0),MATCH(AG$5,PORTS!$H$11:$N$11,0))+INDEX(variable_om_charge,MATCH(AC39,PORTS!$H$318:$H$625,0),MATCH(AG$5,PORTS!$H$318:$N$318,0)))</f>
        <v>-0</v>
      </c>
      <c r="AJ39" s="343" t="n">
        <f aca="false">+AI39+AH39</f>
        <v>0</v>
      </c>
      <c r="AK39" s="355" t="n">
        <f aca="false">+AJ39+AD39</f>
        <v>0</v>
      </c>
      <c r="AM39" s="346" t="n">
        <f aca="false">+DATE(YEAR(AM38),MONTH(AM38)+1,1)</f>
        <v>37347</v>
      </c>
      <c r="AN39" s="327" t="n">
        <f aca="false">+AP39/(1-HLOOKUP(AO$6,SHIPS,7,0)*INDEX(LADEN_VOYAGE_DAYS,MATCH(CONCATENATE(AO$4,AO$5),LADEN_VOYAGE_ROUTES,0),MATCH(AO$6,LADEN_VOYAGE_SHIPS,0)))</f>
        <v>0</v>
      </c>
      <c r="AO39" s="347" t="n">
        <f aca="false">+AP39-AN39</f>
        <v>0</v>
      </c>
      <c r="AP39" s="348" t="n">
        <f aca="false">+IF(AND(AO$8&lt;=AM39,AO$9&gt;=AM39),+MIN($B39-SUMIF($H$17:AO$17,AP$17,$H39:AO39),((INDEX(ROUTE_PER_DAY_BY_SHIP,MATCH(CONCATENATE(AO$4,AO$5,AO$7),ROUTE_PER_DAY_ROUTES,0),MATCH(AO$6,ROUTE_PER_DAY_SHIPS,0))*(AM40-AM39))-(INDEX(ROUTE_PER_DAY_BY_SHIP,MATCH(CONCATENATE(AO$4,AO$5,AO$7),ROUTE_PER_DAY_ROUTES,0),MATCH(AO$6,ROUTE_PER_DAY_SHIPS,0))*(AM40-AM39))*HLOOKUP(AO$6,SHIPS,7,0)*INDEX(LADEN_VOYAGE_DAYS,MATCH(CONCATENATE(AO$4,AO$5,AO$7),LADEN_VOYAGE_ROUTES,0),MATCH(AO$6,LADEN_VOYAGE_SHIPS,0)))),0)</f>
        <v>0</v>
      </c>
      <c r="AQ39" s="349" t="n">
        <f aca="false">-(AP39)*PORTS!$I$6</f>
        <v>-0</v>
      </c>
      <c r="AR39" s="327" t="n">
        <f aca="false">+AP39+AQ39</f>
        <v>0</v>
      </c>
      <c r="AS39" s="333"/>
      <c r="AT39" s="346" t="n">
        <f aca="false">+DATE(YEAR(AT38),MONTH(AT38)+1,1)</f>
        <v>37347</v>
      </c>
      <c r="AU39" s="343" t="n">
        <f aca="false">+AR39*(VLOOKUP(AT39,CURVECALC!$C$6:$J$312,4,0)+AV$5)</f>
        <v>0</v>
      </c>
      <c r="AV39" s="350" t="n">
        <f aca="false">-AN39*INDEX(ship_curves,MATCH(AT39,'SHIP CURVES'!$A$9:$A$316,0),MATCH(CONCATENATE(AX$4,AX$5,AX$6,AX$7),'SHIP CURVES'!$A$9:$AZ$9,0))</f>
        <v>-0</v>
      </c>
      <c r="AW39" s="351" t="n">
        <f aca="false">-AP39*INDEX(port_processing_fee,MATCH(AT39,PORTS!$H$626:$H$933,0),MATCH(AX$5,PORTS!$H$626:$Z$626,0))</f>
        <v>-0</v>
      </c>
      <c r="AX39" s="352" t="n">
        <f aca="false">(((VLOOKUP(AT39,curvecalc,4,0))*IF(AN39=0,0,AR39/AN39)-INDEX(ship_curves,MATCH(AT39,'SHIP CURVES'!$A$9:$A$316,0),MATCH(CONCATENATE(AX$4,AX$5,AX$6,AX$7),'SHIP CURVES'!$A$9:$Z$9,0))-INDEX(terminal_curves,MATCH(AT39,'TERMINAL CURVES'!$A$4:$A$313,0),MATCH(AX$5,'TERMINAL CURVES'!$A$4:$N$4,0))*IF(AN39=0,0,AP39/AN39))-(AV$8)*((AV$7-$N$5)-(INDEX(ship_curves,MATCH(AT39,'SHIP CURVES'!$A$9:$A$316,0),MATCH(CONCATENATE(AX$4,AX$5,AX$6,AX$7),'SHIP CURVES'!$A$9:$Z$9,0))-INDEX(ship_curves,MATCH(AT39,'SHIP CURVES'!$A$9:$A$316,0),MATCH(CONCATENATE(AX$4,AV$6,AX$6,AX$7),'SHIP CURVES'!$A$9:$Z$9,0)))-(INDEX(terminal_curves,MATCH(AT39,'TERMINAL CURVES'!$A$4:$A$313,0),MATCH(AX$5,'TERMINAL CURVES'!$A$4:$N$4,0))-INDEX(terminal_curves,MATCH(AT39,'TERMINAL CURVES'!$A$4:$A$313,0),MATCH(AV$6,'TERMINAL CURVES'!$A$4:$N$4,0)))*IF(AN39=0,0,AP39/AN39)))*-AN39</f>
        <v>0</v>
      </c>
      <c r="AY39" s="356" t="n">
        <f aca="false">SUM(AV39:AX39)</f>
        <v>0</v>
      </c>
      <c r="AZ39" s="357" t="n">
        <f aca="false">(-AP39/((HLOOKUP(AX$5,port_specs,2,0)/(365.25))*(AT40-AT39)))*(INDEX(fixed_capacity_charge,MATCH(AT39,PORTS!$H$11:$H$317,0),MATCH(AX$5,PORTS!$H$11:$N$11,0))+INDEX(variable_om_charge,MATCH(AT39,PORTS!$H$318:$H$625,0),MATCH(AX$5,PORTS!$H$318:$N$318,0)))</f>
        <v>-0</v>
      </c>
      <c r="BA39" s="343" t="n">
        <f aca="false">+AZ39+AY39</f>
        <v>0</v>
      </c>
      <c r="BB39" s="355" t="n">
        <f aca="false">+BA39+AU39</f>
        <v>0</v>
      </c>
      <c r="BC39" s="99"/>
      <c r="BD39" s="357" t="n">
        <f aca="false">+PORTS!I33+PORTS!I341</f>
        <v>950887.992866667</v>
      </c>
    </row>
    <row r="40" customFormat="false" ht="12.75" hidden="false" customHeight="false" outlineLevel="0" collapsed="false">
      <c r="A40" s="346" t="n">
        <f aca="false">+DATE(YEAR(A39),MONTH(A39)+1,1)</f>
        <v>37377</v>
      </c>
      <c r="B40" s="327" t="n">
        <f aca="false">+IF(AND($A40&gt;=$C$8,$A40&lt;=$C$9),1,0)*PORTS!$I$5/(365.25)*(A41-A40)</f>
        <v>5339105.98184763</v>
      </c>
      <c r="C40" s="328" t="n">
        <f aca="false">+B40-(SUMIF($F$17:$IV$17,$H$17,$F40:$IV40))</f>
        <v>2557694.94217491</v>
      </c>
      <c r="D40" s="0" t="n">
        <f aca="false">+YEAR(E40)</f>
        <v>2002</v>
      </c>
      <c r="E40" s="346" t="n">
        <f aca="false">+DATE(YEAR(E39),MONTH(E39)+1,1)</f>
        <v>37377</v>
      </c>
      <c r="F40" s="327" t="n">
        <f aca="false">+IF(AND(G$8&lt;=E40,G$9&gt;=E40),INDEX(ROUTE_PER_DAY_BY_SHIP,MATCH(CONCATENATE(G$4,G$5,G$7),ROUTE_PER_DAY_ROUTES,0),MATCH(G$6,ROUTE_PER_DAY_SHIPS,0))*(E41-E40),0)</f>
        <v>2876329.92727273</v>
      </c>
      <c r="G40" s="347" t="n">
        <f aca="false">-F40*HLOOKUP(G$6,SHIPS,7,0)*INDEX(LADEN_VOYAGE_DAYS,MATCH(CONCATENATE(G$4,G$5,G$7),LADEN_VOYAGE_ROUTES,0),MATCH(G$6,LADEN_VOYAGE_SHIPS,0))</f>
        <v>-94918.8876</v>
      </c>
      <c r="H40" s="348" t="n">
        <f aca="false">SUM(F40:G40)</f>
        <v>2781411.03967273</v>
      </c>
      <c r="I40" s="349" t="n">
        <f aca="false">-(H40)*HLOOKUP(G$5,TERMINAL_CHARGES,3,0)</f>
        <v>-69535.2759918182</v>
      </c>
      <c r="J40" s="327" t="n">
        <f aca="false">+H40+I40</f>
        <v>2711875.76368091</v>
      </c>
      <c r="K40" s="333"/>
      <c r="L40" s="346" t="n">
        <f aca="false">+DATE(YEAR(L39),MONTH(L39)+1,1)</f>
        <v>37377</v>
      </c>
      <c r="M40" s="334" t="n">
        <f aca="false">+J40*(VLOOKUP(L40,CURVECALC!$C$6:$J$312,4,0)+N$5)</f>
        <v>8762070.59245302</v>
      </c>
      <c r="N40" s="350" t="n">
        <f aca="false">-F40*INDEX(ship_curves,MATCH(L40,'SHIP CURVES'!$A$9:$A$316,0),MATCH(CONCATENATE(P$4,P$5,P$6,P$7),'SHIP CURVES'!$A$9:$AZ$9,0))</f>
        <v>-1506842.02928714</v>
      </c>
      <c r="O40" s="351" t="n">
        <f aca="false">-H40*INDEX(port_processing_fee,MATCH(L40,PORTS!$H$626:$H$933,0),MATCH(P$5,PORTS!$H$626:$Z$626,0))</f>
        <v>-75385.1136707996</v>
      </c>
      <c r="P40" s="352" t="n">
        <f aca="false">(((VLOOKUP(L40,curvecalc,4,0))*IF(F40=0,0,J40/F40)-INDEX(ship_curves,MATCH(L40,'SHIP CURVES'!$A$9:$A$316,0),MATCH(CONCATENATE(P$4,P$5,P$6,P$7),'SHIP CURVES'!$A$9:$Z$9,0))-INDEX(terminal_curves,MATCH(L40,'TERMINAL CURVES'!$A$4:$A$313,0),MATCH(P$5,'TERMINAL CURVES'!$A$4:$N$4,0))*IF(F40=0,0,H40/F40))-(N$8)*((N$7-$N$5)-(INDEX(ship_curves,MATCH(L40,'SHIP CURVES'!$A$9:$A$316,0),MATCH(CONCATENATE(P$4,P$5,P$6,P$7),'SHIP CURVES'!$A$9:$Z$9,0))-INDEX(ship_curves,MATCH(L40,'SHIP CURVES'!$A$9:$A$316,0),MATCH(CONCATENATE(P$4,N$6,P$6,P$7),'SHIP CURVES'!$A$9:$Z$9,0)))-(INDEX(terminal_curves,MATCH(L40,'TERMINAL CURVES'!$A$4:$A$313,0),MATCH(P$5,'TERMINAL CURVES'!$A$4:$N$4,0))-INDEX(terminal_curves,MATCH(L40,'TERMINAL CURVES'!$A$4:$A$313,0),MATCH(N$6,'TERMINAL CURVES'!$A$4:$N$4,0)))*IF(F40=0,0,H40/F40)))*-F40</f>
        <v>-6629987.44527357</v>
      </c>
      <c r="Q40" s="353" t="n">
        <f aca="false">SUM(N40:P40)</f>
        <v>-8212214.5882315</v>
      </c>
      <c r="R40" s="357" t="n">
        <f aca="false">(-H40/((HLOOKUP(P$5,port_specs,2,0)/(365.25))*(L41-L40)))*(INDEX(fixed_capacity_charge,MATCH(L40,PORTS!$H$11:$H$317,0),MATCH(P$5,PORTS!$H$11:$N$11,0))+INDEX(variable_om_charge,MATCH(L40,PORTS!$H$318:$H$625,0),MATCH(P$5,PORTS!$H$318:$N$318,0)))</f>
        <v>-495618.488947895</v>
      </c>
      <c r="S40" s="343" t="n">
        <f aca="false">+R40+Q40</f>
        <v>-8707833.0771794</v>
      </c>
      <c r="T40" s="355" t="n">
        <f aca="false">+S40+M40</f>
        <v>54237.5152736194</v>
      </c>
      <c r="U40" s="342"/>
      <c r="V40" s="346" t="n">
        <f aca="false">+DATE(YEAR(V39),MONTH(V39)+1,1)</f>
        <v>37377</v>
      </c>
      <c r="W40" s="327" t="n">
        <f aca="false">+Y40/(1-HLOOKUP(X$6,SHIPS,7,0)*INDEX(LADEN_VOYAGE_DAYS,MATCH(CONCATENATE(X$4,X$5),LADEN_VOYAGE_ROUTES,0),MATCH(X$6,LADEN_VOYAGE_SHIPS,0)))</f>
        <v>0</v>
      </c>
      <c r="X40" s="347" t="n">
        <f aca="false">+Y40-W40</f>
        <v>0</v>
      </c>
      <c r="Y40" s="348" t="n">
        <f aca="false">+IF(AND(X$8&lt;=V40,X$9&gt;=V40),+MIN($B40-SUMIF($H$17:X$17,Y$17,$H40:X40),((INDEX(ROUTE_PER_DAY_BY_SHIP,MATCH(CONCATENATE(X$4,X$5,X$7),ROUTE_PER_DAY_ROUTES,0),MATCH(X$6,ROUTE_PER_DAY_SHIPS,0))*(V41-V40))-(INDEX(ROUTE_PER_DAY_BY_SHIP,MATCH(CONCATENATE(X$4,X$5,X$7),ROUTE_PER_DAY_ROUTES,0),MATCH(X$6,ROUTE_PER_DAY_SHIPS,0))*(V41-V40))*HLOOKUP(X$6,SHIPS,7,0)*INDEX(LADEN_VOYAGE_DAYS,MATCH(CONCATENATE(X$4,X$5,X$7),LADEN_VOYAGE_ROUTES,0),MATCH(X$6,LADEN_VOYAGE_SHIPS,0)))),0)</f>
        <v>0</v>
      </c>
      <c r="Z40" s="349" t="n">
        <f aca="false">-(Y40)*HLOOKUP(X$5,TERMINAL_CHARGES,3,0)</f>
        <v>-0</v>
      </c>
      <c r="AA40" s="327" t="n">
        <f aca="false">+Y40+Z40</f>
        <v>0</v>
      </c>
      <c r="AB40" s="333"/>
      <c r="AC40" s="346" t="n">
        <f aca="false">+DATE(YEAR(AC39),MONTH(AC39)+1,1)</f>
        <v>37377</v>
      </c>
      <c r="AD40" s="343" t="n">
        <f aca="false">+AA40*(VLOOKUP(AC40,CURVECALC!$C$6:$J$312,4,0)+AE$5)</f>
        <v>0</v>
      </c>
      <c r="AE40" s="350" t="n">
        <f aca="false">-W40*INDEX(ship_curves,MATCH(AC40,'SHIP CURVES'!$A$9:$A$316,0),MATCH(CONCATENATE(AG$4,AG$5,AG$6,AG$7),'SHIP CURVES'!$A$9:$AZ$9,0))</f>
        <v>-0</v>
      </c>
      <c r="AF40" s="351" t="n">
        <f aca="false">-Y40*INDEX(port_processing_fee,MATCH(AC40,PORTS!$H$626:$H$933,0),MATCH(AG$5,PORTS!$H$626:$Z$626,0))</f>
        <v>-0</v>
      </c>
      <c r="AG40" s="352" t="n">
        <f aca="false">(((VLOOKUP(AC40,curvecalc,4,0))*IF(W40=0,0,AA40/W40)-INDEX(ship_curves,MATCH(AC40,'SHIP CURVES'!$A$9:$A$316,0),MATCH(CONCATENATE(AG$4,AG$5,AG$6,AG$7),'SHIP CURVES'!$A$9:$Z$9,0))-INDEX(terminal_curves,MATCH(AC40,'TERMINAL CURVES'!$A$4:$A$313,0),MATCH(AG$5,'TERMINAL CURVES'!$A$4:$N$4,0))*IF(W40=0,0,Y40/W40))-(AE$8)*((AE$7-$N$5)-(INDEX(ship_curves,MATCH(AC40,'SHIP CURVES'!$A$9:$A$316,0),MATCH(CONCATENATE(AG$4,AG$5,AG$6,AG$7),'SHIP CURVES'!$A$9:$Z$9,0))-INDEX(ship_curves,MATCH(AC40,'SHIP CURVES'!$A$9:$A$316,0),MATCH(CONCATENATE(AG$4,AE$6,AG$6,AG$7),'SHIP CURVES'!$A$9:$Z$9,0)))-(INDEX(terminal_curves,MATCH(AC40,'TERMINAL CURVES'!$A$4:$A$313,0),MATCH(AG$5,'TERMINAL CURVES'!$A$4:$N$4,0))-INDEX(terminal_curves,MATCH(AC40,'TERMINAL CURVES'!$A$4:$A$313,0),MATCH(AE$6,'TERMINAL CURVES'!$A$4:$N$4,0)))*IF(W40=0,0,Y40/W40)))*-W40</f>
        <v>0</v>
      </c>
      <c r="AH40" s="356" t="n">
        <f aca="false">SUM(AE40:AG40)</f>
        <v>0</v>
      </c>
      <c r="AI40" s="357" t="n">
        <f aca="false">(-Y40/((HLOOKUP(AG$5,port_specs,2,0)/(365.25))*(AC41-AC40)))*(INDEX(fixed_capacity_charge,MATCH(AC40,PORTS!$H$11:$H$317,0),MATCH(AG$5,PORTS!$H$11:$N$11,0))+INDEX(variable_om_charge,MATCH(AC40,PORTS!$H$318:$H$625,0),MATCH(AG$5,PORTS!$H$318:$N$318,0)))</f>
        <v>-0</v>
      </c>
      <c r="AJ40" s="343" t="n">
        <f aca="false">+AI40+AH40</f>
        <v>0</v>
      </c>
      <c r="AK40" s="355" t="n">
        <f aca="false">+AJ40+AD40</f>
        <v>0</v>
      </c>
      <c r="AM40" s="346" t="n">
        <f aca="false">+DATE(YEAR(AM39),MONTH(AM39)+1,1)</f>
        <v>37377</v>
      </c>
      <c r="AN40" s="327" t="n">
        <f aca="false">+AP40/(1-HLOOKUP(AO$6,SHIPS,7,0)*INDEX(LADEN_VOYAGE_DAYS,MATCH(CONCATENATE(AO$4,AO$5),LADEN_VOYAGE_ROUTES,0),MATCH(AO$6,LADEN_VOYAGE_SHIPS,0)))</f>
        <v>0</v>
      </c>
      <c r="AO40" s="347" t="n">
        <f aca="false">+AP40-AN40</f>
        <v>0</v>
      </c>
      <c r="AP40" s="348" t="n">
        <f aca="false">+IF(AND(AO$8&lt;=AM40,AO$9&gt;=AM40),+MIN($B40-SUMIF($H$17:AO$17,AP$17,$H40:AO40),((INDEX(ROUTE_PER_DAY_BY_SHIP,MATCH(CONCATENATE(AO$4,AO$5,AO$7),ROUTE_PER_DAY_ROUTES,0),MATCH(AO$6,ROUTE_PER_DAY_SHIPS,0))*(AM41-AM40))-(INDEX(ROUTE_PER_DAY_BY_SHIP,MATCH(CONCATENATE(AO$4,AO$5,AO$7),ROUTE_PER_DAY_ROUTES,0),MATCH(AO$6,ROUTE_PER_DAY_SHIPS,0))*(AM41-AM40))*HLOOKUP(AO$6,SHIPS,7,0)*INDEX(LADEN_VOYAGE_DAYS,MATCH(CONCATENATE(AO$4,AO$5,AO$7),LADEN_VOYAGE_ROUTES,0),MATCH(AO$6,LADEN_VOYAGE_SHIPS,0)))),0)</f>
        <v>0</v>
      </c>
      <c r="AQ40" s="349" t="n">
        <f aca="false">-(AP40)*PORTS!$I$6</f>
        <v>-0</v>
      </c>
      <c r="AR40" s="327" t="n">
        <f aca="false">+AP40+AQ40</f>
        <v>0</v>
      </c>
      <c r="AS40" s="333"/>
      <c r="AT40" s="346" t="n">
        <f aca="false">+DATE(YEAR(AT39),MONTH(AT39)+1,1)</f>
        <v>37377</v>
      </c>
      <c r="AU40" s="343" t="n">
        <f aca="false">+AR40*(VLOOKUP(AT40,CURVECALC!$C$6:$J$312,4,0)+AV$5)</f>
        <v>0</v>
      </c>
      <c r="AV40" s="350" t="n">
        <f aca="false">-AN40*INDEX(ship_curves,MATCH(AT40,'SHIP CURVES'!$A$9:$A$316,0),MATCH(CONCATENATE(AX$4,AX$5,AX$6,AX$7),'SHIP CURVES'!$A$9:$AZ$9,0))</f>
        <v>-0</v>
      </c>
      <c r="AW40" s="351" t="n">
        <f aca="false">-AP40*INDEX(port_processing_fee,MATCH(AT40,PORTS!$H$626:$H$933,0),MATCH(AX$5,PORTS!$H$626:$Z$626,0))</f>
        <v>-0</v>
      </c>
      <c r="AX40" s="352" t="n">
        <f aca="false">(((VLOOKUP(AT40,curvecalc,4,0))*IF(AN40=0,0,AR40/AN40)-INDEX(ship_curves,MATCH(AT40,'SHIP CURVES'!$A$9:$A$316,0),MATCH(CONCATENATE(AX$4,AX$5,AX$6,AX$7),'SHIP CURVES'!$A$9:$Z$9,0))-INDEX(terminal_curves,MATCH(AT40,'TERMINAL CURVES'!$A$4:$A$313,0),MATCH(AX$5,'TERMINAL CURVES'!$A$4:$N$4,0))*IF(AN40=0,0,AP40/AN40))-(AV$8)*((AV$7-$N$5)-(INDEX(ship_curves,MATCH(AT40,'SHIP CURVES'!$A$9:$A$316,0),MATCH(CONCATENATE(AX$4,AX$5,AX$6,AX$7),'SHIP CURVES'!$A$9:$Z$9,0))-INDEX(ship_curves,MATCH(AT40,'SHIP CURVES'!$A$9:$A$316,0),MATCH(CONCATENATE(AX$4,AV$6,AX$6,AX$7),'SHIP CURVES'!$A$9:$Z$9,0)))-(INDEX(terminal_curves,MATCH(AT40,'TERMINAL CURVES'!$A$4:$A$313,0),MATCH(AX$5,'TERMINAL CURVES'!$A$4:$N$4,0))-INDEX(terminal_curves,MATCH(AT40,'TERMINAL CURVES'!$A$4:$A$313,0),MATCH(AV$6,'TERMINAL CURVES'!$A$4:$N$4,0)))*IF(AN40=0,0,AP40/AN40)))*-AN40</f>
        <v>0</v>
      </c>
      <c r="AY40" s="356" t="n">
        <f aca="false">SUM(AV40:AX40)</f>
        <v>0</v>
      </c>
      <c r="AZ40" s="357" t="n">
        <f aca="false">(-AP40/((HLOOKUP(AX$5,port_specs,2,0)/(365.25))*(AT41-AT40)))*(INDEX(fixed_capacity_charge,MATCH(AT40,PORTS!$H$11:$H$317,0),MATCH(AX$5,PORTS!$H$11:$N$11,0))+INDEX(variable_om_charge,MATCH(AT40,PORTS!$H$318:$H$625,0),MATCH(AX$5,PORTS!$H$318:$N$318,0)))</f>
        <v>-0</v>
      </c>
      <c r="BA40" s="343" t="n">
        <f aca="false">+AZ40+AY40</f>
        <v>0</v>
      </c>
      <c r="BB40" s="355" t="n">
        <f aca="false">+BA40+AU40</f>
        <v>0</v>
      </c>
      <c r="BC40" s="99"/>
      <c r="BD40" s="357" t="n">
        <f aca="false">+PORTS!I34+PORTS!I342</f>
        <v>951373.09851454</v>
      </c>
    </row>
    <row r="41" customFormat="false" ht="12.75" hidden="false" customHeight="false" outlineLevel="0" collapsed="false">
      <c r="A41" s="346" t="n">
        <f aca="false">+DATE(YEAR(A40),MONTH(A40)+1,1)</f>
        <v>37408</v>
      </c>
      <c r="B41" s="327" t="n">
        <f aca="false">+IF(AND($A41&gt;=$C$8,$A41&lt;=$C$9),1,0)*PORTS!$I$5/(365.25)*(A42-A41)</f>
        <v>5166876.75662674</v>
      </c>
      <c r="C41" s="328" t="n">
        <f aca="false">+B41-(SUMIF($F$17:$IV$17,$H$17,$F41:$IV41))</f>
        <v>2475188.65371765</v>
      </c>
      <c r="D41" s="0" t="n">
        <f aca="false">+YEAR(E41)</f>
        <v>2002</v>
      </c>
      <c r="E41" s="346" t="n">
        <f aca="false">+DATE(YEAR(E40),MONTH(E40)+1,1)</f>
        <v>37408</v>
      </c>
      <c r="F41" s="327" t="n">
        <f aca="false">+IF(AND(G$8&lt;=E41,G$9&gt;=E41),INDEX(ROUTE_PER_DAY_BY_SHIP,MATCH(CONCATENATE(G$4,G$5,G$7),ROUTE_PER_DAY_ROUTES,0),MATCH(G$6,ROUTE_PER_DAY_SHIPS,0))*(E42-E41),0)</f>
        <v>2783545.09090909</v>
      </c>
      <c r="G41" s="347" t="n">
        <f aca="false">-F41*HLOOKUP(G$6,SHIPS,7,0)*INDEX(LADEN_VOYAGE_DAYS,MATCH(CONCATENATE(G$4,G$5,G$7),LADEN_VOYAGE_ROUTES,0),MATCH(G$6,LADEN_VOYAGE_SHIPS,0))</f>
        <v>-91856.988</v>
      </c>
      <c r="H41" s="348" t="n">
        <f aca="false">SUM(F41:G41)</f>
        <v>2691688.10290909</v>
      </c>
      <c r="I41" s="349" t="n">
        <f aca="false">-(H41)*HLOOKUP(G$5,TERMINAL_CHARGES,3,0)</f>
        <v>-67292.2025727273</v>
      </c>
      <c r="J41" s="327" t="n">
        <f aca="false">+H41+I41</f>
        <v>2624395.90033636</v>
      </c>
      <c r="K41" s="333"/>
      <c r="L41" s="346" t="n">
        <f aca="false">+DATE(YEAR(L40),MONTH(L40)+1,1)</f>
        <v>37408</v>
      </c>
      <c r="M41" s="334" t="n">
        <f aca="false">+J41*(VLOOKUP(L41,CURVECALC!$C$6:$J$312,4,0)+N$5)</f>
        <v>8453179.19498343</v>
      </c>
      <c r="N41" s="350" t="n">
        <f aca="false">-F41*INDEX(ship_curves,MATCH(L41,'SHIP CURVES'!$A$9:$A$316,0),MATCH(CONCATENATE(P$4,P$5,P$6,P$7),'SHIP CURVES'!$A$9:$AZ$9,0))</f>
        <v>-1459136.96802634</v>
      </c>
      <c r="O41" s="351" t="n">
        <f aca="false">-H41*INDEX(port_processing_fee,MATCH(L41,PORTS!$H$626:$H$933,0),MATCH(P$5,PORTS!$H$626:$Z$626,0))</f>
        <v>-73029.3288685871</v>
      </c>
      <c r="P41" s="352" t="n">
        <f aca="false">(((VLOOKUP(L41,curvecalc,4,0))*IF(F41=0,0,J41/F41)-INDEX(ship_curves,MATCH(L41,'SHIP CURVES'!$A$9:$A$316,0),MATCH(CONCATENATE(P$4,P$5,P$6,P$7),'SHIP CURVES'!$A$9:$Z$9,0))-INDEX(terminal_curves,MATCH(L41,'TERMINAL CURVES'!$A$4:$A$313,0),MATCH(P$5,'TERMINAL CURVES'!$A$4:$N$4,0))*IF(F41=0,0,H41/F41))-(N$8)*((N$7-$N$5)-(INDEX(ship_curves,MATCH(L41,'SHIP CURVES'!$A$9:$A$316,0),MATCH(CONCATENATE(P$4,P$5,P$6,P$7),'SHIP CURVES'!$A$9:$Z$9,0))-INDEX(ship_curves,MATCH(L41,'SHIP CURVES'!$A$9:$A$316,0),MATCH(CONCATENATE(P$4,N$6,P$6,P$7),'SHIP CURVES'!$A$9:$Z$9,0)))-(INDEX(terminal_curves,MATCH(L41,'TERMINAL CURVES'!$A$4:$A$313,0),MATCH(P$5,'TERMINAL CURVES'!$A$4:$N$4,0))-INDEX(terminal_curves,MATCH(L41,'TERMINAL CURVES'!$A$4:$A$313,0),MATCH(N$6,'TERMINAL CURVES'!$A$4:$N$4,0)))*IF(F41=0,0,H41/F41)))*-F41</f>
        <v>-6372653.51175734</v>
      </c>
      <c r="Q41" s="353" t="n">
        <f aca="false">SUM(N41:P41)</f>
        <v>-7904819.80865227</v>
      </c>
      <c r="R41" s="357" t="n">
        <f aca="false">(-H41/((HLOOKUP(P$5,port_specs,2,0)/(365.25))*(L42-L41)))*(INDEX(fixed_capacity_charge,MATCH(L41,PORTS!$H$11:$H$317,0),MATCH(P$5,PORTS!$H$11:$N$11,0))+INDEX(variable_om_charge,MATCH(L41,PORTS!$H$318:$H$625,0),MATCH(P$5,PORTS!$H$318:$N$318,0)))</f>
        <v>-495871.468324428</v>
      </c>
      <c r="S41" s="343" t="n">
        <f aca="false">+R41+Q41</f>
        <v>-8400691.2769767</v>
      </c>
      <c r="T41" s="355" t="n">
        <f aca="false">+S41+M41</f>
        <v>52487.9180067256</v>
      </c>
      <c r="U41" s="342"/>
      <c r="V41" s="346" t="n">
        <f aca="false">+DATE(YEAR(V40),MONTH(V40)+1,1)</f>
        <v>37408</v>
      </c>
      <c r="W41" s="327" t="n">
        <f aca="false">+Y41/(1-HLOOKUP(X$6,SHIPS,7,0)*INDEX(LADEN_VOYAGE_DAYS,MATCH(CONCATENATE(X$4,X$5),LADEN_VOYAGE_ROUTES,0),MATCH(X$6,LADEN_VOYAGE_SHIPS,0)))</f>
        <v>0</v>
      </c>
      <c r="X41" s="347" t="n">
        <f aca="false">+Y41-W41</f>
        <v>0</v>
      </c>
      <c r="Y41" s="348" t="n">
        <f aca="false">+IF(AND(X$8&lt;=V41,X$9&gt;=V41),+MIN($B41-SUMIF($H$17:X$17,Y$17,$H41:X41),((INDEX(ROUTE_PER_DAY_BY_SHIP,MATCH(CONCATENATE(X$4,X$5,X$7),ROUTE_PER_DAY_ROUTES,0),MATCH(X$6,ROUTE_PER_DAY_SHIPS,0))*(V42-V41))-(INDEX(ROUTE_PER_DAY_BY_SHIP,MATCH(CONCATENATE(X$4,X$5,X$7),ROUTE_PER_DAY_ROUTES,0),MATCH(X$6,ROUTE_PER_DAY_SHIPS,0))*(V42-V41))*HLOOKUP(X$6,SHIPS,7,0)*INDEX(LADEN_VOYAGE_DAYS,MATCH(CONCATENATE(X$4,X$5,X$7),LADEN_VOYAGE_ROUTES,0),MATCH(X$6,LADEN_VOYAGE_SHIPS,0)))),0)</f>
        <v>0</v>
      </c>
      <c r="Z41" s="349" t="n">
        <f aca="false">-(Y41)*HLOOKUP(X$5,TERMINAL_CHARGES,3,0)</f>
        <v>-0</v>
      </c>
      <c r="AA41" s="327" t="n">
        <f aca="false">+Y41+Z41</f>
        <v>0</v>
      </c>
      <c r="AB41" s="333"/>
      <c r="AC41" s="346" t="n">
        <f aca="false">+DATE(YEAR(AC40),MONTH(AC40)+1,1)</f>
        <v>37408</v>
      </c>
      <c r="AD41" s="343" t="n">
        <f aca="false">+AA41*(VLOOKUP(AC41,CURVECALC!$C$6:$J$312,4,0)+AE$5)</f>
        <v>0</v>
      </c>
      <c r="AE41" s="350" t="n">
        <f aca="false">-W41*INDEX(ship_curves,MATCH(AC41,'SHIP CURVES'!$A$9:$A$316,0),MATCH(CONCATENATE(AG$4,AG$5,AG$6,AG$7),'SHIP CURVES'!$A$9:$AZ$9,0))</f>
        <v>-0</v>
      </c>
      <c r="AF41" s="351" t="n">
        <f aca="false">-Y41*INDEX(port_processing_fee,MATCH(AC41,PORTS!$H$626:$H$933,0),MATCH(AG$5,PORTS!$H$626:$Z$626,0))</f>
        <v>-0</v>
      </c>
      <c r="AG41" s="352" t="n">
        <f aca="false">(((VLOOKUP(AC41,curvecalc,4,0))*IF(W41=0,0,AA41/W41)-INDEX(ship_curves,MATCH(AC41,'SHIP CURVES'!$A$9:$A$316,0),MATCH(CONCATENATE(AG$4,AG$5,AG$6,AG$7),'SHIP CURVES'!$A$9:$Z$9,0))-INDEX(terminal_curves,MATCH(AC41,'TERMINAL CURVES'!$A$4:$A$313,0),MATCH(AG$5,'TERMINAL CURVES'!$A$4:$N$4,0))*IF(W41=0,0,Y41/W41))-(AE$8)*((AE$7-$N$5)-(INDEX(ship_curves,MATCH(AC41,'SHIP CURVES'!$A$9:$A$316,0),MATCH(CONCATENATE(AG$4,AG$5,AG$6,AG$7),'SHIP CURVES'!$A$9:$Z$9,0))-INDEX(ship_curves,MATCH(AC41,'SHIP CURVES'!$A$9:$A$316,0),MATCH(CONCATENATE(AG$4,AE$6,AG$6,AG$7),'SHIP CURVES'!$A$9:$Z$9,0)))-(INDEX(terminal_curves,MATCH(AC41,'TERMINAL CURVES'!$A$4:$A$313,0),MATCH(AG$5,'TERMINAL CURVES'!$A$4:$N$4,0))-INDEX(terminal_curves,MATCH(AC41,'TERMINAL CURVES'!$A$4:$A$313,0),MATCH(AE$6,'TERMINAL CURVES'!$A$4:$N$4,0)))*IF(W41=0,0,Y41/W41)))*-W41</f>
        <v>0</v>
      </c>
      <c r="AH41" s="356" t="n">
        <f aca="false">SUM(AE41:AG41)</f>
        <v>0</v>
      </c>
      <c r="AI41" s="357" t="n">
        <f aca="false">(-Y41/((HLOOKUP(AG$5,port_specs,2,0)/(365.25))*(AC42-AC41)))*(INDEX(fixed_capacity_charge,MATCH(AC41,PORTS!$H$11:$H$317,0),MATCH(AG$5,PORTS!$H$11:$N$11,0))+INDEX(variable_om_charge,MATCH(AC41,PORTS!$H$318:$H$625,0),MATCH(AG$5,PORTS!$H$318:$N$318,0)))</f>
        <v>-0</v>
      </c>
      <c r="AJ41" s="343" t="n">
        <f aca="false">+AI41+AH41</f>
        <v>0</v>
      </c>
      <c r="AK41" s="355" t="n">
        <f aca="false">+AJ41+AD41</f>
        <v>0</v>
      </c>
      <c r="AM41" s="346" t="n">
        <f aca="false">+DATE(YEAR(AM40),MONTH(AM40)+1,1)</f>
        <v>37408</v>
      </c>
      <c r="AN41" s="327" t="n">
        <f aca="false">+AP41/(1-HLOOKUP(AO$6,SHIPS,7,0)*INDEX(LADEN_VOYAGE_DAYS,MATCH(CONCATENATE(AO$4,AO$5),LADEN_VOYAGE_ROUTES,0),MATCH(AO$6,LADEN_VOYAGE_SHIPS,0)))</f>
        <v>0</v>
      </c>
      <c r="AO41" s="347" t="n">
        <f aca="false">+AP41-AN41</f>
        <v>0</v>
      </c>
      <c r="AP41" s="348" t="n">
        <f aca="false">+IF(AND(AO$8&lt;=AM41,AO$9&gt;=AM41),+MIN($B41-SUMIF($H$17:AO$17,AP$17,$H41:AO41),((INDEX(ROUTE_PER_DAY_BY_SHIP,MATCH(CONCATENATE(AO$4,AO$5,AO$7),ROUTE_PER_DAY_ROUTES,0),MATCH(AO$6,ROUTE_PER_DAY_SHIPS,0))*(AM42-AM41))-(INDEX(ROUTE_PER_DAY_BY_SHIP,MATCH(CONCATENATE(AO$4,AO$5,AO$7),ROUTE_PER_DAY_ROUTES,0),MATCH(AO$6,ROUTE_PER_DAY_SHIPS,0))*(AM42-AM41))*HLOOKUP(AO$6,SHIPS,7,0)*INDEX(LADEN_VOYAGE_DAYS,MATCH(CONCATENATE(AO$4,AO$5,AO$7),LADEN_VOYAGE_ROUTES,0),MATCH(AO$6,LADEN_VOYAGE_SHIPS,0)))),0)</f>
        <v>0</v>
      </c>
      <c r="AQ41" s="349" t="n">
        <f aca="false">-(AP41)*PORTS!$I$6</f>
        <v>-0</v>
      </c>
      <c r="AR41" s="327" t="n">
        <f aca="false">+AP41+AQ41</f>
        <v>0</v>
      </c>
      <c r="AS41" s="333"/>
      <c r="AT41" s="346" t="n">
        <f aca="false">+DATE(YEAR(AT40),MONTH(AT40)+1,1)</f>
        <v>37408</v>
      </c>
      <c r="AU41" s="343" t="n">
        <f aca="false">+AR41*(VLOOKUP(AT41,CURVECALC!$C$6:$J$312,4,0)+AV$5)</f>
        <v>0</v>
      </c>
      <c r="AV41" s="350" t="n">
        <f aca="false">-AN41*INDEX(ship_curves,MATCH(AT41,'SHIP CURVES'!$A$9:$A$316,0),MATCH(CONCATENATE(AX$4,AX$5,AX$6,AX$7),'SHIP CURVES'!$A$9:$AZ$9,0))</f>
        <v>-0</v>
      </c>
      <c r="AW41" s="351" t="n">
        <f aca="false">-AP41*INDEX(port_processing_fee,MATCH(AT41,PORTS!$H$626:$H$933,0),MATCH(AX$5,PORTS!$H$626:$Z$626,0))</f>
        <v>-0</v>
      </c>
      <c r="AX41" s="352" t="n">
        <f aca="false">(((VLOOKUP(AT41,curvecalc,4,0))*IF(AN41=0,0,AR41/AN41)-INDEX(ship_curves,MATCH(AT41,'SHIP CURVES'!$A$9:$A$316,0),MATCH(CONCATENATE(AX$4,AX$5,AX$6,AX$7),'SHIP CURVES'!$A$9:$Z$9,0))-INDEX(terminal_curves,MATCH(AT41,'TERMINAL CURVES'!$A$4:$A$313,0),MATCH(AX$5,'TERMINAL CURVES'!$A$4:$N$4,0))*IF(AN41=0,0,AP41/AN41))-(AV$8)*((AV$7-$N$5)-(INDEX(ship_curves,MATCH(AT41,'SHIP CURVES'!$A$9:$A$316,0),MATCH(CONCATENATE(AX$4,AX$5,AX$6,AX$7),'SHIP CURVES'!$A$9:$Z$9,0))-INDEX(ship_curves,MATCH(AT41,'SHIP CURVES'!$A$9:$A$316,0),MATCH(CONCATENATE(AX$4,AV$6,AX$6,AX$7),'SHIP CURVES'!$A$9:$Z$9,0)))-(INDEX(terminal_curves,MATCH(AT41,'TERMINAL CURVES'!$A$4:$A$313,0),MATCH(AX$5,'TERMINAL CURVES'!$A$4:$N$4,0))-INDEX(terminal_curves,MATCH(AT41,'TERMINAL CURVES'!$A$4:$A$313,0),MATCH(AV$6,'TERMINAL CURVES'!$A$4:$N$4,0)))*IF(AN41=0,0,AP41/AN41)))*-AN41</f>
        <v>0</v>
      </c>
      <c r="AY41" s="356" t="n">
        <f aca="false">SUM(AV41:AX41)</f>
        <v>0</v>
      </c>
      <c r="AZ41" s="357" t="n">
        <f aca="false">(-AP41/((HLOOKUP(AX$5,port_specs,2,0)/(365.25))*(AT42-AT41)))*(INDEX(fixed_capacity_charge,MATCH(AT41,PORTS!$H$11:$H$317,0),MATCH(AX$5,PORTS!$H$11:$N$11,0))+INDEX(variable_om_charge,MATCH(AT41,PORTS!$H$318:$H$625,0),MATCH(AX$5,PORTS!$H$318:$N$318,0)))</f>
        <v>-0</v>
      </c>
      <c r="BA41" s="343" t="n">
        <f aca="false">+AZ41+AY41</f>
        <v>0</v>
      </c>
      <c r="BB41" s="355" t="n">
        <f aca="false">+BA41+AU41</f>
        <v>0</v>
      </c>
      <c r="BC41" s="99"/>
      <c r="BD41" s="357" t="n">
        <f aca="false">+PORTS!I35+PORTS!I343</f>
        <v>951858.709480796</v>
      </c>
    </row>
    <row r="42" customFormat="false" ht="12.75" hidden="false" customHeight="false" outlineLevel="0" collapsed="false">
      <c r="A42" s="346" t="n">
        <f aca="false">+DATE(YEAR(A41),MONTH(A41)+1,1)</f>
        <v>37438</v>
      </c>
      <c r="B42" s="327" t="n">
        <f aca="false">+IF(AND($A42&gt;=$C$8,$A42&lt;=$C$9),1,0)*PORTS!$I$5/(365.25)*(A43-A42)</f>
        <v>5339105.98184763</v>
      </c>
      <c r="C42" s="328" t="n">
        <f aca="false">+B42-(SUMIF($F$17:$IV$17,$H$17,$F42:$IV42))</f>
        <v>2557694.94217491</v>
      </c>
      <c r="D42" s="0" t="n">
        <f aca="false">+YEAR(E42)</f>
        <v>2002</v>
      </c>
      <c r="E42" s="346" t="n">
        <f aca="false">+DATE(YEAR(E41),MONTH(E41)+1,1)</f>
        <v>37438</v>
      </c>
      <c r="F42" s="327" t="n">
        <f aca="false">+IF(AND(G$8&lt;=E42,G$9&gt;=E42),INDEX(ROUTE_PER_DAY_BY_SHIP,MATCH(CONCATENATE(G$4,G$5,G$7),ROUTE_PER_DAY_ROUTES,0),MATCH(G$6,ROUTE_PER_DAY_SHIPS,0))*(E43-E42),0)</f>
        <v>2876329.92727273</v>
      </c>
      <c r="G42" s="347" t="n">
        <f aca="false">-F42*HLOOKUP(G$6,SHIPS,7,0)*INDEX(LADEN_VOYAGE_DAYS,MATCH(CONCATENATE(G$4,G$5,G$7),LADEN_VOYAGE_ROUTES,0),MATCH(G$6,LADEN_VOYAGE_SHIPS,0))</f>
        <v>-94918.8876</v>
      </c>
      <c r="H42" s="348" t="n">
        <f aca="false">SUM(F42:G42)</f>
        <v>2781411.03967273</v>
      </c>
      <c r="I42" s="349" t="n">
        <f aca="false">-(H42)*HLOOKUP(G$5,TERMINAL_CHARGES,3,0)</f>
        <v>-69535.2759918182</v>
      </c>
      <c r="J42" s="327" t="n">
        <f aca="false">+H42+I42</f>
        <v>2711875.76368091</v>
      </c>
      <c r="K42" s="333"/>
      <c r="L42" s="346" t="n">
        <f aca="false">+DATE(YEAR(L41),MONTH(L41)+1,1)</f>
        <v>37438</v>
      </c>
      <c r="M42" s="334" t="n">
        <f aca="false">+J42*(VLOOKUP(L42,CURVECALC!$C$6:$J$312,4,0)+N$5)</f>
        <v>8734951.83481621</v>
      </c>
      <c r="N42" s="350" t="n">
        <f aca="false">-F42*INDEX(ship_curves,MATCH(L42,'SHIP CURVES'!$A$9:$A$316,0),MATCH(CONCATENATE(P$4,P$5,P$6,P$7),'SHIP CURVES'!$A$9:$AZ$9,0))</f>
        <v>-1508709.64804579</v>
      </c>
      <c r="O42" s="351" t="n">
        <f aca="false">-H42*INDEX(port_processing_fee,MATCH(L42,PORTS!$H$626:$H$933,0),MATCH(P$5,PORTS!$H$626:$Z$626,0))</f>
        <v>-75542.2477890305</v>
      </c>
      <c r="P42" s="352" t="n">
        <f aca="false">(((VLOOKUP(L42,curvecalc,4,0))*IF(F42=0,0,J42/F42)-INDEX(ship_curves,MATCH(L42,'SHIP CURVES'!$A$9:$A$316,0),MATCH(CONCATENATE(P$4,P$5,P$6,P$7),'SHIP CURVES'!$A$9:$Z$9,0))-INDEX(terminal_curves,MATCH(L42,'TERMINAL CURVES'!$A$4:$A$313,0),MATCH(P$5,'TERMINAL CURVES'!$A$4:$N$4,0))*IF(F42=0,0,H42/F42))-(N$8)*((N$7-$N$5)-(INDEX(ship_curves,MATCH(L42,'SHIP CURVES'!$A$9:$A$316,0),MATCH(CONCATENATE(P$4,P$5,P$6,P$7),'SHIP CURVES'!$A$9:$Z$9,0))-INDEX(ship_curves,MATCH(L42,'SHIP CURVES'!$A$9:$A$316,0),MATCH(CONCATENATE(P$4,N$6,P$6,P$7),'SHIP CURVES'!$A$9:$Z$9,0)))-(INDEX(terminal_curves,MATCH(L42,'TERMINAL CURVES'!$A$4:$A$313,0),MATCH(P$5,'TERMINAL CURVES'!$A$4:$N$4,0))-INDEX(terminal_curves,MATCH(L42,'TERMINAL CURVES'!$A$4:$A$313,0),MATCH(N$6,'TERMINAL CURVES'!$A$4:$N$4,0)))*IF(F42=0,0,H42/F42)))*-F42</f>
        <v>-6600337.71248662</v>
      </c>
      <c r="Q42" s="353" t="n">
        <f aca="false">SUM(N42:P42)</f>
        <v>-8184589.60832144</v>
      </c>
      <c r="R42" s="357" t="n">
        <f aca="false">(-H42/((HLOOKUP(P$5,port_specs,2,0)/(365.25))*(L43-L42)))*(INDEX(fixed_capacity_charge,MATCH(L42,PORTS!$H$11:$H$317,0),MATCH(P$5,PORTS!$H$11:$N$11,0))+INDEX(variable_om_charge,MATCH(L42,PORTS!$H$318:$H$625,0),MATCH(P$5,PORTS!$H$318:$N$318,0)))</f>
        <v>-496124.711221145</v>
      </c>
      <c r="S42" s="343" t="n">
        <f aca="false">+R42+Q42</f>
        <v>-8680714.31954259</v>
      </c>
      <c r="T42" s="355" t="n">
        <f aca="false">+S42+M42</f>
        <v>54237.5152736176</v>
      </c>
      <c r="U42" s="342"/>
      <c r="V42" s="346" t="n">
        <f aca="false">+DATE(YEAR(V41),MONTH(V41)+1,1)</f>
        <v>37438</v>
      </c>
      <c r="W42" s="327" t="n">
        <f aca="false">+Y42/(1-HLOOKUP(X$6,SHIPS,7,0)*INDEX(LADEN_VOYAGE_DAYS,MATCH(CONCATENATE(X$4,X$5),LADEN_VOYAGE_ROUTES,0),MATCH(X$6,LADEN_VOYAGE_SHIPS,0)))</f>
        <v>0</v>
      </c>
      <c r="X42" s="347" t="n">
        <f aca="false">+Y42-W42</f>
        <v>0</v>
      </c>
      <c r="Y42" s="348" t="n">
        <f aca="false">+IF(AND(X$8&lt;=V42,X$9&gt;=V42),+MIN($B42-SUMIF($H$17:X$17,Y$17,$H42:X42),((INDEX(ROUTE_PER_DAY_BY_SHIP,MATCH(CONCATENATE(X$4,X$5,X$7),ROUTE_PER_DAY_ROUTES,0),MATCH(X$6,ROUTE_PER_DAY_SHIPS,0))*(V43-V42))-(INDEX(ROUTE_PER_DAY_BY_SHIP,MATCH(CONCATENATE(X$4,X$5,X$7),ROUTE_PER_DAY_ROUTES,0),MATCH(X$6,ROUTE_PER_DAY_SHIPS,0))*(V43-V42))*HLOOKUP(X$6,SHIPS,7,0)*INDEX(LADEN_VOYAGE_DAYS,MATCH(CONCATENATE(X$4,X$5,X$7),LADEN_VOYAGE_ROUTES,0),MATCH(X$6,LADEN_VOYAGE_SHIPS,0)))),0)</f>
        <v>0</v>
      </c>
      <c r="Z42" s="349" t="n">
        <f aca="false">-(Y42)*HLOOKUP(X$5,TERMINAL_CHARGES,3,0)</f>
        <v>-0</v>
      </c>
      <c r="AA42" s="327" t="n">
        <f aca="false">+Y42+Z42</f>
        <v>0</v>
      </c>
      <c r="AB42" s="333"/>
      <c r="AC42" s="346" t="n">
        <f aca="false">+DATE(YEAR(AC41),MONTH(AC41)+1,1)</f>
        <v>37438</v>
      </c>
      <c r="AD42" s="343" t="n">
        <f aca="false">+AA42*(VLOOKUP(AC42,CURVECALC!$C$6:$J$312,4,0)+AE$5)</f>
        <v>0</v>
      </c>
      <c r="AE42" s="350" t="n">
        <f aca="false">-W42*INDEX(ship_curves,MATCH(AC42,'SHIP CURVES'!$A$9:$A$316,0),MATCH(CONCATENATE(AG$4,AG$5,AG$6,AG$7),'SHIP CURVES'!$A$9:$AZ$9,0))</f>
        <v>-0</v>
      </c>
      <c r="AF42" s="351" t="n">
        <f aca="false">-Y42*INDEX(port_processing_fee,MATCH(AC42,PORTS!$H$626:$H$933,0),MATCH(AG$5,PORTS!$H$626:$Z$626,0))</f>
        <v>-0</v>
      </c>
      <c r="AG42" s="352" t="n">
        <f aca="false">(((VLOOKUP(AC42,curvecalc,4,0))*IF(W42=0,0,AA42/W42)-INDEX(ship_curves,MATCH(AC42,'SHIP CURVES'!$A$9:$A$316,0),MATCH(CONCATENATE(AG$4,AG$5,AG$6,AG$7),'SHIP CURVES'!$A$9:$Z$9,0))-INDEX(terminal_curves,MATCH(AC42,'TERMINAL CURVES'!$A$4:$A$313,0),MATCH(AG$5,'TERMINAL CURVES'!$A$4:$N$4,0))*IF(W42=0,0,Y42/W42))-(AE$8)*((AE$7-$N$5)-(INDEX(ship_curves,MATCH(AC42,'SHIP CURVES'!$A$9:$A$316,0),MATCH(CONCATENATE(AG$4,AG$5,AG$6,AG$7),'SHIP CURVES'!$A$9:$Z$9,0))-INDEX(ship_curves,MATCH(AC42,'SHIP CURVES'!$A$9:$A$316,0),MATCH(CONCATENATE(AG$4,AE$6,AG$6,AG$7),'SHIP CURVES'!$A$9:$Z$9,0)))-(INDEX(terminal_curves,MATCH(AC42,'TERMINAL CURVES'!$A$4:$A$313,0),MATCH(AG$5,'TERMINAL CURVES'!$A$4:$N$4,0))-INDEX(terminal_curves,MATCH(AC42,'TERMINAL CURVES'!$A$4:$A$313,0),MATCH(AE$6,'TERMINAL CURVES'!$A$4:$N$4,0)))*IF(W42=0,0,Y42/W42)))*-W42</f>
        <v>0</v>
      </c>
      <c r="AH42" s="356" t="n">
        <f aca="false">SUM(AE42:AG42)</f>
        <v>0</v>
      </c>
      <c r="AI42" s="357" t="n">
        <f aca="false">(-Y42/((HLOOKUP(AG$5,port_specs,2,0)/(365.25))*(AC43-AC42)))*(INDEX(fixed_capacity_charge,MATCH(AC42,PORTS!$H$11:$H$317,0),MATCH(AG$5,PORTS!$H$11:$N$11,0))+INDEX(variable_om_charge,MATCH(AC42,PORTS!$H$318:$H$625,0),MATCH(AG$5,PORTS!$H$318:$N$318,0)))</f>
        <v>-0</v>
      </c>
      <c r="AJ42" s="343" t="n">
        <f aca="false">+AI42+AH42</f>
        <v>0</v>
      </c>
      <c r="AK42" s="355" t="n">
        <f aca="false">+AJ42+AD42</f>
        <v>0</v>
      </c>
      <c r="AM42" s="346" t="n">
        <f aca="false">+DATE(YEAR(AM41),MONTH(AM41)+1,1)</f>
        <v>37438</v>
      </c>
      <c r="AN42" s="327" t="n">
        <f aca="false">+AP42/(1-HLOOKUP(AO$6,SHIPS,7,0)*INDEX(LADEN_VOYAGE_DAYS,MATCH(CONCATENATE(AO$4,AO$5),LADEN_VOYAGE_ROUTES,0),MATCH(AO$6,LADEN_VOYAGE_SHIPS,0)))</f>
        <v>0</v>
      </c>
      <c r="AO42" s="347" t="n">
        <f aca="false">+AP42-AN42</f>
        <v>0</v>
      </c>
      <c r="AP42" s="348" t="n">
        <f aca="false">+IF(AND(AO$8&lt;=AM42,AO$9&gt;=AM42),+MIN($B42-SUMIF($H$17:AO$17,AP$17,$H42:AO42),((INDEX(ROUTE_PER_DAY_BY_SHIP,MATCH(CONCATENATE(AO$4,AO$5,AO$7),ROUTE_PER_DAY_ROUTES,0),MATCH(AO$6,ROUTE_PER_DAY_SHIPS,0))*(AM43-AM42))-(INDEX(ROUTE_PER_DAY_BY_SHIP,MATCH(CONCATENATE(AO$4,AO$5,AO$7),ROUTE_PER_DAY_ROUTES,0),MATCH(AO$6,ROUTE_PER_DAY_SHIPS,0))*(AM43-AM42))*HLOOKUP(AO$6,SHIPS,7,0)*INDEX(LADEN_VOYAGE_DAYS,MATCH(CONCATENATE(AO$4,AO$5,AO$7),LADEN_VOYAGE_ROUTES,0),MATCH(AO$6,LADEN_VOYAGE_SHIPS,0)))),0)</f>
        <v>0</v>
      </c>
      <c r="AQ42" s="349" t="n">
        <f aca="false">-(AP42)*PORTS!$I$6</f>
        <v>-0</v>
      </c>
      <c r="AR42" s="327" t="n">
        <f aca="false">+AP42+AQ42</f>
        <v>0</v>
      </c>
      <c r="AS42" s="333"/>
      <c r="AT42" s="346" t="n">
        <f aca="false">+DATE(YEAR(AT41),MONTH(AT41)+1,1)</f>
        <v>37438</v>
      </c>
      <c r="AU42" s="343" t="n">
        <f aca="false">+AR42*(VLOOKUP(AT42,CURVECALC!$C$6:$J$312,4,0)+AV$5)</f>
        <v>0</v>
      </c>
      <c r="AV42" s="350" t="n">
        <f aca="false">-AN42*INDEX(ship_curves,MATCH(AT42,'SHIP CURVES'!$A$9:$A$316,0),MATCH(CONCATENATE(AX$4,AX$5,AX$6,AX$7),'SHIP CURVES'!$A$9:$AZ$9,0))</f>
        <v>-0</v>
      </c>
      <c r="AW42" s="351" t="n">
        <f aca="false">-AP42*INDEX(port_processing_fee,MATCH(AT42,PORTS!$H$626:$H$933,0),MATCH(AX$5,PORTS!$H$626:$Z$626,0))</f>
        <v>-0</v>
      </c>
      <c r="AX42" s="352" t="n">
        <f aca="false">(((VLOOKUP(AT42,curvecalc,4,0))*IF(AN42=0,0,AR42/AN42)-INDEX(ship_curves,MATCH(AT42,'SHIP CURVES'!$A$9:$A$316,0),MATCH(CONCATENATE(AX$4,AX$5,AX$6,AX$7),'SHIP CURVES'!$A$9:$Z$9,0))-INDEX(terminal_curves,MATCH(AT42,'TERMINAL CURVES'!$A$4:$A$313,0),MATCH(AX$5,'TERMINAL CURVES'!$A$4:$N$4,0))*IF(AN42=0,0,AP42/AN42))-(AV$8)*((AV$7-$N$5)-(INDEX(ship_curves,MATCH(AT42,'SHIP CURVES'!$A$9:$A$316,0),MATCH(CONCATENATE(AX$4,AX$5,AX$6,AX$7),'SHIP CURVES'!$A$9:$Z$9,0))-INDEX(ship_curves,MATCH(AT42,'SHIP CURVES'!$A$9:$A$316,0),MATCH(CONCATENATE(AX$4,AV$6,AX$6,AX$7),'SHIP CURVES'!$A$9:$Z$9,0)))-(INDEX(terminal_curves,MATCH(AT42,'TERMINAL CURVES'!$A$4:$A$313,0),MATCH(AX$5,'TERMINAL CURVES'!$A$4:$N$4,0))-INDEX(terminal_curves,MATCH(AT42,'TERMINAL CURVES'!$A$4:$A$313,0),MATCH(AV$6,'TERMINAL CURVES'!$A$4:$N$4,0)))*IF(AN42=0,0,AP42/AN42)))*-AN42</f>
        <v>0</v>
      </c>
      <c r="AY42" s="356" t="n">
        <f aca="false">SUM(AV42:AX42)</f>
        <v>0</v>
      </c>
      <c r="AZ42" s="357" t="n">
        <f aca="false">(-AP42/((HLOOKUP(AX$5,port_specs,2,0)/(365.25))*(AT43-AT42)))*(INDEX(fixed_capacity_charge,MATCH(AT42,PORTS!$H$11:$H$317,0),MATCH(AX$5,PORTS!$H$11:$N$11,0))+INDEX(variable_om_charge,MATCH(AT42,PORTS!$H$318:$H$625,0),MATCH(AX$5,PORTS!$H$318:$N$318,0)))</f>
        <v>-0</v>
      </c>
      <c r="BA42" s="343" t="n">
        <f aca="false">+AZ42+AY42</f>
        <v>0</v>
      </c>
      <c r="BB42" s="355" t="n">
        <f aca="false">+BA42+AU42</f>
        <v>0</v>
      </c>
      <c r="BC42" s="99"/>
      <c r="BD42" s="357" t="n">
        <f aca="false">+PORTS!I36+PORTS!I344</f>
        <v>952344.826291809</v>
      </c>
    </row>
    <row r="43" customFormat="false" ht="12.75" hidden="false" customHeight="false" outlineLevel="0" collapsed="false">
      <c r="A43" s="346" t="n">
        <f aca="false">+DATE(YEAR(A42),MONTH(A42)+1,1)</f>
        <v>37469</v>
      </c>
      <c r="B43" s="327" t="n">
        <f aca="false">+IF(AND($A43&gt;=$C$8,$A43&lt;=$C$9),1,0)*PORTS!$I$5/(365.25)*(A44-A43)</f>
        <v>5339105.98184763</v>
      </c>
      <c r="C43" s="328" t="n">
        <f aca="false">+B43-(SUMIF($F$17:$IV$17,$H$17,$F43:$IV43))</f>
        <v>2557694.94217491</v>
      </c>
      <c r="D43" s="0" t="n">
        <f aca="false">+YEAR(E43)</f>
        <v>2002</v>
      </c>
      <c r="E43" s="346" t="n">
        <f aca="false">+DATE(YEAR(E42),MONTH(E42)+1,1)</f>
        <v>37469</v>
      </c>
      <c r="F43" s="327" t="n">
        <f aca="false">+IF(AND(G$8&lt;=E43,G$9&gt;=E43),INDEX(ROUTE_PER_DAY_BY_SHIP,MATCH(CONCATENATE(G$4,G$5,G$7),ROUTE_PER_DAY_ROUTES,0),MATCH(G$6,ROUTE_PER_DAY_SHIPS,0))*(E44-E43),0)</f>
        <v>2876329.92727273</v>
      </c>
      <c r="G43" s="347" t="n">
        <f aca="false">-F43*HLOOKUP(G$6,SHIPS,7,0)*INDEX(LADEN_VOYAGE_DAYS,MATCH(CONCATENATE(G$4,G$5,G$7),LADEN_VOYAGE_ROUTES,0),MATCH(G$6,LADEN_VOYAGE_SHIPS,0))</f>
        <v>-94918.8876</v>
      </c>
      <c r="H43" s="348" t="n">
        <f aca="false">SUM(F43:G43)</f>
        <v>2781411.03967273</v>
      </c>
      <c r="I43" s="349" t="n">
        <f aca="false">-(H43)*HLOOKUP(G$5,TERMINAL_CHARGES,3,0)</f>
        <v>-69535.2759918182</v>
      </c>
      <c r="J43" s="327" t="n">
        <f aca="false">+H43+I43</f>
        <v>2711875.76368091</v>
      </c>
      <c r="K43" s="333"/>
      <c r="L43" s="346" t="n">
        <f aca="false">+DATE(YEAR(L42),MONTH(L42)+1,1)</f>
        <v>37469</v>
      </c>
      <c r="M43" s="334" t="n">
        <f aca="false">+J43*(VLOOKUP(L43,CURVECALC!$C$6:$J$312,4,0)+N$5)</f>
        <v>8734951.83481621</v>
      </c>
      <c r="N43" s="350" t="n">
        <f aca="false">-F43*INDEX(ship_curves,MATCH(L43,'SHIP CURVES'!$A$9:$A$316,0),MATCH(CONCATENATE(P$4,P$5,P$6,P$7),'SHIP CURVES'!$A$9:$AZ$9,0))</f>
        <v>-1509646.37659163</v>
      </c>
      <c r="O43" s="351" t="n">
        <f aca="false">-H43*INDEX(port_processing_fee,MATCH(L43,PORTS!$H$626:$H$933,0),MATCH(P$5,PORTS!$H$626:$Z$626,0))</f>
        <v>-75620.9376304774</v>
      </c>
      <c r="P43" s="352" t="n">
        <f aca="false">(((VLOOKUP(L43,curvecalc,4,0))*IF(F43=0,0,J43/F43)-INDEX(ship_curves,MATCH(L43,'SHIP CURVES'!$A$9:$A$316,0),MATCH(CONCATENATE(P$4,P$5,P$6,P$7),'SHIP CURVES'!$A$9:$Z$9,0))-INDEX(terminal_curves,MATCH(L43,'TERMINAL CURVES'!$A$4:$A$313,0),MATCH(P$5,'TERMINAL CURVES'!$A$4:$N$4,0))*IF(F43=0,0,H43/F43))-(N$8)*((N$7-$N$5)-(INDEX(ship_curves,MATCH(L43,'SHIP CURVES'!$A$9:$A$316,0),MATCH(CONCATENATE(P$4,P$5,P$6,P$7),'SHIP CURVES'!$A$9:$Z$9,0))-INDEX(ship_curves,MATCH(L43,'SHIP CURVES'!$A$9:$A$316,0),MATCH(CONCATENATE(P$4,N$6,P$6,P$7),'SHIP CURVES'!$A$9:$Z$9,0)))-(INDEX(terminal_curves,MATCH(L43,'TERMINAL CURVES'!$A$4:$A$313,0),MATCH(P$5,'TERMINAL CURVES'!$A$4:$N$4,0))-INDEX(terminal_curves,MATCH(L43,'TERMINAL CURVES'!$A$4:$A$313,0),MATCH(N$6,'TERMINAL CURVES'!$A$4:$N$4,0)))*IF(F43=0,0,H43/F43)))*-F43</f>
        <v>-6599068.78740794</v>
      </c>
      <c r="Q43" s="353" t="n">
        <f aca="false">SUM(N43:P43)</f>
        <v>-8184336.10163004</v>
      </c>
      <c r="R43" s="357" t="n">
        <f aca="false">(-H43/((HLOOKUP(P$5,port_specs,2,0)/(365.25))*(L44-L43)))*(INDEX(fixed_capacity_charge,MATCH(L43,PORTS!$H$11:$H$317,0),MATCH(P$5,PORTS!$H$11:$N$11,0))+INDEX(variable_om_charge,MATCH(L43,PORTS!$H$318:$H$625,0),MATCH(P$5,PORTS!$H$318:$N$318,0)))</f>
        <v>-496378.217912546</v>
      </c>
      <c r="S43" s="343" t="n">
        <f aca="false">+R43+Q43</f>
        <v>-8680714.31954259</v>
      </c>
      <c r="T43" s="355" t="n">
        <f aca="false">+S43+M43</f>
        <v>54237.5152736194</v>
      </c>
      <c r="U43" s="342"/>
      <c r="V43" s="346" t="n">
        <f aca="false">+DATE(YEAR(V42),MONTH(V42)+1,1)</f>
        <v>37469</v>
      </c>
      <c r="W43" s="327" t="n">
        <f aca="false">+Y43/(1-HLOOKUP(X$6,SHIPS,7,0)*INDEX(LADEN_VOYAGE_DAYS,MATCH(CONCATENATE(X$4,X$5),LADEN_VOYAGE_ROUTES,0),MATCH(X$6,LADEN_VOYAGE_SHIPS,0)))</f>
        <v>0</v>
      </c>
      <c r="X43" s="347" t="n">
        <f aca="false">+Y43-W43</f>
        <v>0</v>
      </c>
      <c r="Y43" s="348" t="n">
        <f aca="false">+IF(AND(X$8&lt;=V43,X$9&gt;=V43),+MIN($B43-SUMIF($H$17:X$17,Y$17,$H43:X43),((INDEX(ROUTE_PER_DAY_BY_SHIP,MATCH(CONCATENATE(X$4,X$5,X$7),ROUTE_PER_DAY_ROUTES,0),MATCH(X$6,ROUTE_PER_DAY_SHIPS,0))*(V44-V43))-(INDEX(ROUTE_PER_DAY_BY_SHIP,MATCH(CONCATENATE(X$4,X$5,X$7),ROUTE_PER_DAY_ROUTES,0),MATCH(X$6,ROUTE_PER_DAY_SHIPS,0))*(V44-V43))*HLOOKUP(X$6,SHIPS,7,0)*INDEX(LADEN_VOYAGE_DAYS,MATCH(CONCATENATE(X$4,X$5,X$7),LADEN_VOYAGE_ROUTES,0),MATCH(X$6,LADEN_VOYAGE_SHIPS,0)))),0)</f>
        <v>0</v>
      </c>
      <c r="Z43" s="349" t="n">
        <f aca="false">-(Y43)*HLOOKUP(X$5,TERMINAL_CHARGES,3,0)</f>
        <v>-0</v>
      </c>
      <c r="AA43" s="327" t="n">
        <f aca="false">+Y43+Z43</f>
        <v>0</v>
      </c>
      <c r="AB43" s="333"/>
      <c r="AC43" s="346" t="n">
        <f aca="false">+DATE(YEAR(AC42),MONTH(AC42)+1,1)</f>
        <v>37469</v>
      </c>
      <c r="AD43" s="343" t="n">
        <f aca="false">+AA43*(VLOOKUP(AC43,CURVECALC!$C$6:$J$312,4,0)+AE$5)</f>
        <v>0</v>
      </c>
      <c r="AE43" s="350" t="n">
        <f aca="false">-W43*INDEX(ship_curves,MATCH(AC43,'SHIP CURVES'!$A$9:$A$316,0),MATCH(CONCATENATE(AG$4,AG$5,AG$6,AG$7),'SHIP CURVES'!$A$9:$AZ$9,0))</f>
        <v>-0</v>
      </c>
      <c r="AF43" s="351" t="n">
        <f aca="false">-Y43*INDEX(port_processing_fee,MATCH(AC43,PORTS!$H$626:$H$933,0),MATCH(AG$5,PORTS!$H$626:$Z$626,0))</f>
        <v>-0</v>
      </c>
      <c r="AG43" s="352" t="n">
        <f aca="false">(((VLOOKUP(AC43,curvecalc,4,0))*IF(W43=0,0,AA43/W43)-INDEX(ship_curves,MATCH(AC43,'SHIP CURVES'!$A$9:$A$316,0),MATCH(CONCATENATE(AG$4,AG$5,AG$6,AG$7),'SHIP CURVES'!$A$9:$Z$9,0))-INDEX(terminal_curves,MATCH(AC43,'TERMINAL CURVES'!$A$4:$A$313,0),MATCH(AG$5,'TERMINAL CURVES'!$A$4:$N$4,0))*IF(W43=0,0,Y43/W43))-(AE$8)*((AE$7-$N$5)-(INDEX(ship_curves,MATCH(AC43,'SHIP CURVES'!$A$9:$A$316,0),MATCH(CONCATENATE(AG$4,AG$5,AG$6,AG$7),'SHIP CURVES'!$A$9:$Z$9,0))-INDEX(ship_curves,MATCH(AC43,'SHIP CURVES'!$A$9:$A$316,0),MATCH(CONCATENATE(AG$4,AE$6,AG$6,AG$7),'SHIP CURVES'!$A$9:$Z$9,0)))-(INDEX(terminal_curves,MATCH(AC43,'TERMINAL CURVES'!$A$4:$A$313,0),MATCH(AG$5,'TERMINAL CURVES'!$A$4:$N$4,0))-INDEX(terminal_curves,MATCH(AC43,'TERMINAL CURVES'!$A$4:$A$313,0),MATCH(AE$6,'TERMINAL CURVES'!$A$4:$N$4,0)))*IF(W43=0,0,Y43/W43)))*-W43</f>
        <v>0</v>
      </c>
      <c r="AH43" s="356" t="n">
        <f aca="false">SUM(AE43:AG43)</f>
        <v>0</v>
      </c>
      <c r="AI43" s="357" t="n">
        <f aca="false">(-Y43/((HLOOKUP(AG$5,port_specs,2,0)/(365.25))*(AC44-AC43)))*(INDEX(fixed_capacity_charge,MATCH(AC43,PORTS!$H$11:$H$317,0),MATCH(AG$5,PORTS!$H$11:$N$11,0))+INDEX(variable_om_charge,MATCH(AC43,PORTS!$H$318:$H$625,0),MATCH(AG$5,PORTS!$H$318:$N$318,0)))</f>
        <v>-0</v>
      </c>
      <c r="AJ43" s="343" t="n">
        <f aca="false">+AI43+AH43</f>
        <v>0</v>
      </c>
      <c r="AK43" s="355" t="n">
        <f aca="false">+AJ43+AD43</f>
        <v>0</v>
      </c>
      <c r="AM43" s="346" t="n">
        <f aca="false">+DATE(YEAR(AM42),MONTH(AM42)+1,1)</f>
        <v>37469</v>
      </c>
      <c r="AN43" s="327" t="n">
        <f aca="false">+AP43/(1-HLOOKUP(AO$6,SHIPS,7,0)*INDEX(LADEN_VOYAGE_DAYS,MATCH(CONCATENATE(AO$4,AO$5),LADEN_VOYAGE_ROUTES,0),MATCH(AO$6,LADEN_VOYAGE_SHIPS,0)))</f>
        <v>0</v>
      </c>
      <c r="AO43" s="347" t="n">
        <f aca="false">+AP43-AN43</f>
        <v>0</v>
      </c>
      <c r="AP43" s="348" t="n">
        <f aca="false">+IF(AND(AO$8&lt;=AM43,AO$9&gt;=AM43),+MIN($B43-SUMIF($H$17:AO$17,AP$17,$H43:AO43),((INDEX(ROUTE_PER_DAY_BY_SHIP,MATCH(CONCATENATE(AO$4,AO$5,AO$7),ROUTE_PER_DAY_ROUTES,0),MATCH(AO$6,ROUTE_PER_DAY_SHIPS,0))*(AM44-AM43))-(INDEX(ROUTE_PER_DAY_BY_SHIP,MATCH(CONCATENATE(AO$4,AO$5,AO$7),ROUTE_PER_DAY_ROUTES,0),MATCH(AO$6,ROUTE_PER_DAY_SHIPS,0))*(AM44-AM43))*HLOOKUP(AO$6,SHIPS,7,0)*INDEX(LADEN_VOYAGE_DAYS,MATCH(CONCATENATE(AO$4,AO$5,AO$7),LADEN_VOYAGE_ROUTES,0),MATCH(AO$6,LADEN_VOYAGE_SHIPS,0)))),0)</f>
        <v>0</v>
      </c>
      <c r="AQ43" s="349" t="n">
        <f aca="false">-(AP43)*PORTS!$I$6</f>
        <v>-0</v>
      </c>
      <c r="AR43" s="327" t="n">
        <f aca="false">+AP43+AQ43</f>
        <v>0</v>
      </c>
      <c r="AS43" s="333"/>
      <c r="AT43" s="346" t="n">
        <f aca="false">+DATE(YEAR(AT42),MONTH(AT42)+1,1)</f>
        <v>37469</v>
      </c>
      <c r="AU43" s="343" t="n">
        <f aca="false">+AR43*(VLOOKUP(AT43,CURVECALC!$C$6:$J$312,4,0)+AV$5)</f>
        <v>0</v>
      </c>
      <c r="AV43" s="350" t="n">
        <f aca="false">-AN43*INDEX(ship_curves,MATCH(AT43,'SHIP CURVES'!$A$9:$A$316,0),MATCH(CONCATENATE(AX$4,AX$5,AX$6,AX$7),'SHIP CURVES'!$A$9:$AZ$9,0))</f>
        <v>-0</v>
      </c>
      <c r="AW43" s="351" t="n">
        <f aca="false">-AP43*INDEX(port_processing_fee,MATCH(AT43,PORTS!$H$626:$H$933,0),MATCH(AX$5,PORTS!$H$626:$Z$626,0))</f>
        <v>-0</v>
      </c>
      <c r="AX43" s="352" t="n">
        <f aca="false">(((VLOOKUP(AT43,curvecalc,4,0))*IF(AN43=0,0,AR43/AN43)-INDEX(ship_curves,MATCH(AT43,'SHIP CURVES'!$A$9:$A$316,0),MATCH(CONCATENATE(AX$4,AX$5,AX$6,AX$7),'SHIP CURVES'!$A$9:$Z$9,0))-INDEX(terminal_curves,MATCH(AT43,'TERMINAL CURVES'!$A$4:$A$313,0),MATCH(AX$5,'TERMINAL CURVES'!$A$4:$N$4,0))*IF(AN43=0,0,AP43/AN43))-(AV$8)*((AV$7-$N$5)-(INDEX(ship_curves,MATCH(AT43,'SHIP CURVES'!$A$9:$A$316,0),MATCH(CONCATENATE(AX$4,AX$5,AX$6,AX$7),'SHIP CURVES'!$A$9:$Z$9,0))-INDEX(ship_curves,MATCH(AT43,'SHIP CURVES'!$A$9:$A$316,0),MATCH(CONCATENATE(AX$4,AV$6,AX$6,AX$7),'SHIP CURVES'!$A$9:$Z$9,0)))-(INDEX(terminal_curves,MATCH(AT43,'TERMINAL CURVES'!$A$4:$A$313,0),MATCH(AX$5,'TERMINAL CURVES'!$A$4:$N$4,0))-INDEX(terminal_curves,MATCH(AT43,'TERMINAL CURVES'!$A$4:$A$313,0),MATCH(AV$6,'TERMINAL CURVES'!$A$4:$N$4,0)))*IF(AN43=0,0,AP43/AN43)))*-AN43</f>
        <v>0</v>
      </c>
      <c r="AY43" s="356" t="n">
        <f aca="false">SUM(AV43:AX43)</f>
        <v>0</v>
      </c>
      <c r="AZ43" s="357" t="n">
        <f aca="false">(-AP43/((HLOOKUP(AX$5,port_specs,2,0)/(365.25))*(AT44-AT43)))*(INDEX(fixed_capacity_charge,MATCH(AT43,PORTS!$H$11:$H$317,0),MATCH(AX$5,PORTS!$H$11:$N$11,0))+INDEX(variable_om_charge,MATCH(AT43,PORTS!$H$318:$H$625,0),MATCH(AX$5,PORTS!$H$318:$N$318,0)))</f>
        <v>-0</v>
      </c>
      <c r="BA43" s="343" t="n">
        <f aca="false">+AZ43+AY43</f>
        <v>0</v>
      </c>
      <c r="BB43" s="355" t="n">
        <f aca="false">+BA43+AU43</f>
        <v>0</v>
      </c>
      <c r="BC43" s="99"/>
      <c r="BD43" s="357" t="n">
        <f aca="false">+PORTS!I37+PORTS!I345</f>
        <v>952831.449474501</v>
      </c>
    </row>
    <row r="44" customFormat="false" ht="12.75" hidden="false" customHeight="false" outlineLevel="0" collapsed="false">
      <c r="A44" s="346" t="n">
        <f aca="false">+DATE(YEAR(A43),MONTH(A43)+1,1)</f>
        <v>37500</v>
      </c>
      <c r="B44" s="327" t="n">
        <f aca="false">+IF(AND($A44&gt;=$C$8,$A44&lt;=$C$9),1,0)*PORTS!$I$5/(365.25)*(A45-A44)</f>
        <v>5166876.75662674</v>
      </c>
      <c r="C44" s="328" t="n">
        <f aca="false">+B44-(SUMIF($F$17:$IV$17,$H$17,$F44:$IV44))</f>
        <v>2475188.65371765</v>
      </c>
      <c r="D44" s="0" t="n">
        <f aca="false">+YEAR(E44)</f>
        <v>2002</v>
      </c>
      <c r="E44" s="346" t="n">
        <f aca="false">+DATE(YEAR(E43),MONTH(E43)+1,1)</f>
        <v>37500</v>
      </c>
      <c r="F44" s="327" t="n">
        <f aca="false">+IF(AND(G$8&lt;=E44,G$9&gt;=E44),INDEX(ROUTE_PER_DAY_BY_SHIP,MATCH(CONCATENATE(G$4,G$5,G$7),ROUTE_PER_DAY_ROUTES,0),MATCH(G$6,ROUTE_PER_DAY_SHIPS,0))*(E45-E44),0)</f>
        <v>2783545.09090909</v>
      </c>
      <c r="G44" s="347" t="n">
        <f aca="false">-F44*HLOOKUP(G$6,SHIPS,7,0)*INDEX(LADEN_VOYAGE_DAYS,MATCH(CONCATENATE(G$4,G$5,G$7),LADEN_VOYAGE_ROUTES,0),MATCH(G$6,LADEN_VOYAGE_SHIPS,0))</f>
        <v>-91856.988</v>
      </c>
      <c r="H44" s="348" t="n">
        <f aca="false">SUM(F44:G44)</f>
        <v>2691688.10290909</v>
      </c>
      <c r="I44" s="349" t="n">
        <f aca="false">-(H44)*HLOOKUP(G$5,TERMINAL_CHARGES,3,0)</f>
        <v>-67292.2025727273</v>
      </c>
      <c r="J44" s="327" t="n">
        <f aca="false">+H44+I44</f>
        <v>2624395.90033636</v>
      </c>
      <c r="K44" s="333"/>
      <c r="L44" s="346" t="n">
        <f aca="false">+DATE(YEAR(L43),MONTH(L43)+1,1)</f>
        <v>37500</v>
      </c>
      <c r="M44" s="334" t="n">
        <f aca="false">+J44*(VLOOKUP(L44,CURVECALC!$C$6:$J$312,4,0)+N$5)</f>
        <v>8426935.23598006</v>
      </c>
      <c r="N44" s="350" t="n">
        <f aca="false">-F44*INDEX(ship_curves,MATCH(L44,'SHIP CURVES'!$A$9:$A$316,0),MATCH(CONCATENATE(P$4,P$5,P$6,P$7),'SHIP CURVES'!$A$9:$AZ$9,0))</f>
        <v>-1461856.50644058</v>
      </c>
      <c r="O44" s="351" t="n">
        <f aca="false">-H44*INDEX(port_processing_fee,MATCH(L44,PORTS!$H$626:$H$933,0),MATCH(P$5,PORTS!$H$626:$Z$626,0))</f>
        <v>-73257.783329525</v>
      </c>
      <c r="P44" s="352" t="n">
        <f aca="false">(((VLOOKUP(L44,curvecalc,4,0))*IF(F44=0,0,J44/F44)-INDEX(ship_curves,MATCH(L44,'SHIP CURVES'!$A$9:$A$316,0),MATCH(CONCATENATE(P$4,P$5,P$6,P$7),'SHIP CURVES'!$A$9:$Z$9,0))-INDEX(terminal_curves,MATCH(L44,'TERMINAL CURVES'!$A$4:$A$313,0),MATCH(P$5,'TERMINAL CURVES'!$A$4:$N$4,0))*IF(F44=0,0,H44/F44))-(N$8)*((N$7-$N$5)-(INDEX(ship_curves,MATCH(L44,'SHIP CURVES'!$A$9:$A$316,0),MATCH(CONCATENATE(P$4,P$5,P$6,P$7),'SHIP CURVES'!$A$9:$Z$9,0))-INDEX(ship_curves,MATCH(L44,'SHIP CURVES'!$A$9:$A$316,0),MATCH(CONCATENATE(P$4,N$6,P$6,P$7),'SHIP CURVES'!$A$9:$Z$9,0)))-(INDEX(terminal_curves,MATCH(L44,'TERMINAL CURVES'!$A$4:$A$313,0),MATCH(P$5,'TERMINAL CURVES'!$A$4:$N$4,0))-INDEX(terminal_curves,MATCH(L44,'TERMINAL CURVES'!$A$4:$A$313,0),MATCH(N$6,'TERMINAL CURVES'!$A$4:$N$4,0)))*IF(F44=0,0,H44/F44)))*-F44</f>
        <v>-6342701.03952981</v>
      </c>
      <c r="Q44" s="353" t="n">
        <f aca="false">SUM(N44:P44)</f>
        <v>-7877815.32929992</v>
      </c>
      <c r="R44" s="357" t="n">
        <f aca="false">(-H44/((HLOOKUP(P$5,port_specs,2,0)/(365.25))*(L45-L44)))*(INDEX(fixed_capacity_charge,MATCH(L44,PORTS!$H$11:$H$317,0),MATCH(P$5,PORTS!$H$11:$N$11,0))+INDEX(variable_om_charge,MATCH(L44,PORTS!$H$318:$H$625,0),MATCH(P$5,PORTS!$H$318:$N$318,0)))</f>
        <v>-496631.988673417</v>
      </c>
      <c r="S44" s="343" t="n">
        <f aca="false">+R44+Q44</f>
        <v>-8374447.31797334</v>
      </c>
      <c r="T44" s="355" t="n">
        <f aca="false">+S44+M44</f>
        <v>52487.9180067284</v>
      </c>
      <c r="U44" s="342"/>
      <c r="V44" s="346" t="n">
        <f aca="false">+DATE(YEAR(V43),MONTH(V43)+1,1)</f>
        <v>37500</v>
      </c>
      <c r="W44" s="327" t="n">
        <f aca="false">+Y44/(1-HLOOKUP(X$6,SHIPS,7,0)*INDEX(LADEN_VOYAGE_DAYS,MATCH(CONCATENATE(X$4,X$5),LADEN_VOYAGE_ROUTES,0),MATCH(X$6,LADEN_VOYAGE_SHIPS,0)))</f>
        <v>0</v>
      </c>
      <c r="X44" s="347" t="n">
        <f aca="false">+Y44-W44</f>
        <v>0</v>
      </c>
      <c r="Y44" s="348" t="n">
        <f aca="false">+IF(AND(X$8&lt;=V44,X$9&gt;=V44),+MIN($B44-SUMIF($H$17:X$17,Y$17,$H44:X44),((INDEX(ROUTE_PER_DAY_BY_SHIP,MATCH(CONCATENATE(X$4,X$5,X$7),ROUTE_PER_DAY_ROUTES,0),MATCH(X$6,ROUTE_PER_DAY_SHIPS,0))*(V45-V44))-(INDEX(ROUTE_PER_DAY_BY_SHIP,MATCH(CONCATENATE(X$4,X$5,X$7),ROUTE_PER_DAY_ROUTES,0),MATCH(X$6,ROUTE_PER_DAY_SHIPS,0))*(V45-V44))*HLOOKUP(X$6,SHIPS,7,0)*INDEX(LADEN_VOYAGE_DAYS,MATCH(CONCATENATE(X$4,X$5,X$7),LADEN_VOYAGE_ROUTES,0),MATCH(X$6,LADEN_VOYAGE_SHIPS,0)))),0)</f>
        <v>0</v>
      </c>
      <c r="Z44" s="349" t="n">
        <f aca="false">-(Y44)*HLOOKUP(X$5,TERMINAL_CHARGES,3,0)</f>
        <v>-0</v>
      </c>
      <c r="AA44" s="327" t="n">
        <f aca="false">+Y44+Z44</f>
        <v>0</v>
      </c>
      <c r="AB44" s="333"/>
      <c r="AC44" s="346" t="n">
        <f aca="false">+DATE(YEAR(AC43),MONTH(AC43)+1,1)</f>
        <v>37500</v>
      </c>
      <c r="AD44" s="343" t="n">
        <f aca="false">+AA44*(VLOOKUP(AC44,CURVECALC!$C$6:$J$312,4,0)+AE$5)</f>
        <v>0</v>
      </c>
      <c r="AE44" s="350" t="n">
        <f aca="false">-W44*INDEX(ship_curves,MATCH(AC44,'SHIP CURVES'!$A$9:$A$316,0),MATCH(CONCATENATE(AG$4,AG$5,AG$6,AG$7),'SHIP CURVES'!$A$9:$AZ$9,0))</f>
        <v>-0</v>
      </c>
      <c r="AF44" s="351" t="n">
        <f aca="false">-Y44*INDEX(port_processing_fee,MATCH(AC44,PORTS!$H$626:$H$933,0),MATCH(AG$5,PORTS!$H$626:$Z$626,0))</f>
        <v>-0</v>
      </c>
      <c r="AG44" s="352" t="n">
        <f aca="false">(((VLOOKUP(AC44,curvecalc,4,0))*IF(W44=0,0,AA44/W44)-INDEX(ship_curves,MATCH(AC44,'SHIP CURVES'!$A$9:$A$316,0),MATCH(CONCATENATE(AG$4,AG$5,AG$6,AG$7),'SHIP CURVES'!$A$9:$Z$9,0))-INDEX(terminal_curves,MATCH(AC44,'TERMINAL CURVES'!$A$4:$A$313,0),MATCH(AG$5,'TERMINAL CURVES'!$A$4:$N$4,0))*IF(W44=0,0,Y44/W44))-(AE$8)*((AE$7-$N$5)-(INDEX(ship_curves,MATCH(AC44,'SHIP CURVES'!$A$9:$A$316,0),MATCH(CONCATENATE(AG$4,AG$5,AG$6,AG$7),'SHIP CURVES'!$A$9:$Z$9,0))-INDEX(ship_curves,MATCH(AC44,'SHIP CURVES'!$A$9:$A$316,0),MATCH(CONCATENATE(AG$4,AE$6,AG$6,AG$7),'SHIP CURVES'!$A$9:$Z$9,0)))-(INDEX(terminal_curves,MATCH(AC44,'TERMINAL CURVES'!$A$4:$A$313,0),MATCH(AG$5,'TERMINAL CURVES'!$A$4:$N$4,0))-INDEX(terminal_curves,MATCH(AC44,'TERMINAL CURVES'!$A$4:$A$313,0),MATCH(AE$6,'TERMINAL CURVES'!$A$4:$N$4,0)))*IF(W44=0,0,Y44/W44)))*-W44</f>
        <v>0</v>
      </c>
      <c r="AH44" s="356" t="n">
        <f aca="false">SUM(AE44:AG44)</f>
        <v>0</v>
      </c>
      <c r="AI44" s="357" t="n">
        <f aca="false">(-Y44/((HLOOKUP(AG$5,port_specs,2,0)/(365.25))*(AC45-AC44)))*(INDEX(fixed_capacity_charge,MATCH(AC44,PORTS!$H$11:$H$317,0),MATCH(AG$5,PORTS!$H$11:$N$11,0))+INDEX(variable_om_charge,MATCH(AC44,PORTS!$H$318:$H$625,0),MATCH(AG$5,PORTS!$H$318:$N$318,0)))</f>
        <v>-0</v>
      </c>
      <c r="AJ44" s="343" t="n">
        <f aca="false">+AI44+AH44</f>
        <v>0</v>
      </c>
      <c r="AK44" s="355" t="n">
        <f aca="false">+AJ44+AD44</f>
        <v>0</v>
      </c>
      <c r="AM44" s="346" t="n">
        <f aca="false">+DATE(YEAR(AM43),MONTH(AM43)+1,1)</f>
        <v>37500</v>
      </c>
      <c r="AN44" s="327" t="n">
        <f aca="false">+AP44/(1-HLOOKUP(AO$6,SHIPS,7,0)*INDEX(LADEN_VOYAGE_DAYS,MATCH(CONCATENATE(AO$4,AO$5),LADEN_VOYAGE_ROUTES,0),MATCH(AO$6,LADEN_VOYAGE_SHIPS,0)))</f>
        <v>0</v>
      </c>
      <c r="AO44" s="347" t="n">
        <f aca="false">+AP44-AN44</f>
        <v>0</v>
      </c>
      <c r="AP44" s="348" t="n">
        <f aca="false">+IF(AND(AO$8&lt;=AM44,AO$9&gt;=AM44),+MIN($B44-SUMIF($H$17:AO$17,AP$17,$H44:AO44),((INDEX(ROUTE_PER_DAY_BY_SHIP,MATCH(CONCATENATE(AO$4,AO$5,AO$7),ROUTE_PER_DAY_ROUTES,0),MATCH(AO$6,ROUTE_PER_DAY_SHIPS,0))*(AM45-AM44))-(INDEX(ROUTE_PER_DAY_BY_SHIP,MATCH(CONCATENATE(AO$4,AO$5,AO$7),ROUTE_PER_DAY_ROUTES,0),MATCH(AO$6,ROUTE_PER_DAY_SHIPS,0))*(AM45-AM44))*HLOOKUP(AO$6,SHIPS,7,0)*INDEX(LADEN_VOYAGE_DAYS,MATCH(CONCATENATE(AO$4,AO$5,AO$7),LADEN_VOYAGE_ROUTES,0),MATCH(AO$6,LADEN_VOYAGE_SHIPS,0)))),0)</f>
        <v>0</v>
      </c>
      <c r="AQ44" s="349" t="n">
        <f aca="false">-(AP44)*PORTS!$I$6</f>
        <v>-0</v>
      </c>
      <c r="AR44" s="327" t="n">
        <f aca="false">+AP44+AQ44</f>
        <v>0</v>
      </c>
      <c r="AS44" s="333"/>
      <c r="AT44" s="346" t="n">
        <f aca="false">+DATE(YEAR(AT43),MONTH(AT43)+1,1)</f>
        <v>37500</v>
      </c>
      <c r="AU44" s="343" t="n">
        <f aca="false">+AR44*(VLOOKUP(AT44,CURVECALC!$C$6:$J$312,4,0)+AV$5)</f>
        <v>0</v>
      </c>
      <c r="AV44" s="350" t="n">
        <f aca="false">-AN44*INDEX(ship_curves,MATCH(AT44,'SHIP CURVES'!$A$9:$A$316,0),MATCH(CONCATENATE(AX$4,AX$5,AX$6,AX$7),'SHIP CURVES'!$A$9:$AZ$9,0))</f>
        <v>-0</v>
      </c>
      <c r="AW44" s="351" t="n">
        <f aca="false">-AP44*INDEX(port_processing_fee,MATCH(AT44,PORTS!$H$626:$H$933,0),MATCH(AX$5,PORTS!$H$626:$Z$626,0))</f>
        <v>-0</v>
      </c>
      <c r="AX44" s="352" t="n">
        <f aca="false">(((VLOOKUP(AT44,curvecalc,4,0))*IF(AN44=0,0,AR44/AN44)-INDEX(ship_curves,MATCH(AT44,'SHIP CURVES'!$A$9:$A$316,0),MATCH(CONCATENATE(AX$4,AX$5,AX$6,AX$7),'SHIP CURVES'!$A$9:$Z$9,0))-INDEX(terminal_curves,MATCH(AT44,'TERMINAL CURVES'!$A$4:$A$313,0),MATCH(AX$5,'TERMINAL CURVES'!$A$4:$N$4,0))*IF(AN44=0,0,AP44/AN44))-(AV$8)*((AV$7-$N$5)-(INDEX(ship_curves,MATCH(AT44,'SHIP CURVES'!$A$9:$A$316,0),MATCH(CONCATENATE(AX$4,AX$5,AX$6,AX$7),'SHIP CURVES'!$A$9:$Z$9,0))-INDEX(ship_curves,MATCH(AT44,'SHIP CURVES'!$A$9:$A$316,0),MATCH(CONCATENATE(AX$4,AV$6,AX$6,AX$7),'SHIP CURVES'!$A$9:$Z$9,0)))-(INDEX(terminal_curves,MATCH(AT44,'TERMINAL CURVES'!$A$4:$A$313,0),MATCH(AX$5,'TERMINAL CURVES'!$A$4:$N$4,0))-INDEX(terminal_curves,MATCH(AT44,'TERMINAL CURVES'!$A$4:$A$313,0),MATCH(AV$6,'TERMINAL CURVES'!$A$4:$N$4,0)))*IF(AN44=0,0,AP44/AN44)))*-AN44</f>
        <v>0</v>
      </c>
      <c r="AY44" s="356" t="n">
        <f aca="false">SUM(AV44:AX44)</f>
        <v>0</v>
      </c>
      <c r="AZ44" s="357" t="n">
        <f aca="false">(-AP44/((HLOOKUP(AX$5,port_specs,2,0)/(365.25))*(AT45-AT44)))*(INDEX(fixed_capacity_charge,MATCH(AT44,PORTS!$H$11:$H$317,0),MATCH(AX$5,PORTS!$H$11:$N$11,0))+INDEX(variable_om_charge,MATCH(AT44,PORTS!$H$318:$H$625,0),MATCH(AX$5,PORTS!$H$318:$N$318,0)))</f>
        <v>-0</v>
      </c>
      <c r="BA44" s="343" t="n">
        <f aca="false">+AZ44+AY44</f>
        <v>0</v>
      </c>
      <c r="BB44" s="355" t="n">
        <f aca="false">+BA44+AU44</f>
        <v>0</v>
      </c>
      <c r="BC44" s="99"/>
      <c r="BD44" s="357" t="n">
        <f aca="false">+PORTS!I38+PORTS!I346</f>
        <v>953318.57955634</v>
      </c>
    </row>
    <row r="45" customFormat="false" ht="12.75" hidden="false" customHeight="false" outlineLevel="0" collapsed="false">
      <c r="A45" s="346" t="n">
        <f aca="false">+DATE(YEAR(A44),MONTH(A44)+1,1)</f>
        <v>37530</v>
      </c>
      <c r="B45" s="327" t="n">
        <f aca="false">+IF(AND($A45&gt;=$C$8,$A45&lt;=$C$9),1,0)*PORTS!$I$5/(365.25)*(A46-A45)</f>
        <v>5339105.98184763</v>
      </c>
      <c r="C45" s="328" t="n">
        <f aca="false">+B45-(SUMIF($F$17:$IV$17,$H$17,$F45:$IV45))</f>
        <v>2557694.94217491</v>
      </c>
      <c r="D45" s="0" t="n">
        <f aca="false">+YEAR(E45)</f>
        <v>2002</v>
      </c>
      <c r="E45" s="346" t="n">
        <f aca="false">+DATE(YEAR(E44),MONTH(E44)+1,1)</f>
        <v>37530</v>
      </c>
      <c r="F45" s="327" t="n">
        <f aca="false">+IF(AND(G$8&lt;=E45,G$9&gt;=E45),INDEX(ROUTE_PER_DAY_BY_SHIP,MATCH(CONCATENATE(G$4,G$5,G$7),ROUTE_PER_DAY_ROUTES,0),MATCH(G$6,ROUTE_PER_DAY_SHIPS,0))*(E46-E45),0)</f>
        <v>2876329.92727273</v>
      </c>
      <c r="G45" s="347" t="n">
        <f aca="false">-F45*HLOOKUP(G$6,SHIPS,7,0)*INDEX(LADEN_VOYAGE_DAYS,MATCH(CONCATENATE(G$4,G$5,G$7),LADEN_VOYAGE_ROUTES,0),MATCH(G$6,LADEN_VOYAGE_SHIPS,0))</f>
        <v>-94918.8876</v>
      </c>
      <c r="H45" s="348" t="n">
        <f aca="false">SUM(F45:G45)</f>
        <v>2781411.03967273</v>
      </c>
      <c r="I45" s="349" t="n">
        <f aca="false">-(H45)*HLOOKUP(G$5,TERMINAL_CHARGES,3,0)</f>
        <v>-69535.2759918182</v>
      </c>
      <c r="J45" s="327" t="n">
        <f aca="false">+H45+I45</f>
        <v>2711875.76368091</v>
      </c>
      <c r="K45" s="333"/>
      <c r="L45" s="346" t="n">
        <f aca="false">+DATE(YEAR(L44),MONTH(L44)+1,1)</f>
        <v>37530</v>
      </c>
      <c r="M45" s="334" t="n">
        <f aca="false">+J45*(VLOOKUP(L45,CURVECALC!$C$6:$J$312,4,0)+N$5)</f>
        <v>8762070.59245302</v>
      </c>
      <c r="N45" s="350" t="n">
        <f aca="false">-F45*INDEX(ship_curves,MATCH(L45,'SHIP CURVES'!$A$9:$A$316,0),MATCH(CONCATENATE(P$4,P$5,P$6,P$7),'SHIP CURVES'!$A$9:$AZ$9,0))</f>
        <v>-1511525.69230237</v>
      </c>
      <c r="O45" s="351" t="n">
        <f aca="false">-H45*INDEX(port_processing_fee,MATCH(L45,PORTS!$H$626:$H$933,0),MATCH(P$5,PORTS!$H$626:$Z$626,0))</f>
        <v>-75778.5633045097</v>
      </c>
      <c r="P45" s="352" t="n">
        <f aca="false">(((VLOOKUP(L45,curvecalc,4,0))*IF(F45=0,0,J45/F45)-INDEX(ship_curves,MATCH(L45,'SHIP CURVES'!$A$9:$A$316,0),MATCH(CONCATENATE(P$4,P$5,P$6,P$7),'SHIP CURVES'!$A$9:$Z$9,0))-INDEX(terminal_curves,MATCH(L45,'TERMINAL CURVES'!$A$4:$A$313,0),MATCH(P$5,'TERMINAL CURVES'!$A$4:$N$4,0))*IF(F45=0,0,H45/F45))-(N$8)*((N$7-$N$5)-(INDEX(ship_curves,MATCH(L45,'SHIP CURVES'!$A$9:$A$316,0),MATCH(CONCATENATE(P$4,P$5,P$6,P$7),'SHIP CURVES'!$A$9:$Z$9,0))-INDEX(ship_curves,MATCH(L45,'SHIP CURVES'!$A$9:$A$316,0),MATCH(CONCATENATE(P$4,N$6,P$6,P$7),'SHIP CURVES'!$A$9:$Z$9,0)))-(INDEX(terminal_curves,MATCH(L45,'TERMINAL CURVES'!$A$4:$A$313,0),MATCH(P$5,'TERMINAL CURVES'!$A$4:$N$4,0))-INDEX(terminal_curves,MATCH(L45,'TERMINAL CURVES'!$A$4:$A$313,0),MATCH(N$6,'TERMINAL CURVES'!$A$4:$N$4,0)))*IF(F45=0,0,H45/F45)))*-F45</f>
        <v>-6623642.79779369</v>
      </c>
      <c r="Q45" s="353" t="n">
        <f aca="false">SUM(N45:P45)</f>
        <v>-8210947.05340057</v>
      </c>
      <c r="R45" s="357" t="n">
        <f aca="false">(-H45/((HLOOKUP(P$5,port_specs,2,0)/(365.25))*(L46-L45)))*(INDEX(fixed_capacity_charge,MATCH(L45,PORTS!$H$11:$H$317,0),MATCH(P$5,PORTS!$H$11:$N$11,0))+INDEX(variable_om_charge,MATCH(L45,PORTS!$H$318:$H$625,0),MATCH(P$5,PORTS!$H$318:$N$318,0)))</f>
        <v>-496886.023778831</v>
      </c>
      <c r="S45" s="343" t="n">
        <f aca="false">+R45+Q45</f>
        <v>-8707833.0771794</v>
      </c>
      <c r="T45" s="355" t="n">
        <f aca="false">+S45+M45</f>
        <v>54237.5152736194</v>
      </c>
      <c r="U45" s="342"/>
      <c r="V45" s="346" t="n">
        <f aca="false">+DATE(YEAR(V44),MONTH(V44)+1,1)</f>
        <v>37530</v>
      </c>
      <c r="W45" s="327" t="n">
        <f aca="false">+Y45/(1-HLOOKUP(X$6,SHIPS,7,0)*INDEX(LADEN_VOYAGE_DAYS,MATCH(CONCATENATE(X$4,X$5),LADEN_VOYAGE_ROUTES,0),MATCH(X$6,LADEN_VOYAGE_SHIPS,0)))</f>
        <v>0</v>
      </c>
      <c r="X45" s="347" t="n">
        <f aca="false">+Y45-W45</f>
        <v>0</v>
      </c>
      <c r="Y45" s="348" t="n">
        <f aca="false">+IF(AND(X$8&lt;=V45,X$9&gt;=V45),+MIN($B45-SUMIF($H$17:X$17,Y$17,$H45:X45),((INDEX(ROUTE_PER_DAY_BY_SHIP,MATCH(CONCATENATE(X$4,X$5,X$7),ROUTE_PER_DAY_ROUTES,0),MATCH(X$6,ROUTE_PER_DAY_SHIPS,0))*(V46-V45))-(INDEX(ROUTE_PER_DAY_BY_SHIP,MATCH(CONCATENATE(X$4,X$5,X$7),ROUTE_PER_DAY_ROUTES,0),MATCH(X$6,ROUTE_PER_DAY_SHIPS,0))*(V46-V45))*HLOOKUP(X$6,SHIPS,7,0)*INDEX(LADEN_VOYAGE_DAYS,MATCH(CONCATENATE(X$4,X$5,X$7),LADEN_VOYAGE_ROUTES,0),MATCH(X$6,LADEN_VOYAGE_SHIPS,0)))),0)</f>
        <v>0</v>
      </c>
      <c r="Z45" s="349" t="n">
        <f aca="false">-(Y45)*HLOOKUP(X$5,TERMINAL_CHARGES,3,0)</f>
        <v>-0</v>
      </c>
      <c r="AA45" s="327" t="n">
        <f aca="false">+Y45+Z45</f>
        <v>0</v>
      </c>
      <c r="AB45" s="333"/>
      <c r="AC45" s="346" t="n">
        <f aca="false">+DATE(YEAR(AC44),MONTH(AC44)+1,1)</f>
        <v>37530</v>
      </c>
      <c r="AD45" s="343" t="n">
        <f aca="false">+AA45*(VLOOKUP(AC45,CURVECALC!$C$6:$J$312,4,0)+AE$5)</f>
        <v>0</v>
      </c>
      <c r="AE45" s="350" t="n">
        <f aca="false">-W45*INDEX(ship_curves,MATCH(AC45,'SHIP CURVES'!$A$9:$A$316,0),MATCH(CONCATENATE(AG$4,AG$5,AG$6,AG$7),'SHIP CURVES'!$A$9:$AZ$9,0))</f>
        <v>-0</v>
      </c>
      <c r="AF45" s="351" t="n">
        <f aca="false">-Y45*INDEX(port_processing_fee,MATCH(AC45,PORTS!$H$626:$H$933,0),MATCH(AG$5,PORTS!$H$626:$Z$626,0))</f>
        <v>-0</v>
      </c>
      <c r="AG45" s="352" t="n">
        <f aca="false">(((VLOOKUP(AC45,curvecalc,4,0))*IF(W45=0,0,AA45/W45)-INDEX(ship_curves,MATCH(AC45,'SHIP CURVES'!$A$9:$A$316,0),MATCH(CONCATENATE(AG$4,AG$5,AG$6,AG$7),'SHIP CURVES'!$A$9:$Z$9,0))-INDEX(terminal_curves,MATCH(AC45,'TERMINAL CURVES'!$A$4:$A$313,0),MATCH(AG$5,'TERMINAL CURVES'!$A$4:$N$4,0))*IF(W45=0,0,Y45/W45))-(AE$8)*((AE$7-$N$5)-(INDEX(ship_curves,MATCH(AC45,'SHIP CURVES'!$A$9:$A$316,0),MATCH(CONCATENATE(AG$4,AG$5,AG$6,AG$7),'SHIP CURVES'!$A$9:$Z$9,0))-INDEX(ship_curves,MATCH(AC45,'SHIP CURVES'!$A$9:$A$316,0),MATCH(CONCATENATE(AG$4,AE$6,AG$6,AG$7),'SHIP CURVES'!$A$9:$Z$9,0)))-(INDEX(terminal_curves,MATCH(AC45,'TERMINAL CURVES'!$A$4:$A$313,0),MATCH(AG$5,'TERMINAL CURVES'!$A$4:$N$4,0))-INDEX(terminal_curves,MATCH(AC45,'TERMINAL CURVES'!$A$4:$A$313,0),MATCH(AE$6,'TERMINAL CURVES'!$A$4:$N$4,0)))*IF(W45=0,0,Y45/W45)))*-W45</f>
        <v>0</v>
      </c>
      <c r="AH45" s="356" t="n">
        <f aca="false">SUM(AE45:AG45)</f>
        <v>0</v>
      </c>
      <c r="AI45" s="357" t="n">
        <f aca="false">(-Y45/((HLOOKUP(AG$5,port_specs,2,0)/(365.25))*(AC46-AC45)))*(INDEX(fixed_capacity_charge,MATCH(AC45,PORTS!$H$11:$H$317,0),MATCH(AG$5,PORTS!$H$11:$N$11,0))+INDEX(variable_om_charge,MATCH(AC45,PORTS!$H$318:$H$625,0),MATCH(AG$5,PORTS!$H$318:$N$318,0)))</f>
        <v>-0</v>
      </c>
      <c r="AJ45" s="343" t="n">
        <f aca="false">+AI45+AH45</f>
        <v>0</v>
      </c>
      <c r="AK45" s="355" t="n">
        <f aca="false">+AJ45+AD45</f>
        <v>0</v>
      </c>
      <c r="AM45" s="346" t="n">
        <f aca="false">+DATE(YEAR(AM44),MONTH(AM44)+1,1)</f>
        <v>37530</v>
      </c>
      <c r="AN45" s="327" t="n">
        <f aca="false">+AP45/(1-HLOOKUP(AO$6,SHIPS,7,0)*INDEX(LADEN_VOYAGE_DAYS,MATCH(CONCATENATE(AO$4,AO$5),LADEN_VOYAGE_ROUTES,0),MATCH(AO$6,LADEN_VOYAGE_SHIPS,0)))</f>
        <v>0</v>
      </c>
      <c r="AO45" s="347" t="n">
        <f aca="false">+AP45-AN45</f>
        <v>0</v>
      </c>
      <c r="AP45" s="348" t="n">
        <f aca="false">+IF(AND(AO$8&lt;=AM45,AO$9&gt;=AM45),+MIN($B45-SUMIF($H$17:AO$17,AP$17,$H45:AO45),((INDEX(ROUTE_PER_DAY_BY_SHIP,MATCH(CONCATENATE(AO$4,AO$5,AO$7),ROUTE_PER_DAY_ROUTES,0),MATCH(AO$6,ROUTE_PER_DAY_SHIPS,0))*(AM46-AM45))-(INDEX(ROUTE_PER_DAY_BY_SHIP,MATCH(CONCATENATE(AO$4,AO$5,AO$7),ROUTE_PER_DAY_ROUTES,0),MATCH(AO$6,ROUTE_PER_DAY_SHIPS,0))*(AM46-AM45))*HLOOKUP(AO$6,SHIPS,7,0)*INDEX(LADEN_VOYAGE_DAYS,MATCH(CONCATENATE(AO$4,AO$5,AO$7),LADEN_VOYAGE_ROUTES,0),MATCH(AO$6,LADEN_VOYAGE_SHIPS,0)))),0)</f>
        <v>0</v>
      </c>
      <c r="AQ45" s="349" t="n">
        <f aca="false">-(AP45)*PORTS!$I$6</f>
        <v>-0</v>
      </c>
      <c r="AR45" s="327" t="n">
        <f aca="false">+AP45+AQ45</f>
        <v>0</v>
      </c>
      <c r="AS45" s="333"/>
      <c r="AT45" s="346" t="n">
        <f aca="false">+DATE(YEAR(AT44),MONTH(AT44)+1,1)</f>
        <v>37530</v>
      </c>
      <c r="AU45" s="343" t="n">
        <f aca="false">+AR45*(VLOOKUP(AT45,CURVECALC!$C$6:$J$312,4,0)+AV$5)</f>
        <v>0</v>
      </c>
      <c r="AV45" s="350" t="n">
        <f aca="false">-AN45*INDEX(ship_curves,MATCH(AT45,'SHIP CURVES'!$A$9:$A$316,0),MATCH(CONCATENATE(AX$4,AX$5,AX$6,AX$7),'SHIP CURVES'!$A$9:$AZ$9,0))</f>
        <v>-0</v>
      </c>
      <c r="AW45" s="351" t="n">
        <f aca="false">-AP45*INDEX(port_processing_fee,MATCH(AT45,PORTS!$H$626:$H$933,0),MATCH(AX$5,PORTS!$H$626:$Z$626,0))</f>
        <v>-0</v>
      </c>
      <c r="AX45" s="352" t="n">
        <f aca="false">(((VLOOKUP(AT45,curvecalc,4,0))*IF(AN45=0,0,AR45/AN45)-INDEX(ship_curves,MATCH(AT45,'SHIP CURVES'!$A$9:$A$316,0),MATCH(CONCATENATE(AX$4,AX$5,AX$6,AX$7),'SHIP CURVES'!$A$9:$Z$9,0))-INDEX(terminal_curves,MATCH(AT45,'TERMINAL CURVES'!$A$4:$A$313,0),MATCH(AX$5,'TERMINAL CURVES'!$A$4:$N$4,0))*IF(AN45=0,0,AP45/AN45))-(AV$8)*((AV$7-$N$5)-(INDEX(ship_curves,MATCH(AT45,'SHIP CURVES'!$A$9:$A$316,0),MATCH(CONCATENATE(AX$4,AX$5,AX$6,AX$7),'SHIP CURVES'!$A$9:$Z$9,0))-INDEX(ship_curves,MATCH(AT45,'SHIP CURVES'!$A$9:$A$316,0),MATCH(CONCATENATE(AX$4,AV$6,AX$6,AX$7),'SHIP CURVES'!$A$9:$Z$9,0)))-(INDEX(terminal_curves,MATCH(AT45,'TERMINAL CURVES'!$A$4:$A$313,0),MATCH(AX$5,'TERMINAL CURVES'!$A$4:$N$4,0))-INDEX(terminal_curves,MATCH(AT45,'TERMINAL CURVES'!$A$4:$A$313,0),MATCH(AV$6,'TERMINAL CURVES'!$A$4:$N$4,0)))*IF(AN45=0,0,AP45/AN45)))*-AN45</f>
        <v>0</v>
      </c>
      <c r="AY45" s="356" t="n">
        <f aca="false">SUM(AV45:AX45)</f>
        <v>0</v>
      </c>
      <c r="AZ45" s="357" t="n">
        <f aca="false">(-AP45/((HLOOKUP(AX$5,port_specs,2,0)/(365.25))*(AT46-AT45)))*(INDEX(fixed_capacity_charge,MATCH(AT45,PORTS!$H$11:$H$317,0),MATCH(AX$5,PORTS!$H$11:$N$11,0))+INDEX(variable_om_charge,MATCH(AT45,PORTS!$H$318:$H$625,0),MATCH(AX$5,PORTS!$H$318:$N$318,0)))</f>
        <v>-0</v>
      </c>
      <c r="BA45" s="343" t="n">
        <f aca="false">+AZ45+AY45</f>
        <v>0</v>
      </c>
      <c r="BB45" s="355" t="n">
        <f aca="false">+BA45+AU45</f>
        <v>0</v>
      </c>
      <c r="BC45" s="99"/>
      <c r="BD45" s="357" t="n">
        <f aca="false">+PORTS!I39+PORTS!I347</f>
        <v>953806.217065349</v>
      </c>
    </row>
    <row r="46" customFormat="false" ht="12.75" hidden="false" customHeight="false" outlineLevel="0" collapsed="false">
      <c r="A46" s="346" t="n">
        <f aca="false">+DATE(YEAR(A45),MONTH(A45)+1,1)</f>
        <v>37561</v>
      </c>
      <c r="B46" s="327" t="n">
        <f aca="false">+IF(AND($A46&gt;=$C$8,$A46&lt;=$C$9),1,0)*PORTS!$I$5/(365.25)*(A47-A46)</f>
        <v>5166876.75662674</v>
      </c>
      <c r="C46" s="328" t="n">
        <f aca="false">+B46-(SUMIF($F$17:$IV$17,$H$17,$F46:$IV46))</f>
        <v>2475188.65371765</v>
      </c>
      <c r="D46" s="0" t="n">
        <f aca="false">+YEAR(E46)</f>
        <v>2002</v>
      </c>
      <c r="E46" s="346" t="n">
        <f aca="false">+DATE(YEAR(E45),MONTH(E45)+1,1)</f>
        <v>37561</v>
      </c>
      <c r="F46" s="327" t="n">
        <f aca="false">+IF(AND(G$8&lt;=E46,G$9&gt;=E46),INDEX(ROUTE_PER_DAY_BY_SHIP,MATCH(CONCATENATE(G$4,G$5,G$7),ROUTE_PER_DAY_ROUTES,0),MATCH(G$6,ROUTE_PER_DAY_SHIPS,0))*(E47-E46),0)</f>
        <v>2783545.09090909</v>
      </c>
      <c r="G46" s="347" t="n">
        <f aca="false">-F46*HLOOKUP(G$6,SHIPS,7,0)*INDEX(LADEN_VOYAGE_DAYS,MATCH(CONCATENATE(G$4,G$5,G$7),LADEN_VOYAGE_ROUTES,0),MATCH(G$6,LADEN_VOYAGE_SHIPS,0))</f>
        <v>-91856.988</v>
      </c>
      <c r="H46" s="348" t="n">
        <f aca="false">SUM(F46:G46)</f>
        <v>2691688.10290909</v>
      </c>
      <c r="I46" s="349" t="n">
        <f aca="false">-(H46)*HLOOKUP(G$5,TERMINAL_CHARGES,3,0)</f>
        <v>-67292.2025727273</v>
      </c>
      <c r="J46" s="327" t="n">
        <f aca="false">+H46+I46</f>
        <v>2624395.90033636</v>
      </c>
      <c r="K46" s="333"/>
      <c r="L46" s="346" t="n">
        <f aca="false">+DATE(YEAR(L45),MONTH(L45)+1,1)</f>
        <v>37561</v>
      </c>
      <c r="M46" s="334" t="n">
        <f aca="false">+J46*(VLOOKUP(L46,CURVECALC!$C$6:$J$312,4,0)+N$5)</f>
        <v>8765482.30712346</v>
      </c>
      <c r="N46" s="350" t="n">
        <f aca="false">-F46*INDEX(ship_curves,MATCH(L46,'SHIP CURVES'!$A$9:$A$316,0),MATCH(CONCATENATE(P$4,P$5,P$6,P$7),'SHIP CURVES'!$A$9:$AZ$9,0))</f>
        <v>-1463678.98800684</v>
      </c>
      <c r="O46" s="351" t="n">
        <f aca="false">-H46*INDEX(port_processing_fee,MATCH(L46,PORTS!$H$626:$H$933,0),MATCH(P$5,PORTS!$H$626:$Z$626,0))</f>
        <v>-73410.4832012438</v>
      </c>
      <c r="P46" s="352" t="n">
        <f aca="false">(((VLOOKUP(L46,curvecalc,4,0))*IF(F46=0,0,J46/F46)-INDEX(ship_curves,MATCH(L46,'SHIP CURVES'!$A$9:$A$316,0),MATCH(CONCATENATE(P$4,P$5,P$6,P$7),'SHIP CURVES'!$A$9:$Z$9,0))-INDEX(terminal_curves,MATCH(L46,'TERMINAL CURVES'!$A$4:$A$313,0),MATCH(P$5,'TERMINAL CURVES'!$A$4:$N$4,0))*IF(F46=0,0,H46/F46))-(N$8)*((N$7-$N$5)-(INDEX(ship_curves,MATCH(L46,'SHIP CURVES'!$A$9:$A$316,0),MATCH(CONCATENATE(P$4,P$5,P$6,P$7),'SHIP CURVES'!$A$9:$Z$9,0))-INDEX(ship_curves,MATCH(L46,'SHIP CURVES'!$A$9:$A$316,0),MATCH(CONCATENATE(P$4,N$6,P$6,P$7),'SHIP CURVES'!$A$9:$Z$9,0)))-(INDEX(terminal_curves,MATCH(L46,'TERMINAL CURVES'!$A$4:$A$313,0),MATCH(P$5,'TERMINAL CURVES'!$A$4:$N$4,0))-INDEX(terminal_curves,MATCH(L46,'TERMINAL CURVES'!$A$4:$A$313,0),MATCH(N$6,'TERMINAL CURVES'!$A$4:$N$4,0)))*IF(F46=0,0,H46/F46)))*-F46</f>
        <v>-6678764.5944045</v>
      </c>
      <c r="Q46" s="353" t="n">
        <f aca="false">SUM(N46:P46)</f>
        <v>-8215854.06561258</v>
      </c>
      <c r="R46" s="357" t="n">
        <f aca="false">(-H46/((HLOOKUP(P$5,port_specs,2,0)/(365.25))*(L47-L46)))*(INDEX(fixed_capacity_charge,MATCH(L46,PORTS!$H$11:$H$317,0),MATCH(P$5,PORTS!$H$11:$N$11,0))+INDEX(variable_om_charge,MATCH(L46,PORTS!$H$318:$H$625,0),MATCH(P$5,PORTS!$H$318:$N$318,0)))</f>
        <v>-497140.323504146</v>
      </c>
      <c r="S46" s="343" t="n">
        <f aca="false">+R46+Q46</f>
        <v>-8712994.38911673</v>
      </c>
      <c r="T46" s="355" t="n">
        <f aca="false">+S46+M46</f>
        <v>52487.9180067256</v>
      </c>
      <c r="U46" s="342"/>
      <c r="V46" s="346" t="n">
        <f aca="false">+DATE(YEAR(V45),MONTH(V45)+1,1)</f>
        <v>37561</v>
      </c>
      <c r="W46" s="327" t="n">
        <f aca="false">+Y46/(1-HLOOKUP(X$6,SHIPS,7,0)*INDEX(LADEN_VOYAGE_DAYS,MATCH(CONCATENATE(X$4,X$5),LADEN_VOYAGE_ROUTES,0),MATCH(X$6,LADEN_VOYAGE_SHIPS,0)))</f>
        <v>0</v>
      </c>
      <c r="X46" s="347" t="n">
        <f aca="false">+Y46-W46</f>
        <v>0</v>
      </c>
      <c r="Y46" s="348" t="n">
        <f aca="false">+IF(AND(X$8&lt;=V46,X$9&gt;=V46),+MIN($B46-SUMIF($H$17:X$17,Y$17,$H46:X46),((INDEX(ROUTE_PER_DAY_BY_SHIP,MATCH(CONCATENATE(X$4,X$5,X$7),ROUTE_PER_DAY_ROUTES,0),MATCH(X$6,ROUTE_PER_DAY_SHIPS,0))*(V47-V46))-(INDEX(ROUTE_PER_DAY_BY_SHIP,MATCH(CONCATENATE(X$4,X$5,X$7),ROUTE_PER_DAY_ROUTES,0),MATCH(X$6,ROUTE_PER_DAY_SHIPS,0))*(V47-V46))*HLOOKUP(X$6,SHIPS,7,0)*INDEX(LADEN_VOYAGE_DAYS,MATCH(CONCATENATE(X$4,X$5,X$7),LADEN_VOYAGE_ROUTES,0),MATCH(X$6,LADEN_VOYAGE_SHIPS,0)))),0)</f>
        <v>0</v>
      </c>
      <c r="Z46" s="349" t="n">
        <f aca="false">-(Y46)*HLOOKUP(X$5,TERMINAL_CHARGES,3,0)</f>
        <v>-0</v>
      </c>
      <c r="AA46" s="327" t="n">
        <f aca="false">+Y46+Z46</f>
        <v>0</v>
      </c>
      <c r="AB46" s="333"/>
      <c r="AC46" s="346" t="n">
        <f aca="false">+DATE(YEAR(AC45),MONTH(AC45)+1,1)</f>
        <v>37561</v>
      </c>
      <c r="AD46" s="343" t="n">
        <f aca="false">+AA46*(VLOOKUP(AC46,CURVECALC!$C$6:$J$312,4,0)+AE$5)</f>
        <v>0</v>
      </c>
      <c r="AE46" s="350" t="n">
        <f aca="false">-W46*INDEX(ship_curves,MATCH(AC46,'SHIP CURVES'!$A$9:$A$316,0),MATCH(CONCATENATE(AG$4,AG$5,AG$6,AG$7),'SHIP CURVES'!$A$9:$AZ$9,0))</f>
        <v>-0</v>
      </c>
      <c r="AF46" s="351" t="n">
        <f aca="false">-Y46*INDEX(port_processing_fee,MATCH(AC46,PORTS!$H$626:$H$933,0),MATCH(AG$5,PORTS!$H$626:$Z$626,0))</f>
        <v>-0</v>
      </c>
      <c r="AG46" s="352" t="n">
        <f aca="false">(((VLOOKUP(AC46,curvecalc,4,0))*IF(W46=0,0,AA46/W46)-INDEX(ship_curves,MATCH(AC46,'SHIP CURVES'!$A$9:$A$316,0),MATCH(CONCATENATE(AG$4,AG$5,AG$6,AG$7),'SHIP CURVES'!$A$9:$Z$9,0))-INDEX(terminal_curves,MATCH(AC46,'TERMINAL CURVES'!$A$4:$A$313,0),MATCH(AG$5,'TERMINAL CURVES'!$A$4:$N$4,0))*IF(W46=0,0,Y46/W46))-(AE$8)*((AE$7-$N$5)-(INDEX(ship_curves,MATCH(AC46,'SHIP CURVES'!$A$9:$A$316,0),MATCH(CONCATENATE(AG$4,AG$5,AG$6,AG$7),'SHIP CURVES'!$A$9:$Z$9,0))-INDEX(ship_curves,MATCH(AC46,'SHIP CURVES'!$A$9:$A$316,0),MATCH(CONCATENATE(AG$4,AE$6,AG$6,AG$7),'SHIP CURVES'!$A$9:$Z$9,0)))-(INDEX(terminal_curves,MATCH(AC46,'TERMINAL CURVES'!$A$4:$A$313,0),MATCH(AG$5,'TERMINAL CURVES'!$A$4:$N$4,0))-INDEX(terminal_curves,MATCH(AC46,'TERMINAL CURVES'!$A$4:$A$313,0),MATCH(AE$6,'TERMINAL CURVES'!$A$4:$N$4,0)))*IF(W46=0,0,Y46/W46)))*-W46</f>
        <v>0</v>
      </c>
      <c r="AH46" s="356" t="n">
        <f aca="false">SUM(AE46:AG46)</f>
        <v>0</v>
      </c>
      <c r="AI46" s="357" t="n">
        <f aca="false">(-Y46/((HLOOKUP(AG$5,port_specs,2,0)/(365.25))*(AC47-AC46)))*(INDEX(fixed_capacity_charge,MATCH(AC46,PORTS!$H$11:$H$317,0),MATCH(AG$5,PORTS!$H$11:$N$11,0))+INDEX(variable_om_charge,MATCH(AC46,PORTS!$H$318:$H$625,0),MATCH(AG$5,PORTS!$H$318:$N$318,0)))</f>
        <v>-0</v>
      </c>
      <c r="AJ46" s="343" t="n">
        <f aca="false">+AI46+AH46</f>
        <v>0</v>
      </c>
      <c r="AK46" s="355" t="n">
        <f aca="false">+AJ46+AD46</f>
        <v>0</v>
      </c>
      <c r="AM46" s="346" t="n">
        <f aca="false">+DATE(YEAR(AM45),MONTH(AM45)+1,1)</f>
        <v>37561</v>
      </c>
      <c r="AN46" s="327" t="n">
        <f aca="false">+AP46/(1-HLOOKUP(AO$6,SHIPS,7,0)*INDEX(LADEN_VOYAGE_DAYS,MATCH(CONCATENATE(AO$4,AO$5),LADEN_VOYAGE_ROUTES,0),MATCH(AO$6,LADEN_VOYAGE_SHIPS,0)))</f>
        <v>0</v>
      </c>
      <c r="AO46" s="347" t="n">
        <f aca="false">+AP46-AN46</f>
        <v>0</v>
      </c>
      <c r="AP46" s="348" t="n">
        <f aca="false">+IF(AND(AO$8&lt;=AM46,AO$9&gt;=AM46),+MIN($B46-SUMIF($H$17:AO$17,AP$17,$H46:AO46),((INDEX(ROUTE_PER_DAY_BY_SHIP,MATCH(CONCATENATE(AO$4,AO$5,AO$7),ROUTE_PER_DAY_ROUTES,0),MATCH(AO$6,ROUTE_PER_DAY_SHIPS,0))*(AM47-AM46))-(INDEX(ROUTE_PER_DAY_BY_SHIP,MATCH(CONCATENATE(AO$4,AO$5,AO$7),ROUTE_PER_DAY_ROUTES,0),MATCH(AO$6,ROUTE_PER_DAY_SHIPS,0))*(AM47-AM46))*HLOOKUP(AO$6,SHIPS,7,0)*INDEX(LADEN_VOYAGE_DAYS,MATCH(CONCATENATE(AO$4,AO$5,AO$7),LADEN_VOYAGE_ROUTES,0),MATCH(AO$6,LADEN_VOYAGE_SHIPS,0)))),0)</f>
        <v>0</v>
      </c>
      <c r="AQ46" s="349" t="n">
        <f aca="false">-(AP46)*PORTS!$I$6</f>
        <v>-0</v>
      </c>
      <c r="AR46" s="327" t="n">
        <f aca="false">+AP46+AQ46</f>
        <v>0</v>
      </c>
      <c r="AS46" s="333"/>
      <c r="AT46" s="346" t="n">
        <f aca="false">+DATE(YEAR(AT45),MONTH(AT45)+1,1)</f>
        <v>37561</v>
      </c>
      <c r="AU46" s="343" t="n">
        <f aca="false">+AR46*(VLOOKUP(AT46,CURVECALC!$C$6:$J$312,4,0)+AV$5)</f>
        <v>0</v>
      </c>
      <c r="AV46" s="350" t="n">
        <f aca="false">-AN46*INDEX(ship_curves,MATCH(AT46,'SHIP CURVES'!$A$9:$A$316,0),MATCH(CONCATENATE(AX$4,AX$5,AX$6,AX$7),'SHIP CURVES'!$A$9:$AZ$9,0))</f>
        <v>-0</v>
      </c>
      <c r="AW46" s="351" t="n">
        <f aca="false">-AP46*INDEX(port_processing_fee,MATCH(AT46,PORTS!$H$626:$H$933,0),MATCH(AX$5,PORTS!$H$626:$Z$626,0))</f>
        <v>-0</v>
      </c>
      <c r="AX46" s="352" t="n">
        <f aca="false">(((VLOOKUP(AT46,curvecalc,4,0))*IF(AN46=0,0,AR46/AN46)-INDEX(ship_curves,MATCH(AT46,'SHIP CURVES'!$A$9:$A$316,0),MATCH(CONCATENATE(AX$4,AX$5,AX$6,AX$7),'SHIP CURVES'!$A$9:$Z$9,0))-INDEX(terminal_curves,MATCH(AT46,'TERMINAL CURVES'!$A$4:$A$313,0),MATCH(AX$5,'TERMINAL CURVES'!$A$4:$N$4,0))*IF(AN46=0,0,AP46/AN46))-(AV$8)*((AV$7-$N$5)-(INDEX(ship_curves,MATCH(AT46,'SHIP CURVES'!$A$9:$A$316,0),MATCH(CONCATENATE(AX$4,AX$5,AX$6,AX$7),'SHIP CURVES'!$A$9:$Z$9,0))-INDEX(ship_curves,MATCH(AT46,'SHIP CURVES'!$A$9:$A$316,0),MATCH(CONCATENATE(AX$4,AV$6,AX$6,AX$7),'SHIP CURVES'!$A$9:$Z$9,0)))-(INDEX(terminal_curves,MATCH(AT46,'TERMINAL CURVES'!$A$4:$A$313,0),MATCH(AX$5,'TERMINAL CURVES'!$A$4:$N$4,0))-INDEX(terminal_curves,MATCH(AT46,'TERMINAL CURVES'!$A$4:$A$313,0),MATCH(AV$6,'TERMINAL CURVES'!$A$4:$N$4,0)))*IF(AN46=0,0,AP46/AN46)))*-AN46</f>
        <v>0</v>
      </c>
      <c r="AY46" s="356" t="n">
        <f aca="false">SUM(AV46:AX46)</f>
        <v>0</v>
      </c>
      <c r="AZ46" s="357" t="n">
        <f aca="false">(-AP46/((HLOOKUP(AX$5,port_specs,2,0)/(365.25))*(AT47-AT46)))*(INDEX(fixed_capacity_charge,MATCH(AT46,PORTS!$H$11:$H$317,0),MATCH(AX$5,PORTS!$H$11:$N$11,0))+INDEX(variable_om_charge,MATCH(AT46,PORTS!$H$318:$H$625,0),MATCH(AX$5,PORTS!$H$318:$N$318,0)))</f>
        <v>-0</v>
      </c>
      <c r="BA46" s="343" t="n">
        <f aca="false">+AZ46+AY46</f>
        <v>0</v>
      </c>
      <c r="BB46" s="355" t="n">
        <f aca="false">+BA46+AU46</f>
        <v>0</v>
      </c>
      <c r="BC46" s="99"/>
      <c r="BD46" s="357" t="n">
        <f aca="false">+PORTS!I40+PORTS!I348</f>
        <v>954294.362530095</v>
      </c>
    </row>
    <row r="47" customFormat="false" ht="12.75" hidden="false" customHeight="false" outlineLevel="0" collapsed="false">
      <c r="A47" s="346" t="n">
        <f aca="false">+DATE(YEAR(A46),MONTH(A46)+1,1)</f>
        <v>37591</v>
      </c>
      <c r="B47" s="327" t="n">
        <f aca="false">+IF(AND($A47&gt;=$C$8,$A47&lt;=$C$9),1,0)*PORTS!$I$5/(365.25)*(A48-A47)</f>
        <v>5339105.98184763</v>
      </c>
      <c r="C47" s="328" t="n">
        <f aca="false">+B47-(SUMIF($F$17:$IV$17,$H$17,$F47:$IV47))</f>
        <v>2557694.94217491</v>
      </c>
      <c r="D47" s="0" t="n">
        <f aca="false">+YEAR(E47)</f>
        <v>2002</v>
      </c>
      <c r="E47" s="346" t="n">
        <f aca="false">+DATE(YEAR(E46),MONTH(E46)+1,1)</f>
        <v>37591</v>
      </c>
      <c r="F47" s="327" t="n">
        <f aca="false">+IF(AND(G$8&lt;=E47,G$9&gt;=E47),INDEX(ROUTE_PER_DAY_BY_SHIP,MATCH(CONCATENATE(G$4,G$5,G$7),ROUTE_PER_DAY_ROUTES,0),MATCH(G$6,ROUTE_PER_DAY_SHIPS,0))*(E48-E47),0)</f>
        <v>2876329.92727273</v>
      </c>
      <c r="G47" s="347" t="n">
        <f aca="false">-F47*HLOOKUP(G$6,SHIPS,7,0)*INDEX(LADEN_VOYAGE_DAYS,MATCH(CONCATENATE(G$4,G$5,G$7),LADEN_VOYAGE_ROUTES,0),MATCH(G$6,LADEN_VOYAGE_SHIPS,0))</f>
        <v>-94918.8876</v>
      </c>
      <c r="H47" s="348" t="n">
        <f aca="false">SUM(F47:G47)</f>
        <v>2781411.03967273</v>
      </c>
      <c r="I47" s="349" t="n">
        <f aca="false">-(H47)*HLOOKUP(G$5,TERMINAL_CHARGES,3,0)</f>
        <v>-69535.2759918182</v>
      </c>
      <c r="J47" s="327" t="n">
        <f aca="false">+H47+I47</f>
        <v>2711875.76368091</v>
      </c>
      <c r="K47" s="333"/>
      <c r="L47" s="346" t="n">
        <f aca="false">+DATE(YEAR(L46),MONTH(L46)+1,1)</f>
        <v>37591</v>
      </c>
      <c r="M47" s="334" t="n">
        <f aca="false">+J47*(VLOOKUP(L47,CURVECALC!$C$6:$J$312,4,0)+N$5)</f>
        <v>9342412.00588073</v>
      </c>
      <c r="N47" s="350" t="n">
        <f aca="false">-F47*INDEX(ship_curves,MATCH(L47,'SHIP CURVES'!$A$9:$A$316,0),MATCH(CONCATENATE(P$4,P$5,P$6,P$7),'SHIP CURVES'!$A$9:$AZ$9,0))</f>
        <v>-1513412.84665199</v>
      </c>
      <c r="O47" s="351" t="n">
        <f aca="false">-H47*INDEX(port_processing_fee,MATCH(L47,PORTS!$H$626:$H$933,0),MATCH(P$5,PORTS!$H$626:$Z$626,0))</f>
        <v>-75936.5175363977</v>
      </c>
      <c r="P47" s="352" t="n">
        <f aca="false">(((VLOOKUP(L47,curvecalc,4,0))*IF(F47=0,0,J47/F47)-INDEX(ship_curves,MATCH(L47,'SHIP CURVES'!$A$9:$A$316,0),MATCH(CONCATENATE(P$4,P$5,P$6,P$7),'SHIP CURVES'!$A$9:$Z$9,0))-INDEX(terminal_curves,MATCH(L47,'TERMINAL CURVES'!$A$4:$A$313,0),MATCH(P$5,'TERMINAL CURVES'!$A$4:$N$4,0))*IF(F47=0,0,H47/F47))-(N$8)*((N$7-$N$5)-(INDEX(ship_curves,MATCH(L47,'SHIP CURVES'!$A$9:$A$316,0),MATCH(CONCATENATE(P$4,P$5,P$6,P$7),'SHIP CURVES'!$A$9:$Z$9,0))-INDEX(ship_curves,MATCH(L47,'SHIP CURVES'!$A$9:$A$316,0),MATCH(CONCATENATE(P$4,N$6,P$6,P$7),'SHIP CURVES'!$A$9:$Z$9,0)))-(INDEX(terminal_curves,MATCH(L47,'TERMINAL CURVES'!$A$4:$A$313,0),MATCH(P$5,'TERMINAL CURVES'!$A$4:$N$4,0))-INDEX(terminal_curves,MATCH(L47,'TERMINAL CURVES'!$A$4:$A$313,0),MATCH(N$6,'TERMINAL CURVES'!$A$4:$N$4,0)))*IF(F47=0,0,H47/F47)))*-F47</f>
        <v>-7201430.23829371</v>
      </c>
      <c r="Q47" s="353" t="n">
        <f aca="false">SUM(N47:P47)</f>
        <v>-8790779.60248211</v>
      </c>
      <c r="R47" s="357" t="n">
        <f aca="false">(-H47/((HLOOKUP(P$5,port_specs,2,0)/(365.25))*(L48-L47)))*(INDEX(fixed_capacity_charge,MATCH(L47,PORTS!$H$11:$H$317,0),MATCH(P$5,PORTS!$H$11:$N$11,0))+INDEX(variable_om_charge,MATCH(L47,PORTS!$H$318:$H$625,0),MATCH(P$5,PORTS!$H$318:$N$318,0)))</f>
        <v>-497394.888125009</v>
      </c>
      <c r="S47" s="343" t="n">
        <f aca="false">+R47+Q47</f>
        <v>-9288174.49060711</v>
      </c>
      <c r="T47" s="355" t="n">
        <f aca="false">+S47+M47</f>
        <v>54237.5152736194</v>
      </c>
      <c r="U47" s="342"/>
      <c r="V47" s="346" t="n">
        <f aca="false">+DATE(YEAR(V46),MONTH(V46)+1,1)</f>
        <v>37591</v>
      </c>
      <c r="W47" s="327" t="n">
        <f aca="false">+Y47/(1-HLOOKUP(X$6,SHIPS,7,0)*INDEX(LADEN_VOYAGE_DAYS,MATCH(CONCATENATE(X$4,X$5),LADEN_VOYAGE_ROUTES,0),MATCH(X$6,LADEN_VOYAGE_SHIPS,0)))</f>
        <v>0</v>
      </c>
      <c r="X47" s="347" t="n">
        <f aca="false">+Y47-W47</f>
        <v>0</v>
      </c>
      <c r="Y47" s="348" t="n">
        <f aca="false">+IF(AND(X$8&lt;=V47,X$9&gt;=V47),+MIN($B47-SUMIF($H$17:X$17,Y$17,$H47:X47),((INDEX(ROUTE_PER_DAY_BY_SHIP,MATCH(CONCATENATE(X$4,X$5,X$7),ROUTE_PER_DAY_ROUTES,0),MATCH(X$6,ROUTE_PER_DAY_SHIPS,0))*(V48-V47))-(INDEX(ROUTE_PER_DAY_BY_SHIP,MATCH(CONCATENATE(X$4,X$5,X$7),ROUTE_PER_DAY_ROUTES,0),MATCH(X$6,ROUTE_PER_DAY_SHIPS,0))*(V48-V47))*HLOOKUP(X$6,SHIPS,7,0)*INDEX(LADEN_VOYAGE_DAYS,MATCH(CONCATENATE(X$4,X$5,X$7),LADEN_VOYAGE_ROUTES,0),MATCH(X$6,LADEN_VOYAGE_SHIPS,0)))),0)</f>
        <v>0</v>
      </c>
      <c r="Z47" s="349" t="n">
        <f aca="false">-(Y47)*HLOOKUP(X$5,TERMINAL_CHARGES,3,0)</f>
        <v>-0</v>
      </c>
      <c r="AA47" s="327" t="n">
        <f aca="false">+Y47+Z47</f>
        <v>0</v>
      </c>
      <c r="AB47" s="333"/>
      <c r="AC47" s="346" t="n">
        <f aca="false">+DATE(YEAR(AC46),MONTH(AC46)+1,1)</f>
        <v>37591</v>
      </c>
      <c r="AD47" s="343" t="n">
        <f aca="false">+AA47*(VLOOKUP(AC47,CURVECALC!$C$6:$J$312,4,0)+AE$5)</f>
        <v>0</v>
      </c>
      <c r="AE47" s="350" t="n">
        <f aca="false">-W47*INDEX(ship_curves,MATCH(AC47,'SHIP CURVES'!$A$9:$A$316,0),MATCH(CONCATENATE(AG$4,AG$5,AG$6,AG$7),'SHIP CURVES'!$A$9:$AZ$9,0))</f>
        <v>-0</v>
      </c>
      <c r="AF47" s="351" t="n">
        <f aca="false">-Y47*INDEX(port_processing_fee,MATCH(AC47,PORTS!$H$626:$H$933,0),MATCH(AG$5,PORTS!$H$626:$Z$626,0))</f>
        <v>-0</v>
      </c>
      <c r="AG47" s="352" t="n">
        <f aca="false">(((VLOOKUP(AC47,curvecalc,4,0))*IF(W47=0,0,AA47/W47)-INDEX(ship_curves,MATCH(AC47,'SHIP CURVES'!$A$9:$A$316,0),MATCH(CONCATENATE(AG$4,AG$5,AG$6,AG$7),'SHIP CURVES'!$A$9:$Z$9,0))-INDEX(terminal_curves,MATCH(AC47,'TERMINAL CURVES'!$A$4:$A$313,0),MATCH(AG$5,'TERMINAL CURVES'!$A$4:$N$4,0))*IF(W47=0,0,Y47/W47))-(AE$8)*((AE$7-$N$5)-(INDEX(ship_curves,MATCH(AC47,'SHIP CURVES'!$A$9:$A$316,0),MATCH(CONCATENATE(AG$4,AG$5,AG$6,AG$7),'SHIP CURVES'!$A$9:$Z$9,0))-INDEX(ship_curves,MATCH(AC47,'SHIP CURVES'!$A$9:$A$316,0),MATCH(CONCATENATE(AG$4,AE$6,AG$6,AG$7),'SHIP CURVES'!$A$9:$Z$9,0)))-(INDEX(terminal_curves,MATCH(AC47,'TERMINAL CURVES'!$A$4:$A$313,0),MATCH(AG$5,'TERMINAL CURVES'!$A$4:$N$4,0))-INDEX(terminal_curves,MATCH(AC47,'TERMINAL CURVES'!$A$4:$A$313,0),MATCH(AE$6,'TERMINAL CURVES'!$A$4:$N$4,0)))*IF(W47=0,0,Y47/W47)))*-W47</f>
        <v>0</v>
      </c>
      <c r="AH47" s="356" t="n">
        <f aca="false">SUM(AE47:AG47)</f>
        <v>0</v>
      </c>
      <c r="AI47" s="357" t="n">
        <f aca="false">(-Y47/((HLOOKUP(AG$5,port_specs,2,0)/(365.25))*(AC48-AC47)))*(INDEX(fixed_capacity_charge,MATCH(AC47,PORTS!$H$11:$H$317,0),MATCH(AG$5,PORTS!$H$11:$N$11,0))+INDEX(variable_om_charge,MATCH(AC47,PORTS!$H$318:$H$625,0),MATCH(AG$5,PORTS!$H$318:$N$318,0)))</f>
        <v>-0</v>
      </c>
      <c r="AJ47" s="343" t="n">
        <f aca="false">+AI47+AH47</f>
        <v>0</v>
      </c>
      <c r="AK47" s="355" t="n">
        <f aca="false">+AJ47+AD47</f>
        <v>0</v>
      </c>
      <c r="AM47" s="346" t="n">
        <f aca="false">+DATE(YEAR(AM46),MONTH(AM46)+1,1)</f>
        <v>37591</v>
      </c>
      <c r="AN47" s="327" t="n">
        <f aca="false">+AP47/(1-HLOOKUP(AO$6,SHIPS,7,0)*INDEX(LADEN_VOYAGE_DAYS,MATCH(CONCATENATE(AO$4,AO$5),LADEN_VOYAGE_ROUTES,0),MATCH(AO$6,LADEN_VOYAGE_SHIPS,0)))</f>
        <v>0</v>
      </c>
      <c r="AO47" s="347" t="n">
        <f aca="false">+AP47-AN47</f>
        <v>0</v>
      </c>
      <c r="AP47" s="348" t="n">
        <f aca="false">+IF(AND(AO$8&lt;=AM47,AO$9&gt;=AM47),+MIN($B47-SUMIF($H$17:AO$17,AP$17,$H47:AO47),((INDEX(ROUTE_PER_DAY_BY_SHIP,MATCH(CONCATENATE(AO$4,AO$5,AO$7),ROUTE_PER_DAY_ROUTES,0),MATCH(AO$6,ROUTE_PER_DAY_SHIPS,0))*(AM48-AM47))-(INDEX(ROUTE_PER_DAY_BY_SHIP,MATCH(CONCATENATE(AO$4,AO$5,AO$7),ROUTE_PER_DAY_ROUTES,0),MATCH(AO$6,ROUTE_PER_DAY_SHIPS,0))*(AM48-AM47))*HLOOKUP(AO$6,SHIPS,7,0)*INDEX(LADEN_VOYAGE_DAYS,MATCH(CONCATENATE(AO$4,AO$5,AO$7),LADEN_VOYAGE_ROUTES,0),MATCH(AO$6,LADEN_VOYAGE_SHIPS,0)))),0)</f>
        <v>0</v>
      </c>
      <c r="AQ47" s="349" t="n">
        <f aca="false">-(AP47)*PORTS!$I$6</f>
        <v>-0</v>
      </c>
      <c r="AR47" s="327" t="n">
        <f aca="false">+AP47+AQ47</f>
        <v>0</v>
      </c>
      <c r="AS47" s="333"/>
      <c r="AT47" s="346" t="n">
        <f aca="false">+DATE(YEAR(AT46),MONTH(AT46)+1,1)</f>
        <v>37591</v>
      </c>
      <c r="AU47" s="343" t="n">
        <f aca="false">+AR47*(VLOOKUP(AT47,CURVECALC!$C$6:$J$312,4,0)+AV$5)</f>
        <v>0</v>
      </c>
      <c r="AV47" s="350" t="n">
        <f aca="false">-AN47*INDEX(ship_curves,MATCH(AT47,'SHIP CURVES'!$A$9:$A$316,0),MATCH(CONCATENATE(AX$4,AX$5,AX$6,AX$7),'SHIP CURVES'!$A$9:$AZ$9,0))</f>
        <v>-0</v>
      </c>
      <c r="AW47" s="351" t="n">
        <f aca="false">-AP47*INDEX(port_processing_fee,MATCH(AT47,PORTS!$H$626:$H$933,0),MATCH(AX$5,PORTS!$H$626:$Z$626,0))</f>
        <v>-0</v>
      </c>
      <c r="AX47" s="352" t="n">
        <f aca="false">(((VLOOKUP(AT47,curvecalc,4,0))*IF(AN47=0,0,AR47/AN47)-INDEX(ship_curves,MATCH(AT47,'SHIP CURVES'!$A$9:$A$316,0),MATCH(CONCATENATE(AX$4,AX$5,AX$6,AX$7),'SHIP CURVES'!$A$9:$Z$9,0))-INDEX(terminal_curves,MATCH(AT47,'TERMINAL CURVES'!$A$4:$A$313,0),MATCH(AX$5,'TERMINAL CURVES'!$A$4:$N$4,0))*IF(AN47=0,0,AP47/AN47))-(AV$8)*((AV$7-$N$5)-(INDEX(ship_curves,MATCH(AT47,'SHIP CURVES'!$A$9:$A$316,0),MATCH(CONCATENATE(AX$4,AX$5,AX$6,AX$7),'SHIP CURVES'!$A$9:$Z$9,0))-INDEX(ship_curves,MATCH(AT47,'SHIP CURVES'!$A$9:$A$316,0),MATCH(CONCATENATE(AX$4,AV$6,AX$6,AX$7),'SHIP CURVES'!$A$9:$Z$9,0)))-(INDEX(terminal_curves,MATCH(AT47,'TERMINAL CURVES'!$A$4:$A$313,0),MATCH(AX$5,'TERMINAL CURVES'!$A$4:$N$4,0))-INDEX(terminal_curves,MATCH(AT47,'TERMINAL CURVES'!$A$4:$A$313,0),MATCH(AV$6,'TERMINAL CURVES'!$A$4:$N$4,0)))*IF(AN47=0,0,AP47/AN47)))*-AN47</f>
        <v>0</v>
      </c>
      <c r="AY47" s="356" t="n">
        <f aca="false">SUM(AV47:AX47)</f>
        <v>0</v>
      </c>
      <c r="AZ47" s="357" t="n">
        <f aca="false">(-AP47/((HLOOKUP(AX$5,port_specs,2,0)/(365.25))*(AT48-AT47)))*(INDEX(fixed_capacity_charge,MATCH(AT47,PORTS!$H$11:$H$317,0),MATCH(AX$5,PORTS!$H$11:$N$11,0))+INDEX(variable_om_charge,MATCH(AT47,PORTS!$H$318:$H$625,0),MATCH(AX$5,PORTS!$H$318:$N$318,0)))</f>
        <v>-0</v>
      </c>
      <c r="BA47" s="343" t="n">
        <f aca="false">+AZ47+AY47</f>
        <v>0</v>
      </c>
      <c r="BB47" s="355" t="n">
        <f aca="false">+BA47+AU47</f>
        <v>0</v>
      </c>
      <c r="BC47" s="99"/>
      <c r="BD47" s="357" t="n">
        <f aca="false">+PORTS!I41+PORTS!I349</f>
        <v>954783.016479701</v>
      </c>
    </row>
    <row r="48" customFormat="false" ht="12.75" hidden="false" customHeight="false" outlineLevel="0" collapsed="false">
      <c r="A48" s="346" t="n">
        <f aca="false">+DATE(YEAR(A47),MONTH(A47)+1,1)</f>
        <v>37622</v>
      </c>
      <c r="B48" s="327" t="n">
        <f aca="false">+IF(AND($A48&gt;=$C$8,$A48&lt;=$C$9),1,0)*PORTS!$I$5/(365.25)*(A49-A48)</f>
        <v>5339105.98184763</v>
      </c>
      <c r="C48" s="328" t="n">
        <f aca="false">+B48-(SUMIF($F$17:$IV$17,$H$17,$F48:$IV48))</f>
        <v>0</v>
      </c>
      <c r="D48" s="0" t="n">
        <f aca="false">+YEAR(E48)</f>
        <v>2003</v>
      </c>
      <c r="E48" s="346" t="n">
        <f aca="false">+DATE(YEAR(E47),MONTH(E47)+1,1)</f>
        <v>37622</v>
      </c>
      <c r="F48" s="327" t="n">
        <f aca="false">+IF(AND(G$8&lt;=E48,G$9&gt;=E48),INDEX(ROUTE_PER_DAY_BY_SHIP,MATCH(CONCATENATE(G$4,G$5,G$7),ROUTE_PER_DAY_ROUTES,0),MATCH(G$6,ROUTE_PER_DAY_SHIPS,0))*(E49-E48),0)</f>
        <v>2876329.92727273</v>
      </c>
      <c r="G48" s="347" t="n">
        <f aca="false">-F48*HLOOKUP(G$6,SHIPS,7,0)*INDEX(LADEN_VOYAGE_DAYS,MATCH(CONCATENATE(G$4,G$5,G$7),LADEN_VOYAGE_ROUTES,0),MATCH(G$6,LADEN_VOYAGE_SHIPS,0))</f>
        <v>-94918.8876</v>
      </c>
      <c r="H48" s="348" t="n">
        <f aca="false">SUM(F48:G48)</f>
        <v>2781411.03967273</v>
      </c>
      <c r="I48" s="349" t="n">
        <f aca="false">-(H48)*HLOOKUP(G$5,TERMINAL_CHARGES,3,0)</f>
        <v>-69535.2759918182</v>
      </c>
      <c r="J48" s="327" t="n">
        <f aca="false">+H48+I48</f>
        <v>2711875.76368091</v>
      </c>
      <c r="K48" s="333"/>
      <c r="L48" s="346" t="n">
        <f aca="false">+DATE(YEAR(L47),MONTH(L47)+1,1)</f>
        <v>37622</v>
      </c>
      <c r="M48" s="334" t="n">
        <f aca="false">+J48*(VLOOKUP(L48,CURVECALC!$C$6:$J$312,4,0)+N$5)</f>
        <v>9396649.52115435</v>
      </c>
      <c r="N48" s="350" t="n">
        <f aca="false">-F48*INDEX(ship_curves,MATCH(L48,'SHIP CURVES'!$A$9:$A$316,0),MATCH(CONCATENATE(P$4,P$5,P$6,P$7),'SHIP CURVES'!$A$9:$AZ$9,0))</f>
        <v>-1715859.37352826</v>
      </c>
      <c r="O48" s="351" t="n">
        <f aca="false">-H48*INDEX(port_processing_fee,MATCH(L48,PORTS!$H$626:$H$933,0),MATCH(P$5,PORTS!$H$626:$Z$626,0))</f>
        <v>-76015.6180754981</v>
      </c>
      <c r="P48" s="352" t="n">
        <f aca="false">(((VLOOKUP(L48,curvecalc,4,0))*IF(F48=0,0,J48/F48)-INDEX(ship_curves,MATCH(L48,'SHIP CURVES'!$A$9:$A$316,0),MATCH(CONCATENATE(P$4,P$5,P$6,P$7),'SHIP CURVES'!$A$9:$Z$9,0))-INDEX(terminal_curves,MATCH(L48,'TERMINAL CURVES'!$A$4:$A$313,0),MATCH(P$5,'TERMINAL CURVES'!$A$4:$N$4,0))*IF(F48=0,0,H48/F48))-(N$8)*((N$7-$N$5)-(INDEX(ship_curves,MATCH(L48,'SHIP CURVES'!$A$9:$A$316,0),MATCH(CONCATENATE(P$4,P$5,P$6,P$7),'SHIP CURVES'!$A$9:$Z$9,0))-INDEX(ship_curves,MATCH(L48,'SHIP CURVES'!$A$9:$A$316,0),MATCH(CONCATENATE(P$4,N$6,P$6,P$7),'SHIP CURVES'!$A$9:$Z$9,0)))-(INDEX(terminal_curves,MATCH(L48,'TERMINAL CURVES'!$A$4:$A$313,0),MATCH(P$5,'TERMINAL CURVES'!$A$4:$N$4,0))-INDEX(terminal_curves,MATCH(L48,'TERMINAL CURVES'!$A$4:$A$313,0),MATCH(N$6,'TERMINAL CURVES'!$A$4:$N$4,0)))*IF(F48=0,0,H48/F48)))*-F48</f>
        <v>-7052887.29635963</v>
      </c>
      <c r="Q48" s="353" t="n">
        <f aca="false">SUM(N48:P48)</f>
        <v>-8844762.28796338</v>
      </c>
      <c r="R48" s="357" t="n">
        <f aca="false">(-H48/((HLOOKUP(P$5,port_specs,2,0)/(365.25))*(L49-L48)))*(INDEX(fixed_capacity_charge,MATCH(L48,PORTS!$H$11:$H$317,0),MATCH(P$5,PORTS!$H$11:$N$11,0))+INDEX(variable_om_charge,MATCH(L48,PORTS!$H$318:$H$625,0),MATCH(P$5,PORTS!$H$318:$N$318,0)))</f>
        <v>-497649.717917351</v>
      </c>
      <c r="S48" s="343" t="n">
        <f aca="false">+R48+Q48</f>
        <v>-9342412.00588073</v>
      </c>
      <c r="T48" s="355" t="n">
        <f aca="false">+S48+M48</f>
        <v>54237.5152736176</v>
      </c>
      <c r="U48" s="342"/>
      <c r="V48" s="346" t="n">
        <f aca="false">+DATE(YEAR(V47),MONTH(V47)+1,1)</f>
        <v>37622</v>
      </c>
      <c r="W48" s="327" t="n">
        <f aca="false">+Y48/(1-HLOOKUP(X$6,SHIPS,7,0)*INDEX(LADEN_VOYAGE_DAYS,MATCH(CONCATENATE(X$4,X$5),LADEN_VOYAGE_ROUTES,0),MATCH(X$6,LADEN_VOYAGE_SHIPS,0)))</f>
        <v>2604577.33419033</v>
      </c>
      <c r="X48" s="347" t="n">
        <f aca="false">+Y48-W48</f>
        <v>-46882.392015426</v>
      </c>
      <c r="Y48" s="348" t="n">
        <f aca="false">+IF(AND(X$8&lt;=V48,X$9&gt;=V48),+MIN($B48-SUMIF($H$17:X$17,Y$17,$H48:X48),((INDEX(ROUTE_PER_DAY_BY_SHIP,MATCH(CONCATENATE(X$4,X$5,X$7),ROUTE_PER_DAY_ROUTES,0),MATCH(X$6,ROUTE_PER_DAY_SHIPS,0))*(V49-V48))-(INDEX(ROUTE_PER_DAY_BY_SHIP,MATCH(CONCATENATE(X$4,X$5,X$7),ROUTE_PER_DAY_ROUTES,0),MATCH(X$6,ROUTE_PER_DAY_SHIPS,0))*(V49-V48))*HLOOKUP(X$6,SHIPS,7,0)*INDEX(LADEN_VOYAGE_DAYS,MATCH(CONCATENATE(X$4,X$5,X$7),LADEN_VOYAGE_ROUTES,0),MATCH(X$6,LADEN_VOYAGE_SHIPS,0)))),0)</f>
        <v>2557694.94217491</v>
      </c>
      <c r="Z48" s="349" t="n">
        <f aca="false">-(Y48)*HLOOKUP(X$5,TERMINAL_CHARGES,3,0)</f>
        <v>-63942.3735543727</v>
      </c>
      <c r="AA48" s="327" t="n">
        <f aca="false">+Y48+Z48</f>
        <v>2493752.56862053</v>
      </c>
      <c r="AB48" s="333"/>
      <c r="AC48" s="346" t="n">
        <f aca="false">+DATE(YEAR(AC47),MONTH(AC47)+1,1)</f>
        <v>37622</v>
      </c>
      <c r="AD48" s="343" t="n">
        <f aca="false">+AA48*(VLOOKUP(AC48,CURVECALC!$C$6:$J$312,4,0)+AE$5)</f>
        <v>8640852.65027015</v>
      </c>
      <c r="AE48" s="350" t="n">
        <f aca="false">-W48*INDEX(ship_curves,MATCH(AC48,'SHIP CURVES'!$A$9:$A$316,0),MATCH(CONCATENATE(AG$4,AG$5,AG$6,AG$7),'SHIP CURVES'!$A$9:$AZ$9,0))</f>
        <v>-1551776.9398083</v>
      </c>
      <c r="AF48" s="351" t="n">
        <f aca="false">-Y48*INDEX(port_processing_fee,MATCH(AC48,PORTS!$H$626:$H$933,0),MATCH(AG$5,PORTS!$H$626:$Z$626,0))</f>
        <v>-69901.4849315036</v>
      </c>
      <c r="AG48" s="352" t="n">
        <f aca="false">(((VLOOKUP(AC48,curvecalc,4,0))*IF(W48=0,0,AA48/W48)-INDEX(ship_curves,MATCH(AC48,'SHIP CURVES'!$A$9:$A$316,0),MATCH(CONCATENATE(AG$4,AG$5,AG$6,AG$7),'SHIP CURVES'!$A$9:$Z$9,0))-INDEX(terminal_curves,MATCH(AC48,'TERMINAL CURVES'!$A$4:$A$313,0),MATCH(AG$5,'TERMINAL CURVES'!$A$4:$N$4,0))*IF(W48=0,0,Y48/W48))-(AE$8)*((AE$7-$N$5)-(INDEX(ship_curves,MATCH(AC48,'SHIP CURVES'!$A$9:$A$316,0),MATCH(CONCATENATE(AG$4,AG$5,AG$6,AG$7),'SHIP CURVES'!$A$9:$Z$9,0))-INDEX(ship_curves,MATCH(AC48,'SHIP CURVES'!$A$9:$A$316,0),MATCH(CONCATENATE(AG$4,AE$6,AG$6,AG$7),'SHIP CURVES'!$A$9:$Z$9,0)))-(INDEX(terminal_curves,MATCH(AC48,'TERMINAL CURVES'!$A$4:$A$313,0),MATCH(AG$5,'TERMINAL CURVES'!$A$4:$N$4,0))-INDEX(terminal_curves,MATCH(AC48,'TERMINAL CURVES'!$A$4:$A$313,0),MATCH(AE$6,'TERMINAL CURVES'!$A$4:$N$4,0)))*IF(W48=0,0,Y48/W48)))*-W48</f>
        <v>-6511676.71263145</v>
      </c>
      <c r="AH48" s="356" t="n">
        <f aca="false">SUM(AE48:AG48)</f>
        <v>-8133355.13737125</v>
      </c>
      <c r="AI48" s="357" t="n">
        <f aca="false">(-Y48/((HLOOKUP(AG$5,port_specs,2,0)/(365.25))*(AC49-AC48)))*(INDEX(fixed_capacity_charge,MATCH(AC48,PORTS!$H$11:$H$317,0),MATCH(AG$5,PORTS!$H$11:$N$11,0))+INDEX(variable_om_charge,MATCH(AC48,PORTS!$H$318:$H$625,0),MATCH(AG$5,PORTS!$H$318:$N$318,0)))</f>
        <v>-457622.461526487</v>
      </c>
      <c r="AJ48" s="343" t="n">
        <f aca="false">+AI48+AH48</f>
        <v>-8590977.59889774</v>
      </c>
      <c r="AK48" s="355" t="n">
        <f aca="false">+AJ48+AD48</f>
        <v>49875.0513724107</v>
      </c>
      <c r="AM48" s="346" t="n">
        <f aca="false">+DATE(YEAR(AM47),MONTH(AM47)+1,1)</f>
        <v>37622</v>
      </c>
      <c r="AN48" s="327" t="n">
        <f aca="false">+AP48/(1-HLOOKUP(AO$6,SHIPS,7,0)*INDEX(LADEN_VOYAGE_DAYS,MATCH(CONCATENATE(AO$4,AO$5),LADEN_VOYAGE_ROUTES,0),MATCH(AO$6,LADEN_VOYAGE_SHIPS,0)))</f>
        <v>0</v>
      </c>
      <c r="AO48" s="347" t="n">
        <f aca="false">+AP48-AN48</f>
        <v>0</v>
      </c>
      <c r="AP48" s="348" t="n">
        <f aca="false">+IF(AND(AO$8&lt;=AM48,AO$9&gt;=AM48),+MIN($B48-SUMIF($H$17:AO$17,AP$17,$H48:AO48),((INDEX(ROUTE_PER_DAY_BY_SHIP,MATCH(CONCATENATE(AO$4,AO$5,AO$7),ROUTE_PER_DAY_ROUTES,0),MATCH(AO$6,ROUTE_PER_DAY_SHIPS,0))*(AM49-AM48))-(INDEX(ROUTE_PER_DAY_BY_SHIP,MATCH(CONCATENATE(AO$4,AO$5,AO$7),ROUTE_PER_DAY_ROUTES,0),MATCH(AO$6,ROUTE_PER_DAY_SHIPS,0))*(AM49-AM48))*HLOOKUP(AO$6,SHIPS,7,0)*INDEX(LADEN_VOYAGE_DAYS,MATCH(CONCATENATE(AO$4,AO$5,AO$7),LADEN_VOYAGE_ROUTES,0),MATCH(AO$6,LADEN_VOYAGE_SHIPS,0)))),0)</f>
        <v>0</v>
      </c>
      <c r="AQ48" s="349" t="n">
        <f aca="false">-(AP48)*PORTS!$I$6</f>
        <v>-0</v>
      </c>
      <c r="AR48" s="327" t="n">
        <f aca="false">+AP48+AQ48</f>
        <v>0</v>
      </c>
      <c r="AS48" s="333"/>
      <c r="AT48" s="346" t="n">
        <f aca="false">+DATE(YEAR(AT47),MONTH(AT47)+1,1)</f>
        <v>37622</v>
      </c>
      <c r="AU48" s="343" t="n">
        <f aca="false">+AR48*(VLOOKUP(AT48,CURVECALC!$C$6:$J$312,4,0)+AV$5)</f>
        <v>0</v>
      </c>
      <c r="AV48" s="350" t="n">
        <f aca="false">-AN48*INDEX(ship_curves,MATCH(AT48,'SHIP CURVES'!$A$9:$A$316,0),MATCH(CONCATENATE(AX$4,AX$5,AX$6,AX$7),'SHIP CURVES'!$A$9:$AZ$9,0))</f>
        <v>-0</v>
      </c>
      <c r="AW48" s="351" t="n">
        <f aca="false">-AP48*INDEX(port_processing_fee,MATCH(AT48,PORTS!$H$626:$H$933,0),MATCH(AX$5,PORTS!$H$626:$Z$626,0))</f>
        <v>-0</v>
      </c>
      <c r="AX48" s="352" t="n">
        <f aca="false">(((VLOOKUP(AT48,curvecalc,4,0))*IF(AN48=0,0,AR48/AN48)-INDEX(ship_curves,MATCH(AT48,'SHIP CURVES'!$A$9:$A$316,0),MATCH(CONCATENATE(AX$4,AX$5,AX$6,AX$7),'SHIP CURVES'!$A$9:$Z$9,0))-INDEX(terminal_curves,MATCH(AT48,'TERMINAL CURVES'!$A$4:$A$313,0),MATCH(AX$5,'TERMINAL CURVES'!$A$4:$N$4,0))*IF(AN48=0,0,AP48/AN48))-(AV$8)*((AV$7-$N$5)-(INDEX(ship_curves,MATCH(AT48,'SHIP CURVES'!$A$9:$A$316,0),MATCH(CONCATENATE(AX$4,AX$5,AX$6,AX$7),'SHIP CURVES'!$A$9:$Z$9,0))-INDEX(ship_curves,MATCH(AT48,'SHIP CURVES'!$A$9:$A$316,0),MATCH(CONCATENATE(AX$4,AV$6,AX$6,AX$7),'SHIP CURVES'!$A$9:$Z$9,0)))-(INDEX(terminal_curves,MATCH(AT48,'TERMINAL CURVES'!$A$4:$A$313,0),MATCH(AX$5,'TERMINAL CURVES'!$A$4:$N$4,0))-INDEX(terminal_curves,MATCH(AT48,'TERMINAL CURVES'!$A$4:$A$313,0),MATCH(AV$6,'TERMINAL CURVES'!$A$4:$N$4,0)))*IF(AN48=0,0,AP48/AN48)))*-AN48</f>
        <v>0</v>
      </c>
      <c r="AY48" s="356" t="n">
        <f aca="false">SUM(AV48:AX48)</f>
        <v>0</v>
      </c>
      <c r="AZ48" s="357" t="n">
        <f aca="false">(-AP48/((HLOOKUP(AX$5,port_specs,2,0)/(365.25))*(AT49-AT48)))*(INDEX(fixed_capacity_charge,MATCH(AT48,PORTS!$H$11:$H$317,0),MATCH(AX$5,PORTS!$H$11:$N$11,0))+INDEX(variable_om_charge,MATCH(AT48,PORTS!$H$318:$H$625,0),MATCH(AX$5,PORTS!$H$318:$N$318,0)))</f>
        <v>-0</v>
      </c>
      <c r="BA48" s="343" t="n">
        <f aca="false">+AZ48+AY48</f>
        <v>0</v>
      </c>
      <c r="BB48" s="355" t="n">
        <f aca="false">+BA48+AU48</f>
        <v>0</v>
      </c>
      <c r="BC48" s="99"/>
      <c r="BD48" s="357" t="n">
        <f aca="false">+PORTS!I42+PORTS!I350</f>
        <v>955272.179443838</v>
      </c>
    </row>
    <row r="49" customFormat="false" ht="12.75" hidden="false" customHeight="false" outlineLevel="0" collapsed="false">
      <c r="A49" s="346" t="n">
        <f aca="false">+DATE(YEAR(A48),MONTH(A48)+1,1)</f>
        <v>37653</v>
      </c>
      <c r="B49" s="327" t="n">
        <f aca="false">+IF(AND($A49&gt;=$C$8,$A49&lt;=$C$9),1,0)*PORTS!$I$5/(365.25)*(A50-A49)</f>
        <v>4822418.30618496</v>
      </c>
      <c r="C49" s="328" t="n">
        <f aca="false">+B49-(SUMIF($F$17:$IV$17,$H$17,$F49:$IV49))</f>
        <v>0</v>
      </c>
      <c r="D49" s="0" t="n">
        <f aca="false">+YEAR(E49)</f>
        <v>2003</v>
      </c>
      <c r="E49" s="346" t="n">
        <f aca="false">+DATE(YEAR(E48),MONTH(E48)+1,1)</f>
        <v>37653</v>
      </c>
      <c r="F49" s="327" t="n">
        <f aca="false">+IF(AND(G$8&lt;=E49,G$9&gt;=E49),INDEX(ROUTE_PER_DAY_BY_SHIP,MATCH(CONCATENATE(G$4,G$5,G$7),ROUTE_PER_DAY_ROUTES,0),MATCH(G$6,ROUTE_PER_DAY_SHIPS,0))*(E50-E49),0)</f>
        <v>2597975.41818182</v>
      </c>
      <c r="G49" s="347" t="n">
        <f aca="false">-F49*HLOOKUP(G$6,SHIPS,7,0)*INDEX(LADEN_VOYAGE_DAYS,MATCH(CONCATENATE(G$4,G$5,G$7),LADEN_VOYAGE_ROUTES,0),MATCH(G$6,LADEN_VOYAGE_SHIPS,0))</f>
        <v>-85733.1888</v>
      </c>
      <c r="H49" s="348" t="n">
        <f aca="false">SUM(F49:G49)</f>
        <v>2512242.22938182</v>
      </c>
      <c r="I49" s="349" t="n">
        <f aca="false">-(H49)*HLOOKUP(G$5,TERMINAL_CHARGES,3,0)</f>
        <v>-62806.0557345455</v>
      </c>
      <c r="J49" s="327" t="n">
        <f aca="false">+H49+I49</f>
        <v>2449436.17364727</v>
      </c>
      <c r="K49" s="333"/>
      <c r="L49" s="346" t="n">
        <f aca="false">+DATE(YEAR(L48),MONTH(L48)+1,1)</f>
        <v>37653</v>
      </c>
      <c r="M49" s="334" t="n">
        <f aca="false">+J49*(VLOOKUP(L49,CURVECALC!$C$6:$J$312,4,0)+N$5)</f>
        <v>8168869.63911365</v>
      </c>
      <c r="N49" s="350" t="n">
        <f aca="false">-F49*INDEX(ship_curves,MATCH(L49,'SHIP CURVES'!$A$9:$A$316,0),MATCH(CONCATENATE(P$4,P$5,P$6,P$7),'SHIP CURVES'!$A$9:$AZ$9,0))</f>
        <v>-1550665.17501272</v>
      </c>
      <c r="O49" s="351" t="n">
        <f aca="false">-H49*INDEX(port_processing_fee,MATCH(L49,PORTS!$H$626:$H$933,0),MATCH(P$5,PORTS!$H$626:$Z$626,0))</f>
        <v>-68730.7880099295</v>
      </c>
      <c r="P49" s="352" t="n">
        <f aca="false">(((VLOOKUP(L49,curvecalc,4,0))*IF(F49=0,0,J49/F49)-INDEX(ship_curves,MATCH(L49,'SHIP CURVES'!$A$9:$A$316,0),MATCH(CONCATENATE(P$4,P$5,P$6,P$7),'SHIP CURVES'!$A$9:$Z$9,0))-INDEX(terminal_curves,MATCH(L49,'TERMINAL CURVES'!$A$4:$A$313,0),MATCH(P$5,'TERMINAL CURVES'!$A$4:$N$4,0))*IF(F49=0,0,H49/F49))-(N$8)*((N$7-$N$5)-(INDEX(ship_curves,MATCH(L49,'SHIP CURVES'!$A$9:$A$316,0),MATCH(CONCATENATE(P$4,P$5,P$6,P$7),'SHIP CURVES'!$A$9:$Z$9,0))-INDEX(ship_curves,MATCH(L49,'SHIP CURVES'!$A$9:$A$316,0),MATCH(CONCATENATE(P$4,N$6,P$6,P$7),'SHIP CURVES'!$A$9:$Z$9,0)))-(INDEX(terminal_curves,MATCH(L49,'TERMINAL CURVES'!$A$4:$A$313,0),MATCH(P$5,'TERMINAL CURVES'!$A$4:$N$4,0))-INDEX(terminal_curves,MATCH(L49,'TERMINAL CURVES'!$A$4:$A$313,0),MATCH(N$6,'TERMINAL CURVES'!$A$4:$N$4,0)))*IF(F49=0,0,H49/F49)))*-F49</f>
        <v>-6002580.13946066</v>
      </c>
      <c r="Q49" s="353" t="n">
        <f aca="false">SUM(N49:P49)</f>
        <v>-7621976.10248331</v>
      </c>
      <c r="R49" s="357" t="n">
        <f aca="false">(-H49/((HLOOKUP(P$5,port_specs,2,0)/(365.25))*(L50-L49)))*(INDEX(fixed_capacity_charge,MATCH(L49,PORTS!$H$11:$H$317,0),MATCH(P$5,PORTS!$H$11:$N$11,0))+INDEX(variable_om_charge,MATCH(L49,PORTS!$H$318:$H$625,0),MATCH(P$5,PORTS!$H$318:$N$318,0)))</f>
        <v>-497904.813157394</v>
      </c>
      <c r="S49" s="343" t="n">
        <f aca="false">+R49+Q49</f>
        <v>-8119880.91564071</v>
      </c>
      <c r="T49" s="355" t="n">
        <f aca="false">+S49+M49</f>
        <v>48988.7234729463</v>
      </c>
      <c r="U49" s="342"/>
      <c r="V49" s="346" t="n">
        <f aca="false">+DATE(YEAR(V48),MONTH(V48)+1,1)</f>
        <v>37653</v>
      </c>
      <c r="W49" s="327" t="n">
        <f aca="false">+Y49/(1-HLOOKUP(X$6,SHIPS,7,0)*INDEX(LADEN_VOYAGE_DAYS,MATCH(CONCATENATE(X$4,X$5),LADEN_VOYAGE_ROUTES,0),MATCH(X$6,LADEN_VOYAGE_SHIPS,0)))</f>
        <v>2352521.46313966</v>
      </c>
      <c r="X49" s="347" t="n">
        <f aca="false">+Y49-W49</f>
        <v>-42345.3863365138</v>
      </c>
      <c r="Y49" s="348" t="n">
        <f aca="false">+IF(AND(X$8&lt;=V49,X$9&gt;=V49),+MIN($B49-SUMIF($H$17:X$17,Y$17,$H49:X49),((INDEX(ROUTE_PER_DAY_BY_SHIP,MATCH(CONCATENATE(X$4,X$5,X$7),ROUTE_PER_DAY_ROUTES,0),MATCH(X$6,ROUTE_PER_DAY_SHIPS,0))*(V50-V49))-(INDEX(ROUTE_PER_DAY_BY_SHIP,MATCH(CONCATENATE(X$4,X$5,X$7),ROUTE_PER_DAY_ROUTES,0),MATCH(X$6,ROUTE_PER_DAY_SHIPS,0))*(V50-V49))*HLOOKUP(X$6,SHIPS,7,0)*INDEX(LADEN_VOYAGE_DAYS,MATCH(CONCATENATE(X$4,X$5,X$7),LADEN_VOYAGE_ROUTES,0),MATCH(X$6,LADEN_VOYAGE_SHIPS,0)))),0)</f>
        <v>2310176.07680314</v>
      </c>
      <c r="Z49" s="349" t="n">
        <f aca="false">-(Y49)*HLOOKUP(X$5,TERMINAL_CHARGES,3,0)</f>
        <v>-57754.4019200786</v>
      </c>
      <c r="AA49" s="327" t="n">
        <f aca="false">+Y49+Z49</f>
        <v>2252421.67488306</v>
      </c>
      <c r="AB49" s="333"/>
      <c r="AC49" s="346" t="n">
        <f aca="false">+DATE(YEAR(AC48),MONTH(AC48)+1,1)</f>
        <v>37653</v>
      </c>
      <c r="AD49" s="343" t="n">
        <f aca="false">+AA49*(VLOOKUP(AC49,CURVECALC!$C$6:$J$312,4,0)+AE$5)</f>
        <v>7511826.28573502</v>
      </c>
      <c r="AE49" s="350" t="n">
        <f aca="false">-W49*INDEX(ship_curves,MATCH(AC49,'SHIP CURVES'!$A$9:$A$316,0),MATCH(CONCATENATE(AG$4,AG$5,AG$6,AG$7),'SHIP CURVES'!$A$9:$AZ$9,0))</f>
        <v>-1401950.35861016</v>
      </c>
      <c r="AF49" s="351" t="n">
        <f aca="false">-Y49*INDEX(port_processing_fee,MATCH(AC49,PORTS!$H$626:$H$933,0),MATCH(AG$5,PORTS!$H$626:$Z$626,0))</f>
        <v>-63202.5926255678</v>
      </c>
      <c r="AG49" s="352" t="n">
        <f aca="false">(((VLOOKUP(AC49,curvecalc,4,0))*IF(W49=0,0,AA49/W49)-INDEX(ship_curves,MATCH(AC49,'SHIP CURVES'!$A$9:$A$316,0),MATCH(CONCATENATE(AG$4,AG$5,AG$6,AG$7),'SHIP CURVES'!$A$9:$Z$9,0))-INDEX(terminal_curves,MATCH(AC49,'TERMINAL CURVES'!$A$4:$A$313,0),MATCH(AG$5,'TERMINAL CURVES'!$A$4:$N$4,0))*IF(W49=0,0,Y49/W49))-(AE$8)*((AE$7-$N$5)-(INDEX(ship_curves,MATCH(AC49,'SHIP CURVES'!$A$9:$A$316,0),MATCH(CONCATENATE(AG$4,AG$5,AG$6,AG$7),'SHIP CURVES'!$A$9:$Z$9,0))-INDEX(ship_curves,MATCH(AC49,'SHIP CURVES'!$A$9:$A$316,0),MATCH(CONCATENATE(AG$4,AE$6,AG$6,AG$7),'SHIP CURVES'!$A$9:$Z$9,0)))-(INDEX(terminal_curves,MATCH(AC49,'TERMINAL CURVES'!$A$4:$A$313,0),MATCH(AG$5,'TERMINAL CURVES'!$A$4:$N$4,0))-INDEX(terminal_curves,MATCH(AC49,'TERMINAL CURVES'!$A$4:$A$313,0),MATCH(AE$6,'TERMINAL CURVES'!$A$4:$N$4,0)))*IF(W49=0,0,Y49/W49)))*-W49</f>
        <v>-5543767.86220629</v>
      </c>
      <c r="AH49" s="356" t="n">
        <f aca="false">SUM(AE49:AG49)</f>
        <v>-7008920.81344202</v>
      </c>
      <c r="AI49" s="357" t="n">
        <f aca="false">(-Y49/((HLOOKUP(AG$5,port_specs,2,0)/(365.25))*(AC50-AC49)))*(INDEX(fixed_capacity_charge,MATCH(AC49,PORTS!$H$11:$H$317,0),MATCH(AG$5,PORTS!$H$11:$N$11,0))+INDEX(variable_om_charge,MATCH(AC49,PORTS!$H$318:$H$625,0),MATCH(AG$5,PORTS!$H$318:$N$318,0)))</f>
        <v>-457857.038795335</v>
      </c>
      <c r="AJ49" s="343" t="n">
        <f aca="false">+AI49+AH49</f>
        <v>-7466777.85223736</v>
      </c>
      <c r="AK49" s="355" t="n">
        <f aca="false">+AJ49+AD49</f>
        <v>45048.4334976617</v>
      </c>
      <c r="AM49" s="346" t="n">
        <f aca="false">+DATE(YEAR(AM48),MONTH(AM48)+1,1)</f>
        <v>37653</v>
      </c>
      <c r="AN49" s="327" t="n">
        <f aca="false">+AP49/(1-HLOOKUP(AO$6,SHIPS,7,0)*INDEX(LADEN_VOYAGE_DAYS,MATCH(CONCATENATE(AO$4,AO$5),LADEN_VOYAGE_ROUTES,0),MATCH(AO$6,LADEN_VOYAGE_SHIPS,0)))</f>
        <v>0</v>
      </c>
      <c r="AO49" s="347" t="n">
        <f aca="false">+AP49-AN49</f>
        <v>0</v>
      </c>
      <c r="AP49" s="348" t="n">
        <f aca="false">+IF(AND(AO$8&lt;=AM49,AO$9&gt;=AM49),+MIN($B49-SUMIF($H$17:AO$17,AP$17,$H49:AO49),((INDEX(ROUTE_PER_DAY_BY_SHIP,MATCH(CONCATENATE(AO$4,AO$5,AO$7),ROUTE_PER_DAY_ROUTES,0),MATCH(AO$6,ROUTE_PER_DAY_SHIPS,0))*(AM50-AM49))-(INDEX(ROUTE_PER_DAY_BY_SHIP,MATCH(CONCATENATE(AO$4,AO$5,AO$7),ROUTE_PER_DAY_ROUTES,0),MATCH(AO$6,ROUTE_PER_DAY_SHIPS,0))*(AM50-AM49))*HLOOKUP(AO$6,SHIPS,7,0)*INDEX(LADEN_VOYAGE_DAYS,MATCH(CONCATENATE(AO$4,AO$5,AO$7),LADEN_VOYAGE_ROUTES,0),MATCH(AO$6,LADEN_VOYAGE_SHIPS,0)))),0)</f>
        <v>0</v>
      </c>
      <c r="AQ49" s="349" t="n">
        <f aca="false">-(AP49)*PORTS!$I$6</f>
        <v>-0</v>
      </c>
      <c r="AR49" s="327" t="n">
        <f aca="false">+AP49+AQ49</f>
        <v>0</v>
      </c>
      <c r="AS49" s="333"/>
      <c r="AT49" s="346" t="n">
        <f aca="false">+DATE(YEAR(AT48),MONTH(AT48)+1,1)</f>
        <v>37653</v>
      </c>
      <c r="AU49" s="343" t="n">
        <f aca="false">+AR49*(VLOOKUP(AT49,CURVECALC!$C$6:$J$312,4,0)+AV$5)</f>
        <v>0</v>
      </c>
      <c r="AV49" s="350" t="n">
        <f aca="false">-AN49*INDEX(ship_curves,MATCH(AT49,'SHIP CURVES'!$A$9:$A$316,0),MATCH(CONCATENATE(AX$4,AX$5,AX$6,AX$7),'SHIP CURVES'!$A$9:$AZ$9,0))</f>
        <v>-0</v>
      </c>
      <c r="AW49" s="351" t="n">
        <f aca="false">-AP49*INDEX(port_processing_fee,MATCH(AT49,PORTS!$H$626:$H$933,0),MATCH(AX$5,PORTS!$H$626:$Z$626,0))</f>
        <v>-0</v>
      </c>
      <c r="AX49" s="352" t="n">
        <f aca="false">(((VLOOKUP(AT49,curvecalc,4,0))*IF(AN49=0,0,AR49/AN49)-INDEX(ship_curves,MATCH(AT49,'SHIP CURVES'!$A$9:$A$316,0),MATCH(CONCATENATE(AX$4,AX$5,AX$6,AX$7),'SHIP CURVES'!$A$9:$Z$9,0))-INDEX(terminal_curves,MATCH(AT49,'TERMINAL CURVES'!$A$4:$A$313,0),MATCH(AX$5,'TERMINAL CURVES'!$A$4:$N$4,0))*IF(AN49=0,0,AP49/AN49))-(AV$8)*((AV$7-$N$5)-(INDEX(ship_curves,MATCH(AT49,'SHIP CURVES'!$A$9:$A$316,0),MATCH(CONCATENATE(AX$4,AX$5,AX$6,AX$7),'SHIP CURVES'!$A$9:$Z$9,0))-INDEX(ship_curves,MATCH(AT49,'SHIP CURVES'!$A$9:$A$316,0),MATCH(CONCATENATE(AX$4,AV$6,AX$6,AX$7),'SHIP CURVES'!$A$9:$Z$9,0)))-(INDEX(terminal_curves,MATCH(AT49,'TERMINAL CURVES'!$A$4:$A$313,0),MATCH(AX$5,'TERMINAL CURVES'!$A$4:$N$4,0))-INDEX(terminal_curves,MATCH(AT49,'TERMINAL CURVES'!$A$4:$A$313,0),MATCH(AV$6,'TERMINAL CURVES'!$A$4:$N$4,0)))*IF(AN49=0,0,AP49/AN49)))*-AN49</f>
        <v>0</v>
      </c>
      <c r="AY49" s="356" t="n">
        <f aca="false">SUM(AV49:AX49)</f>
        <v>0</v>
      </c>
      <c r="AZ49" s="357" t="n">
        <f aca="false">(-AP49/((HLOOKUP(AX$5,port_specs,2,0)/(365.25))*(AT50-AT49)))*(INDEX(fixed_capacity_charge,MATCH(AT49,PORTS!$H$11:$H$317,0),MATCH(AX$5,PORTS!$H$11:$N$11,0))+INDEX(variable_om_charge,MATCH(AT49,PORTS!$H$318:$H$625,0),MATCH(AX$5,PORTS!$H$318:$N$318,0)))</f>
        <v>-0</v>
      </c>
      <c r="BA49" s="343" t="n">
        <f aca="false">+AZ49+AY49</f>
        <v>0</v>
      </c>
      <c r="BB49" s="355" t="n">
        <f aca="false">+BA49+AU49</f>
        <v>0</v>
      </c>
      <c r="BC49" s="99"/>
      <c r="BD49" s="357" t="n">
        <f aca="false">+PORTS!I43+PORTS!I351</f>
        <v>955761.851952729</v>
      </c>
    </row>
    <row r="50" customFormat="false" ht="12.75" hidden="false" customHeight="false" outlineLevel="0" collapsed="false">
      <c r="A50" s="346" t="n">
        <f aca="false">+DATE(YEAR(A49),MONTH(A49)+1,1)</f>
        <v>37681</v>
      </c>
      <c r="B50" s="327" t="n">
        <f aca="false">+IF(AND($A50&gt;=$C$8,$A50&lt;=$C$9),1,0)*PORTS!$I$5/(365.25)*(A51-A50)</f>
        <v>5339105.98184763</v>
      </c>
      <c r="C50" s="328" t="n">
        <f aca="false">+B50-(SUMIF($F$17:$IV$17,$H$17,$F50:$IV50))</f>
        <v>0</v>
      </c>
      <c r="D50" s="0" t="n">
        <f aca="false">+YEAR(E50)</f>
        <v>2003</v>
      </c>
      <c r="E50" s="346" t="n">
        <f aca="false">+DATE(YEAR(E49),MONTH(E49)+1,1)</f>
        <v>37681</v>
      </c>
      <c r="F50" s="327" t="n">
        <f aca="false">+IF(AND(G$8&lt;=E50,G$9&gt;=E50),INDEX(ROUTE_PER_DAY_BY_SHIP,MATCH(CONCATENATE(G$4,G$5,G$7),ROUTE_PER_DAY_ROUTES,0),MATCH(G$6,ROUTE_PER_DAY_SHIPS,0))*(E51-E50),0)</f>
        <v>2876329.92727273</v>
      </c>
      <c r="G50" s="347" t="n">
        <f aca="false">-F50*HLOOKUP(G$6,SHIPS,7,0)*INDEX(LADEN_VOYAGE_DAYS,MATCH(CONCATENATE(G$4,G$5,G$7),LADEN_VOYAGE_ROUTES,0),MATCH(G$6,LADEN_VOYAGE_SHIPS,0))</f>
        <v>-94918.8876</v>
      </c>
      <c r="H50" s="348" t="n">
        <f aca="false">SUM(F50:G50)</f>
        <v>2781411.03967273</v>
      </c>
      <c r="I50" s="349" t="n">
        <f aca="false">-(H50)*HLOOKUP(G$5,TERMINAL_CHARGES,3,0)</f>
        <v>-69535.2759918182</v>
      </c>
      <c r="J50" s="327" t="n">
        <f aca="false">+H50+I50</f>
        <v>2711875.76368091</v>
      </c>
      <c r="K50" s="333"/>
      <c r="L50" s="346" t="n">
        <f aca="false">+DATE(YEAR(L49),MONTH(L49)+1,1)</f>
        <v>37681</v>
      </c>
      <c r="M50" s="334" t="n">
        <f aca="false">+J50*(VLOOKUP(L50,CURVECALC!$C$6:$J$312,4,0)+N$5)</f>
        <v>8664443.0649605</v>
      </c>
      <c r="N50" s="350" t="n">
        <f aca="false">-F50*INDEX(ship_curves,MATCH(L50,'SHIP CURVES'!$A$9:$A$316,0),MATCH(CONCATENATE(P$4,P$5,P$6,P$7),'SHIP CURVES'!$A$9:$AZ$9,0))</f>
        <v>-1717758.34718195</v>
      </c>
      <c r="O50" s="351" t="n">
        <f aca="false">-H50*INDEX(port_processing_fee,MATCH(L50,PORTS!$H$626:$H$933,0),MATCH(P$5,PORTS!$H$626:$Z$626,0))</f>
        <v>-76174.0664287132</v>
      </c>
      <c r="P50" s="352" t="n">
        <f aca="false">(((VLOOKUP(L50,curvecalc,4,0))*IF(F50=0,0,J50/F50)-INDEX(ship_curves,MATCH(L50,'SHIP CURVES'!$A$9:$A$316,0),MATCH(CONCATENATE(P$4,P$5,P$6,P$7),'SHIP CURVES'!$A$9:$Z$9,0))-INDEX(terminal_curves,MATCH(L50,'TERMINAL CURVES'!$A$4:$A$313,0),MATCH(P$5,'TERMINAL CURVES'!$A$4:$N$4,0))*IF(F50=0,0,H50/F50))-(N$8)*((N$7-$N$5)-(INDEX(ship_curves,MATCH(L50,'SHIP CURVES'!$A$9:$A$316,0),MATCH(CONCATENATE(P$4,P$5,P$6,P$7),'SHIP CURVES'!$A$9:$Z$9,0))-INDEX(ship_curves,MATCH(L50,'SHIP CURVES'!$A$9:$A$316,0),MATCH(CONCATENATE(P$4,N$6,P$6,P$7),'SHIP CURVES'!$A$9:$Z$9,0)))-(INDEX(terminal_curves,MATCH(L50,'TERMINAL CURVES'!$A$4:$A$313,0),MATCH(P$5,'TERMINAL CURVES'!$A$4:$N$4,0))-INDEX(terminal_curves,MATCH(L50,'TERMINAL CURVES'!$A$4:$A$313,0),MATCH(N$6,'TERMINAL CURVES'!$A$4:$N$4,0)))*IF(F50=0,0,H50/F50)))*-F50</f>
        <v>-6318112.96195458</v>
      </c>
      <c r="Q50" s="353" t="n">
        <f aca="false">SUM(N50:P50)</f>
        <v>-8112045.37556524</v>
      </c>
      <c r="R50" s="357" t="n">
        <f aca="false">(-H50/((HLOOKUP(P$5,port_specs,2,0)/(365.25))*(L51-L50)))*(INDEX(fixed_capacity_charge,MATCH(L50,PORTS!$H$11:$H$317,0),MATCH(P$5,PORTS!$H$11:$N$11,0))+INDEX(variable_om_charge,MATCH(L50,PORTS!$H$318:$H$625,0),MATCH(P$5,PORTS!$H$318:$N$318,0)))</f>
        <v>-498160.174121646</v>
      </c>
      <c r="S50" s="343" t="n">
        <f aca="false">+R50+Q50</f>
        <v>-8610205.54968689</v>
      </c>
      <c r="T50" s="355" t="n">
        <f aca="false">+S50+M50</f>
        <v>54237.5152736194</v>
      </c>
      <c r="U50" s="342"/>
      <c r="V50" s="346" t="n">
        <f aca="false">+DATE(YEAR(V49),MONTH(V49)+1,1)</f>
        <v>37681</v>
      </c>
      <c r="W50" s="327" t="n">
        <f aca="false">+Y50/(1-HLOOKUP(X$6,SHIPS,7,0)*INDEX(LADEN_VOYAGE_DAYS,MATCH(CONCATENATE(X$4,X$5),LADEN_VOYAGE_ROUTES,0),MATCH(X$6,LADEN_VOYAGE_SHIPS,0)))</f>
        <v>2604577.33419033</v>
      </c>
      <c r="X50" s="347" t="n">
        <f aca="false">+Y50-W50</f>
        <v>-46882.392015426</v>
      </c>
      <c r="Y50" s="348" t="n">
        <f aca="false">+IF(AND(X$8&lt;=V50,X$9&gt;=V50),+MIN($B50-SUMIF($H$17:X$17,Y$17,$H50:X50),((INDEX(ROUTE_PER_DAY_BY_SHIP,MATCH(CONCATENATE(X$4,X$5,X$7),ROUTE_PER_DAY_ROUTES,0),MATCH(X$6,ROUTE_PER_DAY_SHIPS,0))*(V51-V50))-(INDEX(ROUTE_PER_DAY_BY_SHIP,MATCH(CONCATENATE(X$4,X$5,X$7),ROUTE_PER_DAY_ROUTES,0),MATCH(X$6,ROUTE_PER_DAY_SHIPS,0))*(V51-V50))*HLOOKUP(X$6,SHIPS,7,0)*INDEX(LADEN_VOYAGE_DAYS,MATCH(CONCATENATE(X$4,X$5,X$7),LADEN_VOYAGE_ROUTES,0),MATCH(X$6,LADEN_VOYAGE_SHIPS,0)))),0)</f>
        <v>2557694.94217491</v>
      </c>
      <c r="Z50" s="349" t="n">
        <f aca="false">-(Y50)*HLOOKUP(X$5,TERMINAL_CHARGES,3,0)</f>
        <v>-63942.3735543727</v>
      </c>
      <c r="AA50" s="327" t="n">
        <f aca="false">+Y50+Z50</f>
        <v>2493752.56862053</v>
      </c>
      <c r="AB50" s="333"/>
      <c r="AC50" s="346" t="n">
        <f aca="false">+DATE(YEAR(AC49),MONTH(AC49)+1,1)</f>
        <v>37681</v>
      </c>
      <c r="AD50" s="343" t="n">
        <f aca="false">+AA50*(VLOOKUP(AC50,CURVECALC!$C$6:$J$312,4,0)+AE$5)</f>
        <v>7967539.4567426</v>
      </c>
      <c r="AE50" s="350" t="n">
        <f aca="false">-W50*INDEX(ship_curves,MATCH(AC50,'SHIP CURVES'!$A$9:$A$316,0),MATCH(CONCATENATE(AG$4,AG$5,AG$6,AG$7),'SHIP CURVES'!$A$9:$AZ$9,0))</f>
        <v>-1552542.50803698</v>
      </c>
      <c r="AF50" s="351" t="n">
        <f aca="false">-Y50*INDEX(port_processing_fee,MATCH(AC50,PORTS!$H$626:$H$933,0),MATCH(AG$5,PORTS!$H$626:$Z$626,0))</f>
        <v>-70047.1888730763</v>
      </c>
      <c r="AG50" s="352" t="n">
        <f aca="false">(((VLOOKUP(AC50,curvecalc,4,0))*IF(W50=0,0,AA50/W50)-INDEX(ship_curves,MATCH(AC50,'SHIP CURVES'!$A$9:$A$316,0),MATCH(CONCATENATE(AG$4,AG$5,AG$6,AG$7),'SHIP CURVES'!$A$9:$Z$9,0))-INDEX(terminal_curves,MATCH(AC50,'TERMINAL CURVES'!$A$4:$A$313,0),MATCH(AG$5,'TERMINAL CURVES'!$A$4:$N$4,0))*IF(W50=0,0,Y50/W50))-(AE$8)*((AE$7-$N$5)-(INDEX(ship_curves,MATCH(AC50,'SHIP CURVES'!$A$9:$A$316,0),MATCH(CONCATENATE(AG$4,AG$5,AG$6,AG$7),'SHIP CURVES'!$A$9:$Z$9,0))-INDEX(ship_curves,MATCH(AC50,'SHIP CURVES'!$A$9:$A$316,0),MATCH(CONCATENATE(AG$4,AE$6,AG$6,AG$7),'SHIP CURVES'!$A$9:$Z$9,0)))-(INDEX(terminal_curves,MATCH(AC50,'TERMINAL CURVES'!$A$4:$A$313,0),MATCH(AG$5,'TERMINAL CURVES'!$A$4:$N$4,0))-INDEX(terminal_curves,MATCH(AC50,'TERMINAL CURVES'!$A$4:$A$313,0),MATCH(AE$6,'TERMINAL CURVES'!$A$4:$N$4,0)))*IF(W50=0,0,Y50/W50)))*-W50</f>
        <v>-5836982.84804463</v>
      </c>
      <c r="AH50" s="356" t="n">
        <f aca="false">SUM(AE50:AG50)</f>
        <v>-7459572.54495469</v>
      </c>
      <c r="AI50" s="357" t="n">
        <f aca="false">(-Y50/((HLOOKUP(AG$5,port_specs,2,0)/(365.25))*(AC51-AC50)))*(INDEX(fixed_capacity_charge,MATCH(AC50,PORTS!$H$11:$H$317,0),MATCH(AG$5,PORTS!$H$11:$N$11,0))+INDEX(variable_om_charge,MATCH(AC50,PORTS!$H$318:$H$625,0),MATCH(AG$5,PORTS!$H$318:$N$318,0)))</f>
        <v>-458091.860415505</v>
      </c>
      <c r="AJ50" s="343" t="n">
        <f aca="false">+AI50+AH50</f>
        <v>-7917664.40537019</v>
      </c>
      <c r="AK50" s="355" t="n">
        <f aca="false">+AJ50+AD50</f>
        <v>49875.0513724098</v>
      </c>
      <c r="AM50" s="346" t="n">
        <f aca="false">+DATE(YEAR(AM49),MONTH(AM49)+1,1)</f>
        <v>37681</v>
      </c>
      <c r="AN50" s="327" t="n">
        <f aca="false">+AP50/(1-HLOOKUP(AO$6,SHIPS,7,0)*INDEX(LADEN_VOYAGE_DAYS,MATCH(CONCATENATE(AO$4,AO$5),LADEN_VOYAGE_ROUTES,0),MATCH(AO$6,LADEN_VOYAGE_SHIPS,0)))</f>
        <v>0</v>
      </c>
      <c r="AO50" s="347" t="n">
        <f aca="false">+AP50-AN50</f>
        <v>0</v>
      </c>
      <c r="AP50" s="348" t="n">
        <f aca="false">+IF(AND(AO$8&lt;=AM50,AO$9&gt;=AM50),+MIN($B50-SUMIF($H$17:AO$17,AP$17,$H50:AO50),((INDEX(ROUTE_PER_DAY_BY_SHIP,MATCH(CONCATENATE(AO$4,AO$5,AO$7),ROUTE_PER_DAY_ROUTES,0),MATCH(AO$6,ROUTE_PER_DAY_SHIPS,0))*(AM51-AM50))-(INDEX(ROUTE_PER_DAY_BY_SHIP,MATCH(CONCATENATE(AO$4,AO$5,AO$7),ROUTE_PER_DAY_ROUTES,0),MATCH(AO$6,ROUTE_PER_DAY_SHIPS,0))*(AM51-AM50))*HLOOKUP(AO$6,SHIPS,7,0)*INDEX(LADEN_VOYAGE_DAYS,MATCH(CONCATENATE(AO$4,AO$5,AO$7),LADEN_VOYAGE_ROUTES,0),MATCH(AO$6,LADEN_VOYAGE_SHIPS,0)))),0)</f>
        <v>0</v>
      </c>
      <c r="AQ50" s="349" t="n">
        <f aca="false">-(AP50)*PORTS!$I$6</f>
        <v>-0</v>
      </c>
      <c r="AR50" s="327" t="n">
        <f aca="false">+AP50+AQ50</f>
        <v>0</v>
      </c>
      <c r="AS50" s="333"/>
      <c r="AT50" s="346" t="n">
        <f aca="false">+DATE(YEAR(AT49),MONTH(AT49)+1,1)</f>
        <v>37681</v>
      </c>
      <c r="AU50" s="343" t="n">
        <f aca="false">+AR50*(VLOOKUP(AT50,CURVECALC!$C$6:$J$312,4,0)+AV$5)</f>
        <v>0</v>
      </c>
      <c r="AV50" s="350" t="n">
        <f aca="false">-AN50*INDEX(ship_curves,MATCH(AT50,'SHIP CURVES'!$A$9:$A$316,0),MATCH(CONCATENATE(AX$4,AX$5,AX$6,AX$7),'SHIP CURVES'!$A$9:$AZ$9,0))</f>
        <v>-0</v>
      </c>
      <c r="AW50" s="351" t="n">
        <f aca="false">-AP50*INDEX(port_processing_fee,MATCH(AT50,PORTS!$H$626:$H$933,0),MATCH(AX$5,PORTS!$H$626:$Z$626,0))</f>
        <v>-0</v>
      </c>
      <c r="AX50" s="352" t="n">
        <f aca="false">(((VLOOKUP(AT50,curvecalc,4,0))*IF(AN50=0,0,AR50/AN50)-INDEX(ship_curves,MATCH(AT50,'SHIP CURVES'!$A$9:$A$316,0),MATCH(CONCATENATE(AX$4,AX$5,AX$6,AX$7),'SHIP CURVES'!$A$9:$Z$9,0))-INDEX(terminal_curves,MATCH(AT50,'TERMINAL CURVES'!$A$4:$A$313,0),MATCH(AX$5,'TERMINAL CURVES'!$A$4:$N$4,0))*IF(AN50=0,0,AP50/AN50))-(AV$8)*((AV$7-$N$5)-(INDEX(ship_curves,MATCH(AT50,'SHIP CURVES'!$A$9:$A$316,0),MATCH(CONCATENATE(AX$4,AX$5,AX$6,AX$7),'SHIP CURVES'!$A$9:$Z$9,0))-INDEX(ship_curves,MATCH(AT50,'SHIP CURVES'!$A$9:$A$316,0),MATCH(CONCATENATE(AX$4,AV$6,AX$6,AX$7),'SHIP CURVES'!$A$9:$Z$9,0)))-(INDEX(terminal_curves,MATCH(AT50,'TERMINAL CURVES'!$A$4:$A$313,0),MATCH(AX$5,'TERMINAL CURVES'!$A$4:$N$4,0))-INDEX(terminal_curves,MATCH(AT50,'TERMINAL CURVES'!$A$4:$A$313,0),MATCH(AV$6,'TERMINAL CURVES'!$A$4:$N$4,0)))*IF(AN50=0,0,AP50/AN50)))*-AN50</f>
        <v>0</v>
      </c>
      <c r="AY50" s="356" t="n">
        <f aca="false">SUM(AV50:AX50)</f>
        <v>0</v>
      </c>
      <c r="AZ50" s="357" t="n">
        <f aca="false">(-AP50/((HLOOKUP(AX$5,port_specs,2,0)/(365.25))*(AT51-AT50)))*(INDEX(fixed_capacity_charge,MATCH(AT50,PORTS!$H$11:$H$317,0),MATCH(AX$5,PORTS!$H$11:$N$11,0))+INDEX(variable_om_charge,MATCH(AT50,PORTS!$H$318:$H$625,0),MATCH(AX$5,PORTS!$H$318:$N$318,0)))</f>
        <v>-0</v>
      </c>
      <c r="BA50" s="343" t="n">
        <f aca="false">+AZ50+AY50</f>
        <v>0</v>
      </c>
      <c r="BB50" s="355" t="n">
        <f aca="false">+BA50+AU50</f>
        <v>0</v>
      </c>
      <c r="BC50" s="99"/>
      <c r="BD50" s="357" t="n">
        <f aca="false">+PORTS!I44+PORTS!I352</f>
        <v>956252.034537151</v>
      </c>
    </row>
    <row r="51" customFormat="false" ht="12.75" hidden="false" customHeight="false" outlineLevel="0" collapsed="false">
      <c r="A51" s="346" t="n">
        <f aca="false">+DATE(YEAR(A50),MONTH(A50)+1,1)</f>
        <v>37712</v>
      </c>
      <c r="B51" s="327" t="n">
        <f aca="false">+IF(AND($A51&gt;=$C$8,$A51&lt;=$C$9),1,0)*PORTS!$I$5/(365.25)*(A52-A51)</f>
        <v>5166876.75662674</v>
      </c>
      <c r="C51" s="328" t="n">
        <f aca="false">+B51-(SUMIF($F$17:$IV$17,$H$17,$F51:$IV51))</f>
        <v>0</v>
      </c>
      <c r="D51" s="0" t="n">
        <f aca="false">+YEAR(E51)</f>
        <v>2003</v>
      </c>
      <c r="E51" s="346" t="n">
        <f aca="false">+DATE(YEAR(E50),MONTH(E50)+1,1)</f>
        <v>37712</v>
      </c>
      <c r="F51" s="327" t="n">
        <f aca="false">+IF(AND(G$8&lt;=E51,G$9&gt;=E51),INDEX(ROUTE_PER_DAY_BY_SHIP,MATCH(CONCATENATE(G$4,G$5,G$7),ROUTE_PER_DAY_ROUTES,0),MATCH(G$6,ROUTE_PER_DAY_SHIPS,0))*(E52-E51),0)</f>
        <v>2783545.09090909</v>
      </c>
      <c r="G51" s="347" t="n">
        <f aca="false">-F51*HLOOKUP(G$6,SHIPS,7,0)*INDEX(LADEN_VOYAGE_DAYS,MATCH(CONCATENATE(G$4,G$5,G$7),LADEN_VOYAGE_ROUTES,0),MATCH(G$6,LADEN_VOYAGE_SHIPS,0))</f>
        <v>-91856.988</v>
      </c>
      <c r="H51" s="348" t="n">
        <f aca="false">SUM(F51:G51)</f>
        <v>2691688.10290909</v>
      </c>
      <c r="I51" s="349" t="n">
        <f aca="false">-(H51)*HLOOKUP(G$5,TERMINAL_CHARGES,3,0)</f>
        <v>-67292.2025727273</v>
      </c>
      <c r="J51" s="327" t="n">
        <f aca="false">+H51+I51</f>
        <v>2624395.90033636</v>
      </c>
      <c r="K51" s="333"/>
      <c r="L51" s="346" t="n">
        <f aca="false">+DATE(YEAR(L50),MONTH(L50)+1,1)</f>
        <v>37712</v>
      </c>
      <c r="M51" s="334" t="n">
        <f aca="false">+J51*(VLOOKUP(L51,CURVECALC!$C$6:$J$312,4,0)+N$5)</f>
        <v>8017529.47552759</v>
      </c>
      <c r="N51" s="350" t="n">
        <f aca="false">-F51*INDEX(ship_curves,MATCH(L51,'SHIP CURVES'!$A$9:$A$316,0),MATCH(CONCATENATE(P$4,P$5,P$6,P$7),'SHIP CURVES'!$A$9:$AZ$9,0))</f>
        <v>-1663268.51824289</v>
      </c>
      <c r="O51" s="351" t="n">
        <f aca="false">-H51*INDEX(port_processing_fee,MATCH(L51,PORTS!$H$626:$H$933,0),MATCH(P$5,PORTS!$H$626:$Z$626,0))</f>
        <v>-73793.6268528159</v>
      </c>
      <c r="P51" s="352" t="n">
        <f aca="false">(((VLOOKUP(L51,curvecalc,4,0))*IF(F51=0,0,J51/F51)-INDEX(ship_curves,MATCH(L51,'SHIP CURVES'!$A$9:$A$316,0),MATCH(CONCATENATE(P$4,P$5,P$6,P$7),'SHIP CURVES'!$A$9:$Z$9,0))-INDEX(terminal_curves,MATCH(L51,'TERMINAL CURVES'!$A$4:$A$313,0),MATCH(P$5,'TERMINAL CURVES'!$A$4:$N$4,0))*IF(F51=0,0,H51/F51))-(N$8)*((N$7-$N$5)-(INDEX(ship_curves,MATCH(L51,'SHIP CURVES'!$A$9:$A$316,0),MATCH(CONCATENATE(P$4,P$5,P$6,P$7),'SHIP CURVES'!$A$9:$Z$9,0))-INDEX(ship_curves,MATCH(L51,'SHIP CURVES'!$A$9:$A$316,0),MATCH(CONCATENATE(P$4,N$6,P$6,P$7),'SHIP CURVES'!$A$9:$Z$9,0)))-(INDEX(terminal_curves,MATCH(L51,'TERMINAL CURVES'!$A$4:$A$313,0),MATCH(P$5,'TERMINAL CURVES'!$A$4:$N$4,0))-INDEX(terminal_curves,MATCH(L51,'TERMINAL CURVES'!$A$4:$A$313,0),MATCH(N$6,'TERMINAL CURVES'!$A$4:$N$4,0)))*IF(F51=0,0,H51/F51)))*-F51</f>
        <v>-5729563.61133826</v>
      </c>
      <c r="Q51" s="353" t="n">
        <f aca="false">SUM(N51:P51)</f>
        <v>-7466625.75643396</v>
      </c>
      <c r="R51" s="357" t="n">
        <f aca="false">(-H51/((HLOOKUP(P$5,port_specs,2,0)/(365.25))*(L52-L51)))*(INDEX(fixed_capacity_charge,MATCH(L51,PORTS!$H$11:$H$317,0),MATCH(P$5,PORTS!$H$11:$N$11,0))+INDEX(variable_om_charge,MATCH(L51,PORTS!$H$318:$H$625,0),MATCH(P$5,PORTS!$H$318:$N$318,0)))</f>
        <v>-498415.801086901</v>
      </c>
      <c r="S51" s="343" t="n">
        <f aca="false">+R51+Q51</f>
        <v>-7965041.55752087</v>
      </c>
      <c r="T51" s="355" t="n">
        <f aca="false">+S51+M51</f>
        <v>52487.9180067256</v>
      </c>
      <c r="U51" s="342"/>
      <c r="V51" s="346" t="n">
        <f aca="false">+DATE(YEAR(V50),MONTH(V50)+1,1)</f>
        <v>37712</v>
      </c>
      <c r="W51" s="327" t="n">
        <f aca="false">+Y51/(1-HLOOKUP(X$6,SHIPS,7,0)*INDEX(LADEN_VOYAGE_DAYS,MATCH(CONCATENATE(X$4,X$5),LADEN_VOYAGE_ROUTES,0),MATCH(X$6,LADEN_VOYAGE_SHIPS,0)))</f>
        <v>2520558.71050677</v>
      </c>
      <c r="X51" s="347" t="n">
        <f aca="false">+Y51-W51</f>
        <v>-45370.0567891221</v>
      </c>
      <c r="Y51" s="348" t="n">
        <f aca="false">+IF(AND(X$8&lt;=V51,X$9&gt;=V51),+MIN($B51-SUMIF($H$17:X$17,Y$17,$H51:X51),((INDEX(ROUTE_PER_DAY_BY_SHIP,MATCH(CONCATENATE(X$4,X$5,X$7),ROUTE_PER_DAY_ROUTES,0),MATCH(X$6,ROUTE_PER_DAY_SHIPS,0))*(V52-V51))-(INDEX(ROUTE_PER_DAY_BY_SHIP,MATCH(CONCATENATE(X$4,X$5,X$7),ROUTE_PER_DAY_ROUTES,0),MATCH(X$6,ROUTE_PER_DAY_SHIPS,0))*(V52-V51))*HLOOKUP(X$6,SHIPS,7,0)*INDEX(LADEN_VOYAGE_DAYS,MATCH(CONCATENATE(X$4,X$5,X$7),LADEN_VOYAGE_ROUTES,0),MATCH(X$6,LADEN_VOYAGE_SHIPS,0)))),0)</f>
        <v>2475188.65371765</v>
      </c>
      <c r="Z51" s="349" t="n">
        <f aca="false">-(Y51)*HLOOKUP(X$5,TERMINAL_CHARGES,3,0)</f>
        <v>-61879.7163429413</v>
      </c>
      <c r="AA51" s="327" t="n">
        <f aca="false">+Y51+Z51</f>
        <v>2413308.93737471</v>
      </c>
      <c r="AB51" s="333"/>
      <c r="AC51" s="346" t="n">
        <f aca="false">+DATE(YEAR(AC50),MONTH(AC50)+1,1)</f>
        <v>37712</v>
      </c>
      <c r="AD51" s="343" t="n">
        <f aca="false">+AA51*(VLOOKUP(AC51,CURVECALC!$C$6:$J$312,4,0)+AE$5)</f>
        <v>7372658.80367974</v>
      </c>
      <c r="AE51" s="350" t="n">
        <f aca="false">-W51*INDEX(ship_curves,MATCH(AC51,'SHIP CURVES'!$A$9:$A$316,0),MATCH(CONCATENATE(AG$4,AG$5,AG$6,AG$7),'SHIP CURVES'!$A$9:$AZ$9,0))</f>
        <v>-1502832.08590315</v>
      </c>
      <c r="AF51" s="351" t="n">
        <f aca="false">-Y51*INDEX(port_processing_fee,MATCH(AC51,PORTS!$H$626:$H$933,0),MATCH(AG$5,PORTS!$H$626:$Z$626,0))</f>
        <v>-67858.2142207926</v>
      </c>
      <c r="AG51" s="352" t="n">
        <f aca="false">(((VLOOKUP(AC51,curvecalc,4,0))*IF(W51=0,0,AA51/W51)-INDEX(ship_curves,MATCH(AC51,'SHIP CURVES'!$A$9:$A$316,0),MATCH(CONCATENATE(AG$4,AG$5,AG$6,AG$7),'SHIP CURVES'!$A$9:$Z$9,0))-INDEX(terminal_curves,MATCH(AC51,'TERMINAL CURVES'!$A$4:$A$313,0),MATCH(AG$5,'TERMINAL CURVES'!$A$4:$N$4,0))*IF(W51=0,0,Y51/W51))-(AE$8)*((AE$7-$N$5)-(INDEX(ship_curves,MATCH(AC51,'SHIP CURVES'!$A$9:$A$316,0),MATCH(CONCATENATE(AG$4,AG$5,AG$6,AG$7),'SHIP CURVES'!$A$9:$Z$9,0))-INDEX(ship_curves,MATCH(AC51,'SHIP CURVES'!$A$9:$A$316,0),MATCH(CONCATENATE(AG$4,AE$6,AG$6,AG$7),'SHIP CURVES'!$A$9:$Z$9,0)))-(INDEX(terminal_curves,MATCH(AC51,'TERMINAL CURVES'!$A$4:$A$313,0),MATCH(AG$5,'TERMINAL CURVES'!$A$4:$N$4,0))-INDEX(terminal_curves,MATCH(AC51,'TERMINAL CURVES'!$A$4:$A$313,0),MATCH(AE$6,'TERMINAL CURVES'!$A$4:$N$4,0)))*IF(W51=0,0,Y51/W51)))*-W51</f>
        <v>-5295375.39816677</v>
      </c>
      <c r="AH51" s="356" t="n">
        <f aca="false">SUM(AE51:AG51)</f>
        <v>-6866065.69829071</v>
      </c>
      <c r="AI51" s="357" t="n">
        <f aca="false">(-Y51/((HLOOKUP(AG$5,port_specs,2,0)/(365.25))*(AC52-AC51)))*(INDEX(fixed_capacity_charge,MATCH(AC51,PORTS!$H$11:$H$317,0),MATCH(AG$5,PORTS!$H$11:$N$11,0))+INDEX(variable_om_charge,MATCH(AC51,PORTS!$H$318:$H$625,0),MATCH(AG$5,PORTS!$H$318:$N$318,0)))</f>
        <v>-458326.926641529</v>
      </c>
      <c r="AJ51" s="343" t="n">
        <f aca="false">+AI51+AH51</f>
        <v>-7324392.62493224</v>
      </c>
      <c r="AK51" s="355" t="n">
        <f aca="false">+AJ51+AD51</f>
        <v>48266.1787474947</v>
      </c>
      <c r="AM51" s="346" t="n">
        <f aca="false">+DATE(YEAR(AM50),MONTH(AM50)+1,1)</f>
        <v>37712</v>
      </c>
      <c r="AN51" s="327" t="n">
        <f aca="false">+AP51/(1-HLOOKUP(AO$6,SHIPS,7,0)*INDEX(LADEN_VOYAGE_DAYS,MATCH(CONCATENATE(AO$4,AO$5),LADEN_VOYAGE_ROUTES,0),MATCH(AO$6,LADEN_VOYAGE_SHIPS,0)))</f>
        <v>0</v>
      </c>
      <c r="AO51" s="347" t="n">
        <f aca="false">+AP51-AN51</f>
        <v>0</v>
      </c>
      <c r="AP51" s="348" t="n">
        <f aca="false">+IF(AND(AO$8&lt;=AM51,AO$9&gt;=AM51),+MIN($B51-SUMIF($H$17:AO$17,AP$17,$H51:AO51),((INDEX(ROUTE_PER_DAY_BY_SHIP,MATCH(CONCATENATE(AO$4,AO$5,AO$7),ROUTE_PER_DAY_ROUTES,0),MATCH(AO$6,ROUTE_PER_DAY_SHIPS,0))*(AM52-AM51))-(INDEX(ROUTE_PER_DAY_BY_SHIP,MATCH(CONCATENATE(AO$4,AO$5,AO$7),ROUTE_PER_DAY_ROUTES,0),MATCH(AO$6,ROUTE_PER_DAY_SHIPS,0))*(AM52-AM51))*HLOOKUP(AO$6,SHIPS,7,0)*INDEX(LADEN_VOYAGE_DAYS,MATCH(CONCATENATE(AO$4,AO$5,AO$7),LADEN_VOYAGE_ROUTES,0),MATCH(AO$6,LADEN_VOYAGE_SHIPS,0)))),0)</f>
        <v>0</v>
      </c>
      <c r="AQ51" s="349" t="n">
        <f aca="false">-(AP51)*PORTS!$I$6</f>
        <v>-0</v>
      </c>
      <c r="AR51" s="327" t="n">
        <f aca="false">+AP51+AQ51</f>
        <v>0</v>
      </c>
      <c r="AS51" s="333"/>
      <c r="AT51" s="346" t="n">
        <f aca="false">+DATE(YEAR(AT50),MONTH(AT50)+1,1)</f>
        <v>37712</v>
      </c>
      <c r="AU51" s="343" t="n">
        <f aca="false">+AR51*(VLOOKUP(AT51,CURVECALC!$C$6:$J$312,4,0)+AV$5)</f>
        <v>0</v>
      </c>
      <c r="AV51" s="350" t="n">
        <f aca="false">-AN51*INDEX(ship_curves,MATCH(AT51,'SHIP CURVES'!$A$9:$A$316,0),MATCH(CONCATENATE(AX$4,AX$5,AX$6,AX$7),'SHIP CURVES'!$A$9:$AZ$9,0))</f>
        <v>-0</v>
      </c>
      <c r="AW51" s="351" t="n">
        <f aca="false">-AP51*INDEX(port_processing_fee,MATCH(AT51,PORTS!$H$626:$H$933,0),MATCH(AX$5,PORTS!$H$626:$Z$626,0))</f>
        <v>-0</v>
      </c>
      <c r="AX51" s="352" t="n">
        <f aca="false">(((VLOOKUP(AT51,curvecalc,4,0))*IF(AN51=0,0,AR51/AN51)-INDEX(ship_curves,MATCH(AT51,'SHIP CURVES'!$A$9:$A$316,0),MATCH(CONCATENATE(AX$4,AX$5,AX$6,AX$7),'SHIP CURVES'!$A$9:$Z$9,0))-INDEX(terminal_curves,MATCH(AT51,'TERMINAL CURVES'!$A$4:$A$313,0),MATCH(AX$5,'TERMINAL CURVES'!$A$4:$N$4,0))*IF(AN51=0,0,AP51/AN51))-(AV$8)*((AV$7-$N$5)-(INDEX(ship_curves,MATCH(AT51,'SHIP CURVES'!$A$9:$A$316,0),MATCH(CONCATENATE(AX$4,AX$5,AX$6,AX$7),'SHIP CURVES'!$A$9:$Z$9,0))-INDEX(ship_curves,MATCH(AT51,'SHIP CURVES'!$A$9:$A$316,0),MATCH(CONCATENATE(AX$4,AV$6,AX$6,AX$7),'SHIP CURVES'!$A$9:$Z$9,0)))-(INDEX(terminal_curves,MATCH(AT51,'TERMINAL CURVES'!$A$4:$A$313,0),MATCH(AX$5,'TERMINAL CURVES'!$A$4:$N$4,0))-INDEX(terminal_curves,MATCH(AT51,'TERMINAL CURVES'!$A$4:$A$313,0),MATCH(AV$6,'TERMINAL CURVES'!$A$4:$N$4,0)))*IF(AN51=0,0,AP51/AN51)))*-AN51</f>
        <v>0</v>
      </c>
      <c r="AY51" s="356" t="n">
        <f aca="false">SUM(AV51:AX51)</f>
        <v>0</v>
      </c>
      <c r="AZ51" s="357" t="n">
        <f aca="false">(-AP51/((HLOOKUP(AX$5,port_specs,2,0)/(365.25))*(AT52-AT51)))*(INDEX(fixed_capacity_charge,MATCH(AT51,PORTS!$H$11:$H$317,0),MATCH(AX$5,PORTS!$H$11:$N$11,0))+INDEX(variable_om_charge,MATCH(AT51,PORTS!$H$318:$H$625,0),MATCH(AX$5,PORTS!$H$318:$N$318,0)))</f>
        <v>-0</v>
      </c>
      <c r="BA51" s="343" t="n">
        <f aca="false">+AZ51+AY51</f>
        <v>0</v>
      </c>
      <c r="BB51" s="355" t="n">
        <f aca="false">+BA51+AU51</f>
        <v>0</v>
      </c>
      <c r="BC51" s="99"/>
      <c r="BD51" s="357" t="n">
        <f aca="false">+PORTS!I45+PORTS!I353</f>
        <v>956742.727728431</v>
      </c>
    </row>
    <row r="52" customFormat="false" ht="12.75" hidden="false" customHeight="false" outlineLevel="0" collapsed="false">
      <c r="A52" s="346" t="n">
        <f aca="false">+DATE(YEAR(A51),MONTH(A51)+1,1)</f>
        <v>37742</v>
      </c>
      <c r="B52" s="327" t="n">
        <f aca="false">+IF(AND($A52&gt;=$C$8,$A52&lt;=$C$9),1,0)*PORTS!$I$5/(365.25)*(A53-A52)</f>
        <v>5339105.98184763</v>
      </c>
      <c r="C52" s="328" t="n">
        <f aca="false">+B52-(SUMIF($F$17:$IV$17,$H$17,$F52:$IV52))</f>
        <v>0</v>
      </c>
      <c r="D52" s="0" t="n">
        <f aca="false">+YEAR(E52)</f>
        <v>2003</v>
      </c>
      <c r="E52" s="346" t="n">
        <f aca="false">+DATE(YEAR(E51),MONTH(E51)+1,1)</f>
        <v>37742</v>
      </c>
      <c r="F52" s="327" t="n">
        <f aca="false">+IF(AND(G$8&lt;=E52,G$9&gt;=E52),INDEX(ROUTE_PER_DAY_BY_SHIP,MATCH(CONCATENATE(G$4,G$5,G$7),ROUTE_PER_DAY_ROUTES,0),MATCH(G$6,ROUTE_PER_DAY_SHIPS,0))*(E53-E52),0)</f>
        <v>2876329.92727273</v>
      </c>
      <c r="G52" s="347" t="n">
        <f aca="false">-F52*HLOOKUP(G$6,SHIPS,7,0)*INDEX(LADEN_VOYAGE_DAYS,MATCH(CONCATENATE(G$4,G$5,G$7),LADEN_VOYAGE_ROUTES,0),MATCH(G$6,LADEN_VOYAGE_SHIPS,0))</f>
        <v>-94918.8876</v>
      </c>
      <c r="H52" s="348" t="n">
        <f aca="false">SUM(F52:G52)</f>
        <v>2781411.03967273</v>
      </c>
      <c r="I52" s="349" t="n">
        <f aca="false">-(H52)*HLOOKUP(G$5,TERMINAL_CHARGES,3,0)</f>
        <v>-69535.2759918182</v>
      </c>
      <c r="J52" s="327" t="n">
        <f aca="false">+H52+I52</f>
        <v>2711875.76368091</v>
      </c>
      <c r="K52" s="333"/>
      <c r="L52" s="346" t="n">
        <f aca="false">+DATE(YEAR(L51),MONTH(L51)+1,1)</f>
        <v>37742</v>
      </c>
      <c r="M52" s="334" t="n">
        <f aca="false">+J52*(VLOOKUP(L52,CURVECALC!$C$6:$J$312,4,0)+N$5)</f>
        <v>8244102.32158996</v>
      </c>
      <c r="N52" s="350" t="n">
        <f aca="false">-F52*INDEX(ship_curves,MATCH(L52,'SHIP CURVES'!$A$9:$A$316,0),MATCH(CONCATENATE(P$4,P$5,P$6,P$7),'SHIP CURVES'!$A$9:$AZ$9,0))</f>
        <v>-1719665.24146794</v>
      </c>
      <c r="O52" s="351" t="n">
        <f aca="false">-H52*INDEX(port_processing_fee,MATCH(L52,PORTS!$H$626:$H$933,0),MATCH(P$5,PORTS!$H$626:$Z$626,0))</f>
        <v>-76332.8450545916</v>
      </c>
      <c r="P52" s="352" t="n">
        <f aca="false">(((VLOOKUP(L52,curvecalc,4,0))*IF(F52=0,0,J52/F52)-INDEX(ship_curves,MATCH(L52,'SHIP CURVES'!$A$9:$A$316,0),MATCH(CONCATENATE(P$4,P$5,P$6,P$7),'SHIP CURVES'!$A$9:$Z$9,0))-INDEX(terminal_curves,MATCH(L52,'TERMINAL CURVES'!$A$4:$A$313,0),MATCH(P$5,'TERMINAL CURVES'!$A$4:$N$4,0))*IF(F52=0,0,H52/F52))-(N$8)*((N$7-$N$5)-(INDEX(ship_curves,MATCH(L52,'SHIP CURVES'!$A$9:$A$316,0),MATCH(CONCATENATE(P$4,P$5,P$6,P$7),'SHIP CURVES'!$A$9:$Z$9,0))-INDEX(ship_curves,MATCH(L52,'SHIP CURVES'!$A$9:$A$316,0),MATCH(CONCATENATE(P$4,N$6,P$6,P$7),'SHIP CURVES'!$A$9:$Z$9,0)))-(INDEX(terminal_curves,MATCH(L52,'TERMINAL CURVES'!$A$4:$A$313,0),MATCH(P$5,'TERMINAL CURVES'!$A$4:$N$4,0))-INDEX(terminal_curves,MATCH(L52,'TERMINAL CURVES'!$A$4:$A$313,0),MATCH(N$6,'TERMINAL CURVES'!$A$4:$N$4,0)))*IF(F52=0,0,H52/F52)))*-F52</f>
        <v>-5895195.02546357</v>
      </c>
      <c r="Q52" s="353" t="n">
        <f aca="false">SUM(N52:P52)</f>
        <v>-7691193.1119861</v>
      </c>
      <c r="R52" s="357" t="n">
        <f aca="false">(-H52/((HLOOKUP(P$5,port_specs,2,0)/(365.25))*(L53-L52)))*(INDEX(fixed_capacity_charge,MATCH(L52,PORTS!$H$11:$H$317,0),MATCH(P$5,PORTS!$H$11:$N$11,0))+INDEX(variable_om_charge,MATCH(L52,PORTS!$H$318:$H$625,0),MATCH(P$5,PORTS!$H$318:$N$318,0)))</f>
        <v>-498671.694330246</v>
      </c>
      <c r="S52" s="343" t="n">
        <f aca="false">+R52+Q52</f>
        <v>-8189864.80631635</v>
      </c>
      <c r="T52" s="355" t="n">
        <f aca="false">+S52+M52</f>
        <v>54237.5152736176</v>
      </c>
      <c r="U52" s="342"/>
      <c r="V52" s="346" t="n">
        <f aca="false">+DATE(YEAR(V51),MONTH(V51)+1,1)</f>
        <v>37742</v>
      </c>
      <c r="W52" s="327" t="n">
        <f aca="false">+Y52/(1-HLOOKUP(X$6,SHIPS,7,0)*INDEX(LADEN_VOYAGE_DAYS,MATCH(CONCATENATE(X$4,X$5),LADEN_VOYAGE_ROUTES,0),MATCH(X$6,LADEN_VOYAGE_SHIPS,0)))</f>
        <v>2604577.33419033</v>
      </c>
      <c r="X52" s="347" t="n">
        <f aca="false">+Y52-W52</f>
        <v>-46882.392015426</v>
      </c>
      <c r="Y52" s="348" t="n">
        <f aca="false">+IF(AND(X$8&lt;=V52,X$9&gt;=V52),+MIN($B52-SUMIF($H$17:X$17,Y$17,$H52:X52),((INDEX(ROUTE_PER_DAY_BY_SHIP,MATCH(CONCATENATE(X$4,X$5,X$7),ROUTE_PER_DAY_ROUTES,0),MATCH(X$6,ROUTE_PER_DAY_SHIPS,0))*(V53-V52))-(INDEX(ROUTE_PER_DAY_BY_SHIP,MATCH(CONCATENATE(X$4,X$5,X$7),ROUTE_PER_DAY_ROUTES,0),MATCH(X$6,ROUTE_PER_DAY_SHIPS,0))*(V53-V52))*HLOOKUP(X$6,SHIPS,7,0)*INDEX(LADEN_VOYAGE_DAYS,MATCH(CONCATENATE(X$4,X$5,X$7),LADEN_VOYAGE_ROUTES,0),MATCH(X$6,LADEN_VOYAGE_SHIPS,0)))),0)</f>
        <v>2557694.94217491</v>
      </c>
      <c r="Z52" s="349" t="n">
        <f aca="false">-(Y52)*HLOOKUP(X$5,TERMINAL_CHARGES,3,0)</f>
        <v>-63942.3735543727</v>
      </c>
      <c r="AA52" s="327" t="n">
        <f aca="false">+Y52+Z52</f>
        <v>2493752.56862053</v>
      </c>
      <c r="AB52" s="333"/>
      <c r="AC52" s="346" t="n">
        <f aca="false">+DATE(YEAR(AC51),MONTH(AC51)+1,1)</f>
        <v>37742</v>
      </c>
      <c r="AD52" s="343" t="n">
        <f aca="false">+AA52*(VLOOKUP(AC52,CURVECALC!$C$6:$J$312,4,0)+AE$5)</f>
        <v>7581007.80860642</v>
      </c>
      <c r="AE52" s="350" t="n">
        <f aca="false">-W52*INDEX(ship_curves,MATCH(AC52,'SHIP CURVES'!$A$9:$A$316,0),MATCH(CONCATENATE(AG$4,AG$5,AG$6,AG$7),'SHIP CURVES'!$A$9:$AZ$9,0))</f>
        <v>-1553311.26945606</v>
      </c>
      <c r="AF52" s="351" t="n">
        <f aca="false">-Y52*INDEX(port_processing_fee,MATCH(AC52,PORTS!$H$626:$H$933,0),MATCH(AG$5,PORTS!$H$626:$Z$626,0))</f>
        <v>-70193.1965226262</v>
      </c>
      <c r="AG52" s="352" t="n">
        <f aca="false">(((VLOOKUP(AC52,curvecalc,4,0))*IF(W52=0,0,AA52/W52)-INDEX(ship_curves,MATCH(AC52,'SHIP CURVES'!$A$9:$A$316,0),MATCH(CONCATENATE(AG$4,AG$5,AG$6,AG$7),'SHIP CURVES'!$A$9:$Z$9,0))-INDEX(terminal_curves,MATCH(AC52,'TERMINAL CURVES'!$A$4:$A$313,0),MATCH(AG$5,'TERMINAL CURVES'!$A$4:$N$4,0))*IF(W52=0,0,Y52/W52))-(AE$8)*((AE$7-$N$5)-(INDEX(ship_curves,MATCH(AC52,'SHIP CURVES'!$A$9:$A$316,0),MATCH(CONCATENATE(AG$4,AG$5,AG$6,AG$7),'SHIP CURVES'!$A$9:$Z$9,0))-INDEX(ship_curves,MATCH(AC52,'SHIP CURVES'!$A$9:$A$316,0),MATCH(CONCATENATE(AG$4,AE$6,AG$6,AG$7),'SHIP CURVES'!$A$9:$Z$9,0)))-(INDEX(terminal_curves,MATCH(AC52,'TERMINAL CURVES'!$A$4:$A$313,0),MATCH(AG$5,'TERMINAL CURVES'!$A$4:$N$4,0))-INDEX(terminal_curves,MATCH(AC52,'TERMINAL CURVES'!$A$4:$A$313,0),MATCH(AE$6,'TERMINAL CURVES'!$A$4:$N$4,0)))*IF(W52=0,0,Y52/W52)))*-W52</f>
        <v>-5449066.05352712</v>
      </c>
      <c r="AH52" s="356" t="n">
        <f aca="false">SUM(AE52:AG52)</f>
        <v>-7072570.51950581</v>
      </c>
      <c r="AI52" s="357" t="n">
        <f aca="false">(-Y52/((HLOOKUP(AG$5,port_specs,2,0)/(365.25))*(AC53-AC52)))*(INDEX(fixed_capacity_charge,MATCH(AC52,PORTS!$H$11:$H$317,0),MATCH(AG$5,PORTS!$H$11:$N$11,0))+INDEX(variable_om_charge,MATCH(AC52,PORTS!$H$318:$H$625,0),MATCH(AG$5,PORTS!$H$318:$N$318,0)))</f>
        <v>-458562.237728206</v>
      </c>
      <c r="AJ52" s="343" t="n">
        <f aca="false">+AI52+AH52</f>
        <v>-7531132.75723401</v>
      </c>
      <c r="AK52" s="355" t="n">
        <f aca="false">+AJ52+AD52</f>
        <v>49875.0513724117</v>
      </c>
      <c r="AM52" s="346" t="n">
        <f aca="false">+DATE(YEAR(AM51),MONTH(AM51)+1,1)</f>
        <v>37742</v>
      </c>
      <c r="AN52" s="327" t="n">
        <f aca="false">+AP52/(1-HLOOKUP(AO$6,SHIPS,7,0)*INDEX(LADEN_VOYAGE_DAYS,MATCH(CONCATENATE(AO$4,AO$5),LADEN_VOYAGE_ROUTES,0),MATCH(AO$6,LADEN_VOYAGE_SHIPS,0)))</f>
        <v>0</v>
      </c>
      <c r="AO52" s="347" t="n">
        <f aca="false">+AP52-AN52</f>
        <v>0</v>
      </c>
      <c r="AP52" s="348" t="n">
        <f aca="false">+IF(AND(AO$8&lt;=AM52,AO$9&gt;=AM52),+MIN($B52-SUMIF($H$17:AO$17,AP$17,$H52:AO52),((INDEX(ROUTE_PER_DAY_BY_SHIP,MATCH(CONCATENATE(AO$4,AO$5,AO$7),ROUTE_PER_DAY_ROUTES,0),MATCH(AO$6,ROUTE_PER_DAY_SHIPS,0))*(AM53-AM52))-(INDEX(ROUTE_PER_DAY_BY_SHIP,MATCH(CONCATENATE(AO$4,AO$5,AO$7),ROUTE_PER_DAY_ROUTES,0),MATCH(AO$6,ROUTE_PER_DAY_SHIPS,0))*(AM53-AM52))*HLOOKUP(AO$6,SHIPS,7,0)*INDEX(LADEN_VOYAGE_DAYS,MATCH(CONCATENATE(AO$4,AO$5,AO$7),LADEN_VOYAGE_ROUTES,0),MATCH(AO$6,LADEN_VOYAGE_SHIPS,0)))),0)</f>
        <v>0</v>
      </c>
      <c r="AQ52" s="349" t="n">
        <f aca="false">-(AP52)*PORTS!$I$6</f>
        <v>-0</v>
      </c>
      <c r="AR52" s="327" t="n">
        <f aca="false">+AP52+AQ52</f>
        <v>0</v>
      </c>
      <c r="AS52" s="333"/>
      <c r="AT52" s="346" t="n">
        <f aca="false">+DATE(YEAR(AT51),MONTH(AT51)+1,1)</f>
        <v>37742</v>
      </c>
      <c r="AU52" s="343" t="n">
        <f aca="false">+AR52*(VLOOKUP(AT52,CURVECALC!$C$6:$J$312,4,0)+AV$5)</f>
        <v>0</v>
      </c>
      <c r="AV52" s="350" t="n">
        <f aca="false">-AN52*INDEX(ship_curves,MATCH(AT52,'SHIP CURVES'!$A$9:$A$316,0),MATCH(CONCATENATE(AX$4,AX$5,AX$6,AX$7),'SHIP CURVES'!$A$9:$AZ$9,0))</f>
        <v>-0</v>
      </c>
      <c r="AW52" s="351" t="n">
        <f aca="false">-AP52*INDEX(port_processing_fee,MATCH(AT52,PORTS!$H$626:$H$933,0),MATCH(AX$5,PORTS!$H$626:$Z$626,0))</f>
        <v>-0</v>
      </c>
      <c r="AX52" s="352" t="n">
        <f aca="false">(((VLOOKUP(AT52,curvecalc,4,0))*IF(AN52=0,0,AR52/AN52)-INDEX(ship_curves,MATCH(AT52,'SHIP CURVES'!$A$9:$A$316,0),MATCH(CONCATENATE(AX$4,AX$5,AX$6,AX$7),'SHIP CURVES'!$A$9:$Z$9,0))-INDEX(terminal_curves,MATCH(AT52,'TERMINAL CURVES'!$A$4:$A$313,0),MATCH(AX$5,'TERMINAL CURVES'!$A$4:$N$4,0))*IF(AN52=0,0,AP52/AN52))-(AV$8)*((AV$7-$N$5)-(INDEX(ship_curves,MATCH(AT52,'SHIP CURVES'!$A$9:$A$316,0),MATCH(CONCATENATE(AX$4,AX$5,AX$6,AX$7),'SHIP CURVES'!$A$9:$Z$9,0))-INDEX(ship_curves,MATCH(AT52,'SHIP CURVES'!$A$9:$A$316,0),MATCH(CONCATENATE(AX$4,AV$6,AX$6,AX$7),'SHIP CURVES'!$A$9:$Z$9,0)))-(INDEX(terminal_curves,MATCH(AT52,'TERMINAL CURVES'!$A$4:$A$313,0),MATCH(AX$5,'TERMINAL CURVES'!$A$4:$N$4,0))-INDEX(terminal_curves,MATCH(AT52,'TERMINAL CURVES'!$A$4:$A$313,0),MATCH(AV$6,'TERMINAL CURVES'!$A$4:$N$4,0)))*IF(AN52=0,0,AP52/AN52)))*-AN52</f>
        <v>0</v>
      </c>
      <c r="AY52" s="356" t="n">
        <f aca="false">SUM(AV52:AX52)</f>
        <v>0</v>
      </c>
      <c r="AZ52" s="357" t="n">
        <f aca="false">(-AP52/((HLOOKUP(AX$5,port_specs,2,0)/(365.25))*(AT53-AT52)))*(INDEX(fixed_capacity_charge,MATCH(AT52,PORTS!$H$11:$H$317,0),MATCH(AX$5,PORTS!$H$11:$N$11,0))+INDEX(variable_om_charge,MATCH(AT52,PORTS!$H$318:$H$625,0),MATCH(AX$5,PORTS!$H$318:$N$318,0)))</f>
        <v>-0</v>
      </c>
      <c r="BA52" s="343" t="n">
        <f aca="false">+AZ52+AY52</f>
        <v>0</v>
      </c>
      <c r="BB52" s="355" t="n">
        <f aca="false">+BA52+AU52</f>
        <v>0</v>
      </c>
      <c r="BC52" s="99"/>
      <c r="BD52" s="357" t="n">
        <f aca="false">+PORTS!I46+PORTS!I354</f>
        <v>957233.932058452</v>
      </c>
    </row>
    <row r="53" customFormat="false" ht="12.75" hidden="false" customHeight="false" outlineLevel="0" collapsed="false">
      <c r="A53" s="346" t="n">
        <f aca="false">+DATE(YEAR(A52),MONTH(A52)+1,1)</f>
        <v>37773</v>
      </c>
      <c r="B53" s="327" t="n">
        <f aca="false">+IF(AND($A53&gt;=$C$8,$A53&lt;=$C$9),1,0)*PORTS!$I$5/(365.25)*(A54-A53)</f>
        <v>5166876.75662674</v>
      </c>
      <c r="C53" s="328" t="n">
        <f aca="false">+B53-(SUMIF($F$17:$IV$17,$H$17,$F53:$IV53))</f>
        <v>0</v>
      </c>
      <c r="D53" s="0" t="n">
        <f aca="false">+YEAR(E53)</f>
        <v>2003</v>
      </c>
      <c r="E53" s="346" t="n">
        <f aca="false">+DATE(YEAR(E52),MONTH(E52)+1,1)</f>
        <v>37773</v>
      </c>
      <c r="F53" s="327" t="n">
        <f aca="false">+IF(AND(G$8&lt;=E53,G$9&gt;=E53),INDEX(ROUTE_PER_DAY_BY_SHIP,MATCH(CONCATENATE(G$4,G$5,G$7),ROUTE_PER_DAY_ROUTES,0),MATCH(G$6,ROUTE_PER_DAY_SHIPS,0))*(E54-E53),0)</f>
        <v>2783545.09090909</v>
      </c>
      <c r="G53" s="347" t="n">
        <f aca="false">-F53*HLOOKUP(G$6,SHIPS,7,0)*INDEX(LADEN_VOYAGE_DAYS,MATCH(CONCATENATE(G$4,G$5,G$7),LADEN_VOYAGE_ROUTES,0),MATCH(G$6,LADEN_VOYAGE_SHIPS,0))</f>
        <v>-91856.988</v>
      </c>
      <c r="H53" s="348" t="n">
        <f aca="false">SUM(F53:G53)</f>
        <v>2691688.10290909</v>
      </c>
      <c r="I53" s="349" t="n">
        <f aca="false">-(H53)*HLOOKUP(G$5,TERMINAL_CHARGES,3,0)</f>
        <v>-67292.2025727273</v>
      </c>
      <c r="J53" s="327" t="n">
        <f aca="false">+H53+I53</f>
        <v>2624395.90033636</v>
      </c>
      <c r="K53" s="333"/>
      <c r="L53" s="346" t="n">
        <f aca="false">+DATE(YEAR(L52),MONTH(L52)+1,1)</f>
        <v>37773</v>
      </c>
      <c r="M53" s="334" t="n">
        <f aca="false">+J53*(VLOOKUP(L53,CURVECALC!$C$6:$J$312,4,0)+N$5)</f>
        <v>8056895.41403264</v>
      </c>
      <c r="N53" s="350" t="n">
        <f aca="false">-F53*INDEX(ship_curves,MATCH(L53,'SHIP CURVES'!$A$9:$A$316,0),MATCH(CONCATENATE(P$4,P$5,P$6,P$7),'SHIP CURVES'!$A$9:$AZ$9,0))</f>
        <v>-1665117.74435491</v>
      </c>
      <c r="O53" s="351" t="n">
        <f aca="false">-H53*INDEX(port_processing_fee,MATCH(L53,PORTS!$H$626:$H$933,0),MATCH(P$5,PORTS!$H$626:$Z$626,0))</f>
        <v>-73947.4436466356</v>
      </c>
      <c r="P53" s="352" t="n">
        <f aca="false">(((VLOOKUP(L53,curvecalc,4,0))*IF(F53=0,0,J53/F53)-INDEX(ship_curves,MATCH(L53,'SHIP CURVES'!$A$9:$A$316,0),MATCH(CONCATENATE(P$4,P$5,P$6,P$7),'SHIP CURVES'!$A$9:$Z$9,0))-INDEX(terminal_curves,MATCH(L53,'TERMINAL CURVES'!$A$4:$A$313,0),MATCH(P$5,'TERMINAL CURVES'!$A$4:$N$4,0))*IF(F53=0,0,H53/F53))-(N$8)*((N$7-$N$5)-(INDEX(ship_curves,MATCH(L53,'SHIP CURVES'!$A$9:$A$316,0),MATCH(CONCATENATE(P$4,P$5,P$6,P$7),'SHIP CURVES'!$A$9:$Z$9,0))-INDEX(ship_curves,MATCH(L53,'SHIP CURVES'!$A$9:$A$316,0),MATCH(CONCATENATE(P$4,N$6,P$6,P$7),'SHIP CURVES'!$A$9:$Z$9,0)))-(INDEX(terminal_curves,MATCH(L53,'TERMINAL CURVES'!$A$4:$A$313,0),MATCH(P$5,'TERMINAL CURVES'!$A$4:$N$4,0))-INDEX(terminal_curves,MATCH(L53,'TERMINAL CURVES'!$A$4:$A$313,0),MATCH(N$6,'TERMINAL CURVES'!$A$4:$N$4,0)))*IF(F53=0,0,H53/F53)))*-F53</f>
        <v>-5766414.45389531</v>
      </c>
      <c r="Q53" s="353" t="n">
        <f aca="false">SUM(N53:P53)</f>
        <v>-7505479.64189686</v>
      </c>
      <c r="R53" s="357" t="n">
        <f aca="false">(-H53/((HLOOKUP(P$5,port_specs,2,0)/(365.25))*(L54-L53)))*(INDEX(fixed_capacity_charge,MATCH(L53,PORTS!$H$11:$H$317,0),MATCH(P$5,PORTS!$H$11:$N$11,0))+INDEX(variable_om_charge,MATCH(L53,PORTS!$H$318:$H$625,0),MATCH(P$5,PORTS!$H$318:$N$318,0)))</f>
        <v>-498927.854129052</v>
      </c>
      <c r="S53" s="343" t="n">
        <f aca="false">+R53+Q53</f>
        <v>-8004407.49602591</v>
      </c>
      <c r="T53" s="355" t="n">
        <f aca="false">+S53+M53</f>
        <v>52487.9180067275</v>
      </c>
      <c r="U53" s="342"/>
      <c r="V53" s="346" t="n">
        <f aca="false">+DATE(YEAR(V52),MONTH(V52)+1,1)</f>
        <v>37773</v>
      </c>
      <c r="W53" s="327" t="n">
        <f aca="false">+Y53/(1-HLOOKUP(X$6,SHIPS,7,0)*INDEX(LADEN_VOYAGE_DAYS,MATCH(CONCATENATE(X$4,X$5),LADEN_VOYAGE_ROUTES,0),MATCH(X$6,LADEN_VOYAGE_SHIPS,0)))</f>
        <v>2520558.71050677</v>
      </c>
      <c r="X53" s="347" t="n">
        <f aca="false">+Y53-W53</f>
        <v>-45370.0567891221</v>
      </c>
      <c r="Y53" s="348" t="n">
        <f aca="false">+IF(AND(X$8&lt;=V53,X$9&gt;=V53),+MIN($B53-SUMIF($H$17:X$17,Y$17,$H53:X53),((INDEX(ROUTE_PER_DAY_BY_SHIP,MATCH(CONCATENATE(X$4,X$5,X$7),ROUTE_PER_DAY_ROUTES,0),MATCH(X$6,ROUTE_PER_DAY_SHIPS,0))*(V54-V53))-(INDEX(ROUTE_PER_DAY_BY_SHIP,MATCH(CONCATENATE(X$4,X$5,X$7),ROUTE_PER_DAY_ROUTES,0),MATCH(X$6,ROUTE_PER_DAY_SHIPS,0))*(V54-V53))*HLOOKUP(X$6,SHIPS,7,0)*INDEX(LADEN_VOYAGE_DAYS,MATCH(CONCATENATE(X$4,X$5,X$7),LADEN_VOYAGE_ROUTES,0),MATCH(X$6,LADEN_VOYAGE_SHIPS,0)))),0)</f>
        <v>2475188.65371765</v>
      </c>
      <c r="Z53" s="349" t="n">
        <f aca="false">-(Y53)*HLOOKUP(X$5,TERMINAL_CHARGES,3,0)</f>
        <v>-61879.7163429413</v>
      </c>
      <c r="AA53" s="327" t="n">
        <f aca="false">+Y53+Z53</f>
        <v>2413308.93737471</v>
      </c>
      <c r="AB53" s="333"/>
      <c r="AC53" s="346" t="n">
        <f aca="false">+DATE(YEAR(AC52),MONTH(AC52)+1,1)</f>
        <v>37773</v>
      </c>
      <c r="AD53" s="343" t="n">
        <f aca="false">+AA53*(VLOOKUP(AC53,CURVECALC!$C$6:$J$312,4,0)+AE$5)</f>
        <v>7408858.43774036</v>
      </c>
      <c r="AE53" s="350" t="n">
        <f aca="false">-W53*INDEX(ship_curves,MATCH(AC53,'SHIP CURVES'!$A$9:$A$316,0),MATCH(CONCATENATE(AG$4,AG$5,AG$6,AG$7),'SHIP CURVES'!$A$9:$AZ$9,0))</f>
        <v>-1503577.59848899</v>
      </c>
      <c r="AF53" s="351" t="n">
        <f aca="false">-Y53*INDEX(port_processing_fee,MATCH(AC53,PORTS!$H$626:$H$933,0),MATCH(AG$5,PORTS!$H$626:$Z$626,0))</f>
        <v>-67999.6591312941</v>
      </c>
      <c r="AG53" s="352" t="n">
        <f aca="false">(((VLOOKUP(AC53,curvecalc,4,0))*IF(W53=0,0,AA53/W53)-INDEX(ship_curves,MATCH(AC53,'SHIP CURVES'!$A$9:$A$316,0),MATCH(CONCATENATE(AG$4,AG$5,AG$6,AG$7),'SHIP CURVES'!$A$9:$Z$9,0))-INDEX(terminal_curves,MATCH(AC53,'TERMINAL CURVES'!$A$4:$A$313,0),MATCH(AG$5,'TERMINAL CURVES'!$A$4:$N$4,0))*IF(W53=0,0,Y53/W53))-(AE$8)*((AE$7-$N$5)-(INDEX(ship_curves,MATCH(AC53,'SHIP CURVES'!$A$9:$A$316,0),MATCH(CONCATENATE(AG$4,AG$5,AG$6,AG$7),'SHIP CURVES'!$A$9:$Z$9,0))-INDEX(ship_curves,MATCH(AC53,'SHIP CURVES'!$A$9:$A$316,0),MATCH(CONCATENATE(AG$4,AE$6,AG$6,AG$7),'SHIP CURVES'!$A$9:$Z$9,0)))-(INDEX(terminal_curves,MATCH(AC53,'TERMINAL CURVES'!$A$4:$A$313,0),MATCH(AG$5,'TERMINAL CURVES'!$A$4:$N$4,0))-INDEX(terminal_curves,MATCH(AC53,'TERMINAL CURVES'!$A$4:$A$313,0),MATCH(AE$6,'TERMINAL CURVES'!$A$4:$N$4,0)))*IF(W53=0,0,Y53/W53)))*-W53</f>
        <v>-5330217.20744198</v>
      </c>
      <c r="AH53" s="356" t="n">
        <f aca="false">SUM(AE53:AG53)</f>
        <v>-6901794.46506227</v>
      </c>
      <c r="AI53" s="357" t="n">
        <f aca="false">(-Y53/((HLOOKUP(AG$5,port_specs,2,0)/(365.25))*(AC54-AC53)))*(INDEX(fixed_capacity_charge,MATCH(AC53,PORTS!$H$11:$H$317,0),MATCH(AG$5,PORTS!$H$11:$N$11,0))+INDEX(variable_om_charge,MATCH(AC53,PORTS!$H$318:$H$625,0),MATCH(AG$5,PORTS!$H$318:$N$318,0)))</f>
        <v>-458797.793930597</v>
      </c>
      <c r="AJ53" s="343" t="n">
        <f aca="false">+AI53+AH53</f>
        <v>-7360592.25899287</v>
      </c>
      <c r="AK53" s="355" t="n">
        <f aca="false">+AJ53+AD53</f>
        <v>48266.1787474928</v>
      </c>
      <c r="AM53" s="346" t="n">
        <f aca="false">+DATE(YEAR(AM52),MONTH(AM52)+1,1)</f>
        <v>37773</v>
      </c>
      <c r="AN53" s="327" t="n">
        <f aca="false">+AP53/(1-HLOOKUP(AO$6,SHIPS,7,0)*INDEX(LADEN_VOYAGE_DAYS,MATCH(CONCATENATE(AO$4,AO$5),LADEN_VOYAGE_ROUTES,0),MATCH(AO$6,LADEN_VOYAGE_SHIPS,0)))</f>
        <v>0</v>
      </c>
      <c r="AO53" s="347" t="n">
        <f aca="false">+AP53-AN53</f>
        <v>0</v>
      </c>
      <c r="AP53" s="348" t="n">
        <f aca="false">+IF(AND(AO$8&lt;=AM53,AO$9&gt;=AM53),+MIN($B53-SUMIF($H$17:AO$17,AP$17,$H53:AO53),((INDEX(ROUTE_PER_DAY_BY_SHIP,MATCH(CONCATENATE(AO$4,AO$5,AO$7),ROUTE_PER_DAY_ROUTES,0),MATCH(AO$6,ROUTE_PER_DAY_SHIPS,0))*(AM54-AM53))-(INDEX(ROUTE_PER_DAY_BY_SHIP,MATCH(CONCATENATE(AO$4,AO$5,AO$7),ROUTE_PER_DAY_ROUTES,0),MATCH(AO$6,ROUTE_PER_DAY_SHIPS,0))*(AM54-AM53))*HLOOKUP(AO$6,SHIPS,7,0)*INDEX(LADEN_VOYAGE_DAYS,MATCH(CONCATENATE(AO$4,AO$5,AO$7),LADEN_VOYAGE_ROUTES,0),MATCH(AO$6,LADEN_VOYAGE_SHIPS,0)))),0)</f>
        <v>0</v>
      </c>
      <c r="AQ53" s="349" t="n">
        <f aca="false">-(AP53)*PORTS!$I$6</f>
        <v>-0</v>
      </c>
      <c r="AR53" s="327" t="n">
        <f aca="false">+AP53+AQ53</f>
        <v>0</v>
      </c>
      <c r="AS53" s="333"/>
      <c r="AT53" s="346" t="n">
        <f aca="false">+DATE(YEAR(AT52),MONTH(AT52)+1,1)</f>
        <v>37773</v>
      </c>
      <c r="AU53" s="343" t="n">
        <f aca="false">+AR53*(VLOOKUP(AT53,CURVECALC!$C$6:$J$312,4,0)+AV$5)</f>
        <v>0</v>
      </c>
      <c r="AV53" s="350" t="n">
        <f aca="false">-AN53*INDEX(ship_curves,MATCH(AT53,'SHIP CURVES'!$A$9:$A$316,0),MATCH(CONCATENATE(AX$4,AX$5,AX$6,AX$7),'SHIP CURVES'!$A$9:$AZ$9,0))</f>
        <v>-0</v>
      </c>
      <c r="AW53" s="351" t="n">
        <f aca="false">-AP53*INDEX(port_processing_fee,MATCH(AT53,PORTS!$H$626:$H$933,0),MATCH(AX$5,PORTS!$H$626:$Z$626,0))</f>
        <v>-0</v>
      </c>
      <c r="AX53" s="352" t="n">
        <f aca="false">(((VLOOKUP(AT53,curvecalc,4,0))*IF(AN53=0,0,AR53/AN53)-INDEX(ship_curves,MATCH(AT53,'SHIP CURVES'!$A$9:$A$316,0),MATCH(CONCATENATE(AX$4,AX$5,AX$6,AX$7),'SHIP CURVES'!$A$9:$Z$9,0))-INDEX(terminal_curves,MATCH(AT53,'TERMINAL CURVES'!$A$4:$A$313,0),MATCH(AX$5,'TERMINAL CURVES'!$A$4:$N$4,0))*IF(AN53=0,0,AP53/AN53))-(AV$8)*((AV$7-$N$5)-(INDEX(ship_curves,MATCH(AT53,'SHIP CURVES'!$A$9:$A$316,0),MATCH(CONCATENATE(AX$4,AX$5,AX$6,AX$7),'SHIP CURVES'!$A$9:$Z$9,0))-INDEX(ship_curves,MATCH(AT53,'SHIP CURVES'!$A$9:$A$316,0),MATCH(CONCATENATE(AX$4,AV$6,AX$6,AX$7),'SHIP CURVES'!$A$9:$Z$9,0)))-(INDEX(terminal_curves,MATCH(AT53,'TERMINAL CURVES'!$A$4:$A$313,0),MATCH(AX$5,'TERMINAL CURVES'!$A$4:$N$4,0))-INDEX(terminal_curves,MATCH(AT53,'TERMINAL CURVES'!$A$4:$A$313,0),MATCH(AV$6,'TERMINAL CURVES'!$A$4:$N$4,0)))*IF(AN53=0,0,AP53/AN53)))*-AN53</f>
        <v>0</v>
      </c>
      <c r="AY53" s="356" t="n">
        <f aca="false">SUM(AV53:AX53)</f>
        <v>0</v>
      </c>
      <c r="AZ53" s="357" t="n">
        <f aca="false">(-AP53/((HLOOKUP(AX$5,port_specs,2,0)/(365.25))*(AT54-AT53)))*(INDEX(fixed_capacity_charge,MATCH(AT53,PORTS!$H$11:$H$317,0),MATCH(AX$5,PORTS!$H$11:$N$11,0))+INDEX(variable_om_charge,MATCH(AT53,PORTS!$H$318:$H$625,0),MATCH(AX$5,PORTS!$H$318:$N$318,0)))</f>
        <v>-0</v>
      </c>
      <c r="BA53" s="343" t="n">
        <f aca="false">+AZ53+AY53</f>
        <v>0</v>
      </c>
      <c r="BB53" s="355" t="n">
        <f aca="false">+BA53+AU53</f>
        <v>0</v>
      </c>
      <c r="BC53" s="99"/>
      <c r="BD53" s="357" t="n">
        <f aca="false">+PORTS!I47+PORTS!I355</f>
        <v>957725.648059649</v>
      </c>
    </row>
    <row r="54" customFormat="false" ht="12.75" hidden="false" customHeight="false" outlineLevel="0" collapsed="false">
      <c r="A54" s="346" t="n">
        <f aca="false">+DATE(YEAR(A53),MONTH(A53)+1,1)</f>
        <v>37803</v>
      </c>
      <c r="B54" s="327" t="n">
        <f aca="false">+IF(AND($A54&gt;=$C$8,$A54&lt;=$C$9),1,0)*PORTS!$I$5/(365.25)*(A55-A54)</f>
        <v>5339105.98184763</v>
      </c>
      <c r="C54" s="328" t="n">
        <f aca="false">+B54-(SUMIF($F$17:$IV$17,$H$17,$F54:$IV54))</f>
        <v>0</v>
      </c>
      <c r="D54" s="0" t="n">
        <f aca="false">+YEAR(E54)</f>
        <v>2003</v>
      </c>
      <c r="E54" s="346" t="n">
        <f aca="false">+DATE(YEAR(E53),MONTH(E53)+1,1)</f>
        <v>37803</v>
      </c>
      <c r="F54" s="327" t="n">
        <f aca="false">+IF(AND(G$8&lt;=E54,G$9&gt;=E54),INDEX(ROUTE_PER_DAY_BY_SHIP,MATCH(CONCATENATE(G$4,G$5,G$7),ROUTE_PER_DAY_ROUTES,0),MATCH(G$6,ROUTE_PER_DAY_SHIPS,0))*(E55-E54),0)</f>
        <v>2876329.92727273</v>
      </c>
      <c r="G54" s="347" t="n">
        <f aca="false">-F54*HLOOKUP(G$6,SHIPS,7,0)*INDEX(LADEN_VOYAGE_DAYS,MATCH(CONCATENATE(G$4,G$5,G$7),LADEN_VOYAGE_ROUTES,0),MATCH(G$6,LADEN_VOYAGE_SHIPS,0))</f>
        <v>-94918.8876</v>
      </c>
      <c r="H54" s="348" t="n">
        <f aca="false">SUM(F54:G54)</f>
        <v>2781411.03967273</v>
      </c>
      <c r="I54" s="349" t="n">
        <f aca="false">-(H54)*HLOOKUP(G$5,TERMINAL_CHARGES,3,0)</f>
        <v>-69535.2759918182</v>
      </c>
      <c r="J54" s="327" t="n">
        <f aca="false">+H54+I54</f>
        <v>2711875.76368091</v>
      </c>
      <c r="K54" s="333"/>
      <c r="L54" s="346" t="n">
        <f aca="false">+DATE(YEAR(L53),MONTH(L53)+1,1)</f>
        <v>37803</v>
      </c>
      <c r="M54" s="334" t="n">
        <f aca="false">+J54*(VLOOKUP(L54,CURVECALC!$C$6:$J$312,4,0)+N$5)</f>
        <v>8325458.59450039</v>
      </c>
      <c r="N54" s="350" t="n">
        <f aca="false">-F54*INDEX(ship_curves,MATCH(L54,'SHIP CURVES'!$A$9:$A$316,0),MATCH(CONCATENATE(P$4,P$5,P$6,P$7),'SHIP CURVES'!$A$9:$AZ$9,0))</f>
        <v>-1721580.08942324</v>
      </c>
      <c r="O54" s="351" t="n">
        <f aca="false">-H54*INDEX(port_processing_fee,MATCH(L54,PORTS!$H$626:$H$933,0),MATCH(P$5,PORTS!$H$626:$Z$626,0))</f>
        <v>-76491.9546415597</v>
      </c>
      <c r="P54" s="352" t="n">
        <f aca="false">(((VLOOKUP(L54,curvecalc,4,0))*IF(F54=0,0,J54/F54)-INDEX(ship_curves,MATCH(L54,'SHIP CURVES'!$A$9:$A$316,0),MATCH(CONCATENATE(P$4,P$5,P$6,P$7),'SHIP CURVES'!$A$9:$Z$9,0))-INDEX(terminal_curves,MATCH(L54,'TERMINAL CURVES'!$A$4:$A$313,0),MATCH(P$5,'TERMINAL CURVES'!$A$4:$N$4,0))*IF(F54=0,0,H54/F54))-(N$8)*((N$7-$N$5)-(INDEX(ship_curves,MATCH(L54,'SHIP CURVES'!$A$9:$A$316,0),MATCH(CONCATENATE(P$4,P$5,P$6,P$7),'SHIP CURVES'!$A$9:$Z$9,0))-INDEX(ship_curves,MATCH(L54,'SHIP CURVES'!$A$9:$A$316,0),MATCH(CONCATENATE(P$4,N$6,P$6,P$7),'SHIP CURVES'!$A$9:$Z$9,0)))-(INDEX(terminal_curves,MATCH(L54,'TERMINAL CURVES'!$A$4:$A$313,0),MATCH(P$5,'TERMINAL CURVES'!$A$4:$N$4,0))-INDEX(terminal_curves,MATCH(L54,'TERMINAL CURVES'!$A$4:$A$313,0),MATCH(N$6,'TERMINAL CURVES'!$A$4:$N$4,0)))*IF(F54=0,0,H54/F54)))*-F54</f>
        <v>-5973964.75440099</v>
      </c>
      <c r="Q54" s="353" t="n">
        <f aca="false">SUM(N54:P54)</f>
        <v>-7772036.79846579</v>
      </c>
      <c r="R54" s="357" t="n">
        <f aca="false">(-H54/((HLOOKUP(P$5,port_specs,2,0)/(365.25))*(L55-L54)))*(INDEX(fixed_capacity_charge,MATCH(L54,PORTS!$H$11:$H$317,0),MATCH(P$5,PORTS!$H$11:$N$11,0))+INDEX(variable_om_charge,MATCH(L54,PORTS!$H$318:$H$625,0),MATCH(P$5,PORTS!$H$318:$N$318,0)))</f>
        <v>-499184.280760982</v>
      </c>
      <c r="S54" s="343" t="n">
        <f aca="false">+R54+Q54</f>
        <v>-8271221.07922677</v>
      </c>
      <c r="T54" s="355" t="n">
        <f aca="false">+S54+M54</f>
        <v>54237.5152736176</v>
      </c>
      <c r="U54" s="342"/>
      <c r="V54" s="346" t="n">
        <f aca="false">+DATE(YEAR(V53),MONTH(V53)+1,1)</f>
        <v>37803</v>
      </c>
      <c r="W54" s="327" t="n">
        <f aca="false">+Y54/(1-HLOOKUP(X$6,SHIPS,7,0)*INDEX(LADEN_VOYAGE_DAYS,MATCH(CONCATENATE(X$4,X$5),LADEN_VOYAGE_ROUTES,0),MATCH(X$6,LADEN_VOYAGE_SHIPS,0)))</f>
        <v>2604577.33419033</v>
      </c>
      <c r="X54" s="347" t="n">
        <f aca="false">+Y54-W54</f>
        <v>-46882.392015426</v>
      </c>
      <c r="Y54" s="348" t="n">
        <f aca="false">+IF(AND(X$8&lt;=V54,X$9&gt;=V54),+MIN($B54-SUMIF($H$17:X$17,Y$17,$H54:X54),((INDEX(ROUTE_PER_DAY_BY_SHIP,MATCH(CONCATENATE(X$4,X$5,X$7),ROUTE_PER_DAY_ROUTES,0),MATCH(X$6,ROUTE_PER_DAY_SHIPS,0))*(V55-V54))-(INDEX(ROUTE_PER_DAY_BY_SHIP,MATCH(CONCATENATE(X$4,X$5,X$7),ROUTE_PER_DAY_ROUTES,0),MATCH(X$6,ROUTE_PER_DAY_SHIPS,0))*(V55-V54))*HLOOKUP(X$6,SHIPS,7,0)*INDEX(LADEN_VOYAGE_DAYS,MATCH(CONCATENATE(X$4,X$5,X$7),LADEN_VOYAGE_ROUTES,0),MATCH(X$6,LADEN_VOYAGE_SHIPS,0)))),0)</f>
        <v>2557694.94217491</v>
      </c>
      <c r="Z54" s="349" t="n">
        <f aca="false">-(Y54)*HLOOKUP(X$5,TERMINAL_CHARGES,3,0)</f>
        <v>-63942.3735543727</v>
      </c>
      <c r="AA54" s="327" t="n">
        <f aca="false">+Y54+Z54</f>
        <v>2493752.56862053</v>
      </c>
      <c r="AB54" s="333"/>
      <c r="AC54" s="346" t="n">
        <f aca="false">+DATE(YEAR(AC53),MONTH(AC53)+1,1)</f>
        <v>37803</v>
      </c>
      <c r="AD54" s="343" t="n">
        <f aca="false">+AA54*(VLOOKUP(AC54,CURVECALC!$C$6:$J$312,4,0)+AE$5)</f>
        <v>7655820.38566504</v>
      </c>
      <c r="AE54" s="350" t="n">
        <f aca="false">-W54*INDEX(ship_curves,MATCH(AC54,'SHIP CURVES'!$A$9:$A$316,0),MATCH(CONCATENATE(AG$4,AG$5,AG$6,AG$7),'SHIP CURVES'!$A$9:$AZ$9,0))</f>
        <v>-1554083.23738435</v>
      </c>
      <c r="AF54" s="351" t="n">
        <f aca="false">-Y54*INDEX(port_processing_fee,MATCH(AC54,PORTS!$H$626:$H$933,0),MATCH(AG$5,PORTS!$H$626:$Z$626,0))</f>
        <v>-70339.5085132077</v>
      </c>
      <c r="AG54" s="352" t="n">
        <f aca="false">(((VLOOKUP(AC54,curvecalc,4,0))*IF(W54=0,0,AA54/W54)-INDEX(ship_curves,MATCH(AC54,'SHIP CURVES'!$A$9:$A$316,0),MATCH(CONCATENATE(AG$4,AG$5,AG$6,AG$7),'SHIP CURVES'!$A$9:$Z$9,0))-INDEX(terminal_curves,MATCH(AC54,'TERMINAL CURVES'!$A$4:$A$313,0),MATCH(AG$5,'TERMINAL CURVES'!$A$4:$N$4,0))*IF(W54=0,0,Y54/W54))-(AE$8)*((AE$7-$N$5)-(INDEX(ship_curves,MATCH(AC54,'SHIP CURVES'!$A$9:$A$316,0),MATCH(CONCATENATE(AG$4,AG$5,AG$6,AG$7),'SHIP CURVES'!$A$9:$Z$9,0))-INDEX(ship_curves,MATCH(AC54,'SHIP CURVES'!$A$9:$A$316,0),MATCH(CONCATENATE(AG$4,AE$6,AG$6,AG$7),'SHIP CURVES'!$A$9:$Z$9,0)))-(INDEX(terminal_curves,MATCH(AC54,'TERMINAL CURVES'!$A$4:$A$313,0),MATCH(AG$5,'TERMINAL CURVES'!$A$4:$N$4,0))-INDEX(terminal_curves,MATCH(AC54,'TERMINAL CURVES'!$A$4:$A$313,0),MATCH(AE$6,'TERMINAL CURVES'!$A$4:$N$4,0)))*IF(W54=0,0,Y54/W54)))*-W54</f>
        <v>-5522488.99289104</v>
      </c>
      <c r="AH54" s="356" t="n">
        <f aca="false">SUM(AE54:AG54)</f>
        <v>-7146911.7387886</v>
      </c>
      <c r="AI54" s="357" t="n">
        <f aca="false">(-Y54/((HLOOKUP(AG$5,port_specs,2,0)/(365.25))*(AC55-AC54)))*(INDEX(fixed_capacity_charge,MATCH(AC54,PORTS!$H$11:$H$317,0),MATCH(AG$5,PORTS!$H$11:$N$11,0))+INDEX(variable_om_charge,MATCH(AC54,PORTS!$H$318:$H$625,0),MATCH(AG$5,PORTS!$H$318:$N$318,0)))</f>
        <v>-459033.595504033</v>
      </c>
      <c r="AJ54" s="343" t="n">
        <f aca="false">+AI54+AH54</f>
        <v>-7605945.33429263</v>
      </c>
      <c r="AK54" s="355" t="n">
        <f aca="false">+AJ54+AD54</f>
        <v>49875.0513724089</v>
      </c>
      <c r="AM54" s="346" t="n">
        <f aca="false">+DATE(YEAR(AM53),MONTH(AM53)+1,1)</f>
        <v>37803</v>
      </c>
      <c r="AN54" s="327" t="n">
        <f aca="false">+AP54/(1-HLOOKUP(AO$6,SHIPS,7,0)*INDEX(LADEN_VOYAGE_DAYS,MATCH(CONCATENATE(AO$4,AO$5),LADEN_VOYAGE_ROUTES,0),MATCH(AO$6,LADEN_VOYAGE_SHIPS,0)))</f>
        <v>0</v>
      </c>
      <c r="AO54" s="347" t="n">
        <f aca="false">+AP54-AN54</f>
        <v>0</v>
      </c>
      <c r="AP54" s="348" t="n">
        <f aca="false">+IF(AND(AO$8&lt;=AM54,AO$9&gt;=AM54),+MIN($B54-SUMIF($H$17:AO$17,AP$17,$H54:AO54),((INDEX(ROUTE_PER_DAY_BY_SHIP,MATCH(CONCATENATE(AO$4,AO$5,AO$7),ROUTE_PER_DAY_ROUTES,0),MATCH(AO$6,ROUTE_PER_DAY_SHIPS,0))*(AM55-AM54))-(INDEX(ROUTE_PER_DAY_BY_SHIP,MATCH(CONCATENATE(AO$4,AO$5,AO$7),ROUTE_PER_DAY_ROUTES,0),MATCH(AO$6,ROUTE_PER_DAY_SHIPS,0))*(AM55-AM54))*HLOOKUP(AO$6,SHIPS,7,0)*INDEX(LADEN_VOYAGE_DAYS,MATCH(CONCATENATE(AO$4,AO$5,AO$7),LADEN_VOYAGE_ROUTES,0),MATCH(AO$6,LADEN_VOYAGE_SHIPS,0)))),0)</f>
        <v>0</v>
      </c>
      <c r="AQ54" s="349" t="n">
        <f aca="false">-(AP54)*PORTS!$I$6</f>
        <v>-0</v>
      </c>
      <c r="AR54" s="327" t="n">
        <f aca="false">+AP54+AQ54</f>
        <v>0</v>
      </c>
      <c r="AS54" s="333"/>
      <c r="AT54" s="346" t="n">
        <f aca="false">+DATE(YEAR(AT53),MONTH(AT53)+1,1)</f>
        <v>37803</v>
      </c>
      <c r="AU54" s="343" t="n">
        <f aca="false">+AR54*(VLOOKUP(AT54,CURVECALC!$C$6:$J$312,4,0)+AV$5)</f>
        <v>0</v>
      </c>
      <c r="AV54" s="350" t="n">
        <f aca="false">-AN54*INDEX(ship_curves,MATCH(AT54,'SHIP CURVES'!$A$9:$A$316,0),MATCH(CONCATENATE(AX$4,AX$5,AX$6,AX$7),'SHIP CURVES'!$A$9:$AZ$9,0))</f>
        <v>-0</v>
      </c>
      <c r="AW54" s="351" t="n">
        <f aca="false">-AP54*INDEX(port_processing_fee,MATCH(AT54,PORTS!$H$626:$H$933,0),MATCH(AX$5,PORTS!$H$626:$Z$626,0))</f>
        <v>-0</v>
      </c>
      <c r="AX54" s="352" t="n">
        <f aca="false">(((VLOOKUP(AT54,curvecalc,4,0))*IF(AN54=0,0,AR54/AN54)-INDEX(ship_curves,MATCH(AT54,'SHIP CURVES'!$A$9:$A$316,0),MATCH(CONCATENATE(AX$4,AX$5,AX$6,AX$7),'SHIP CURVES'!$A$9:$Z$9,0))-INDEX(terminal_curves,MATCH(AT54,'TERMINAL CURVES'!$A$4:$A$313,0),MATCH(AX$5,'TERMINAL CURVES'!$A$4:$N$4,0))*IF(AN54=0,0,AP54/AN54))-(AV$8)*((AV$7-$N$5)-(INDEX(ship_curves,MATCH(AT54,'SHIP CURVES'!$A$9:$A$316,0),MATCH(CONCATENATE(AX$4,AX$5,AX$6,AX$7),'SHIP CURVES'!$A$9:$Z$9,0))-INDEX(ship_curves,MATCH(AT54,'SHIP CURVES'!$A$9:$A$316,0),MATCH(CONCATENATE(AX$4,AV$6,AX$6,AX$7),'SHIP CURVES'!$A$9:$Z$9,0)))-(INDEX(terminal_curves,MATCH(AT54,'TERMINAL CURVES'!$A$4:$A$313,0),MATCH(AX$5,'TERMINAL CURVES'!$A$4:$N$4,0))-INDEX(terminal_curves,MATCH(AT54,'TERMINAL CURVES'!$A$4:$A$313,0),MATCH(AV$6,'TERMINAL CURVES'!$A$4:$N$4,0)))*IF(AN54=0,0,AP54/AN54)))*-AN54</f>
        <v>0</v>
      </c>
      <c r="AY54" s="356" t="n">
        <f aca="false">SUM(AV54:AX54)</f>
        <v>0</v>
      </c>
      <c r="AZ54" s="357" t="n">
        <f aca="false">(-AP54/((HLOOKUP(AX$5,port_specs,2,0)/(365.25))*(AT55-AT54)))*(INDEX(fixed_capacity_charge,MATCH(AT54,PORTS!$H$11:$H$317,0),MATCH(AX$5,PORTS!$H$11:$N$11,0))+INDEX(variable_om_charge,MATCH(AT54,PORTS!$H$318:$H$625,0),MATCH(AX$5,PORTS!$H$318:$N$318,0)))</f>
        <v>-0</v>
      </c>
      <c r="BA54" s="343" t="n">
        <f aca="false">+AZ54+AY54</f>
        <v>0</v>
      </c>
      <c r="BB54" s="355" t="n">
        <f aca="false">+BA54+AU54</f>
        <v>0</v>
      </c>
      <c r="BC54" s="99"/>
      <c r="BD54" s="357" t="n">
        <f aca="false">+PORTS!I48+PORTS!I356</f>
        <v>958217.876265016</v>
      </c>
    </row>
    <row r="55" customFormat="false" ht="12.75" hidden="false" customHeight="false" outlineLevel="0" collapsed="false">
      <c r="A55" s="346" t="n">
        <f aca="false">+DATE(YEAR(A54),MONTH(A54)+1,1)</f>
        <v>37834</v>
      </c>
      <c r="B55" s="327" t="n">
        <f aca="false">+IF(AND($A55&gt;=$C$8,$A55&lt;=$C$9),1,0)*PORTS!$I$5/(365.25)*(A56-A55)</f>
        <v>5339105.98184763</v>
      </c>
      <c r="C55" s="328" t="n">
        <f aca="false">+B55-(SUMIF($F$17:$IV$17,$H$17,$F55:$IV55))</f>
        <v>0</v>
      </c>
      <c r="D55" s="0" t="n">
        <f aca="false">+YEAR(E55)</f>
        <v>2003</v>
      </c>
      <c r="E55" s="346" t="n">
        <f aca="false">+DATE(YEAR(E54),MONTH(E54)+1,1)</f>
        <v>37834</v>
      </c>
      <c r="F55" s="327" t="n">
        <f aca="false">+IF(AND(G$8&lt;=E55,G$9&gt;=E55),INDEX(ROUTE_PER_DAY_BY_SHIP,MATCH(CONCATENATE(G$4,G$5,G$7),ROUTE_PER_DAY_ROUTES,0),MATCH(G$6,ROUTE_PER_DAY_SHIPS,0))*(E56-E55),0)</f>
        <v>2876329.92727273</v>
      </c>
      <c r="G55" s="347" t="n">
        <f aca="false">-F55*HLOOKUP(G$6,SHIPS,7,0)*INDEX(LADEN_VOYAGE_DAYS,MATCH(CONCATENATE(G$4,G$5,G$7),LADEN_VOYAGE_ROUTES,0),MATCH(G$6,LADEN_VOYAGE_SHIPS,0))</f>
        <v>-94918.8876</v>
      </c>
      <c r="H55" s="348" t="n">
        <f aca="false">SUM(F55:G55)</f>
        <v>2781411.03967273</v>
      </c>
      <c r="I55" s="349" t="n">
        <f aca="false">-(H55)*HLOOKUP(G$5,TERMINAL_CHARGES,3,0)</f>
        <v>-69535.2759918182</v>
      </c>
      <c r="J55" s="327" t="n">
        <f aca="false">+H55+I55</f>
        <v>2711875.76368091</v>
      </c>
      <c r="K55" s="333"/>
      <c r="L55" s="346" t="n">
        <f aca="false">+DATE(YEAR(L54),MONTH(L54)+1,1)</f>
        <v>37834</v>
      </c>
      <c r="M55" s="334" t="n">
        <f aca="false">+J55*(VLOOKUP(L55,CURVECALC!$C$6:$J$312,4,0)+N$5)</f>
        <v>8488171.14032124</v>
      </c>
      <c r="N55" s="350" t="n">
        <f aca="false">-F55*INDEX(ship_curves,MATCH(L55,'SHIP CURVES'!$A$9:$A$316,0),MATCH(CONCATENATE(P$4,P$5,P$6,P$7),'SHIP CURVES'!$A$9:$AZ$9,0))</f>
        <v>-1722540.50638861</v>
      </c>
      <c r="O55" s="351" t="n">
        <f aca="false">-H55*INDEX(port_processing_fee,MATCH(L55,PORTS!$H$626:$H$933,0),MATCH(P$5,PORTS!$H$626:$Z$626,0))</f>
        <v>-76571.633760978</v>
      </c>
      <c r="P55" s="352" t="n">
        <f aca="false">(((VLOOKUP(L55,curvecalc,4,0))*IF(F55=0,0,J55/F55)-INDEX(ship_curves,MATCH(L55,'SHIP CURVES'!$A$9:$A$316,0),MATCH(CONCATENATE(P$4,P$5,P$6,P$7),'SHIP CURVES'!$A$9:$Z$9,0))-INDEX(terminal_curves,MATCH(L55,'TERMINAL CURVES'!$A$4:$A$313,0),MATCH(P$5,'TERMINAL CURVES'!$A$4:$N$4,0))*IF(F55=0,0,H55/F55))-(N$8)*((N$7-$N$5)-(INDEX(ship_curves,MATCH(L55,'SHIP CURVES'!$A$9:$A$316,0),MATCH(CONCATENATE(P$4,P$5,P$6,P$7),'SHIP CURVES'!$A$9:$Z$9,0))-INDEX(ship_curves,MATCH(L55,'SHIP CURVES'!$A$9:$A$316,0),MATCH(CONCATENATE(P$4,N$6,P$6,P$7),'SHIP CURVES'!$A$9:$Z$9,0)))-(INDEX(terminal_curves,MATCH(L55,'TERMINAL CURVES'!$A$4:$A$313,0),MATCH(P$5,'TERMINAL CURVES'!$A$4:$N$4,0))-INDEX(terminal_curves,MATCH(L55,'TERMINAL CURVES'!$A$4:$A$313,0),MATCH(N$6,'TERMINAL CURVES'!$A$4:$N$4,0)))*IF(F55=0,0,H55/F55)))*-F55</f>
        <v>-6135380.51039405</v>
      </c>
      <c r="Q55" s="353" t="n">
        <f aca="false">SUM(N55:P55)</f>
        <v>-7934492.65054364</v>
      </c>
      <c r="R55" s="357" t="n">
        <f aca="false">(-H55/((HLOOKUP(P$5,port_specs,2,0)/(365.25))*(L56-L55)))*(INDEX(fixed_capacity_charge,MATCH(L55,PORTS!$H$11:$H$317,0),MATCH(P$5,PORTS!$H$11:$N$11,0))+INDEX(variable_om_charge,MATCH(L55,PORTS!$H$318:$H$625,0),MATCH(P$5,PORTS!$H$318:$N$318,0)))</f>
        <v>-499440.974503987</v>
      </c>
      <c r="S55" s="343" t="n">
        <f aca="false">+R55+Q55</f>
        <v>-8433933.62504763</v>
      </c>
      <c r="T55" s="355" t="n">
        <f aca="false">+S55+M55</f>
        <v>54237.5152736176</v>
      </c>
      <c r="U55" s="342"/>
      <c r="V55" s="346" t="n">
        <f aca="false">+DATE(YEAR(V54),MONTH(V54)+1,1)</f>
        <v>37834</v>
      </c>
      <c r="W55" s="327" t="n">
        <f aca="false">+Y55/(1-HLOOKUP(X$6,SHIPS,7,0)*INDEX(LADEN_VOYAGE_DAYS,MATCH(CONCATENATE(X$4,X$5),LADEN_VOYAGE_ROUTES,0),MATCH(X$6,LADEN_VOYAGE_SHIPS,0)))</f>
        <v>2604577.33419033</v>
      </c>
      <c r="X55" s="347" t="n">
        <f aca="false">+Y55-W55</f>
        <v>-46882.392015426</v>
      </c>
      <c r="Y55" s="348" t="n">
        <f aca="false">+IF(AND(X$8&lt;=V55,X$9&gt;=V55),+MIN($B55-SUMIF($H$17:X$17,Y$17,$H55:X55),((INDEX(ROUTE_PER_DAY_BY_SHIP,MATCH(CONCATENATE(X$4,X$5,X$7),ROUTE_PER_DAY_ROUTES,0),MATCH(X$6,ROUTE_PER_DAY_SHIPS,0))*(V56-V55))-(INDEX(ROUTE_PER_DAY_BY_SHIP,MATCH(CONCATENATE(X$4,X$5,X$7),ROUTE_PER_DAY_ROUTES,0),MATCH(X$6,ROUTE_PER_DAY_SHIPS,0))*(V56-V55))*HLOOKUP(X$6,SHIPS,7,0)*INDEX(LADEN_VOYAGE_DAYS,MATCH(CONCATENATE(X$4,X$5,X$7),LADEN_VOYAGE_ROUTES,0),MATCH(X$6,LADEN_VOYAGE_SHIPS,0)))),0)</f>
        <v>2557694.94217491</v>
      </c>
      <c r="Z55" s="349" t="n">
        <f aca="false">-(Y55)*HLOOKUP(X$5,TERMINAL_CHARGES,3,0)</f>
        <v>-63942.3735543727</v>
      </c>
      <c r="AA55" s="327" t="n">
        <f aca="false">+Y55+Z55</f>
        <v>2493752.56862053</v>
      </c>
      <c r="AB55" s="333"/>
      <c r="AC55" s="346" t="n">
        <f aca="false">+DATE(YEAR(AC54),MONTH(AC54)+1,1)</f>
        <v>37834</v>
      </c>
      <c r="AD55" s="343" t="n">
        <f aca="false">+AA55*(VLOOKUP(AC55,CURVECALC!$C$6:$J$312,4,0)+AE$5)</f>
        <v>7805445.53978227</v>
      </c>
      <c r="AE55" s="350" t="n">
        <f aca="false">-W55*INDEX(ship_curves,MATCH(AC55,'SHIP CURVES'!$A$9:$A$316,0),MATCH(CONCATENATE(AG$4,AG$5,AG$6,AG$7),'SHIP CURVES'!$A$9:$AZ$9,0))</f>
        <v>-1554470.42796677</v>
      </c>
      <c r="AF55" s="351" t="n">
        <f aca="false">-Y55*INDEX(port_processing_fee,MATCH(AC55,PORTS!$H$626:$H$933,0),MATCH(AG$5,PORTS!$H$626:$Z$626,0))</f>
        <v>-70412.7788345756</v>
      </c>
      <c r="AG55" s="352" t="n">
        <f aca="false">(((VLOOKUP(AC55,curvecalc,4,0))*IF(W55=0,0,AA55/W55)-INDEX(ship_curves,MATCH(AC55,'SHIP CURVES'!$A$9:$A$316,0),MATCH(CONCATENATE(AG$4,AG$5,AG$6,AG$7),'SHIP CURVES'!$A$9:$Z$9,0))-INDEX(terminal_curves,MATCH(AC55,'TERMINAL CURVES'!$A$4:$A$313,0),MATCH(AG$5,'TERMINAL CURVES'!$A$4:$N$4,0))*IF(W55=0,0,Y55/W55))-(AE$8)*((AE$7-$N$5)-(INDEX(ship_curves,MATCH(AC55,'SHIP CURVES'!$A$9:$A$316,0),MATCH(CONCATENATE(AG$4,AG$5,AG$6,AG$7),'SHIP CURVES'!$A$9:$Z$9,0))-INDEX(ship_curves,MATCH(AC55,'SHIP CURVES'!$A$9:$A$316,0),MATCH(CONCATENATE(AG$4,AE$6,AG$6,AG$7),'SHIP CURVES'!$A$9:$Z$9,0)))-(INDEX(terminal_curves,MATCH(AC55,'TERMINAL CURVES'!$A$4:$A$313,0),MATCH(AG$5,'TERMINAL CURVES'!$A$4:$N$4,0))-INDEX(terminal_curves,MATCH(AC55,'TERMINAL CURVES'!$A$4:$A$313,0),MATCH(AE$6,'TERMINAL CURVES'!$A$4:$N$4,0)))*IF(W55=0,0,Y55/W55)))*-W55</f>
        <v>-5671417.63890441</v>
      </c>
      <c r="AH55" s="356" t="n">
        <f aca="false">SUM(AE55:AG55)</f>
        <v>-7296300.84570575</v>
      </c>
      <c r="AI55" s="357" t="n">
        <f aca="false">(-Y55/((HLOOKUP(AG$5,port_specs,2,0)/(365.25))*(AC56-AC55)))*(INDEX(fixed_capacity_charge,MATCH(AC55,PORTS!$H$11:$H$317,0),MATCH(AG$5,PORTS!$H$11:$N$11,0))+INDEX(variable_om_charge,MATCH(AC55,PORTS!$H$318:$H$625,0),MATCH(AG$5,PORTS!$H$318:$N$318,0)))</f>
        <v>-459269.642704108</v>
      </c>
      <c r="AJ55" s="343" t="n">
        <f aca="false">+AI55+AH55</f>
        <v>-7755570.48840986</v>
      </c>
      <c r="AK55" s="355" t="n">
        <f aca="false">+AJ55+AD55</f>
        <v>49875.0513724098</v>
      </c>
      <c r="AM55" s="346" t="n">
        <f aca="false">+DATE(YEAR(AM54),MONTH(AM54)+1,1)</f>
        <v>37834</v>
      </c>
      <c r="AN55" s="327" t="n">
        <f aca="false">+AP55/(1-HLOOKUP(AO$6,SHIPS,7,0)*INDEX(LADEN_VOYAGE_DAYS,MATCH(CONCATENATE(AO$4,AO$5),LADEN_VOYAGE_ROUTES,0),MATCH(AO$6,LADEN_VOYAGE_SHIPS,0)))</f>
        <v>0</v>
      </c>
      <c r="AO55" s="347" t="n">
        <f aca="false">+AP55-AN55</f>
        <v>0</v>
      </c>
      <c r="AP55" s="348" t="n">
        <f aca="false">+IF(AND(AO$8&lt;=AM55,AO$9&gt;=AM55),+MIN($B55-SUMIF($H$17:AO$17,AP$17,$H55:AO55),((INDEX(ROUTE_PER_DAY_BY_SHIP,MATCH(CONCATENATE(AO$4,AO$5,AO$7),ROUTE_PER_DAY_ROUTES,0),MATCH(AO$6,ROUTE_PER_DAY_SHIPS,0))*(AM56-AM55))-(INDEX(ROUTE_PER_DAY_BY_SHIP,MATCH(CONCATENATE(AO$4,AO$5,AO$7),ROUTE_PER_DAY_ROUTES,0),MATCH(AO$6,ROUTE_PER_DAY_SHIPS,0))*(AM56-AM55))*HLOOKUP(AO$6,SHIPS,7,0)*INDEX(LADEN_VOYAGE_DAYS,MATCH(CONCATENATE(AO$4,AO$5,AO$7),LADEN_VOYAGE_ROUTES,0),MATCH(AO$6,LADEN_VOYAGE_SHIPS,0)))),0)</f>
        <v>0</v>
      </c>
      <c r="AQ55" s="349" t="n">
        <f aca="false">-(AP55)*PORTS!$I$6</f>
        <v>-0</v>
      </c>
      <c r="AR55" s="327" t="n">
        <f aca="false">+AP55+AQ55</f>
        <v>0</v>
      </c>
      <c r="AS55" s="333"/>
      <c r="AT55" s="346" t="n">
        <f aca="false">+DATE(YEAR(AT54),MONTH(AT54)+1,1)</f>
        <v>37834</v>
      </c>
      <c r="AU55" s="343" t="n">
        <f aca="false">+AR55*(VLOOKUP(AT55,CURVECALC!$C$6:$J$312,4,0)+AV$5)</f>
        <v>0</v>
      </c>
      <c r="AV55" s="350" t="n">
        <f aca="false">-AN55*INDEX(ship_curves,MATCH(AT55,'SHIP CURVES'!$A$9:$A$316,0),MATCH(CONCATENATE(AX$4,AX$5,AX$6,AX$7),'SHIP CURVES'!$A$9:$AZ$9,0))</f>
        <v>-0</v>
      </c>
      <c r="AW55" s="351" t="n">
        <f aca="false">-AP55*INDEX(port_processing_fee,MATCH(AT55,PORTS!$H$626:$H$933,0),MATCH(AX$5,PORTS!$H$626:$Z$626,0))</f>
        <v>-0</v>
      </c>
      <c r="AX55" s="352" t="n">
        <f aca="false">(((VLOOKUP(AT55,curvecalc,4,0))*IF(AN55=0,0,AR55/AN55)-INDEX(ship_curves,MATCH(AT55,'SHIP CURVES'!$A$9:$A$316,0),MATCH(CONCATENATE(AX$4,AX$5,AX$6,AX$7),'SHIP CURVES'!$A$9:$Z$9,0))-INDEX(terminal_curves,MATCH(AT55,'TERMINAL CURVES'!$A$4:$A$313,0),MATCH(AX$5,'TERMINAL CURVES'!$A$4:$N$4,0))*IF(AN55=0,0,AP55/AN55))-(AV$8)*((AV$7-$N$5)-(INDEX(ship_curves,MATCH(AT55,'SHIP CURVES'!$A$9:$A$316,0),MATCH(CONCATENATE(AX$4,AX$5,AX$6,AX$7),'SHIP CURVES'!$A$9:$Z$9,0))-INDEX(ship_curves,MATCH(AT55,'SHIP CURVES'!$A$9:$A$316,0),MATCH(CONCATENATE(AX$4,AV$6,AX$6,AX$7),'SHIP CURVES'!$A$9:$Z$9,0)))-(INDEX(terminal_curves,MATCH(AT55,'TERMINAL CURVES'!$A$4:$A$313,0),MATCH(AX$5,'TERMINAL CURVES'!$A$4:$N$4,0))-INDEX(terminal_curves,MATCH(AT55,'TERMINAL CURVES'!$A$4:$A$313,0),MATCH(AV$6,'TERMINAL CURVES'!$A$4:$N$4,0)))*IF(AN55=0,0,AP55/AN55)))*-AN55</f>
        <v>0</v>
      </c>
      <c r="AY55" s="356" t="n">
        <f aca="false">SUM(AV55:AX55)</f>
        <v>0</v>
      </c>
      <c r="AZ55" s="357" t="n">
        <f aca="false">(-AP55/((HLOOKUP(AX$5,port_specs,2,0)/(365.25))*(AT56-AT55)))*(INDEX(fixed_capacity_charge,MATCH(AT55,PORTS!$H$11:$H$317,0),MATCH(AX$5,PORTS!$H$11:$N$11,0))+INDEX(variable_om_charge,MATCH(AT55,PORTS!$H$318:$H$625,0),MATCH(AX$5,PORTS!$H$318:$N$318,0)))</f>
        <v>-0</v>
      </c>
      <c r="BA55" s="343" t="n">
        <f aca="false">+AZ55+AY55</f>
        <v>0</v>
      </c>
      <c r="BB55" s="355" t="n">
        <f aca="false">+BA55+AU55</f>
        <v>0</v>
      </c>
      <c r="BC55" s="99"/>
      <c r="BD55" s="357" t="n">
        <f aca="false">+PORTS!I49+PORTS!I357</f>
        <v>958710.617208095</v>
      </c>
    </row>
    <row r="56" customFormat="false" ht="12.75" hidden="false" customHeight="false" outlineLevel="0" collapsed="false">
      <c r="A56" s="346" t="n">
        <f aca="false">+DATE(YEAR(A55),MONTH(A55)+1,1)</f>
        <v>37865</v>
      </c>
      <c r="B56" s="327" t="n">
        <f aca="false">+IF(AND($A56&gt;=$C$8,$A56&lt;=$C$9),1,0)*PORTS!$I$5/(365.25)*(A57-A56)</f>
        <v>5166876.75662674</v>
      </c>
      <c r="C56" s="328" t="n">
        <f aca="false">+B56-(SUMIF($F$17:$IV$17,$H$17,$F56:$IV56))</f>
        <v>0</v>
      </c>
      <c r="D56" s="0" t="n">
        <f aca="false">+YEAR(E56)</f>
        <v>2003</v>
      </c>
      <c r="E56" s="346" t="n">
        <f aca="false">+DATE(YEAR(E55),MONTH(E55)+1,1)</f>
        <v>37865</v>
      </c>
      <c r="F56" s="327" t="n">
        <f aca="false">+IF(AND(G$8&lt;=E56,G$9&gt;=E56),INDEX(ROUTE_PER_DAY_BY_SHIP,MATCH(CONCATENATE(G$4,G$5,G$7),ROUTE_PER_DAY_ROUTES,0),MATCH(G$6,ROUTE_PER_DAY_SHIPS,0))*(E57-E56),0)</f>
        <v>2783545.09090909</v>
      </c>
      <c r="G56" s="347" t="n">
        <f aca="false">-F56*HLOOKUP(G$6,SHIPS,7,0)*INDEX(LADEN_VOYAGE_DAYS,MATCH(CONCATENATE(G$4,G$5,G$7),LADEN_VOYAGE_ROUTES,0),MATCH(G$6,LADEN_VOYAGE_SHIPS,0))</f>
        <v>-91856.988</v>
      </c>
      <c r="H56" s="348" t="n">
        <f aca="false">SUM(F56:G56)</f>
        <v>2691688.10290909</v>
      </c>
      <c r="I56" s="349" t="n">
        <f aca="false">-(H56)*HLOOKUP(G$5,TERMINAL_CHARGES,3,0)</f>
        <v>-67292.2025727273</v>
      </c>
      <c r="J56" s="327" t="n">
        <f aca="false">+H56+I56</f>
        <v>2624395.90033636</v>
      </c>
      <c r="K56" s="333"/>
      <c r="L56" s="346" t="n">
        <f aca="false">+DATE(YEAR(L55),MONTH(L55)+1,1)</f>
        <v>37865</v>
      </c>
      <c r="M56" s="334" t="n">
        <f aca="false">+J56*(VLOOKUP(L56,CURVECALC!$C$6:$J$312,4,0)+N$5)</f>
        <v>8188115.20904946</v>
      </c>
      <c r="N56" s="350" t="n">
        <f aca="false">-F56*INDEX(ship_curves,MATCH(L56,'SHIP CURVES'!$A$9:$A$316,0),MATCH(CONCATENATE(P$4,P$5,P$6,P$7),'SHIP CURVES'!$A$9:$AZ$9,0))</f>
        <v>-1667906.05569935</v>
      </c>
      <c r="O56" s="351" t="n">
        <f aca="false">-H56*INDEX(port_processing_fee,MATCH(L56,PORTS!$H$626:$H$933,0),MATCH(P$5,PORTS!$H$626:$Z$626,0))</f>
        <v>-74178.7702059475</v>
      </c>
      <c r="P56" s="352" t="n">
        <f aca="false">(((VLOOKUP(L56,curvecalc,4,0))*IF(F56=0,0,J56/F56)-INDEX(ship_curves,MATCH(L56,'SHIP CURVES'!$A$9:$A$316,0),MATCH(CONCATENATE(P$4,P$5,P$6,P$7),'SHIP CURVES'!$A$9:$Z$9,0))-INDEX(terminal_curves,MATCH(L56,'TERMINAL CURVES'!$A$4:$A$313,0),MATCH(P$5,'TERMINAL CURVES'!$A$4:$N$4,0))*IF(F56=0,0,H56/F56))-(N$8)*((N$7-$N$5)-(INDEX(ship_curves,MATCH(L56,'SHIP CURVES'!$A$9:$A$316,0),MATCH(CONCATENATE(P$4,P$5,P$6,P$7),'SHIP CURVES'!$A$9:$Z$9,0))-INDEX(ship_curves,MATCH(L56,'SHIP CURVES'!$A$9:$A$316,0),MATCH(CONCATENATE(P$4,N$6,P$6,P$7),'SHIP CURVES'!$A$9:$Z$9,0)))-(INDEX(terminal_curves,MATCH(L56,'TERMINAL CURVES'!$A$4:$A$313,0),MATCH(P$5,'TERMINAL CURVES'!$A$4:$N$4,0))-INDEX(terminal_curves,MATCH(L56,'TERMINAL CURVES'!$A$4:$A$313,0),MATCH(N$6,'TERMINAL CURVES'!$A$4:$N$4,0)))*IF(F56=0,0,H56/F56)))*-F56</f>
        <v>-5893844.52950113</v>
      </c>
      <c r="Q56" s="353" t="n">
        <f aca="false">SUM(N56:P56)</f>
        <v>-7635929.35540642</v>
      </c>
      <c r="R56" s="357" t="n">
        <f aca="false">(-H56/((HLOOKUP(P$5,port_specs,2,0)/(365.25))*(L57-L56)))*(INDEX(fixed_capacity_charge,MATCH(L56,PORTS!$H$11:$H$317,0),MATCH(P$5,PORTS!$H$11:$N$11,0))+INDEX(variable_om_charge,MATCH(L56,PORTS!$H$318:$H$625,0),MATCH(P$5,PORTS!$H$318:$N$318,0)))</f>
        <v>-499697.935636308</v>
      </c>
      <c r="S56" s="343" t="n">
        <f aca="false">+R56+Q56</f>
        <v>-8135627.29104273</v>
      </c>
      <c r="T56" s="355" t="n">
        <f aca="false">+S56+M56</f>
        <v>52487.9180067275</v>
      </c>
      <c r="U56" s="342"/>
      <c r="V56" s="346" t="n">
        <f aca="false">+DATE(YEAR(V55),MONTH(V55)+1,1)</f>
        <v>37865</v>
      </c>
      <c r="W56" s="327" t="n">
        <f aca="false">+Y56/(1-HLOOKUP(X$6,SHIPS,7,0)*INDEX(LADEN_VOYAGE_DAYS,MATCH(CONCATENATE(X$4,X$5),LADEN_VOYAGE_ROUTES,0),MATCH(X$6,LADEN_VOYAGE_SHIPS,0)))</f>
        <v>2520558.71050677</v>
      </c>
      <c r="X56" s="347" t="n">
        <f aca="false">+Y56-W56</f>
        <v>-45370.0567891221</v>
      </c>
      <c r="Y56" s="348" t="n">
        <f aca="false">+IF(AND(X$8&lt;=V56,X$9&gt;=V56),+MIN($B56-SUMIF($H$17:X$17,Y$17,$H56:X56),((INDEX(ROUTE_PER_DAY_BY_SHIP,MATCH(CONCATENATE(X$4,X$5,X$7),ROUTE_PER_DAY_ROUTES,0),MATCH(X$6,ROUTE_PER_DAY_SHIPS,0))*(V57-V56))-(INDEX(ROUTE_PER_DAY_BY_SHIP,MATCH(CONCATENATE(X$4,X$5,X$7),ROUTE_PER_DAY_ROUTES,0),MATCH(X$6,ROUTE_PER_DAY_SHIPS,0))*(V57-V56))*HLOOKUP(X$6,SHIPS,7,0)*INDEX(LADEN_VOYAGE_DAYS,MATCH(CONCATENATE(X$4,X$5,X$7),LADEN_VOYAGE_ROUTES,0),MATCH(X$6,LADEN_VOYAGE_SHIPS,0)))),0)</f>
        <v>2475188.65371765</v>
      </c>
      <c r="Z56" s="349" t="n">
        <f aca="false">-(Y56)*HLOOKUP(X$5,TERMINAL_CHARGES,3,0)</f>
        <v>-61879.7163429413</v>
      </c>
      <c r="AA56" s="327" t="n">
        <f aca="false">+Y56+Z56</f>
        <v>2413308.93737471</v>
      </c>
      <c r="AB56" s="333"/>
      <c r="AC56" s="346" t="n">
        <f aca="false">+DATE(YEAR(AC55),MONTH(AC55)+1,1)</f>
        <v>37865</v>
      </c>
      <c r="AD56" s="343" t="n">
        <f aca="false">+AA56*(VLOOKUP(AC56,CURVECALC!$C$6:$J$312,4,0)+AE$5)</f>
        <v>7529523.88460909</v>
      </c>
      <c r="AE56" s="350" t="n">
        <f aca="false">-W56*INDEX(ship_curves,MATCH(AC56,'SHIP CURVES'!$A$9:$A$316,0),MATCH(CONCATENATE(AG$4,AG$5,AG$6,AG$7),'SHIP CURVES'!$A$9:$AZ$9,0))</f>
        <v>-1504701.70180281</v>
      </c>
      <c r="AF56" s="351" t="n">
        <f aca="false">-Y56*INDEX(port_processing_fee,MATCH(AC56,PORTS!$H$626:$H$933,0),MATCH(AG$5,PORTS!$H$626:$Z$626,0))</f>
        <v>-68212.3794959951</v>
      </c>
      <c r="AG56" s="352" t="n">
        <f aca="false">(((VLOOKUP(AC56,curvecalc,4,0))*IF(W56=0,0,AA56/W56)-INDEX(ship_curves,MATCH(AC56,'SHIP CURVES'!$A$9:$A$316,0),MATCH(CONCATENATE(AG$4,AG$5,AG$6,AG$7),'SHIP CURVES'!$A$9:$Z$9,0))-INDEX(terminal_curves,MATCH(AC56,'TERMINAL CURVES'!$A$4:$A$313,0),MATCH(AG$5,'TERMINAL CURVES'!$A$4:$N$4,0))*IF(W56=0,0,Y56/W56))-(AE$8)*((AE$7-$N$5)-(INDEX(ship_curves,MATCH(AC56,'SHIP CURVES'!$A$9:$A$316,0),MATCH(CONCATENATE(AG$4,AG$5,AG$6,AG$7),'SHIP CURVES'!$A$9:$Z$9,0))-INDEX(ship_curves,MATCH(AC56,'SHIP CURVES'!$A$9:$A$316,0),MATCH(CONCATENATE(AG$4,AE$6,AG$6,AG$7),'SHIP CURVES'!$A$9:$Z$9,0)))-(INDEX(terminal_curves,MATCH(AC56,'TERMINAL CURVES'!$A$4:$A$313,0),MATCH(AG$5,'TERMINAL CURVES'!$A$4:$N$4,0))-INDEX(terminal_curves,MATCH(AC56,'TERMINAL CURVES'!$A$4:$A$313,0),MATCH(AE$6,'TERMINAL CURVES'!$A$4:$N$4,0)))*IF(W56=0,0,Y56/W56)))*-W56</f>
        <v>-5448837.68877612</v>
      </c>
      <c r="AH56" s="356" t="n">
        <f aca="false">SUM(AE56:AG56)</f>
        <v>-7021751.77007492</v>
      </c>
      <c r="AI56" s="357" t="n">
        <f aca="false">(-Y56/((HLOOKUP(AG$5,port_specs,2,0)/(365.25))*(AC57-AC56)))*(INDEX(fixed_capacity_charge,MATCH(AC56,PORTS!$H$11:$H$317,0),MATCH(AG$5,PORTS!$H$11:$N$11,0))+INDEX(variable_om_charge,MATCH(AC56,PORTS!$H$318:$H$625,0),MATCH(AG$5,PORTS!$H$318:$N$318,0)))</f>
        <v>-459505.935786683</v>
      </c>
      <c r="AJ56" s="343" t="n">
        <f aca="false">+AI56+AH56</f>
        <v>-7481257.7058616</v>
      </c>
      <c r="AK56" s="355" t="n">
        <f aca="false">+AJ56+AD56</f>
        <v>48266.1787474938</v>
      </c>
      <c r="AM56" s="346" t="n">
        <f aca="false">+DATE(YEAR(AM55),MONTH(AM55)+1,1)</f>
        <v>37865</v>
      </c>
      <c r="AN56" s="327" t="n">
        <f aca="false">+AP56/(1-HLOOKUP(AO$6,SHIPS,7,0)*INDEX(LADEN_VOYAGE_DAYS,MATCH(CONCATENATE(AO$4,AO$5),LADEN_VOYAGE_ROUTES,0),MATCH(AO$6,LADEN_VOYAGE_SHIPS,0)))</f>
        <v>0</v>
      </c>
      <c r="AO56" s="347" t="n">
        <f aca="false">+AP56-AN56</f>
        <v>0</v>
      </c>
      <c r="AP56" s="348" t="n">
        <f aca="false">+IF(AND(AO$8&lt;=AM56,AO$9&gt;=AM56),+MIN($B56-SUMIF($H$17:AO$17,AP$17,$H56:AO56),((INDEX(ROUTE_PER_DAY_BY_SHIP,MATCH(CONCATENATE(AO$4,AO$5,AO$7),ROUTE_PER_DAY_ROUTES,0),MATCH(AO$6,ROUTE_PER_DAY_SHIPS,0))*(AM57-AM56))-(INDEX(ROUTE_PER_DAY_BY_SHIP,MATCH(CONCATENATE(AO$4,AO$5,AO$7),ROUTE_PER_DAY_ROUTES,0),MATCH(AO$6,ROUTE_PER_DAY_SHIPS,0))*(AM57-AM56))*HLOOKUP(AO$6,SHIPS,7,0)*INDEX(LADEN_VOYAGE_DAYS,MATCH(CONCATENATE(AO$4,AO$5,AO$7),LADEN_VOYAGE_ROUTES,0),MATCH(AO$6,LADEN_VOYAGE_SHIPS,0)))),0)</f>
        <v>0</v>
      </c>
      <c r="AQ56" s="349" t="n">
        <f aca="false">-(AP56)*PORTS!$I$6</f>
        <v>-0</v>
      </c>
      <c r="AR56" s="327" t="n">
        <f aca="false">+AP56+AQ56</f>
        <v>0</v>
      </c>
      <c r="AS56" s="333"/>
      <c r="AT56" s="346" t="n">
        <f aca="false">+DATE(YEAR(AT55),MONTH(AT55)+1,1)</f>
        <v>37865</v>
      </c>
      <c r="AU56" s="343" t="n">
        <f aca="false">+AR56*(VLOOKUP(AT56,CURVECALC!$C$6:$J$312,4,0)+AV$5)</f>
        <v>0</v>
      </c>
      <c r="AV56" s="350" t="n">
        <f aca="false">-AN56*INDEX(ship_curves,MATCH(AT56,'SHIP CURVES'!$A$9:$A$316,0),MATCH(CONCATENATE(AX$4,AX$5,AX$6,AX$7),'SHIP CURVES'!$A$9:$AZ$9,0))</f>
        <v>-0</v>
      </c>
      <c r="AW56" s="351" t="n">
        <f aca="false">-AP56*INDEX(port_processing_fee,MATCH(AT56,PORTS!$H$626:$H$933,0),MATCH(AX$5,PORTS!$H$626:$Z$626,0))</f>
        <v>-0</v>
      </c>
      <c r="AX56" s="352" t="n">
        <f aca="false">(((VLOOKUP(AT56,curvecalc,4,0))*IF(AN56=0,0,AR56/AN56)-INDEX(ship_curves,MATCH(AT56,'SHIP CURVES'!$A$9:$A$316,0),MATCH(CONCATENATE(AX$4,AX$5,AX$6,AX$7),'SHIP CURVES'!$A$9:$Z$9,0))-INDEX(terminal_curves,MATCH(AT56,'TERMINAL CURVES'!$A$4:$A$313,0),MATCH(AX$5,'TERMINAL CURVES'!$A$4:$N$4,0))*IF(AN56=0,0,AP56/AN56))-(AV$8)*((AV$7-$N$5)-(INDEX(ship_curves,MATCH(AT56,'SHIP CURVES'!$A$9:$A$316,0),MATCH(CONCATENATE(AX$4,AX$5,AX$6,AX$7),'SHIP CURVES'!$A$9:$Z$9,0))-INDEX(ship_curves,MATCH(AT56,'SHIP CURVES'!$A$9:$A$316,0),MATCH(CONCATENATE(AX$4,AV$6,AX$6,AX$7),'SHIP CURVES'!$A$9:$Z$9,0)))-(INDEX(terminal_curves,MATCH(AT56,'TERMINAL CURVES'!$A$4:$A$313,0),MATCH(AX$5,'TERMINAL CURVES'!$A$4:$N$4,0))-INDEX(terminal_curves,MATCH(AT56,'TERMINAL CURVES'!$A$4:$A$313,0),MATCH(AV$6,'TERMINAL CURVES'!$A$4:$N$4,0)))*IF(AN56=0,0,AP56/AN56)))*-AN56</f>
        <v>0</v>
      </c>
      <c r="AY56" s="356" t="n">
        <f aca="false">SUM(AV56:AX56)</f>
        <v>0</v>
      </c>
      <c r="AZ56" s="357" t="n">
        <f aca="false">(-AP56/((HLOOKUP(AX$5,port_specs,2,0)/(365.25))*(AT57-AT56)))*(INDEX(fixed_capacity_charge,MATCH(AT56,PORTS!$H$11:$H$317,0),MATCH(AX$5,PORTS!$H$11:$N$11,0))+INDEX(variable_om_charge,MATCH(AT56,PORTS!$H$318:$H$625,0),MATCH(AX$5,PORTS!$H$318:$N$318,0)))</f>
        <v>-0</v>
      </c>
      <c r="BA56" s="343" t="n">
        <f aca="false">+AZ56+AY56</f>
        <v>0</v>
      </c>
      <c r="BB56" s="355" t="n">
        <f aca="false">+BA56+AU56</f>
        <v>0</v>
      </c>
      <c r="BC56" s="99"/>
      <c r="BD56" s="357" t="n">
        <f aca="false">+PORTS!I50+PORTS!I358</f>
        <v>959203.871422991</v>
      </c>
    </row>
    <row r="57" customFormat="false" ht="12.75" hidden="false" customHeight="false" outlineLevel="0" collapsed="false">
      <c r="A57" s="346" t="n">
        <f aca="false">+DATE(YEAR(A56),MONTH(A56)+1,1)</f>
        <v>37895</v>
      </c>
      <c r="B57" s="327" t="n">
        <f aca="false">+IF(AND($A57&gt;=$C$8,$A57&lt;=$C$9),1,0)*PORTS!$I$5/(365.25)*(A58-A57)</f>
        <v>5339105.98184763</v>
      </c>
      <c r="C57" s="328" t="n">
        <f aca="false">+B57-(SUMIF($F$17:$IV$17,$H$17,$F57:$IV57))</f>
        <v>0</v>
      </c>
      <c r="D57" s="0" t="n">
        <f aca="false">+YEAR(E57)</f>
        <v>2003</v>
      </c>
      <c r="E57" s="346" t="n">
        <f aca="false">+DATE(YEAR(E56),MONTH(E56)+1,1)</f>
        <v>37895</v>
      </c>
      <c r="F57" s="327" t="n">
        <f aca="false">+IF(AND(G$8&lt;=E57,G$9&gt;=E57),INDEX(ROUTE_PER_DAY_BY_SHIP,MATCH(CONCATENATE(G$4,G$5,G$7),ROUTE_PER_DAY_ROUTES,0),MATCH(G$6,ROUTE_PER_DAY_SHIPS,0))*(E58-E57),0)</f>
        <v>2876329.92727273</v>
      </c>
      <c r="G57" s="347" t="n">
        <f aca="false">-F57*HLOOKUP(G$6,SHIPS,7,0)*INDEX(LADEN_VOYAGE_DAYS,MATCH(CONCATENATE(G$4,G$5,G$7),LADEN_VOYAGE_ROUTES,0),MATCH(G$6,LADEN_VOYAGE_SHIPS,0))</f>
        <v>-94918.8876</v>
      </c>
      <c r="H57" s="348" t="n">
        <f aca="false">SUM(F57:G57)</f>
        <v>2781411.03967273</v>
      </c>
      <c r="I57" s="349" t="n">
        <f aca="false">-(H57)*HLOOKUP(G$5,TERMINAL_CHARGES,3,0)</f>
        <v>-69535.2759918182</v>
      </c>
      <c r="J57" s="327" t="n">
        <f aca="false">+H57+I57</f>
        <v>2711875.76368091</v>
      </c>
      <c r="K57" s="333"/>
      <c r="L57" s="346" t="n">
        <f aca="false">+DATE(YEAR(L56),MONTH(L56)+1,1)</f>
        <v>37895</v>
      </c>
      <c r="M57" s="334" t="n">
        <f aca="false">+J57*(VLOOKUP(L57,CURVECALC!$C$6:$J$312,4,0)+N$5)</f>
        <v>8515289.89795805</v>
      </c>
      <c r="N57" s="350" t="n">
        <f aca="false">-F57*INDEX(ship_curves,MATCH(L57,'SHIP CURVES'!$A$9:$A$316,0),MATCH(CONCATENATE(P$4,P$5,P$6,P$7),'SHIP CURVES'!$A$9:$AZ$9,0))</f>
        <v>-1724467.34709386</v>
      </c>
      <c r="O57" s="351" t="n">
        <f aca="false">-H57*INDEX(port_processing_fee,MATCH(L57,PORTS!$H$626:$H$933,0),MATCH(P$5,PORTS!$H$626:$Z$626,0))</f>
        <v>-76731.2410835202</v>
      </c>
      <c r="P57" s="352" t="n">
        <f aca="false">(((VLOOKUP(L57,curvecalc,4,0))*IF(F57=0,0,J57/F57)-INDEX(ship_curves,MATCH(L57,'SHIP CURVES'!$A$9:$A$316,0),MATCH(CONCATENATE(P$4,P$5,P$6,P$7),'SHIP CURVES'!$A$9:$Z$9,0))-INDEX(terminal_curves,MATCH(L57,'TERMINAL CURVES'!$A$4:$A$313,0),MATCH(P$5,'TERMINAL CURVES'!$A$4:$N$4,0))*IF(F57=0,0,H57/F57))-(N$8)*((N$7-$N$5)-(INDEX(ship_curves,MATCH(L57,'SHIP CURVES'!$A$9:$A$316,0),MATCH(CONCATENATE(P$4,P$5,P$6,P$7),'SHIP CURVES'!$A$9:$Z$9,0))-INDEX(ship_curves,MATCH(L57,'SHIP CURVES'!$A$9:$A$316,0),MATCH(CONCATENATE(P$4,N$6,P$6,P$7),'SHIP CURVES'!$A$9:$Z$9,0)))-(INDEX(terminal_curves,MATCH(L57,'TERMINAL CURVES'!$A$4:$A$313,0),MATCH(P$5,'TERMINAL CURVES'!$A$4:$N$4,0))-INDEX(terminal_curves,MATCH(L57,'TERMINAL CURVES'!$A$4:$A$313,0),MATCH(N$6,'TERMINAL CURVES'!$A$4:$N$4,0)))*IF(F57=0,0,H57/F57)))*-F57</f>
        <v>-6159898.63007058</v>
      </c>
      <c r="Q57" s="353" t="n">
        <f aca="false">SUM(N57:P57)</f>
        <v>-7961097.21824796</v>
      </c>
      <c r="R57" s="357" t="n">
        <f aca="false">(-H57/((HLOOKUP(P$5,port_specs,2,0)/(365.25))*(L58-L57)))*(INDEX(fixed_capacity_charge,MATCH(L57,PORTS!$H$11:$H$317,0),MATCH(P$5,PORTS!$H$11:$N$11,0))+INDEX(variable_om_charge,MATCH(L57,PORTS!$H$318:$H$625,0),MATCH(P$5,PORTS!$H$318:$N$318,0)))</f>
        <v>-499955.164436475</v>
      </c>
      <c r="S57" s="343" t="n">
        <f aca="false">+R57+Q57</f>
        <v>-8461052.38268444</v>
      </c>
      <c r="T57" s="355" t="n">
        <f aca="false">+S57+M57</f>
        <v>54237.5152736176</v>
      </c>
      <c r="U57" s="342"/>
      <c r="V57" s="346" t="n">
        <f aca="false">+DATE(YEAR(V56),MONTH(V56)+1,1)</f>
        <v>37895</v>
      </c>
      <c r="W57" s="327" t="n">
        <f aca="false">+Y57/(1-HLOOKUP(X$6,SHIPS,7,0)*INDEX(LADEN_VOYAGE_DAYS,MATCH(CONCATENATE(X$4,X$5),LADEN_VOYAGE_ROUTES,0),MATCH(X$6,LADEN_VOYAGE_SHIPS,0)))</f>
        <v>2604577.33419033</v>
      </c>
      <c r="X57" s="347" t="n">
        <f aca="false">+Y57-W57</f>
        <v>-46882.392015426</v>
      </c>
      <c r="Y57" s="348" t="n">
        <f aca="false">+IF(AND(X$8&lt;=V57,X$9&gt;=V57),+MIN($B57-SUMIF($H$17:X$17,Y$17,$H57:X57),((INDEX(ROUTE_PER_DAY_BY_SHIP,MATCH(CONCATENATE(X$4,X$5,X$7),ROUTE_PER_DAY_ROUTES,0),MATCH(X$6,ROUTE_PER_DAY_SHIPS,0))*(V58-V57))-(INDEX(ROUTE_PER_DAY_BY_SHIP,MATCH(CONCATENATE(X$4,X$5,X$7),ROUTE_PER_DAY_ROUTES,0),MATCH(X$6,ROUTE_PER_DAY_SHIPS,0))*(V58-V57))*HLOOKUP(X$6,SHIPS,7,0)*INDEX(LADEN_VOYAGE_DAYS,MATCH(CONCATENATE(X$4,X$5,X$7),LADEN_VOYAGE_ROUTES,0),MATCH(X$6,LADEN_VOYAGE_SHIPS,0)))),0)</f>
        <v>2557694.94217491</v>
      </c>
      <c r="Z57" s="349" t="n">
        <f aca="false">-(Y57)*HLOOKUP(X$5,TERMINAL_CHARGES,3,0)</f>
        <v>-63942.3735543727</v>
      </c>
      <c r="AA57" s="327" t="n">
        <f aca="false">+Y57+Z57</f>
        <v>2493752.56862053</v>
      </c>
      <c r="AB57" s="333"/>
      <c r="AC57" s="346" t="n">
        <f aca="false">+DATE(YEAR(AC56),MONTH(AC56)+1,1)</f>
        <v>37895</v>
      </c>
      <c r="AD57" s="343" t="n">
        <f aca="false">+AA57*(VLOOKUP(AC57,CURVECALC!$C$6:$J$312,4,0)+AE$5)</f>
        <v>7830383.06546848</v>
      </c>
      <c r="AE57" s="350" t="n">
        <f aca="false">-W57*INDEX(ship_curves,MATCH(AC57,'SHIP CURVES'!$A$9:$A$316,0),MATCH(CONCATENATE(AG$4,AG$5,AG$6,AG$7),'SHIP CURVES'!$A$9:$AZ$9,0))</f>
        <v>-1555247.23075326</v>
      </c>
      <c r="AF57" s="351" t="n">
        <f aca="false">-Y57*INDEX(port_processing_fee,MATCH(AC57,PORTS!$H$626:$H$933,0),MATCH(AG$5,PORTS!$H$626:$Z$626,0))</f>
        <v>-70559.5485265691</v>
      </c>
      <c r="AG57" s="352" t="n">
        <f aca="false">(((VLOOKUP(AC57,curvecalc,4,0))*IF(W57=0,0,AA57/W57)-INDEX(ship_curves,MATCH(AC57,'SHIP CURVES'!$A$9:$A$316,0),MATCH(CONCATENATE(AG$4,AG$5,AG$6,AG$7),'SHIP CURVES'!$A$9:$Z$9,0))-INDEX(terminal_curves,MATCH(AC57,'TERMINAL CURVES'!$A$4:$A$313,0),MATCH(AG$5,'TERMINAL CURVES'!$A$4:$N$4,0))*IF(W57=0,0,Y57/W57))-(AE$8)*((AE$7-$N$5)-(INDEX(ship_curves,MATCH(AC57,'SHIP CURVES'!$A$9:$A$316,0),MATCH(CONCATENATE(AG$4,AG$5,AG$6,AG$7),'SHIP CURVES'!$A$9:$Z$9,0))-INDEX(ship_curves,MATCH(AC57,'SHIP CURVES'!$A$9:$A$316,0),MATCH(CONCATENATE(AG$4,AE$6,AG$6,AG$7),'SHIP CURVES'!$A$9:$Z$9,0)))-(INDEX(terminal_curves,MATCH(AC57,'TERMINAL CURVES'!$A$4:$A$313,0),MATCH(AG$5,'TERMINAL CURVES'!$A$4:$N$4,0))-INDEX(terminal_curves,MATCH(AC57,'TERMINAL CURVES'!$A$4:$A$313,0),MATCH(AE$6,'TERMINAL CURVES'!$A$4:$N$4,0)))*IF(W57=0,0,Y57/W57)))*-W57</f>
        <v>-5694958.75980835</v>
      </c>
      <c r="AH57" s="356" t="n">
        <f aca="false">SUM(AE57:AG57)</f>
        <v>-7320765.53908818</v>
      </c>
      <c r="AI57" s="357" t="n">
        <f aca="false">(-Y57/((HLOOKUP(AG$5,port_specs,2,0)/(365.25))*(AC58-AC57)))*(INDEX(fixed_capacity_charge,MATCH(AC57,PORTS!$H$11:$H$317,0),MATCH(AG$5,PORTS!$H$11:$N$11,0))+INDEX(variable_om_charge,MATCH(AC57,PORTS!$H$318:$H$625,0),MATCH(AG$5,PORTS!$H$318:$N$318,0)))</f>
        <v>-459742.475007885</v>
      </c>
      <c r="AJ57" s="343" t="n">
        <f aca="false">+AI57+AH57</f>
        <v>-7780508.01409606</v>
      </c>
      <c r="AK57" s="355" t="n">
        <f aca="false">+AJ57+AD57</f>
        <v>49875.0513724117</v>
      </c>
      <c r="AM57" s="346" t="n">
        <f aca="false">+DATE(YEAR(AM56),MONTH(AM56)+1,1)</f>
        <v>37895</v>
      </c>
      <c r="AN57" s="327" t="n">
        <f aca="false">+AP57/(1-HLOOKUP(AO$6,SHIPS,7,0)*INDEX(LADEN_VOYAGE_DAYS,MATCH(CONCATENATE(AO$4,AO$5),LADEN_VOYAGE_ROUTES,0),MATCH(AO$6,LADEN_VOYAGE_SHIPS,0)))</f>
        <v>0</v>
      </c>
      <c r="AO57" s="347" t="n">
        <f aca="false">+AP57-AN57</f>
        <v>0</v>
      </c>
      <c r="AP57" s="348" t="n">
        <f aca="false">+IF(AND(AO$8&lt;=AM57,AO$9&gt;=AM57),+MIN($B57-SUMIF($H$17:AO$17,AP$17,$H57:AO57),((INDEX(ROUTE_PER_DAY_BY_SHIP,MATCH(CONCATENATE(AO$4,AO$5,AO$7),ROUTE_PER_DAY_ROUTES,0),MATCH(AO$6,ROUTE_PER_DAY_SHIPS,0))*(AM58-AM57))-(INDEX(ROUTE_PER_DAY_BY_SHIP,MATCH(CONCATENATE(AO$4,AO$5,AO$7),ROUTE_PER_DAY_ROUTES,0),MATCH(AO$6,ROUTE_PER_DAY_SHIPS,0))*(AM58-AM57))*HLOOKUP(AO$6,SHIPS,7,0)*INDEX(LADEN_VOYAGE_DAYS,MATCH(CONCATENATE(AO$4,AO$5,AO$7),LADEN_VOYAGE_ROUTES,0),MATCH(AO$6,LADEN_VOYAGE_SHIPS,0)))),0)</f>
        <v>0</v>
      </c>
      <c r="AQ57" s="349" t="n">
        <f aca="false">-(AP57)*PORTS!$I$6</f>
        <v>-0</v>
      </c>
      <c r="AR57" s="327" t="n">
        <f aca="false">+AP57+AQ57</f>
        <v>0</v>
      </c>
      <c r="AS57" s="333"/>
      <c r="AT57" s="346" t="n">
        <f aca="false">+DATE(YEAR(AT56),MONTH(AT56)+1,1)</f>
        <v>37895</v>
      </c>
      <c r="AU57" s="343" t="n">
        <f aca="false">+AR57*(VLOOKUP(AT57,CURVECALC!$C$6:$J$312,4,0)+AV$5)</f>
        <v>0</v>
      </c>
      <c r="AV57" s="350" t="n">
        <f aca="false">-AN57*INDEX(ship_curves,MATCH(AT57,'SHIP CURVES'!$A$9:$A$316,0),MATCH(CONCATENATE(AX$4,AX$5,AX$6,AX$7),'SHIP CURVES'!$A$9:$AZ$9,0))</f>
        <v>-0</v>
      </c>
      <c r="AW57" s="351" t="n">
        <f aca="false">-AP57*INDEX(port_processing_fee,MATCH(AT57,PORTS!$H$626:$H$933,0),MATCH(AX$5,PORTS!$H$626:$Z$626,0))</f>
        <v>-0</v>
      </c>
      <c r="AX57" s="352" t="n">
        <f aca="false">(((VLOOKUP(AT57,curvecalc,4,0))*IF(AN57=0,0,AR57/AN57)-INDEX(ship_curves,MATCH(AT57,'SHIP CURVES'!$A$9:$A$316,0),MATCH(CONCATENATE(AX$4,AX$5,AX$6,AX$7),'SHIP CURVES'!$A$9:$Z$9,0))-INDEX(terminal_curves,MATCH(AT57,'TERMINAL CURVES'!$A$4:$A$313,0),MATCH(AX$5,'TERMINAL CURVES'!$A$4:$N$4,0))*IF(AN57=0,0,AP57/AN57))-(AV$8)*((AV$7-$N$5)-(INDEX(ship_curves,MATCH(AT57,'SHIP CURVES'!$A$9:$A$316,0),MATCH(CONCATENATE(AX$4,AX$5,AX$6,AX$7),'SHIP CURVES'!$A$9:$Z$9,0))-INDEX(ship_curves,MATCH(AT57,'SHIP CURVES'!$A$9:$A$316,0),MATCH(CONCATENATE(AX$4,AV$6,AX$6,AX$7),'SHIP CURVES'!$A$9:$Z$9,0)))-(INDEX(terminal_curves,MATCH(AT57,'TERMINAL CURVES'!$A$4:$A$313,0),MATCH(AX$5,'TERMINAL CURVES'!$A$4:$N$4,0))-INDEX(terminal_curves,MATCH(AT57,'TERMINAL CURVES'!$A$4:$A$313,0),MATCH(AV$6,'TERMINAL CURVES'!$A$4:$N$4,0)))*IF(AN57=0,0,AP57/AN57)))*-AN57</f>
        <v>0</v>
      </c>
      <c r="AY57" s="356" t="n">
        <f aca="false">SUM(AV57:AX57)</f>
        <v>0</v>
      </c>
      <c r="AZ57" s="357" t="n">
        <f aca="false">(-AP57/((HLOOKUP(AX$5,port_specs,2,0)/(365.25))*(AT58-AT57)))*(INDEX(fixed_capacity_charge,MATCH(AT57,PORTS!$H$11:$H$317,0),MATCH(AX$5,PORTS!$H$11:$N$11,0))+INDEX(variable_om_charge,MATCH(AT57,PORTS!$H$318:$H$625,0),MATCH(AX$5,PORTS!$H$318:$N$318,0)))</f>
        <v>-0</v>
      </c>
      <c r="BA57" s="343" t="n">
        <f aca="false">+AZ57+AY57</f>
        <v>0</v>
      </c>
      <c r="BB57" s="355" t="n">
        <f aca="false">+BA57+AU57</f>
        <v>0</v>
      </c>
      <c r="BC57" s="99"/>
      <c r="BD57" s="357" t="n">
        <f aca="false">+PORTS!I51+PORTS!I359</f>
        <v>959697.63944436</v>
      </c>
    </row>
    <row r="58" customFormat="false" ht="12.75" hidden="false" customHeight="false" outlineLevel="0" collapsed="false">
      <c r="A58" s="346" t="n">
        <f aca="false">+DATE(YEAR(A57),MONTH(A57)+1,1)</f>
        <v>37926</v>
      </c>
      <c r="B58" s="327" t="n">
        <f aca="false">+IF(AND($A58&gt;=$C$8,$A58&lt;=$C$9),1,0)*PORTS!$I$5/(365.25)*(A59-A58)</f>
        <v>5166876.75662674</v>
      </c>
      <c r="C58" s="328" t="n">
        <f aca="false">+B58-(SUMIF($F$17:$IV$17,$H$17,$F58:$IV58))</f>
        <v>0</v>
      </c>
      <c r="D58" s="0" t="n">
        <f aca="false">+YEAR(E58)</f>
        <v>2003</v>
      </c>
      <c r="E58" s="346" t="n">
        <f aca="false">+DATE(YEAR(E57),MONTH(E57)+1,1)</f>
        <v>37926</v>
      </c>
      <c r="F58" s="327" t="n">
        <f aca="false">+IF(AND(G$8&lt;=E58,G$9&gt;=E58),INDEX(ROUTE_PER_DAY_BY_SHIP,MATCH(CONCATENATE(G$4,G$5,G$7),ROUTE_PER_DAY_ROUTES,0),MATCH(G$6,ROUTE_PER_DAY_SHIPS,0))*(E59-E58),0)</f>
        <v>2783545.09090909</v>
      </c>
      <c r="G58" s="347" t="n">
        <f aca="false">-F58*HLOOKUP(G$6,SHIPS,7,0)*INDEX(LADEN_VOYAGE_DAYS,MATCH(CONCATENATE(G$4,G$5,G$7),LADEN_VOYAGE_ROUTES,0),MATCH(G$6,LADEN_VOYAGE_SHIPS,0))</f>
        <v>-91856.988</v>
      </c>
      <c r="H58" s="348" t="n">
        <f aca="false">SUM(F58:G58)</f>
        <v>2691688.10290909</v>
      </c>
      <c r="I58" s="349" t="n">
        <f aca="false">-(H58)*HLOOKUP(G$5,TERMINAL_CHARGES,3,0)</f>
        <v>-67292.2025727273</v>
      </c>
      <c r="J58" s="327" t="n">
        <f aca="false">+H58+I58</f>
        <v>2624395.90033636</v>
      </c>
      <c r="K58" s="333"/>
      <c r="L58" s="346" t="n">
        <f aca="false">+DATE(YEAR(L57),MONTH(L57)+1,1)</f>
        <v>37926</v>
      </c>
      <c r="M58" s="334" t="n">
        <f aca="false">+J58*(VLOOKUP(L58,CURVECALC!$C$6:$J$312,4,0)+N$5)</f>
        <v>8526662.28019285</v>
      </c>
      <c r="N58" s="350" t="n">
        <f aca="false">-F58*INDEX(ship_curves,MATCH(L58,'SHIP CURVES'!$A$9:$A$316,0),MATCH(CONCATENATE(P$4,P$5,P$6,P$7),'SHIP CURVES'!$A$9:$AZ$9,0))</f>
        <v>-1669774.6250123</v>
      </c>
      <c r="O58" s="351" t="n">
        <f aca="false">-H58*INDEX(port_processing_fee,MATCH(L58,PORTS!$H$626:$H$933,0),MATCH(P$5,PORTS!$H$626:$Z$626,0))</f>
        <v>-74333.3897996601</v>
      </c>
      <c r="P58" s="352" t="n">
        <f aca="false">(((VLOOKUP(L58,curvecalc,4,0))*IF(F58=0,0,J58/F58)-INDEX(ship_curves,MATCH(L58,'SHIP CURVES'!$A$9:$A$316,0),MATCH(CONCATENATE(P$4,P$5,P$6,P$7),'SHIP CURVES'!$A$9:$Z$9,0))-INDEX(terminal_curves,MATCH(L58,'TERMINAL CURVES'!$A$4:$A$313,0),MATCH(P$5,'TERMINAL CURVES'!$A$4:$N$4,0))*IF(F58=0,0,H58/F58))-(N$8)*((N$7-$N$5)-(INDEX(ship_curves,MATCH(L58,'SHIP CURVES'!$A$9:$A$316,0),MATCH(CONCATENATE(P$4,P$5,P$6,P$7),'SHIP CURVES'!$A$9:$Z$9,0))-INDEX(ship_curves,MATCH(L58,'SHIP CURVES'!$A$9:$A$316,0),MATCH(CONCATENATE(P$4,N$6,P$6,P$7),'SHIP CURVES'!$A$9:$Z$9,0)))-(INDEX(terminal_curves,MATCH(L58,'TERMINAL CURVES'!$A$4:$A$313,0),MATCH(P$5,'TERMINAL CURVES'!$A$4:$N$4,0))-INDEX(terminal_curves,MATCH(L58,'TERMINAL CURVES'!$A$4:$A$313,0),MATCH(N$6,'TERMINAL CURVES'!$A$4:$N$4,0)))*IF(F58=0,0,H58/F58)))*-F58</f>
        <v>-6229853.68619085</v>
      </c>
      <c r="Q58" s="353" t="n">
        <f aca="false">SUM(N58:P58)</f>
        <v>-7973961.70100281</v>
      </c>
      <c r="R58" s="357" t="n">
        <f aca="false">(-H58/((HLOOKUP(P$5,port_specs,2,0)/(365.25))*(L59-L58)))*(INDEX(fixed_capacity_charge,MATCH(L58,PORTS!$H$11:$H$317,0),MATCH(P$5,PORTS!$H$11:$N$11,0))+INDEX(variable_om_charge,MATCH(L58,PORTS!$H$318:$H$625,0),MATCH(P$5,PORTS!$H$318:$N$318,0)))</f>
        <v>-500212.661183309</v>
      </c>
      <c r="S58" s="343" t="n">
        <f aca="false">+R58+Q58</f>
        <v>-8474174.36218612</v>
      </c>
      <c r="T58" s="355" t="n">
        <f aca="false">+S58+M58</f>
        <v>52487.9180067256</v>
      </c>
      <c r="U58" s="342"/>
      <c r="V58" s="346" t="n">
        <f aca="false">+DATE(YEAR(V57),MONTH(V57)+1,1)</f>
        <v>37926</v>
      </c>
      <c r="W58" s="327" t="n">
        <f aca="false">+Y58/(1-HLOOKUP(X$6,SHIPS,7,0)*INDEX(LADEN_VOYAGE_DAYS,MATCH(CONCATENATE(X$4,X$5),LADEN_VOYAGE_ROUTES,0),MATCH(X$6,LADEN_VOYAGE_SHIPS,0)))</f>
        <v>2520558.71050677</v>
      </c>
      <c r="X58" s="347" t="n">
        <f aca="false">+Y58-W58</f>
        <v>-45370.0567891221</v>
      </c>
      <c r="Y58" s="348" t="n">
        <f aca="false">+IF(AND(X$8&lt;=V58,X$9&gt;=V58),+MIN($B58-SUMIF($H$17:X$17,Y$17,$H58:X58),((INDEX(ROUTE_PER_DAY_BY_SHIP,MATCH(CONCATENATE(X$4,X$5,X$7),ROUTE_PER_DAY_ROUTES,0),MATCH(X$6,ROUTE_PER_DAY_SHIPS,0))*(V59-V58))-(INDEX(ROUTE_PER_DAY_BY_SHIP,MATCH(CONCATENATE(X$4,X$5,X$7),ROUTE_PER_DAY_ROUTES,0),MATCH(X$6,ROUTE_PER_DAY_SHIPS,0))*(V59-V58))*HLOOKUP(X$6,SHIPS,7,0)*INDEX(LADEN_VOYAGE_DAYS,MATCH(CONCATENATE(X$4,X$5,X$7),LADEN_VOYAGE_ROUTES,0),MATCH(X$6,LADEN_VOYAGE_SHIPS,0)))),0)</f>
        <v>2475188.65371765</v>
      </c>
      <c r="Z58" s="349" t="n">
        <f aca="false">-(Y58)*HLOOKUP(X$5,TERMINAL_CHARGES,3,0)</f>
        <v>-61879.7163429413</v>
      </c>
      <c r="AA58" s="327" t="n">
        <f aca="false">+Y58+Z58</f>
        <v>2413308.93737471</v>
      </c>
      <c r="AB58" s="333"/>
      <c r="AC58" s="346" t="n">
        <f aca="false">+DATE(YEAR(AC57),MONTH(AC57)+1,1)</f>
        <v>37926</v>
      </c>
      <c r="AD58" s="343" t="n">
        <f aca="false">+AA58*(VLOOKUP(AC58,CURVECALC!$C$6:$J$312,4,0)+AE$5)</f>
        <v>7840840.73753043</v>
      </c>
      <c r="AE58" s="350" t="n">
        <f aca="false">-W58*INDEX(ship_curves,MATCH(AC58,'SHIP CURVES'!$A$9:$A$316,0),MATCH(CONCATENATE(AG$4,AG$5,AG$6,AG$7),'SHIP CURVES'!$A$9:$AZ$9,0))</f>
        <v>-1505455.01256955</v>
      </c>
      <c r="AF58" s="351" t="n">
        <f aca="false">-Y58*INDEX(port_processing_fee,MATCH(AC58,PORTS!$H$626:$H$933,0),MATCH(AG$5,PORTS!$H$626:$Z$626,0))</f>
        <v>-68354.5626351138</v>
      </c>
      <c r="AG58" s="352" t="n">
        <f aca="false">(((VLOOKUP(AC58,curvecalc,4,0))*IF(W58=0,0,AA58/W58)-INDEX(ship_curves,MATCH(AC58,'SHIP CURVES'!$A$9:$A$316,0),MATCH(CONCATENATE(AG$4,AG$5,AG$6,AG$7),'SHIP CURVES'!$A$9:$Z$9,0))-INDEX(terminal_curves,MATCH(AC58,'TERMINAL CURVES'!$A$4:$A$313,0),MATCH(AG$5,'TERMINAL CURVES'!$A$4:$N$4,0))*IF(W58=0,0,Y58/W58))-(AE$8)*((AE$7-$N$5)-(INDEX(ship_curves,MATCH(AC58,'SHIP CURVES'!$A$9:$A$316,0),MATCH(CONCATENATE(AG$4,AG$5,AG$6,AG$7),'SHIP CURVES'!$A$9:$Z$9,0))-INDEX(ship_curves,MATCH(AC58,'SHIP CURVES'!$A$9:$A$316,0),MATCH(CONCATENATE(AG$4,AE$6,AG$6,AG$7),'SHIP CURVES'!$A$9:$Z$9,0)))-(INDEX(terminal_curves,MATCH(AC58,'TERMINAL CURVES'!$A$4:$A$313,0),MATCH(AG$5,'TERMINAL CURVES'!$A$4:$N$4,0))-INDEX(terminal_curves,MATCH(AC58,'TERMINAL CURVES'!$A$4:$A$313,0),MATCH(AE$6,'TERMINAL CURVES'!$A$4:$N$4,0)))*IF(W58=0,0,Y58/W58)))*-W58</f>
        <v>-5758785.72295417</v>
      </c>
      <c r="AH58" s="356" t="n">
        <f aca="false">SUM(AE58:AG58)</f>
        <v>-7332595.29815883</v>
      </c>
      <c r="AI58" s="357" t="n">
        <f aca="false">(-Y58/((HLOOKUP(AG$5,port_specs,2,0)/(365.25))*(AC59-AC58)))*(INDEX(fixed_capacity_charge,MATCH(AC58,PORTS!$H$11:$H$317,0),MATCH(AG$5,PORTS!$H$11:$N$11,0))+INDEX(variable_om_charge,MATCH(AC58,PORTS!$H$318:$H$625,0),MATCH(AG$5,PORTS!$H$318:$N$318,0)))</f>
        <v>-459979.26062411</v>
      </c>
      <c r="AJ58" s="343" t="n">
        <f aca="false">+AI58+AH58</f>
        <v>-7792574.55878294</v>
      </c>
      <c r="AK58" s="355" t="n">
        <f aca="false">+AJ58+AD58</f>
        <v>48266.1787474938</v>
      </c>
      <c r="AM58" s="346" t="n">
        <f aca="false">+DATE(YEAR(AM57),MONTH(AM57)+1,1)</f>
        <v>37926</v>
      </c>
      <c r="AN58" s="327" t="n">
        <f aca="false">+AP58/(1-HLOOKUP(AO$6,SHIPS,7,0)*INDEX(LADEN_VOYAGE_DAYS,MATCH(CONCATENATE(AO$4,AO$5),LADEN_VOYAGE_ROUTES,0),MATCH(AO$6,LADEN_VOYAGE_SHIPS,0)))</f>
        <v>0</v>
      </c>
      <c r="AO58" s="347" t="n">
        <f aca="false">+AP58-AN58</f>
        <v>0</v>
      </c>
      <c r="AP58" s="348" t="n">
        <f aca="false">+IF(AND(AO$8&lt;=AM58,AO$9&gt;=AM58),+MIN($B58-SUMIF($H$17:AO$17,AP$17,$H58:AO58),((INDEX(ROUTE_PER_DAY_BY_SHIP,MATCH(CONCATENATE(AO$4,AO$5,AO$7),ROUTE_PER_DAY_ROUTES,0),MATCH(AO$6,ROUTE_PER_DAY_SHIPS,0))*(AM59-AM58))-(INDEX(ROUTE_PER_DAY_BY_SHIP,MATCH(CONCATENATE(AO$4,AO$5,AO$7),ROUTE_PER_DAY_ROUTES,0),MATCH(AO$6,ROUTE_PER_DAY_SHIPS,0))*(AM59-AM58))*HLOOKUP(AO$6,SHIPS,7,0)*INDEX(LADEN_VOYAGE_DAYS,MATCH(CONCATENATE(AO$4,AO$5,AO$7),LADEN_VOYAGE_ROUTES,0),MATCH(AO$6,LADEN_VOYAGE_SHIPS,0)))),0)</f>
        <v>0</v>
      </c>
      <c r="AQ58" s="349" t="n">
        <f aca="false">-(AP58)*PORTS!$I$6</f>
        <v>-0</v>
      </c>
      <c r="AR58" s="327" t="n">
        <f aca="false">+AP58+AQ58</f>
        <v>0</v>
      </c>
      <c r="AS58" s="333"/>
      <c r="AT58" s="346" t="n">
        <f aca="false">+DATE(YEAR(AT57),MONTH(AT57)+1,1)</f>
        <v>37926</v>
      </c>
      <c r="AU58" s="343" t="n">
        <f aca="false">+AR58*(VLOOKUP(AT58,CURVECALC!$C$6:$J$312,4,0)+AV$5)</f>
        <v>0</v>
      </c>
      <c r="AV58" s="350" t="n">
        <f aca="false">-AN58*INDEX(ship_curves,MATCH(AT58,'SHIP CURVES'!$A$9:$A$316,0),MATCH(CONCATENATE(AX$4,AX$5,AX$6,AX$7),'SHIP CURVES'!$A$9:$AZ$9,0))</f>
        <v>-0</v>
      </c>
      <c r="AW58" s="351" t="n">
        <f aca="false">-AP58*INDEX(port_processing_fee,MATCH(AT58,PORTS!$H$626:$H$933,0),MATCH(AX$5,PORTS!$H$626:$Z$626,0))</f>
        <v>-0</v>
      </c>
      <c r="AX58" s="352" t="n">
        <f aca="false">(((VLOOKUP(AT58,curvecalc,4,0))*IF(AN58=0,0,AR58/AN58)-INDEX(ship_curves,MATCH(AT58,'SHIP CURVES'!$A$9:$A$316,0),MATCH(CONCATENATE(AX$4,AX$5,AX$6,AX$7),'SHIP CURVES'!$A$9:$Z$9,0))-INDEX(terminal_curves,MATCH(AT58,'TERMINAL CURVES'!$A$4:$A$313,0),MATCH(AX$5,'TERMINAL CURVES'!$A$4:$N$4,0))*IF(AN58=0,0,AP58/AN58))-(AV$8)*((AV$7-$N$5)-(INDEX(ship_curves,MATCH(AT58,'SHIP CURVES'!$A$9:$A$316,0),MATCH(CONCATENATE(AX$4,AX$5,AX$6,AX$7),'SHIP CURVES'!$A$9:$Z$9,0))-INDEX(ship_curves,MATCH(AT58,'SHIP CURVES'!$A$9:$A$316,0),MATCH(CONCATENATE(AX$4,AV$6,AX$6,AX$7),'SHIP CURVES'!$A$9:$Z$9,0)))-(INDEX(terminal_curves,MATCH(AT58,'TERMINAL CURVES'!$A$4:$A$313,0),MATCH(AX$5,'TERMINAL CURVES'!$A$4:$N$4,0))-INDEX(terminal_curves,MATCH(AT58,'TERMINAL CURVES'!$A$4:$A$313,0),MATCH(AV$6,'TERMINAL CURVES'!$A$4:$N$4,0)))*IF(AN58=0,0,AP58/AN58)))*-AN58</f>
        <v>0</v>
      </c>
      <c r="AY58" s="356" t="n">
        <f aca="false">SUM(AV58:AX58)</f>
        <v>0</v>
      </c>
      <c r="AZ58" s="357" t="n">
        <f aca="false">(-AP58/((HLOOKUP(AX$5,port_specs,2,0)/(365.25))*(AT59-AT58)))*(INDEX(fixed_capacity_charge,MATCH(AT58,PORTS!$H$11:$H$317,0),MATCH(AX$5,PORTS!$H$11:$N$11,0))+INDEX(variable_om_charge,MATCH(AT58,PORTS!$H$318:$H$625,0),MATCH(AX$5,PORTS!$H$318:$N$318,0)))</f>
        <v>-0</v>
      </c>
      <c r="BA58" s="343" t="n">
        <f aca="false">+AZ58+AY58</f>
        <v>0</v>
      </c>
      <c r="BB58" s="355" t="n">
        <f aca="false">+BA58+AU58</f>
        <v>0</v>
      </c>
      <c r="BC58" s="99"/>
      <c r="BD58" s="357" t="n">
        <f aca="false">+PORTS!I52+PORTS!I360</f>
        <v>960191.921807419</v>
      </c>
    </row>
    <row r="59" customFormat="false" ht="12.75" hidden="false" customHeight="false" outlineLevel="0" collapsed="false">
      <c r="A59" s="346" t="n">
        <f aca="false">+DATE(YEAR(A58),MONTH(A58)+1,1)</f>
        <v>37956</v>
      </c>
      <c r="B59" s="327" t="n">
        <f aca="false">+IF(AND($A59&gt;=$C$8,$A59&lt;=$C$9),1,0)*PORTS!$I$5/(365.25)*(A60-A59)</f>
        <v>5339105.98184763</v>
      </c>
      <c r="C59" s="328" t="n">
        <f aca="false">+B59-(SUMIF($F$17:$IV$17,$H$17,$F59:$IV59))</f>
        <v>0</v>
      </c>
      <c r="D59" s="0" t="n">
        <f aca="false">+YEAR(E59)</f>
        <v>2003</v>
      </c>
      <c r="E59" s="346" t="n">
        <f aca="false">+DATE(YEAR(E58),MONTH(E58)+1,1)</f>
        <v>37956</v>
      </c>
      <c r="F59" s="327" t="n">
        <f aca="false">+IF(AND(G$8&lt;=E59,G$9&gt;=E59),INDEX(ROUTE_PER_DAY_BY_SHIP,MATCH(CONCATENATE(G$4,G$5,G$7),ROUTE_PER_DAY_ROUTES,0),MATCH(G$6,ROUTE_PER_DAY_SHIPS,0))*(E60-E59),0)</f>
        <v>2876329.92727273</v>
      </c>
      <c r="G59" s="347" t="n">
        <f aca="false">-F59*HLOOKUP(G$6,SHIPS,7,0)*INDEX(LADEN_VOYAGE_DAYS,MATCH(CONCATENATE(G$4,G$5,G$7),LADEN_VOYAGE_ROUTES,0),MATCH(G$6,LADEN_VOYAGE_SHIPS,0))</f>
        <v>-94918.8876</v>
      </c>
      <c r="H59" s="348" t="n">
        <f aca="false">SUM(F59:G59)</f>
        <v>2781411.03967273</v>
      </c>
      <c r="I59" s="349" t="n">
        <f aca="false">-(H59)*HLOOKUP(G$5,TERMINAL_CHARGES,3,0)</f>
        <v>-69535.2759918182</v>
      </c>
      <c r="J59" s="327" t="n">
        <f aca="false">+H59+I59</f>
        <v>2711875.76368091</v>
      </c>
      <c r="K59" s="333"/>
      <c r="L59" s="346" t="n">
        <f aca="false">+DATE(YEAR(L58),MONTH(L58)+1,1)</f>
        <v>37956</v>
      </c>
      <c r="M59" s="334" t="n">
        <f aca="false">+J59*(VLOOKUP(L59,CURVECALC!$C$6:$J$312,4,0)+N$5)</f>
        <v>9095631.31138577</v>
      </c>
      <c r="N59" s="350" t="n">
        <f aca="false">-F59*INDEX(ship_curves,MATCH(L59,'SHIP CURVES'!$A$9:$A$316,0),MATCH(CONCATENATE(P$4,P$5,P$6,P$7),'SHIP CURVES'!$A$9:$AZ$9,0))</f>
        <v>-1726402.22466507</v>
      </c>
      <c r="O59" s="351" t="n">
        <f aca="false">-H59*INDEX(port_processing_fee,MATCH(L59,PORTS!$H$626:$H$933,0),MATCH(P$5,PORTS!$H$626:$Z$626,0))</f>
        <v>-76891.1810945026</v>
      </c>
      <c r="P59" s="352" t="n">
        <f aca="false">(((VLOOKUP(L59,curvecalc,4,0))*IF(F59=0,0,J59/F59)-INDEX(ship_curves,MATCH(L59,'SHIP CURVES'!$A$9:$A$316,0),MATCH(CONCATENATE(P$4,P$5,P$6,P$7),'SHIP CURVES'!$A$9:$Z$9,0))-INDEX(terminal_curves,MATCH(L59,'TERMINAL CURVES'!$A$4:$A$313,0),MATCH(P$5,'TERMINAL CURVES'!$A$4:$N$4,0))*IF(F59=0,0,H59/F59))-(N$8)*((N$7-$N$5)-(INDEX(ship_curves,MATCH(L59,'SHIP CURVES'!$A$9:$A$316,0),MATCH(CONCATENATE(P$4,P$5,P$6,P$7),'SHIP CURVES'!$A$9:$Z$9,0))-INDEX(ship_curves,MATCH(L59,'SHIP CURVES'!$A$9:$A$316,0),MATCH(CONCATENATE(P$4,N$6,P$6,P$7),'SHIP CURVES'!$A$9:$Z$9,0)))-(INDEX(terminal_curves,MATCH(L59,'TERMINAL CURVES'!$A$4:$A$313,0),MATCH(P$5,'TERMINAL CURVES'!$A$4:$N$4,0))-INDEX(terminal_curves,MATCH(L59,'TERMINAL CURVES'!$A$4:$A$313,0),MATCH(N$6,'TERMINAL CURVES'!$A$4:$N$4,0)))*IF(F59=0,0,H59/F59)))*-F59</f>
        <v>-6737629.96419665</v>
      </c>
      <c r="Q59" s="353" t="n">
        <f aca="false">SUM(N59:P59)</f>
        <v>-8540923.36995623</v>
      </c>
      <c r="R59" s="357" t="n">
        <f aca="false">(-H59/((HLOOKUP(P$5,port_specs,2,0)/(365.25))*(L60-L59)))*(INDEX(fixed_capacity_charge,MATCH(L59,PORTS!$H$11:$H$317,0),MATCH(P$5,PORTS!$H$11:$N$11,0))+INDEX(variable_om_charge,MATCH(L59,PORTS!$H$318:$H$625,0),MATCH(P$5,PORTS!$H$318:$N$318,0)))</f>
        <v>-500470.42615592</v>
      </c>
      <c r="S59" s="343" t="n">
        <f aca="false">+R59+Q59</f>
        <v>-9041393.79611215</v>
      </c>
      <c r="T59" s="355" t="n">
        <f aca="false">+S59+M59</f>
        <v>54237.5152736194</v>
      </c>
      <c r="U59" s="342"/>
      <c r="V59" s="346" t="n">
        <f aca="false">+DATE(YEAR(V58),MONTH(V58)+1,1)</f>
        <v>37956</v>
      </c>
      <c r="W59" s="327" t="n">
        <f aca="false">+Y59/(1-HLOOKUP(X$6,SHIPS,7,0)*INDEX(LADEN_VOYAGE_DAYS,MATCH(CONCATENATE(X$4,X$5),LADEN_VOYAGE_ROUTES,0),MATCH(X$6,LADEN_VOYAGE_SHIPS,0)))</f>
        <v>2604577.33419033</v>
      </c>
      <c r="X59" s="347" t="n">
        <f aca="false">+Y59-W59</f>
        <v>-46882.392015426</v>
      </c>
      <c r="Y59" s="348" t="n">
        <f aca="false">+IF(AND(X$8&lt;=V59,X$9&gt;=V59),+MIN($B59-SUMIF($H$17:X$17,Y$17,$H59:X59),((INDEX(ROUTE_PER_DAY_BY_SHIP,MATCH(CONCATENATE(X$4,X$5,X$7),ROUTE_PER_DAY_ROUTES,0),MATCH(X$6,ROUTE_PER_DAY_SHIPS,0))*(V60-V59))-(INDEX(ROUTE_PER_DAY_BY_SHIP,MATCH(CONCATENATE(X$4,X$5,X$7),ROUTE_PER_DAY_ROUTES,0),MATCH(X$6,ROUTE_PER_DAY_SHIPS,0))*(V60-V59))*HLOOKUP(X$6,SHIPS,7,0)*INDEX(LADEN_VOYAGE_DAYS,MATCH(CONCATENATE(X$4,X$5,X$7),LADEN_VOYAGE_ROUTES,0),MATCH(X$6,LADEN_VOYAGE_SHIPS,0)))),0)</f>
        <v>2557694.94217491</v>
      </c>
      <c r="Z59" s="349" t="n">
        <f aca="false">-(Y59)*HLOOKUP(X$5,TERMINAL_CHARGES,3,0)</f>
        <v>-63942.3735543727</v>
      </c>
      <c r="AA59" s="327" t="n">
        <f aca="false">+Y59+Z59</f>
        <v>2493752.56862053</v>
      </c>
      <c r="AB59" s="333"/>
      <c r="AC59" s="346" t="n">
        <f aca="false">+DATE(YEAR(AC58),MONTH(AC58)+1,1)</f>
        <v>37956</v>
      </c>
      <c r="AD59" s="343" t="n">
        <f aca="false">+AA59*(VLOOKUP(AC59,CURVECALC!$C$6:$J$312,4,0)+AE$5)</f>
        <v>8364046.11515327</v>
      </c>
      <c r="AE59" s="350" t="n">
        <f aca="false">-W59*INDEX(ship_curves,MATCH(AC59,'SHIP CURVES'!$A$9:$A$316,0),MATCH(CONCATENATE(AG$4,AG$5,AG$6,AG$7),'SHIP CURVES'!$A$9:$AZ$9,0))</f>
        <v>-1556027.27358957</v>
      </c>
      <c r="AF59" s="351" t="n">
        <f aca="false">-Y59*INDEX(port_processing_fee,MATCH(AC59,PORTS!$H$626:$H$933,0),MATCH(AG$5,PORTS!$H$626:$Z$626,0))</f>
        <v>-70706.6241480096</v>
      </c>
      <c r="AG59" s="352" t="n">
        <f aca="false">(((VLOOKUP(AC59,curvecalc,4,0))*IF(W59=0,0,AA59/W59)-INDEX(ship_curves,MATCH(AC59,'SHIP CURVES'!$A$9:$A$316,0),MATCH(CONCATENATE(AG$4,AG$5,AG$6,AG$7),'SHIP CURVES'!$A$9:$Z$9,0))-INDEX(terminal_curves,MATCH(AC59,'TERMINAL CURVES'!$A$4:$A$313,0),MATCH(AG$5,'TERMINAL CURVES'!$A$4:$N$4,0))*IF(W59=0,0,Y59/W59))-(AE$8)*((AE$7-$N$5)-(INDEX(ship_curves,MATCH(AC59,'SHIP CURVES'!$A$9:$A$316,0),MATCH(CONCATENATE(AG$4,AG$5,AG$6,AG$7),'SHIP CURVES'!$A$9:$Z$9,0))-INDEX(ship_curves,MATCH(AC59,'SHIP CURVES'!$A$9:$A$316,0),MATCH(CONCATENATE(AG$4,AE$6,AG$6,AG$7),'SHIP CURVES'!$A$9:$Z$9,0)))-(INDEX(terminal_curves,MATCH(AC59,'TERMINAL CURVES'!$A$4:$A$313,0),MATCH(AG$5,'TERMINAL CURVES'!$A$4:$N$4,0))-INDEX(terminal_curves,MATCH(AC59,'TERMINAL CURVES'!$A$4:$A$313,0),MATCH(AE$6,'TERMINAL CURVES'!$A$4:$N$4,0)))*IF(W59=0,0,Y59/W59)))*-W59</f>
        <v>-6227220.87315126</v>
      </c>
      <c r="AH59" s="356" t="n">
        <f aca="false">SUM(AE59:AG59)</f>
        <v>-7853954.77088884</v>
      </c>
      <c r="AI59" s="357" t="n">
        <f aca="false">(-Y59/((HLOOKUP(AG$5,port_specs,2,0)/(365.25))*(AC60-AC59)))*(INDEX(fixed_capacity_charge,MATCH(AC59,PORTS!$H$11:$H$317,0),MATCH(AG$5,PORTS!$H$11:$N$11,0))+INDEX(variable_om_charge,MATCH(AC59,PORTS!$H$318:$H$625,0),MATCH(AG$5,PORTS!$H$318:$N$318,0)))</f>
        <v>-460216.292892018</v>
      </c>
      <c r="AJ59" s="343" t="n">
        <f aca="false">+AI59+AH59</f>
        <v>-8314171.06378086</v>
      </c>
      <c r="AK59" s="355" t="n">
        <f aca="false">+AJ59+AD59</f>
        <v>49875.0513724107</v>
      </c>
      <c r="AM59" s="346" t="n">
        <f aca="false">+DATE(YEAR(AM58),MONTH(AM58)+1,1)</f>
        <v>37956</v>
      </c>
      <c r="AN59" s="327" t="n">
        <f aca="false">+AP59/(1-HLOOKUP(AO$6,SHIPS,7,0)*INDEX(LADEN_VOYAGE_DAYS,MATCH(CONCATENATE(AO$4,AO$5),LADEN_VOYAGE_ROUTES,0),MATCH(AO$6,LADEN_VOYAGE_SHIPS,0)))</f>
        <v>0</v>
      </c>
      <c r="AO59" s="347" t="n">
        <f aca="false">+AP59-AN59</f>
        <v>0</v>
      </c>
      <c r="AP59" s="348" t="n">
        <f aca="false">+IF(AND(AO$8&lt;=AM59,AO$9&gt;=AM59),+MIN($B59-SUMIF($H$17:AO$17,AP$17,$H59:AO59),((INDEX(ROUTE_PER_DAY_BY_SHIP,MATCH(CONCATENATE(AO$4,AO$5,AO$7),ROUTE_PER_DAY_ROUTES,0),MATCH(AO$6,ROUTE_PER_DAY_SHIPS,0))*(AM60-AM59))-(INDEX(ROUTE_PER_DAY_BY_SHIP,MATCH(CONCATENATE(AO$4,AO$5,AO$7),ROUTE_PER_DAY_ROUTES,0),MATCH(AO$6,ROUTE_PER_DAY_SHIPS,0))*(AM60-AM59))*HLOOKUP(AO$6,SHIPS,7,0)*INDEX(LADEN_VOYAGE_DAYS,MATCH(CONCATENATE(AO$4,AO$5,AO$7),LADEN_VOYAGE_ROUTES,0),MATCH(AO$6,LADEN_VOYAGE_SHIPS,0)))),0)</f>
        <v>0</v>
      </c>
      <c r="AQ59" s="349" t="n">
        <f aca="false">-(AP59)*PORTS!$I$6</f>
        <v>-0</v>
      </c>
      <c r="AR59" s="327" t="n">
        <f aca="false">+AP59+AQ59</f>
        <v>0</v>
      </c>
      <c r="AS59" s="333"/>
      <c r="AT59" s="346" t="n">
        <f aca="false">+DATE(YEAR(AT58),MONTH(AT58)+1,1)</f>
        <v>37956</v>
      </c>
      <c r="AU59" s="343" t="n">
        <f aca="false">+AR59*(VLOOKUP(AT59,CURVECALC!$C$6:$J$312,4,0)+AV$5)</f>
        <v>0</v>
      </c>
      <c r="AV59" s="350" t="n">
        <f aca="false">-AN59*INDEX(ship_curves,MATCH(AT59,'SHIP CURVES'!$A$9:$A$316,0),MATCH(CONCATENATE(AX$4,AX$5,AX$6,AX$7),'SHIP CURVES'!$A$9:$AZ$9,0))</f>
        <v>-0</v>
      </c>
      <c r="AW59" s="351" t="n">
        <f aca="false">-AP59*INDEX(port_processing_fee,MATCH(AT59,PORTS!$H$626:$H$933,0),MATCH(AX$5,PORTS!$H$626:$Z$626,0))</f>
        <v>-0</v>
      </c>
      <c r="AX59" s="352" t="n">
        <f aca="false">(((VLOOKUP(AT59,curvecalc,4,0))*IF(AN59=0,0,AR59/AN59)-INDEX(ship_curves,MATCH(AT59,'SHIP CURVES'!$A$9:$A$316,0),MATCH(CONCATENATE(AX$4,AX$5,AX$6,AX$7),'SHIP CURVES'!$A$9:$Z$9,0))-INDEX(terminal_curves,MATCH(AT59,'TERMINAL CURVES'!$A$4:$A$313,0),MATCH(AX$5,'TERMINAL CURVES'!$A$4:$N$4,0))*IF(AN59=0,0,AP59/AN59))-(AV$8)*((AV$7-$N$5)-(INDEX(ship_curves,MATCH(AT59,'SHIP CURVES'!$A$9:$A$316,0),MATCH(CONCATENATE(AX$4,AX$5,AX$6,AX$7),'SHIP CURVES'!$A$9:$Z$9,0))-INDEX(ship_curves,MATCH(AT59,'SHIP CURVES'!$A$9:$A$316,0),MATCH(CONCATENATE(AX$4,AV$6,AX$6,AX$7),'SHIP CURVES'!$A$9:$Z$9,0)))-(INDEX(terminal_curves,MATCH(AT59,'TERMINAL CURVES'!$A$4:$A$313,0),MATCH(AX$5,'TERMINAL CURVES'!$A$4:$N$4,0))-INDEX(terminal_curves,MATCH(AT59,'TERMINAL CURVES'!$A$4:$A$313,0),MATCH(AV$6,'TERMINAL CURVES'!$A$4:$N$4,0)))*IF(AN59=0,0,AP59/AN59)))*-AN59</f>
        <v>0</v>
      </c>
      <c r="AY59" s="356" t="n">
        <f aca="false">SUM(AV59:AX59)</f>
        <v>0</v>
      </c>
      <c r="AZ59" s="357" t="n">
        <f aca="false">(-AP59/((HLOOKUP(AX$5,port_specs,2,0)/(365.25))*(AT60-AT59)))*(INDEX(fixed_capacity_charge,MATCH(AT59,PORTS!$H$11:$H$317,0),MATCH(AX$5,PORTS!$H$11:$N$11,0))+INDEX(variable_om_charge,MATCH(AT59,PORTS!$H$318:$H$625,0),MATCH(AX$5,PORTS!$H$318:$N$318,0)))</f>
        <v>-0</v>
      </c>
      <c r="BA59" s="343" t="n">
        <f aca="false">+AZ59+AY59</f>
        <v>0</v>
      </c>
      <c r="BB59" s="355" t="n">
        <f aca="false">+BA59+AU59</f>
        <v>0</v>
      </c>
      <c r="BC59" s="99"/>
      <c r="BD59" s="357" t="n">
        <f aca="false">+PORTS!I53+PORTS!I361</f>
        <v>960686.719047939</v>
      </c>
    </row>
    <row r="60" customFormat="false" ht="12.75" hidden="false" customHeight="false" outlineLevel="0" collapsed="false">
      <c r="A60" s="346" t="n">
        <f aca="false">+DATE(YEAR(A59),MONTH(A59)+1,1)</f>
        <v>37987</v>
      </c>
      <c r="B60" s="327" t="n">
        <f aca="false">+IF(AND($A60&gt;=$C$8,$A60&lt;=$C$9),1,0)*PORTS!$I$5/(365.25)*(A61-A60)</f>
        <v>5339105.98184763</v>
      </c>
      <c r="C60" s="328" t="n">
        <f aca="false">+B60-(SUMIF($F$17:$IV$17,$H$17,$F60:$IV60))</f>
        <v>0</v>
      </c>
      <c r="D60" s="0" t="n">
        <f aca="false">+YEAR(E60)</f>
        <v>2004</v>
      </c>
      <c r="E60" s="346" t="n">
        <f aca="false">+DATE(YEAR(E59),MONTH(E59)+1,1)</f>
        <v>37987</v>
      </c>
      <c r="F60" s="327" t="n">
        <f aca="false">+IF(AND(G$8&lt;=E60,G$9&gt;=E60),INDEX(ROUTE_PER_DAY_BY_SHIP,MATCH(CONCATENATE(G$4,G$5,G$7),ROUTE_PER_DAY_ROUTES,0),MATCH(G$6,ROUTE_PER_DAY_SHIPS,0))*(E61-E60),0)</f>
        <v>0</v>
      </c>
      <c r="G60" s="347" t="n">
        <f aca="false">-F60*HLOOKUP(G$6,SHIPS,7,0)*INDEX(LADEN_VOYAGE_DAYS,MATCH(CONCATENATE(G$4,G$5,G$7),LADEN_VOYAGE_ROUTES,0),MATCH(G$6,LADEN_VOYAGE_SHIPS,0))</f>
        <v>-0</v>
      </c>
      <c r="H60" s="348" t="n">
        <f aca="false">SUM(F60:G60)</f>
        <v>0</v>
      </c>
      <c r="I60" s="349" t="n">
        <f aca="false">-(H60)*HLOOKUP(G$5,TERMINAL_CHARGES,3,0)</f>
        <v>-0</v>
      </c>
      <c r="J60" s="327" t="n">
        <f aca="false">+H60+I60</f>
        <v>0</v>
      </c>
      <c r="K60" s="333"/>
      <c r="L60" s="346" t="n">
        <f aca="false">+DATE(YEAR(L59),MONTH(L59)+1,1)</f>
        <v>37987</v>
      </c>
      <c r="M60" s="334" t="n">
        <f aca="false">+J60*(VLOOKUP(L60,CURVECALC!$C$6:$J$312,4,0)+N$5)</f>
        <v>0</v>
      </c>
      <c r="N60" s="350" t="n">
        <f aca="false">-F60*INDEX(ship_curves,MATCH(L60,'SHIP CURVES'!$A$9:$A$316,0),MATCH(CONCATENATE(P$4,P$5,P$6,P$7),'SHIP CURVES'!$A$9:$AZ$9,0))</f>
        <v>-0</v>
      </c>
      <c r="O60" s="351" t="n">
        <f aca="false">-H60*INDEX(port_processing_fee,MATCH(L60,PORTS!$H$626:$H$933,0),MATCH(P$5,PORTS!$H$626:$Z$626,0))</f>
        <v>-0</v>
      </c>
      <c r="P60" s="352" t="n">
        <f aca="false">(((VLOOKUP(L60,curvecalc,4,0))*IF(F60=0,0,J60/F60)-INDEX(ship_curves,MATCH(L60,'SHIP CURVES'!$A$9:$A$316,0),MATCH(CONCATENATE(P$4,P$5,P$6,P$7),'SHIP CURVES'!$A$9:$Z$9,0))-INDEX(terminal_curves,MATCH(L60,'TERMINAL CURVES'!$A$4:$A$313,0),MATCH(P$5,'TERMINAL CURVES'!$A$4:$N$4,0))*IF(F60=0,0,H60/F60))-(N$8)*((N$7-$N$5)-(INDEX(ship_curves,MATCH(L60,'SHIP CURVES'!$A$9:$A$316,0),MATCH(CONCATENATE(P$4,P$5,P$6,P$7),'SHIP CURVES'!$A$9:$Z$9,0))-INDEX(ship_curves,MATCH(L60,'SHIP CURVES'!$A$9:$A$316,0),MATCH(CONCATENATE(P$4,N$6,P$6,P$7),'SHIP CURVES'!$A$9:$Z$9,0)))-(INDEX(terminal_curves,MATCH(L60,'TERMINAL CURVES'!$A$4:$A$313,0),MATCH(P$5,'TERMINAL CURVES'!$A$4:$N$4,0))-INDEX(terminal_curves,MATCH(L60,'TERMINAL CURVES'!$A$4:$A$313,0),MATCH(N$6,'TERMINAL CURVES'!$A$4:$N$4,0)))*IF(F60=0,0,H60/F60)))*-F60</f>
        <v>0</v>
      </c>
      <c r="Q60" s="353" t="n">
        <f aca="false">SUM(N60:P60)</f>
        <v>0</v>
      </c>
      <c r="R60" s="357" t="n">
        <f aca="false">(-H60/((HLOOKUP(P$5,port_specs,2,0)/(365.25))*(L61-L60)))*(INDEX(fixed_capacity_charge,MATCH(L60,PORTS!$H$11:$H$317,0),MATCH(P$5,PORTS!$H$11:$N$11,0))+INDEX(variable_om_charge,MATCH(L60,PORTS!$H$318:$H$625,0),MATCH(P$5,PORTS!$H$318:$N$318,0)))</f>
        <v>-0</v>
      </c>
      <c r="S60" s="343" t="n">
        <f aca="false">+R60+Q60</f>
        <v>0</v>
      </c>
      <c r="T60" s="355" t="n">
        <f aca="false">+S60+M60</f>
        <v>0</v>
      </c>
      <c r="U60" s="342"/>
      <c r="V60" s="346" t="n">
        <f aca="false">+DATE(YEAR(V59),MONTH(V59)+1,1)</f>
        <v>37987</v>
      </c>
      <c r="W60" s="327" t="n">
        <f aca="false">+Y60/(1-HLOOKUP(X$6,SHIPS,7,0)*INDEX(LADEN_VOYAGE_DAYS,MATCH(CONCATENATE(X$4,X$5),LADEN_VOYAGE_ROUTES,0),MATCH(X$6,LADEN_VOYAGE_SHIPS,0)))</f>
        <v>0</v>
      </c>
      <c r="X60" s="347" t="n">
        <f aca="false">+Y60-W60</f>
        <v>0</v>
      </c>
      <c r="Y60" s="348" t="n">
        <f aca="false">+IF(AND(X$8&lt;=V60,X$9&gt;=V60),+MIN($B60-SUMIF($H$17:X$17,Y$17,$H60:X60),((INDEX(ROUTE_PER_DAY_BY_SHIP,MATCH(CONCATENATE(X$4,X$5,X$7),ROUTE_PER_DAY_ROUTES,0),MATCH(X$6,ROUTE_PER_DAY_SHIPS,0))*(V61-V60))-(INDEX(ROUTE_PER_DAY_BY_SHIP,MATCH(CONCATENATE(X$4,X$5,X$7),ROUTE_PER_DAY_ROUTES,0),MATCH(X$6,ROUTE_PER_DAY_SHIPS,0))*(V61-V60))*HLOOKUP(X$6,SHIPS,7,0)*INDEX(LADEN_VOYAGE_DAYS,MATCH(CONCATENATE(X$4,X$5,X$7),LADEN_VOYAGE_ROUTES,0),MATCH(X$6,LADEN_VOYAGE_SHIPS,0)))),0)</f>
        <v>0</v>
      </c>
      <c r="Z60" s="349" t="n">
        <f aca="false">-(Y60)*HLOOKUP(X$5,TERMINAL_CHARGES,3,0)</f>
        <v>-0</v>
      </c>
      <c r="AA60" s="327" t="n">
        <f aca="false">+Y60+Z60</f>
        <v>0</v>
      </c>
      <c r="AB60" s="333"/>
      <c r="AC60" s="346" t="n">
        <f aca="false">+DATE(YEAR(AC59),MONTH(AC59)+1,1)</f>
        <v>37987</v>
      </c>
      <c r="AD60" s="343" t="n">
        <f aca="false">+AA60*(VLOOKUP(AC60,CURVECALC!$C$6:$J$312,4,0)+AE$5)</f>
        <v>0</v>
      </c>
      <c r="AE60" s="350" t="n">
        <f aca="false">-W60*INDEX(ship_curves,MATCH(AC60,'SHIP CURVES'!$A$9:$A$316,0),MATCH(CONCATENATE(AG$4,AG$5,AG$6,AG$7),'SHIP CURVES'!$A$9:$AZ$9,0))</f>
        <v>-0</v>
      </c>
      <c r="AF60" s="351" t="n">
        <f aca="false">-Y60*INDEX(port_processing_fee,MATCH(AC60,PORTS!$H$626:$H$933,0),MATCH(AG$5,PORTS!$H$626:$Z$626,0))</f>
        <v>-0</v>
      </c>
      <c r="AG60" s="352" t="n">
        <f aca="false">(((VLOOKUP(AC60,curvecalc,4,0))*IF(W60=0,0,AA60/W60)-INDEX(ship_curves,MATCH(AC60,'SHIP CURVES'!$A$9:$A$316,0),MATCH(CONCATENATE(AG$4,AG$5,AG$6,AG$7),'SHIP CURVES'!$A$9:$Z$9,0))-INDEX(terminal_curves,MATCH(AC60,'TERMINAL CURVES'!$A$4:$A$313,0),MATCH(AG$5,'TERMINAL CURVES'!$A$4:$N$4,0))*IF(W60=0,0,Y60/W60))-(AE$8)*((AE$7-$N$5)-(INDEX(ship_curves,MATCH(AC60,'SHIP CURVES'!$A$9:$A$316,0),MATCH(CONCATENATE(AG$4,AG$5,AG$6,AG$7),'SHIP CURVES'!$A$9:$Z$9,0))-INDEX(ship_curves,MATCH(AC60,'SHIP CURVES'!$A$9:$A$316,0),MATCH(CONCATENATE(AG$4,AE$6,AG$6,AG$7),'SHIP CURVES'!$A$9:$Z$9,0)))-(INDEX(terminal_curves,MATCH(AC60,'TERMINAL CURVES'!$A$4:$A$313,0),MATCH(AG$5,'TERMINAL CURVES'!$A$4:$N$4,0))-INDEX(terminal_curves,MATCH(AC60,'TERMINAL CURVES'!$A$4:$A$313,0),MATCH(AE$6,'TERMINAL CURVES'!$A$4:$N$4,0)))*IF(W60=0,0,Y60/W60)))*-W60</f>
        <v>0</v>
      </c>
      <c r="AH60" s="356" t="n">
        <f aca="false">SUM(AE60:AG60)</f>
        <v>0</v>
      </c>
      <c r="AI60" s="357" t="n">
        <f aca="false">(-Y60/((HLOOKUP(AG$5,port_specs,2,0)/(365.25))*(AC61-AC60)))*(INDEX(fixed_capacity_charge,MATCH(AC60,PORTS!$H$11:$H$317,0),MATCH(AG$5,PORTS!$H$11:$N$11,0))+INDEX(variable_om_charge,MATCH(AC60,PORTS!$H$318:$H$625,0),MATCH(AG$5,PORTS!$H$318:$N$318,0)))</f>
        <v>-0</v>
      </c>
      <c r="AJ60" s="343" t="n">
        <f aca="false">+AI60+AH60</f>
        <v>0</v>
      </c>
      <c r="AK60" s="355" t="n">
        <f aca="false">+AJ60+AD60</f>
        <v>0</v>
      </c>
      <c r="AM60" s="346" t="n">
        <f aca="false">+DATE(YEAR(AM59),MONTH(AM59)+1,1)</f>
        <v>37987</v>
      </c>
      <c r="AN60" s="327" t="n">
        <f aca="false">+AP60/(1-HLOOKUP(AO$6,SHIPS,7,0)*INDEX(LADEN_VOYAGE_DAYS,MATCH(CONCATENATE(AO$4,AO$5),LADEN_VOYAGE_ROUTES,0),MATCH(AO$6,LADEN_VOYAGE_SHIPS,0)))</f>
        <v>5395761.47735991</v>
      </c>
      <c r="AO60" s="347" t="n">
        <f aca="false">+AP60-AN60</f>
        <v>-56655.4955122788</v>
      </c>
      <c r="AP60" s="348" t="n">
        <f aca="false">+IF(AND(AO$8&lt;=AM60,AO$9&gt;=AM60),+MIN($B60-SUMIF($H$17:AO$17,AP$17,$H60:AO60),((INDEX(ROUTE_PER_DAY_BY_SHIP,MATCH(CONCATENATE(AO$4,AO$5,AO$7),ROUTE_PER_DAY_ROUTES,0),MATCH(AO$6,ROUTE_PER_DAY_SHIPS,0))*(AM61-AM60))-(INDEX(ROUTE_PER_DAY_BY_SHIP,MATCH(CONCATENATE(AO$4,AO$5,AO$7),ROUTE_PER_DAY_ROUTES,0),MATCH(AO$6,ROUTE_PER_DAY_SHIPS,0))*(AM61-AM60))*HLOOKUP(AO$6,SHIPS,7,0)*INDEX(LADEN_VOYAGE_DAYS,MATCH(CONCATENATE(AO$4,AO$5,AO$7),LADEN_VOYAGE_ROUTES,0),MATCH(AO$6,LADEN_VOYAGE_SHIPS,0)))),0)</f>
        <v>5339105.98184763</v>
      </c>
      <c r="AQ60" s="349" t="n">
        <f aca="false">-(AP60)*PORTS!$I$6</f>
        <v>-133477.649546191</v>
      </c>
      <c r="AR60" s="327" t="n">
        <f aca="false">+AP60+AQ60</f>
        <v>5205628.33230144</v>
      </c>
      <c r="AS60" s="333"/>
      <c r="AT60" s="346" t="n">
        <f aca="false">+DATE(YEAR(AT59),MONTH(AT59)+1,1)</f>
        <v>37987</v>
      </c>
      <c r="AU60" s="343" t="n">
        <f aca="false">+AR60*(VLOOKUP(AT60,CURVECALC!$C$6:$J$312,4,0)+AV$5)</f>
        <v>17865716.4364586</v>
      </c>
      <c r="AV60" s="350" t="n">
        <f aca="false">-AN60*INDEX(ship_curves,MATCH(AT60,'SHIP CURVES'!$A$9:$A$316,0),MATCH(CONCATENATE(AX$4,AX$5,AX$6,AX$7),'SHIP CURVES'!$A$9:$AZ$9,0))</f>
        <v>-1756702.74863082</v>
      </c>
      <c r="AW60" s="351" t="n">
        <f aca="false">-AP60*INDEX(port_processing_fee,MATCH(AT60,PORTS!$H$626:$H$933,0),MATCH(AX$5,PORTS!$H$626:$Z$626,0))</f>
        <v>-147751.552956307</v>
      </c>
      <c r="AX60" s="352" t="n">
        <f aca="false">(((VLOOKUP(AT60,curvecalc,4,0))*IF(AN60=0,0,AR60/AN60)-INDEX(ship_curves,MATCH(AT60,'SHIP CURVES'!$A$9:$A$316,0),MATCH(CONCATENATE(AX$4,AX$5,AX$6,AX$7),'SHIP CURVES'!$A$9:$Z$9,0))-INDEX(terminal_curves,MATCH(AT60,'TERMINAL CURVES'!$A$4:$A$313,0),MATCH(AX$5,'TERMINAL CURVES'!$A$4:$N$4,0))*IF(AN60=0,0,AP60/AN60))-(AV$8)*((AV$7-$N$5)-(INDEX(ship_curves,MATCH(AT60,'SHIP CURVES'!$A$9:$A$316,0),MATCH(CONCATENATE(AX$4,AX$5,AX$6,AX$7),'SHIP CURVES'!$A$9:$Z$9,0))-INDEX(ship_curves,MATCH(AT60,'SHIP CURVES'!$A$9:$A$316,0),MATCH(CONCATENATE(AX$4,AV$6,AX$6,AX$7),'SHIP CURVES'!$A$9:$Z$9,0)))-(INDEX(terminal_curves,MATCH(AT60,'TERMINAL CURVES'!$A$4:$A$313,0),MATCH(AX$5,'TERMINAL CURVES'!$A$4:$N$4,0))-INDEX(terminal_curves,MATCH(AT60,'TERMINAL CURVES'!$A$4:$A$313,0),MATCH(AV$6,'TERMINAL CURVES'!$A$4:$N$4,0)))*IF(AN60=0,0,AP60/AN60)))*-AN60</f>
        <v>-14895967.5365231</v>
      </c>
      <c r="AY60" s="356" t="n">
        <f aca="false">SUM(AV60:AX60)</f>
        <v>-16800421.8381103</v>
      </c>
      <c r="AZ60" s="357" t="n">
        <f aca="false">(-AP60/((HLOOKUP(AX$5,port_specs,2,0)/(365.25))*(AT61-AT60)))*(INDEX(fixed_capacity_charge,MATCH(AT60,PORTS!$H$11:$H$317,0),MATCH(AX$5,PORTS!$H$11:$N$11,0))+INDEX(variable_om_charge,MATCH(AT60,PORTS!$H$318:$H$625,0),MATCH(AX$5,PORTS!$H$318:$N$318,0)))</f>
        <v>-961182.031702251</v>
      </c>
      <c r="BA60" s="343" t="n">
        <f aca="false">+AZ60+AY60</f>
        <v>-17761603.8698125</v>
      </c>
      <c r="BB60" s="355" t="n">
        <f aca="false">+BA60+AU60</f>
        <v>104112.566646028</v>
      </c>
      <c r="BC60" s="99"/>
      <c r="BD60" s="357" t="n">
        <f aca="false">+PORTS!I54+PORTS!I362</f>
        <v>961182.031702251</v>
      </c>
    </row>
    <row r="61" customFormat="false" ht="12.75" hidden="false" customHeight="false" outlineLevel="0" collapsed="false">
      <c r="A61" s="346" t="n">
        <f aca="false">+DATE(YEAR(A60),MONTH(A60)+1,1)</f>
        <v>38018</v>
      </c>
      <c r="B61" s="327" t="n">
        <f aca="false">+IF(AND($A61&gt;=$C$8,$A61&lt;=$C$9),1,0)*PORTS!$I$5/(365.25)*(A62-A61)</f>
        <v>4994647.53140585</v>
      </c>
      <c r="C61" s="328" t="n">
        <f aca="false">+B61-(SUMIF($F$17:$IV$17,$H$17,$F61:$IV61))</f>
        <v>0</v>
      </c>
      <c r="D61" s="0" t="n">
        <f aca="false">+YEAR(E61)</f>
        <v>2004</v>
      </c>
      <c r="E61" s="346" t="n">
        <f aca="false">+DATE(YEAR(E60),MONTH(E60)+1,1)</f>
        <v>38018</v>
      </c>
      <c r="F61" s="327" t="n">
        <f aca="false">+IF(AND(G$8&lt;=E61,G$9&gt;=E61),INDEX(ROUTE_PER_DAY_BY_SHIP,MATCH(CONCATENATE(G$4,G$5,G$7),ROUTE_PER_DAY_ROUTES,0),MATCH(G$6,ROUTE_PER_DAY_SHIPS,0))*(E62-E61),0)</f>
        <v>0</v>
      </c>
      <c r="G61" s="347" t="n">
        <f aca="false">-F61*HLOOKUP(G$6,SHIPS,7,0)*INDEX(LADEN_VOYAGE_DAYS,MATCH(CONCATENATE(G$4,G$5,G$7),LADEN_VOYAGE_ROUTES,0),MATCH(G$6,LADEN_VOYAGE_SHIPS,0))</f>
        <v>-0</v>
      </c>
      <c r="H61" s="348" t="n">
        <f aca="false">SUM(F61:G61)</f>
        <v>0</v>
      </c>
      <c r="I61" s="349" t="n">
        <f aca="false">-(H61)*HLOOKUP(G$5,TERMINAL_CHARGES,3,0)</f>
        <v>-0</v>
      </c>
      <c r="J61" s="327" t="n">
        <f aca="false">+H61+I61</f>
        <v>0</v>
      </c>
      <c r="K61" s="333"/>
      <c r="L61" s="346" t="n">
        <f aca="false">+DATE(YEAR(L60),MONTH(L60)+1,1)</f>
        <v>38018</v>
      </c>
      <c r="M61" s="334" t="n">
        <f aca="false">+J61*(VLOOKUP(L61,CURVECALC!$C$6:$J$312,4,0)+N$5)</f>
        <v>0</v>
      </c>
      <c r="N61" s="350" t="n">
        <f aca="false">-F61*INDEX(ship_curves,MATCH(L61,'SHIP CURVES'!$A$9:$A$316,0),MATCH(CONCATENATE(P$4,P$5,P$6,P$7),'SHIP CURVES'!$A$9:$AZ$9,0))</f>
        <v>-0</v>
      </c>
      <c r="O61" s="351" t="n">
        <f aca="false">-H61*INDEX(port_processing_fee,MATCH(L61,PORTS!$H$626:$H$933,0),MATCH(P$5,PORTS!$H$626:$Z$626,0))</f>
        <v>-0</v>
      </c>
      <c r="P61" s="352" t="n">
        <f aca="false">(((VLOOKUP(L61,curvecalc,4,0))*IF(F61=0,0,J61/F61)-INDEX(ship_curves,MATCH(L61,'SHIP CURVES'!$A$9:$A$316,0),MATCH(CONCATENATE(P$4,P$5,P$6,P$7),'SHIP CURVES'!$A$9:$Z$9,0))-INDEX(terminal_curves,MATCH(L61,'TERMINAL CURVES'!$A$4:$A$313,0),MATCH(P$5,'TERMINAL CURVES'!$A$4:$N$4,0))*IF(F61=0,0,H61/F61))-(N$8)*((N$7-$N$5)-(INDEX(ship_curves,MATCH(L61,'SHIP CURVES'!$A$9:$A$316,0),MATCH(CONCATENATE(P$4,P$5,P$6,P$7),'SHIP CURVES'!$A$9:$Z$9,0))-INDEX(ship_curves,MATCH(L61,'SHIP CURVES'!$A$9:$A$316,0),MATCH(CONCATENATE(P$4,N$6,P$6,P$7),'SHIP CURVES'!$A$9:$Z$9,0)))-(INDEX(terminal_curves,MATCH(L61,'TERMINAL CURVES'!$A$4:$A$313,0),MATCH(P$5,'TERMINAL CURVES'!$A$4:$N$4,0))-INDEX(terminal_curves,MATCH(L61,'TERMINAL CURVES'!$A$4:$A$313,0),MATCH(N$6,'TERMINAL CURVES'!$A$4:$N$4,0)))*IF(F61=0,0,H61/F61)))*-F61</f>
        <v>0</v>
      </c>
      <c r="Q61" s="353" t="n">
        <f aca="false">SUM(N61:P61)</f>
        <v>0</v>
      </c>
      <c r="R61" s="357" t="n">
        <f aca="false">(-H61/((HLOOKUP(P$5,port_specs,2,0)/(365.25))*(L62-L61)))*(INDEX(fixed_capacity_charge,MATCH(L61,PORTS!$H$11:$H$317,0),MATCH(P$5,PORTS!$H$11:$N$11,0))+INDEX(variable_om_charge,MATCH(L61,PORTS!$H$318:$H$625,0),MATCH(P$5,PORTS!$H$318:$N$318,0)))</f>
        <v>-0</v>
      </c>
      <c r="S61" s="343" t="n">
        <f aca="false">+R61+Q61</f>
        <v>0</v>
      </c>
      <c r="T61" s="355" t="n">
        <f aca="false">+S61+M61</f>
        <v>0</v>
      </c>
      <c r="U61" s="342"/>
      <c r="V61" s="346" t="n">
        <f aca="false">+DATE(YEAR(V60),MONTH(V60)+1,1)</f>
        <v>38018</v>
      </c>
      <c r="W61" s="327" t="n">
        <f aca="false">+Y61/(1-HLOOKUP(X$6,SHIPS,7,0)*INDEX(LADEN_VOYAGE_DAYS,MATCH(CONCATENATE(X$4,X$5),LADEN_VOYAGE_ROUTES,0),MATCH(X$6,LADEN_VOYAGE_SHIPS,0)))</f>
        <v>0</v>
      </c>
      <c r="X61" s="347" t="n">
        <f aca="false">+Y61-W61</f>
        <v>0</v>
      </c>
      <c r="Y61" s="348" t="n">
        <f aca="false">+IF(AND(X$8&lt;=V61,X$9&gt;=V61),+MIN($B61-SUMIF($H$17:X$17,Y$17,$H61:X61),((INDEX(ROUTE_PER_DAY_BY_SHIP,MATCH(CONCATENATE(X$4,X$5,X$7),ROUTE_PER_DAY_ROUTES,0),MATCH(X$6,ROUTE_PER_DAY_SHIPS,0))*(V62-V61))-(INDEX(ROUTE_PER_DAY_BY_SHIP,MATCH(CONCATENATE(X$4,X$5,X$7),ROUTE_PER_DAY_ROUTES,0),MATCH(X$6,ROUTE_PER_DAY_SHIPS,0))*(V62-V61))*HLOOKUP(X$6,SHIPS,7,0)*INDEX(LADEN_VOYAGE_DAYS,MATCH(CONCATENATE(X$4,X$5,X$7),LADEN_VOYAGE_ROUTES,0),MATCH(X$6,LADEN_VOYAGE_SHIPS,0)))),0)</f>
        <v>0</v>
      </c>
      <c r="Z61" s="349" t="n">
        <f aca="false">-(Y61)*HLOOKUP(X$5,TERMINAL_CHARGES,3,0)</f>
        <v>-0</v>
      </c>
      <c r="AA61" s="327" t="n">
        <f aca="false">+Y61+Z61</f>
        <v>0</v>
      </c>
      <c r="AB61" s="333"/>
      <c r="AC61" s="346" t="n">
        <f aca="false">+DATE(YEAR(AC60),MONTH(AC60)+1,1)</f>
        <v>38018</v>
      </c>
      <c r="AD61" s="343" t="n">
        <f aca="false">+AA61*(VLOOKUP(AC61,CURVECALC!$C$6:$J$312,4,0)+AE$5)</f>
        <v>0</v>
      </c>
      <c r="AE61" s="350" t="n">
        <f aca="false">-W61*INDEX(ship_curves,MATCH(AC61,'SHIP CURVES'!$A$9:$A$316,0),MATCH(CONCATENATE(AG$4,AG$5,AG$6,AG$7),'SHIP CURVES'!$A$9:$AZ$9,0))</f>
        <v>-0</v>
      </c>
      <c r="AF61" s="351" t="n">
        <f aca="false">-Y61*INDEX(port_processing_fee,MATCH(AC61,PORTS!$H$626:$H$933,0),MATCH(AG$5,PORTS!$H$626:$Z$626,0))</f>
        <v>-0</v>
      </c>
      <c r="AG61" s="352" t="n">
        <f aca="false">(((VLOOKUP(AC61,curvecalc,4,0))*IF(W61=0,0,AA61/W61)-INDEX(ship_curves,MATCH(AC61,'SHIP CURVES'!$A$9:$A$316,0),MATCH(CONCATENATE(AG$4,AG$5,AG$6,AG$7),'SHIP CURVES'!$A$9:$Z$9,0))-INDEX(terminal_curves,MATCH(AC61,'TERMINAL CURVES'!$A$4:$A$313,0),MATCH(AG$5,'TERMINAL CURVES'!$A$4:$N$4,0))*IF(W61=0,0,Y61/W61))-(AE$8)*((AE$7-$N$5)-(INDEX(ship_curves,MATCH(AC61,'SHIP CURVES'!$A$9:$A$316,0),MATCH(CONCATENATE(AG$4,AG$5,AG$6,AG$7),'SHIP CURVES'!$A$9:$Z$9,0))-INDEX(ship_curves,MATCH(AC61,'SHIP CURVES'!$A$9:$A$316,0),MATCH(CONCATENATE(AG$4,AE$6,AG$6,AG$7),'SHIP CURVES'!$A$9:$Z$9,0)))-(INDEX(terminal_curves,MATCH(AC61,'TERMINAL CURVES'!$A$4:$A$313,0),MATCH(AG$5,'TERMINAL CURVES'!$A$4:$N$4,0))-INDEX(terminal_curves,MATCH(AC61,'TERMINAL CURVES'!$A$4:$A$313,0),MATCH(AE$6,'TERMINAL CURVES'!$A$4:$N$4,0)))*IF(W61=0,0,Y61/W61)))*-W61</f>
        <v>0</v>
      </c>
      <c r="AH61" s="356" t="n">
        <f aca="false">SUM(AE61:AG61)</f>
        <v>0</v>
      </c>
      <c r="AI61" s="357" t="n">
        <f aca="false">(-Y61/((HLOOKUP(AG$5,port_specs,2,0)/(365.25))*(AC62-AC61)))*(INDEX(fixed_capacity_charge,MATCH(AC61,PORTS!$H$11:$H$317,0),MATCH(AG$5,PORTS!$H$11:$N$11,0))+INDEX(variable_om_charge,MATCH(AC61,PORTS!$H$318:$H$625,0),MATCH(AG$5,PORTS!$H$318:$N$318,0)))</f>
        <v>-0</v>
      </c>
      <c r="AJ61" s="343" t="n">
        <f aca="false">+AI61+AH61</f>
        <v>0</v>
      </c>
      <c r="AK61" s="355" t="n">
        <f aca="false">+AJ61+AD61</f>
        <v>0</v>
      </c>
      <c r="AM61" s="346" t="n">
        <f aca="false">+DATE(YEAR(AM60),MONTH(AM60)+1,1)</f>
        <v>38018</v>
      </c>
      <c r="AN61" s="327" t="n">
        <f aca="false">+AP61/(1-HLOOKUP(AO$6,SHIPS,7,0)*INDEX(LADEN_VOYAGE_DAYS,MATCH(CONCATENATE(AO$4,AO$5),LADEN_VOYAGE_ROUTES,0),MATCH(AO$6,LADEN_VOYAGE_SHIPS,0)))</f>
        <v>5047647.83365927</v>
      </c>
      <c r="AO61" s="347" t="n">
        <f aca="false">+AP61-AN61</f>
        <v>-53000.3022534223</v>
      </c>
      <c r="AP61" s="348" t="n">
        <f aca="false">+IF(AND(AO$8&lt;=AM61,AO$9&gt;=AM61),+MIN($B61-SUMIF($H$17:AO$17,AP$17,$H61:AO61),((INDEX(ROUTE_PER_DAY_BY_SHIP,MATCH(CONCATENATE(AO$4,AO$5,AO$7),ROUTE_PER_DAY_ROUTES,0),MATCH(AO$6,ROUTE_PER_DAY_SHIPS,0))*(AM62-AM61))-(INDEX(ROUTE_PER_DAY_BY_SHIP,MATCH(CONCATENATE(AO$4,AO$5,AO$7),ROUTE_PER_DAY_ROUTES,0),MATCH(AO$6,ROUTE_PER_DAY_SHIPS,0))*(AM62-AM61))*HLOOKUP(AO$6,SHIPS,7,0)*INDEX(LADEN_VOYAGE_DAYS,MATCH(CONCATENATE(AO$4,AO$5,AO$7),LADEN_VOYAGE_ROUTES,0),MATCH(AO$6,LADEN_VOYAGE_SHIPS,0)))),0)</f>
        <v>4994647.53140585</v>
      </c>
      <c r="AQ61" s="349" t="n">
        <f aca="false">-(AP61)*PORTS!$I$6</f>
        <v>-124866.188285146</v>
      </c>
      <c r="AR61" s="327" t="n">
        <f aca="false">+AP61+AQ61</f>
        <v>4869781.34312071</v>
      </c>
      <c r="AS61" s="333"/>
      <c r="AT61" s="346" t="n">
        <f aca="false">+DATE(YEAR(AT60),MONTH(AT60)+1,1)</f>
        <v>38018</v>
      </c>
      <c r="AU61" s="343" t="n">
        <f aca="false">+AR61*(VLOOKUP(AT61,CURVECALC!$C$6:$J$312,4,0)+AV$5)</f>
        <v>16099497.1203571</v>
      </c>
      <c r="AV61" s="350" t="n">
        <f aca="false">-AN61*INDEX(ship_curves,MATCH(AT61,'SHIP CURVES'!$A$9:$A$316,0),MATCH(CONCATENATE(AX$4,AX$5,AX$6,AX$7),'SHIP CURVES'!$A$9:$AZ$9,0))</f>
        <v>-1643801.25917795</v>
      </c>
      <c r="AW61" s="351" t="n">
        <f aca="false">-AP61*INDEX(port_processing_fee,MATCH(AT61,PORTS!$H$626:$H$933,0),MATCH(AX$5,PORTS!$H$626:$Z$626,0))</f>
        <v>-138363.173028875</v>
      </c>
      <c r="AX61" s="352" t="n">
        <f aca="false">(((VLOOKUP(AT61,curvecalc,4,0))*IF(AN61=0,0,AR61/AN61)-INDEX(ship_curves,MATCH(AT61,'SHIP CURVES'!$A$9:$A$316,0),MATCH(CONCATENATE(AX$4,AX$5,AX$6,AX$7),'SHIP CURVES'!$A$9:$Z$9,0))-INDEX(terminal_curves,MATCH(AT61,'TERMINAL CURVES'!$A$4:$A$313,0),MATCH(AX$5,'TERMINAL CURVES'!$A$4:$N$4,0))*IF(AN61=0,0,AP61/AN61))-(AV$8)*((AV$7-$N$5)-(INDEX(ship_curves,MATCH(AT61,'SHIP CURVES'!$A$9:$A$316,0),MATCH(CONCATENATE(AX$4,AX$5,AX$6,AX$7),'SHIP CURVES'!$A$9:$Z$9,0))-INDEX(ship_curves,MATCH(AT61,'SHIP CURVES'!$A$9:$A$316,0),MATCH(CONCATENATE(AX$4,AV$6,AX$6,AX$7),'SHIP CURVES'!$A$9:$Z$9,0)))-(INDEX(terminal_curves,MATCH(AT61,'TERMINAL CURVES'!$A$4:$A$313,0),MATCH(AX$5,'TERMINAL CURVES'!$A$4:$N$4,0))-INDEX(terminal_curves,MATCH(AT61,'TERMINAL CURVES'!$A$4:$A$313,0),MATCH(AV$6,'TERMINAL CURVES'!$A$4:$N$4,0)))*IF(AN61=0,0,AP61/AN61)))*-AN61</f>
        <v>-13258259.2009806</v>
      </c>
      <c r="AY61" s="356" t="n">
        <f aca="false">SUM(AV61:AX61)</f>
        <v>-15040423.6331874</v>
      </c>
      <c r="AZ61" s="357" t="n">
        <f aca="false">(-AP61/((HLOOKUP(AX$5,port_specs,2,0)/(365.25))*(AT62-AT61)))*(INDEX(fixed_capacity_charge,MATCH(AT61,PORTS!$H$11:$H$317,0),MATCH(AX$5,PORTS!$H$11:$N$11,0))+INDEX(variable_om_charge,MATCH(AT61,PORTS!$H$318:$H$625,0),MATCH(AX$5,PORTS!$H$318:$N$318,0)))</f>
        <v>-961677.860307244</v>
      </c>
      <c r="BA61" s="343" t="n">
        <f aca="false">+AZ61+AY61</f>
        <v>-16002101.4934946</v>
      </c>
      <c r="BB61" s="355" t="n">
        <f aca="false">+BA61+AU61</f>
        <v>97395.6268624142</v>
      </c>
      <c r="BC61" s="99"/>
      <c r="BD61" s="357" t="n">
        <f aca="false">+PORTS!I55+PORTS!I363</f>
        <v>961677.860307244</v>
      </c>
    </row>
    <row r="62" customFormat="false" ht="12.75" hidden="false" customHeight="false" outlineLevel="0" collapsed="false">
      <c r="A62" s="346" t="n">
        <f aca="false">+DATE(YEAR(A61),MONTH(A61)+1,1)</f>
        <v>38047</v>
      </c>
      <c r="B62" s="327" t="n">
        <f aca="false">+IF(AND($A62&gt;=$C$8,$A62&lt;=$C$9),1,0)*PORTS!$I$5/(365.25)*(A63-A62)</f>
        <v>5339105.98184763</v>
      </c>
      <c r="C62" s="328" t="n">
        <f aca="false">+B62-(SUMIF($F$17:$IV$17,$H$17,$F62:$IV62))</f>
        <v>0</v>
      </c>
      <c r="D62" s="0" t="n">
        <f aca="false">+YEAR(E62)</f>
        <v>2004</v>
      </c>
      <c r="E62" s="346" t="n">
        <f aca="false">+DATE(YEAR(E61),MONTH(E61)+1,1)</f>
        <v>38047</v>
      </c>
      <c r="F62" s="327" t="n">
        <f aca="false">+IF(AND(G$8&lt;=E62,G$9&gt;=E62),INDEX(ROUTE_PER_DAY_BY_SHIP,MATCH(CONCATENATE(G$4,G$5,G$7),ROUTE_PER_DAY_ROUTES,0),MATCH(G$6,ROUTE_PER_DAY_SHIPS,0))*(E63-E62),0)</f>
        <v>0</v>
      </c>
      <c r="G62" s="347" t="n">
        <f aca="false">-F62*HLOOKUP(G$6,SHIPS,7,0)*INDEX(LADEN_VOYAGE_DAYS,MATCH(CONCATENATE(G$4,G$5,G$7),LADEN_VOYAGE_ROUTES,0),MATCH(G$6,LADEN_VOYAGE_SHIPS,0))</f>
        <v>-0</v>
      </c>
      <c r="H62" s="348" t="n">
        <f aca="false">SUM(F62:G62)</f>
        <v>0</v>
      </c>
      <c r="I62" s="349" t="n">
        <f aca="false">-(H62)*HLOOKUP(G$5,TERMINAL_CHARGES,3,0)</f>
        <v>-0</v>
      </c>
      <c r="J62" s="327" t="n">
        <f aca="false">+H62+I62</f>
        <v>0</v>
      </c>
      <c r="K62" s="333"/>
      <c r="L62" s="346" t="n">
        <f aca="false">+DATE(YEAR(L61),MONTH(L61)+1,1)</f>
        <v>38047</v>
      </c>
      <c r="M62" s="334" t="n">
        <f aca="false">+J62*(VLOOKUP(L62,CURVECALC!$C$6:$J$312,4,0)+N$5)</f>
        <v>0</v>
      </c>
      <c r="N62" s="350" t="n">
        <f aca="false">-F62*INDEX(ship_curves,MATCH(L62,'SHIP CURVES'!$A$9:$A$316,0),MATCH(CONCATENATE(P$4,P$5,P$6,P$7),'SHIP CURVES'!$A$9:$AZ$9,0))</f>
        <v>-0</v>
      </c>
      <c r="O62" s="351" t="n">
        <f aca="false">-H62*INDEX(port_processing_fee,MATCH(L62,PORTS!$H$626:$H$933,0),MATCH(P$5,PORTS!$H$626:$Z$626,0))</f>
        <v>-0</v>
      </c>
      <c r="P62" s="352" t="n">
        <f aca="false">(((VLOOKUP(L62,curvecalc,4,0))*IF(F62=0,0,J62/F62)-INDEX(ship_curves,MATCH(L62,'SHIP CURVES'!$A$9:$A$316,0),MATCH(CONCATENATE(P$4,P$5,P$6,P$7),'SHIP CURVES'!$A$9:$Z$9,0))-INDEX(terminal_curves,MATCH(L62,'TERMINAL CURVES'!$A$4:$A$313,0),MATCH(P$5,'TERMINAL CURVES'!$A$4:$N$4,0))*IF(F62=0,0,H62/F62))-(N$8)*((N$7-$N$5)-(INDEX(ship_curves,MATCH(L62,'SHIP CURVES'!$A$9:$A$316,0),MATCH(CONCATENATE(P$4,P$5,P$6,P$7),'SHIP CURVES'!$A$9:$Z$9,0))-INDEX(ship_curves,MATCH(L62,'SHIP CURVES'!$A$9:$A$316,0),MATCH(CONCATENATE(P$4,N$6,P$6,P$7),'SHIP CURVES'!$A$9:$Z$9,0)))-(INDEX(terminal_curves,MATCH(L62,'TERMINAL CURVES'!$A$4:$A$313,0),MATCH(P$5,'TERMINAL CURVES'!$A$4:$N$4,0))-INDEX(terminal_curves,MATCH(L62,'TERMINAL CURVES'!$A$4:$A$313,0),MATCH(N$6,'TERMINAL CURVES'!$A$4:$N$4,0)))*IF(F62=0,0,H62/F62)))*-F62</f>
        <v>0</v>
      </c>
      <c r="Q62" s="353" t="n">
        <f aca="false">SUM(N62:P62)</f>
        <v>0</v>
      </c>
      <c r="R62" s="357" t="n">
        <f aca="false">(-H62/((HLOOKUP(P$5,port_specs,2,0)/(365.25))*(L63-L62)))*(INDEX(fixed_capacity_charge,MATCH(L62,PORTS!$H$11:$H$317,0),MATCH(P$5,PORTS!$H$11:$N$11,0))+INDEX(variable_om_charge,MATCH(L62,PORTS!$H$318:$H$625,0),MATCH(P$5,PORTS!$H$318:$N$318,0)))</f>
        <v>-0</v>
      </c>
      <c r="S62" s="343" t="n">
        <f aca="false">+R62+Q62</f>
        <v>0</v>
      </c>
      <c r="T62" s="355" t="n">
        <f aca="false">+S62+M62</f>
        <v>0</v>
      </c>
      <c r="U62" s="342"/>
      <c r="V62" s="346" t="n">
        <f aca="false">+DATE(YEAR(V61),MONTH(V61)+1,1)</f>
        <v>38047</v>
      </c>
      <c r="W62" s="327" t="n">
        <f aca="false">+Y62/(1-HLOOKUP(X$6,SHIPS,7,0)*INDEX(LADEN_VOYAGE_DAYS,MATCH(CONCATENATE(X$4,X$5),LADEN_VOYAGE_ROUTES,0),MATCH(X$6,LADEN_VOYAGE_SHIPS,0)))</f>
        <v>0</v>
      </c>
      <c r="X62" s="347" t="n">
        <f aca="false">+Y62-W62</f>
        <v>0</v>
      </c>
      <c r="Y62" s="348" t="n">
        <f aca="false">+IF(AND(X$8&lt;=V62,X$9&gt;=V62),+MIN($B62-SUMIF($H$17:X$17,Y$17,$H62:X62),((INDEX(ROUTE_PER_DAY_BY_SHIP,MATCH(CONCATENATE(X$4,X$5,X$7),ROUTE_PER_DAY_ROUTES,0),MATCH(X$6,ROUTE_PER_DAY_SHIPS,0))*(V63-V62))-(INDEX(ROUTE_PER_DAY_BY_SHIP,MATCH(CONCATENATE(X$4,X$5,X$7),ROUTE_PER_DAY_ROUTES,0),MATCH(X$6,ROUTE_PER_DAY_SHIPS,0))*(V63-V62))*HLOOKUP(X$6,SHIPS,7,0)*INDEX(LADEN_VOYAGE_DAYS,MATCH(CONCATENATE(X$4,X$5,X$7),LADEN_VOYAGE_ROUTES,0),MATCH(X$6,LADEN_VOYAGE_SHIPS,0)))),0)</f>
        <v>0</v>
      </c>
      <c r="Z62" s="349" t="n">
        <f aca="false">-(Y62)*HLOOKUP(X$5,TERMINAL_CHARGES,3,0)</f>
        <v>-0</v>
      </c>
      <c r="AA62" s="327" t="n">
        <f aca="false">+Y62+Z62</f>
        <v>0</v>
      </c>
      <c r="AB62" s="333"/>
      <c r="AC62" s="346" t="n">
        <f aca="false">+DATE(YEAR(AC61),MONTH(AC61)+1,1)</f>
        <v>38047</v>
      </c>
      <c r="AD62" s="343" t="n">
        <f aca="false">+AA62*(VLOOKUP(AC62,CURVECALC!$C$6:$J$312,4,0)+AE$5)</f>
        <v>0</v>
      </c>
      <c r="AE62" s="350" t="n">
        <f aca="false">-W62*INDEX(ship_curves,MATCH(AC62,'SHIP CURVES'!$A$9:$A$316,0),MATCH(CONCATENATE(AG$4,AG$5,AG$6,AG$7),'SHIP CURVES'!$A$9:$AZ$9,0))</f>
        <v>-0</v>
      </c>
      <c r="AF62" s="351" t="n">
        <f aca="false">-Y62*INDEX(port_processing_fee,MATCH(AC62,PORTS!$H$626:$H$933,0),MATCH(AG$5,PORTS!$H$626:$Z$626,0))</f>
        <v>-0</v>
      </c>
      <c r="AG62" s="352" t="n">
        <f aca="false">(((VLOOKUP(AC62,curvecalc,4,0))*IF(W62=0,0,AA62/W62)-INDEX(ship_curves,MATCH(AC62,'SHIP CURVES'!$A$9:$A$316,0),MATCH(CONCATENATE(AG$4,AG$5,AG$6,AG$7),'SHIP CURVES'!$A$9:$Z$9,0))-INDEX(terminal_curves,MATCH(AC62,'TERMINAL CURVES'!$A$4:$A$313,0),MATCH(AG$5,'TERMINAL CURVES'!$A$4:$N$4,0))*IF(W62=0,0,Y62/W62))-(AE$8)*((AE$7-$N$5)-(INDEX(ship_curves,MATCH(AC62,'SHIP CURVES'!$A$9:$A$316,0),MATCH(CONCATENATE(AG$4,AG$5,AG$6,AG$7),'SHIP CURVES'!$A$9:$Z$9,0))-INDEX(ship_curves,MATCH(AC62,'SHIP CURVES'!$A$9:$A$316,0),MATCH(CONCATENATE(AG$4,AE$6,AG$6,AG$7),'SHIP CURVES'!$A$9:$Z$9,0)))-(INDEX(terminal_curves,MATCH(AC62,'TERMINAL CURVES'!$A$4:$A$313,0),MATCH(AG$5,'TERMINAL CURVES'!$A$4:$N$4,0))-INDEX(terminal_curves,MATCH(AC62,'TERMINAL CURVES'!$A$4:$A$313,0),MATCH(AE$6,'TERMINAL CURVES'!$A$4:$N$4,0)))*IF(W62=0,0,Y62/W62)))*-W62</f>
        <v>0</v>
      </c>
      <c r="AH62" s="356" t="n">
        <f aca="false">SUM(AE62:AG62)</f>
        <v>0</v>
      </c>
      <c r="AI62" s="357" t="n">
        <f aca="false">(-Y62/((HLOOKUP(AG$5,port_specs,2,0)/(365.25))*(AC63-AC62)))*(INDEX(fixed_capacity_charge,MATCH(AC62,PORTS!$H$11:$H$317,0),MATCH(AG$5,PORTS!$H$11:$N$11,0))+INDEX(variable_om_charge,MATCH(AC62,PORTS!$H$318:$H$625,0),MATCH(AG$5,PORTS!$H$318:$N$318,0)))</f>
        <v>-0</v>
      </c>
      <c r="AJ62" s="343" t="n">
        <f aca="false">+AI62+AH62</f>
        <v>0</v>
      </c>
      <c r="AK62" s="355" t="n">
        <f aca="false">+AJ62+AD62</f>
        <v>0</v>
      </c>
      <c r="AM62" s="346" t="n">
        <f aca="false">+DATE(YEAR(AM61),MONTH(AM61)+1,1)</f>
        <v>38047</v>
      </c>
      <c r="AN62" s="327" t="n">
        <f aca="false">+AP62/(1-HLOOKUP(AO$6,SHIPS,7,0)*INDEX(LADEN_VOYAGE_DAYS,MATCH(CONCATENATE(AO$4,AO$5),LADEN_VOYAGE_ROUTES,0),MATCH(AO$6,LADEN_VOYAGE_SHIPS,0)))</f>
        <v>5395761.47735991</v>
      </c>
      <c r="AO62" s="347" t="n">
        <f aca="false">+AP62-AN62</f>
        <v>-56655.4955122788</v>
      </c>
      <c r="AP62" s="348" t="n">
        <f aca="false">+IF(AND(AO$8&lt;=AM62,AO$9&gt;=AM62),+MIN($B62-SUMIF($H$17:AO$17,AP$17,$H62:AO62),((INDEX(ROUTE_PER_DAY_BY_SHIP,MATCH(CONCATENATE(AO$4,AO$5,AO$7),ROUTE_PER_DAY_ROUTES,0),MATCH(AO$6,ROUTE_PER_DAY_SHIPS,0))*(AM63-AM62))-(INDEX(ROUTE_PER_DAY_BY_SHIP,MATCH(CONCATENATE(AO$4,AO$5,AO$7),ROUTE_PER_DAY_ROUTES,0),MATCH(AO$6,ROUTE_PER_DAY_SHIPS,0))*(AM63-AM62))*HLOOKUP(AO$6,SHIPS,7,0)*INDEX(LADEN_VOYAGE_DAYS,MATCH(CONCATENATE(AO$4,AO$5,AO$7),LADEN_VOYAGE_ROUTES,0),MATCH(AO$6,LADEN_VOYAGE_SHIPS,0)))),0)</f>
        <v>5339105.98184763</v>
      </c>
      <c r="AQ62" s="349" t="n">
        <f aca="false">-(AP62)*PORTS!$I$6</f>
        <v>-133477.649546191</v>
      </c>
      <c r="AR62" s="327" t="n">
        <f aca="false">+AP62+AQ62</f>
        <v>5205628.33230144</v>
      </c>
      <c r="AS62" s="333"/>
      <c r="AT62" s="346" t="n">
        <f aca="false">+DATE(YEAR(AT61),MONTH(AT61)+1,1)</f>
        <v>38047</v>
      </c>
      <c r="AU62" s="343" t="n">
        <f aca="false">+AR62*(VLOOKUP(AT62,CURVECALC!$C$6:$J$312,4,0)+AV$5)</f>
        <v>16496636.1850633</v>
      </c>
      <c r="AV62" s="350" t="n">
        <f aca="false">-AN62*INDEX(ship_curves,MATCH(AT62,'SHIP CURVES'!$A$9:$A$316,0),MATCH(CONCATENATE(AX$4,AX$5,AX$6,AX$7),'SHIP CURVES'!$A$9:$AZ$9,0))</f>
        <v>-1757631.94479303</v>
      </c>
      <c r="AW62" s="351" t="n">
        <f aca="false">-AP62*INDEX(port_processing_fee,MATCH(AT62,PORTS!$H$626:$H$933,0),MATCH(AX$5,PORTS!$H$626:$Z$626,0))</f>
        <v>-148059.529012328</v>
      </c>
      <c r="AX62" s="352" t="n">
        <f aca="false">(((VLOOKUP(AT62,curvecalc,4,0))*IF(AN62=0,0,AR62/AN62)-INDEX(ship_curves,MATCH(AT62,'SHIP CURVES'!$A$9:$A$316,0),MATCH(CONCATENATE(AX$4,AX$5,AX$6,AX$7),'SHIP CURVES'!$A$9:$Z$9,0))-INDEX(terminal_curves,MATCH(AT62,'TERMINAL CURVES'!$A$4:$A$313,0),MATCH(AX$5,'TERMINAL CURVES'!$A$4:$N$4,0))*IF(AN62=0,0,AP62/AN62))-(AV$8)*((AV$7-$N$5)-(INDEX(ship_curves,MATCH(AT62,'SHIP CURVES'!$A$9:$A$316,0),MATCH(CONCATENATE(AX$4,AX$5,AX$6,AX$7),'SHIP CURVES'!$A$9:$Z$9,0))-INDEX(ship_curves,MATCH(AT62,'SHIP CURVES'!$A$9:$A$316,0),MATCH(CONCATENATE(AX$4,AV$6,AX$6,AX$7),'SHIP CURVES'!$A$9:$Z$9,0)))-(INDEX(terminal_curves,MATCH(AT62,'TERMINAL CURVES'!$A$4:$A$313,0),MATCH(AX$5,'TERMINAL CURVES'!$A$4:$N$4,0))-INDEX(terminal_curves,MATCH(AT62,'TERMINAL CURVES'!$A$4:$A$313,0),MATCH(AV$6,'TERMINAL CURVES'!$A$4:$N$4,0)))*IF(AN62=0,0,AP62/AN62)))*-AN62</f>
        <v>-13524657.9392115</v>
      </c>
      <c r="AY62" s="356" t="n">
        <f aca="false">SUM(AV62:AX62)</f>
        <v>-15430349.4130169</v>
      </c>
      <c r="AZ62" s="357" t="n">
        <f aca="false">(-AP62/((HLOOKUP(AX$5,port_specs,2,0)/(365.25))*(AT63-AT62)))*(INDEX(fixed_capacity_charge,MATCH(AT62,PORTS!$H$11:$H$317,0),MATCH(AX$5,PORTS!$H$11:$N$11,0))+INDEX(variable_om_charge,MATCH(AT62,PORTS!$H$318:$H$625,0),MATCH(AX$5,PORTS!$H$318:$N$318,0)))</f>
        <v>-962174.205400368</v>
      </c>
      <c r="BA62" s="343" t="n">
        <f aca="false">+AZ62+AY62</f>
        <v>-16392523.6184172</v>
      </c>
      <c r="BB62" s="355" t="n">
        <f aca="false">+BA62+AU62</f>
        <v>104112.566646028</v>
      </c>
      <c r="BC62" s="99"/>
      <c r="BD62" s="357" t="n">
        <f aca="false">+PORTS!I56+PORTS!I364</f>
        <v>962174.205400368</v>
      </c>
    </row>
    <row r="63" customFormat="false" ht="12.75" hidden="false" customHeight="false" outlineLevel="0" collapsed="false">
      <c r="A63" s="346" t="n">
        <f aca="false">+DATE(YEAR(A62),MONTH(A62)+1,1)</f>
        <v>38078</v>
      </c>
      <c r="B63" s="327" t="n">
        <f aca="false">+IF(AND($A63&gt;=$C$8,$A63&lt;=$C$9),1,0)*PORTS!$I$5/(365.25)*(A64-A63)</f>
        <v>5166876.75662674</v>
      </c>
      <c r="C63" s="328" t="n">
        <f aca="false">+B63-(SUMIF($F$17:$IV$17,$H$17,$F63:$IV63))</f>
        <v>0</v>
      </c>
      <c r="D63" s="0" t="n">
        <f aca="false">+YEAR(E63)</f>
        <v>2004</v>
      </c>
      <c r="E63" s="346" t="n">
        <f aca="false">+DATE(YEAR(E62),MONTH(E62)+1,1)</f>
        <v>38078</v>
      </c>
      <c r="F63" s="327" t="n">
        <f aca="false">+IF(AND(G$8&lt;=E63,G$9&gt;=E63),INDEX(ROUTE_PER_DAY_BY_SHIP,MATCH(CONCATENATE(G$4,G$5,G$7),ROUTE_PER_DAY_ROUTES,0),MATCH(G$6,ROUTE_PER_DAY_SHIPS,0))*(E64-E63),0)</f>
        <v>0</v>
      </c>
      <c r="G63" s="347" t="n">
        <f aca="false">-F63*HLOOKUP(G$6,SHIPS,7,0)*INDEX(LADEN_VOYAGE_DAYS,MATCH(CONCATENATE(G$4,G$5,G$7),LADEN_VOYAGE_ROUTES,0),MATCH(G$6,LADEN_VOYAGE_SHIPS,0))</f>
        <v>-0</v>
      </c>
      <c r="H63" s="348" t="n">
        <f aca="false">SUM(F63:G63)</f>
        <v>0</v>
      </c>
      <c r="I63" s="349" t="n">
        <f aca="false">-(H63)*HLOOKUP(G$5,TERMINAL_CHARGES,3,0)</f>
        <v>-0</v>
      </c>
      <c r="J63" s="327" t="n">
        <f aca="false">+H63+I63</f>
        <v>0</v>
      </c>
      <c r="K63" s="333"/>
      <c r="L63" s="346" t="n">
        <f aca="false">+DATE(YEAR(L62),MONTH(L62)+1,1)</f>
        <v>38078</v>
      </c>
      <c r="M63" s="334" t="n">
        <f aca="false">+J63*(VLOOKUP(L63,CURVECALC!$C$6:$J$312,4,0)+N$5)</f>
        <v>0</v>
      </c>
      <c r="N63" s="350" t="n">
        <f aca="false">-F63*INDEX(ship_curves,MATCH(L63,'SHIP CURVES'!$A$9:$A$316,0),MATCH(CONCATENATE(P$4,P$5,P$6,P$7),'SHIP CURVES'!$A$9:$AZ$9,0))</f>
        <v>-0</v>
      </c>
      <c r="O63" s="351" t="n">
        <f aca="false">-H63*INDEX(port_processing_fee,MATCH(L63,PORTS!$H$626:$H$933,0),MATCH(P$5,PORTS!$H$626:$Z$626,0))</f>
        <v>-0</v>
      </c>
      <c r="P63" s="352" t="n">
        <f aca="false">(((VLOOKUP(L63,curvecalc,4,0))*IF(F63=0,0,J63/F63)-INDEX(ship_curves,MATCH(L63,'SHIP CURVES'!$A$9:$A$316,0),MATCH(CONCATENATE(P$4,P$5,P$6,P$7),'SHIP CURVES'!$A$9:$Z$9,0))-INDEX(terminal_curves,MATCH(L63,'TERMINAL CURVES'!$A$4:$A$313,0),MATCH(P$5,'TERMINAL CURVES'!$A$4:$N$4,0))*IF(F63=0,0,H63/F63))-(N$8)*((N$7-$N$5)-(INDEX(ship_curves,MATCH(L63,'SHIP CURVES'!$A$9:$A$316,0),MATCH(CONCATENATE(P$4,P$5,P$6,P$7),'SHIP CURVES'!$A$9:$Z$9,0))-INDEX(ship_curves,MATCH(L63,'SHIP CURVES'!$A$9:$A$316,0),MATCH(CONCATENATE(P$4,N$6,P$6,P$7),'SHIP CURVES'!$A$9:$Z$9,0)))-(INDEX(terminal_curves,MATCH(L63,'TERMINAL CURVES'!$A$4:$A$313,0),MATCH(P$5,'TERMINAL CURVES'!$A$4:$N$4,0))-INDEX(terminal_curves,MATCH(L63,'TERMINAL CURVES'!$A$4:$A$313,0),MATCH(N$6,'TERMINAL CURVES'!$A$4:$N$4,0)))*IF(F63=0,0,H63/F63)))*-F63</f>
        <v>0</v>
      </c>
      <c r="Q63" s="353" t="n">
        <f aca="false">SUM(N63:P63)</f>
        <v>0</v>
      </c>
      <c r="R63" s="357" t="n">
        <f aca="false">(-H63/((HLOOKUP(P$5,port_specs,2,0)/(365.25))*(L64-L63)))*(INDEX(fixed_capacity_charge,MATCH(L63,PORTS!$H$11:$H$317,0),MATCH(P$5,PORTS!$H$11:$N$11,0))+INDEX(variable_om_charge,MATCH(L63,PORTS!$H$318:$H$625,0),MATCH(P$5,PORTS!$H$318:$N$318,0)))</f>
        <v>-0</v>
      </c>
      <c r="S63" s="343" t="n">
        <f aca="false">+R63+Q63</f>
        <v>0</v>
      </c>
      <c r="T63" s="355" t="n">
        <f aca="false">+S63+M63</f>
        <v>0</v>
      </c>
      <c r="U63" s="342"/>
      <c r="V63" s="346" t="n">
        <f aca="false">+DATE(YEAR(V62),MONTH(V62)+1,1)</f>
        <v>38078</v>
      </c>
      <c r="W63" s="327" t="n">
        <f aca="false">+Y63/(1-HLOOKUP(X$6,SHIPS,7,0)*INDEX(LADEN_VOYAGE_DAYS,MATCH(CONCATENATE(X$4,X$5),LADEN_VOYAGE_ROUTES,0),MATCH(X$6,LADEN_VOYAGE_SHIPS,0)))</f>
        <v>0</v>
      </c>
      <c r="X63" s="347" t="n">
        <f aca="false">+Y63-W63</f>
        <v>0</v>
      </c>
      <c r="Y63" s="348" t="n">
        <f aca="false">+IF(AND(X$8&lt;=V63,X$9&gt;=V63),+MIN($B63-SUMIF($H$17:X$17,Y$17,$H63:X63),((INDEX(ROUTE_PER_DAY_BY_SHIP,MATCH(CONCATENATE(X$4,X$5,X$7),ROUTE_PER_DAY_ROUTES,0),MATCH(X$6,ROUTE_PER_DAY_SHIPS,0))*(V64-V63))-(INDEX(ROUTE_PER_DAY_BY_SHIP,MATCH(CONCATENATE(X$4,X$5,X$7),ROUTE_PER_DAY_ROUTES,0),MATCH(X$6,ROUTE_PER_DAY_SHIPS,0))*(V64-V63))*HLOOKUP(X$6,SHIPS,7,0)*INDEX(LADEN_VOYAGE_DAYS,MATCH(CONCATENATE(X$4,X$5,X$7),LADEN_VOYAGE_ROUTES,0),MATCH(X$6,LADEN_VOYAGE_SHIPS,0)))),0)</f>
        <v>0</v>
      </c>
      <c r="Z63" s="349" t="n">
        <f aca="false">-(Y63)*HLOOKUP(X$5,TERMINAL_CHARGES,3,0)</f>
        <v>-0</v>
      </c>
      <c r="AA63" s="327" t="n">
        <f aca="false">+Y63+Z63</f>
        <v>0</v>
      </c>
      <c r="AB63" s="333"/>
      <c r="AC63" s="346" t="n">
        <f aca="false">+DATE(YEAR(AC62),MONTH(AC62)+1,1)</f>
        <v>38078</v>
      </c>
      <c r="AD63" s="343" t="n">
        <f aca="false">+AA63*(VLOOKUP(AC63,CURVECALC!$C$6:$J$312,4,0)+AE$5)</f>
        <v>0</v>
      </c>
      <c r="AE63" s="350" t="n">
        <f aca="false">-W63*INDEX(ship_curves,MATCH(AC63,'SHIP CURVES'!$A$9:$A$316,0),MATCH(CONCATENATE(AG$4,AG$5,AG$6,AG$7),'SHIP CURVES'!$A$9:$AZ$9,0))</f>
        <v>-0</v>
      </c>
      <c r="AF63" s="351" t="n">
        <f aca="false">-Y63*INDEX(port_processing_fee,MATCH(AC63,PORTS!$H$626:$H$933,0),MATCH(AG$5,PORTS!$H$626:$Z$626,0))</f>
        <v>-0</v>
      </c>
      <c r="AG63" s="352" t="n">
        <f aca="false">(((VLOOKUP(AC63,curvecalc,4,0))*IF(W63=0,0,AA63/W63)-INDEX(ship_curves,MATCH(AC63,'SHIP CURVES'!$A$9:$A$316,0),MATCH(CONCATENATE(AG$4,AG$5,AG$6,AG$7),'SHIP CURVES'!$A$9:$Z$9,0))-INDEX(terminal_curves,MATCH(AC63,'TERMINAL CURVES'!$A$4:$A$313,0),MATCH(AG$5,'TERMINAL CURVES'!$A$4:$N$4,0))*IF(W63=0,0,Y63/W63))-(AE$8)*((AE$7-$N$5)-(INDEX(ship_curves,MATCH(AC63,'SHIP CURVES'!$A$9:$A$316,0),MATCH(CONCATENATE(AG$4,AG$5,AG$6,AG$7),'SHIP CURVES'!$A$9:$Z$9,0))-INDEX(ship_curves,MATCH(AC63,'SHIP CURVES'!$A$9:$A$316,0),MATCH(CONCATENATE(AG$4,AE$6,AG$6,AG$7),'SHIP CURVES'!$A$9:$Z$9,0)))-(INDEX(terminal_curves,MATCH(AC63,'TERMINAL CURVES'!$A$4:$A$313,0),MATCH(AG$5,'TERMINAL CURVES'!$A$4:$N$4,0))-INDEX(terminal_curves,MATCH(AC63,'TERMINAL CURVES'!$A$4:$A$313,0),MATCH(AE$6,'TERMINAL CURVES'!$A$4:$N$4,0)))*IF(W63=0,0,Y63/W63)))*-W63</f>
        <v>0</v>
      </c>
      <c r="AH63" s="356" t="n">
        <f aca="false">SUM(AE63:AG63)</f>
        <v>0</v>
      </c>
      <c r="AI63" s="357" t="n">
        <f aca="false">(-Y63/((HLOOKUP(AG$5,port_specs,2,0)/(365.25))*(AC64-AC63)))*(INDEX(fixed_capacity_charge,MATCH(AC63,PORTS!$H$11:$H$317,0),MATCH(AG$5,PORTS!$H$11:$N$11,0))+INDEX(variable_om_charge,MATCH(AC63,PORTS!$H$318:$H$625,0),MATCH(AG$5,PORTS!$H$318:$N$318,0)))</f>
        <v>-0</v>
      </c>
      <c r="AJ63" s="343" t="n">
        <f aca="false">+AI63+AH63</f>
        <v>0</v>
      </c>
      <c r="AK63" s="355" t="n">
        <f aca="false">+AJ63+AD63</f>
        <v>0</v>
      </c>
      <c r="AM63" s="346" t="n">
        <f aca="false">+DATE(YEAR(AM62),MONTH(AM62)+1,1)</f>
        <v>38078</v>
      </c>
      <c r="AN63" s="327" t="n">
        <f aca="false">+AP63/(1-HLOOKUP(AO$6,SHIPS,7,0)*INDEX(LADEN_VOYAGE_DAYS,MATCH(CONCATENATE(AO$4,AO$5),LADEN_VOYAGE_ROUTES,0),MATCH(AO$6,LADEN_VOYAGE_SHIPS,0)))</f>
        <v>5221704.65550959</v>
      </c>
      <c r="AO63" s="347" t="n">
        <f aca="false">+AP63-AN63</f>
        <v>-54827.8988828501</v>
      </c>
      <c r="AP63" s="348" t="n">
        <f aca="false">+IF(AND(AO$8&lt;=AM63,AO$9&gt;=AM63),+MIN($B63-SUMIF($H$17:AO$17,AP$17,$H63:AO63),((INDEX(ROUTE_PER_DAY_BY_SHIP,MATCH(CONCATENATE(AO$4,AO$5,AO$7),ROUTE_PER_DAY_ROUTES,0),MATCH(AO$6,ROUTE_PER_DAY_SHIPS,0))*(AM64-AM63))-(INDEX(ROUTE_PER_DAY_BY_SHIP,MATCH(CONCATENATE(AO$4,AO$5,AO$7),ROUTE_PER_DAY_ROUTES,0),MATCH(AO$6,ROUTE_PER_DAY_SHIPS,0))*(AM64-AM63))*HLOOKUP(AO$6,SHIPS,7,0)*INDEX(LADEN_VOYAGE_DAYS,MATCH(CONCATENATE(AO$4,AO$5,AO$7),LADEN_VOYAGE_ROUTES,0),MATCH(AO$6,LADEN_VOYAGE_SHIPS,0)))),0)</f>
        <v>5166876.75662674</v>
      </c>
      <c r="AQ63" s="349" t="n">
        <f aca="false">-(AP63)*PORTS!$I$6</f>
        <v>-129171.918915669</v>
      </c>
      <c r="AR63" s="327" t="n">
        <f aca="false">+AP63+AQ63</f>
        <v>5037704.83771107</v>
      </c>
      <c r="AS63" s="333"/>
      <c r="AT63" s="346" t="n">
        <f aca="false">+DATE(YEAR(AT62),MONTH(AT62)+1,1)</f>
        <v>38078</v>
      </c>
      <c r="AU63" s="343" t="n">
        <f aca="false">+AR63*(VLOOKUP(AT63,CURVECALC!$C$6:$J$312,4,0)+AV$5)</f>
        <v>15274321.06794</v>
      </c>
      <c r="AV63" s="350" t="n">
        <f aca="false">-AN63*INDEX(ship_curves,MATCH(AT63,'SHIP CURVES'!$A$9:$A$316,0),MATCH(CONCATENATE(AX$4,AX$5,AX$6,AX$7),'SHIP CURVES'!$A$9:$AZ$9,0))</f>
        <v>-1701385.15669038</v>
      </c>
      <c r="AW63" s="351" t="n">
        <f aca="false">-AP63*INDEX(port_processing_fee,MATCH(AT63,PORTS!$H$626:$H$933,0),MATCH(AX$5,PORTS!$H$626:$Z$626,0))</f>
        <v>-143432.668730692</v>
      </c>
      <c r="AX63" s="352" t="n">
        <f aca="false">(((VLOOKUP(AT63,curvecalc,4,0))*IF(AN63=0,0,AR63/AN63)-INDEX(ship_curves,MATCH(AT63,'SHIP CURVES'!$A$9:$A$316,0),MATCH(CONCATENATE(AX$4,AX$5,AX$6,AX$7),'SHIP CURVES'!$A$9:$Z$9,0))-INDEX(terminal_curves,MATCH(AT63,'TERMINAL CURVES'!$A$4:$A$313,0),MATCH(AX$5,'TERMINAL CURVES'!$A$4:$N$4,0))*IF(AN63=0,0,AP63/AN63))-(AV$8)*((AV$7-$N$5)-(INDEX(ship_curves,MATCH(AT63,'SHIP CURVES'!$A$9:$A$316,0),MATCH(CONCATENATE(AX$4,AX$5,AX$6,AX$7),'SHIP CURVES'!$A$9:$Z$9,0))-INDEX(ship_curves,MATCH(AT63,'SHIP CURVES'!$A$9:$A$316,0),MATCH(CONCATENATE(AX$4,AV$6,AX$6,AX$7),'SHIP CURVES'!$A$9:$Z$9,0)))-(INDEX(terminal_curves,MATCH(AT63,'TERMINAL CURVES'!$A$4:$A$313,0),MATCH(AX$5,'TERMINAL CURVES'!$A$4:$N$4,0))-INDEX(terminal_curves,MATCH(AT63,'TERMINAL CURVES'!$A$4:$A$313,0),MATCH(AV$6,'TERMINAL CURVES'!$A$4:$N$4,0)))*IF(AN63=0,0,AP63/AN63)))*-AN63</f>
        <v>-12366078.078245</v>
      </c>
      <c r="AY63" s="356" t="n">
        <f aca="false">SUM(AV63:AX63)</f>
        <v>-14210895.9036661</v>
      </c>
      <c r="AZ63" s="357" t="n">
        <f aca="false">(-AP63/((HLOOKUP(AX$5,port_specs,2,0)/(365.25))*(AT64-AT63)))*(INDEX(fixed_capacity_charge,MATCH(AT63,PORTS!$H$11:$H$317,0),MATCH(AX$5,PORTS!$H$11:$N$11,0))+INDEX(variable_om_charge,MATCH(AT63,PORTS!$H$318:$H$625,0),MATCH(AX$5,PORTS!$H$318:$N$318,0)))</f>
        <v>-962671.067519631</v>
      </c>
      <c r="BA63" s="343" t="n">
        <f aca="false">+AZ63+AY63</f>
        <v>-15173566.9711858</v>
      </c>
      <c r="BB63" s="355" t="n">
        <f aca="false">+BA63+AU63</f>
        <v>100754.096754221</v>
      </c>
      <c r="BC63" s="99"/>
      <c r="BD63" s="357" t="n">
        <f aca="false">+PORTS!I57+PORTS!I365</f>
        <v>962671.067519631</v>
      </c>
    </row>
    <row r="64" customFormat="false" ht="12.75" hidden="false" customHeight="false" outlineLevel="0" collapsed="false">
      <c r="A64" s="346" t="n">
        <f aca="false">+DATE(YEAR(A63),MONTH(A63)+1,1)</f>
        <v>38108</v>
      </c>
      <c r="B64" s="327" t="n">
        <f aca="false">+IF(AND($A64&gt;=$C$8,$A64&lt;=$C$9),1,0)*PORTS!$I$5/(365.25)*(A65-A64)</f>
        <v>5339105.98184763</v>
      </c>
      <c r="C64" s="328" t="n">
        <f aca="false">+B64-(SUMIF($F$17:$IV$17,$H$17,$F64:$IV64))</f>
        <v>0</v>
      </c>
      <c r="D64" s="0" t="n">
        <f aca="false">+YEAR(E64)</f>
        <v>2004</v>
      </c>
      <c r="E64" s="346" t="n">
        <f aca="false">+DATE(YEAR(E63),MONTH(E63)+1,1)</f>
        <v>38108</v>
      </c>
      <c r="F64" s="327" t="n">
        <f aca="false">+IF(AND(G$8&lt;=E64,G$9&gt;=E64),INDEX(ROUTE_PER_DAY_BY_SHIP,MATCH(CONCATENATE(G$4,G$5,G$7),ROUTE_PER_DAY_ROUTES,0),MATCH(G$6,ROUTE_PER_DAY_SHIPS,0))*(E65-E64),0)</f>
        <v>0</v>
      </c>
      <c r="G64" s="347" t="n">
        <f aca="false">-F64*HLOOKUP(G$6,SHIPS,7,0)*INDEX(LADEN_VOYAGE_DAYS,MATCH(CONCATENATE(G$4,G$5,G$7),LADEN_VOYAGE_ROUTES,0),MATCH(G$6,LADEN_VOYAGE_SHIPS,0))</f>
        <v>-0</v>
      </c>
      <c r="H64" s="348" t="n">
        <f aca="false">SUM(F64:G64)</f>
        <v>0</v>
      </c>
      <c r="I64" s="349" t="n">
        <f aca="false">-(H64)*HLOOKUP(G$5,TERMINAL_CHARGES,3,0)</f>
        <v>-0</v>
      </c>
      <c r="J64" s="327" t="n">
        <f aca="false">+H64+I64</f>
        <v>0</v>
      </c>
      <c r="K64" s="333"/>
      <c r="L64" s="346" t="n">
        <f aca="false">+DATE(YEAR(L63),MONTH(L63)+1,1)</f>
        <v>38108</v>
      </c>
      <c r="M64" s="334" t="n">
        <f aca="false">+J64*(VLOOKUP(L64,CURVECALC!$C$6:$J$312,4,0)+N$5)</f>
        <v>0</v>
      </c>
      <c r="N64" s="350" t="n">
        <f aca="false">-F64*INDEX(ship_curves,MATCH(L64,'SHIP CURVES'!$A$9:$A$316,0),MATCH(CONCATENATE(P$4,P$5,P$6,P$7),'SHIP CURVES'!$A$9:$AZ$9,0))</f>
        <v>-0</v>
      </c>
      <c r="O64" s="351" t="n">
        <f aca="false">-H64*INDEX(port_processing_fee,MATCH(L64,PORTS!$H$626:$H$933,0),MATCH(P$5,PORTS!$H$626:$Z$626,0))</f>
        <v>-0</v>
      </c>
      <c r="P64" s="352" t="n">
        <f aca="false">(((VLOOKUP(L64,curvecalc,4,0))*IF(F64=0,0,J64/F64)-INDEX(ship_curves,MATCH(L64,'SHIP CURVES'!$A$9:$A$316,0),MATCH(CONCATENATE(P$4,P$5,P$6,P$7),'SHIP CURVES'!$A$9:$Z$9,0))-INDEX(terminal_curves,MATCH(L64,'TERMINAL CURVES'!$A$4:$A$313,0),MATCH(P$5,'TERMINAL CURVES'!$A$4:$N$4,0))*IF(F64=0,0,H64/F64))-(N$8)*((N$7-$N$5)-(INDEX(ship_curves,MATCH(L64,'SHIP CURVES'!$A$9:$A$316,0),MATCH(CONCATENATE(P$4,P$5,P$6,P$7),'SHIP CURVES'!$A$9:$Z$9,0))-INDEX(ship_curves,MATCH(L64,'SHIP CURVES'!$A$9:$A$316,0),MATCH(CONCATENATE(P$4,N$6,P$6,P$7),'SHIP CURVES'!$A$9:$Z$9,0)))-(INDEX(terminal_curves,MATCH(L64,'TERMINAL CURVES'!$A$4:$A$313,0),MATCH(P$5,'TERMINAL CURVES'!$A$4:$N$4,0))-INDEX(terminal_curves,MATCH(L64,'TERMINAL CURVES'!$A$4:$A$313,0),MATCH(N$6,'TERMINAL CURVES'!$A$4:$N$4,0)))*IF(F64=0,0,H64/F64)))*-F64</f>
        <v>0</v>
      </c>
      <c r="Q64" s="353" t="n">
        <f aca="false">SUM(N64:P64)</f>
        <v>0</v>
      </c>
      <c r="R64" s="357" t="n">
        <f aca="false">(-H64/((HLOOKUP(P$5,port_specs,2,0)/(365.25))*(L65-L64)))*(INDEX(fixed_capacity_charge,MATCH(L64,PORTS!$H$11:$H$317,0),MATCH(P$5,PORTS!$H$11:$N$11,0))+INDEX(variable_om_charge,MATCH(L64,PORTS!$H$318:$H$625,0),MATCH(P$5,PORTS!$H$318:$N$318,0)))</f>
        <v>-0</v>
      </c>
      <c r="S64" s="343" t="n">
        <f aca="false">+R64+Q64</f>
        <v>0</v>
      </c>
      <c r="T64" s="355" t="n">
        <f aca="false">+S64+M64</f>
        <v>0</v>
      </c>
      <c r="U64" s="342"/>
      <c r="V64" s="346" t="n">
        <f aca="false">+DATE(YEAR(V63),MONTH(V63)+1,1)</f>
        <v>38108</v>
      </c>
      <c r="W64" s="327" t="n">
        <f aca="false">+Y64/(1-HLOOKUP(X$6,SHIPS,7,0)*INDEX(LADEN_VOYAGE_DAYS,MATCH(CONCATENATE(X$4,X$5),LADEN_VOYAGE_ROUTES,0),MATCH(X$6,LADEN_VOYAGE_SHIPS,0)))</f>
        <v>0</v>
      </c>
      <c r="X64" s="347" t="n">
        <f aca="false">+Y64-W64</f>
        <v>0</v>
      </c>
      <c r="Y64" s="348" t="n">
        <f aca="false">+IF(AND(X$8&lt;=V64,X$9&gt;=V64),+MIN($B64-SUMIF($H$17:X$17,Y$17,$H64:X64),((INDEX(ROUTE_PER_DAY_BY_SHIP,MATCH(CONCATENATE(X$4,X$5,X$7),ROUTE_PER_DAY_ROUTES,0),MATCH(X$6,ROUTE_PER_DAY_SHIPS,0))*(V65-V64))-(INDEX(ROUTE_PER_DAY_BY_SHIP,MATCH(CONCATENATE(X$4,X$5,X$7),ROUTE_PER_DAY_ROUTES,0),MATCH(X$6,ROUTE_PER_DAY_SHIPS,0))*(V65-V64))*HLOOKUP(X$6,SHIPS,7,0)*INDEX(LADEN_VOYAGE_DAYS,MATCH(CONCATENATE(X$4,X$5,X$7),LADEN_VOYAGE_ROUTES,0),MATCH(X$6,LADEN_VOYAGE_SHIPS,0)))),0)</f>
        <v>0</v>
      </c>
      <c r="Z64" s="349" t="n">
        <f aca="false">-(Y64)*HLOOKUP(X$5,TERMINAL_CHARGES,3,0)</f>
        <v>-0</v>
      </c>
      <c r="AA64" s="327" t="n">
        <f aca="false">+Y64+Z64</f>
        <v>0</v>
      </c>
      <c r="AB64" s="333"/>
      <c r="AC64" s="346" t="n">
        <f aca="false">+DATE(YEAR(AC63),MONTH(AC63)+1,1)</f>
        <v>38108</v>
      </c>
      <c r="AD64" s="343" t="n">
        <f aca="false">+AA64*(VLOOKUP(AC64,CURVECALC!$C$6:$J$312,4,0)+AE$5)</f>
        <v>0</v>
      </c>
      <c r="AE64" s="350" t="n">
        <f aca="false">-W64*INDEX(ship_curves,MATCH(AC64,'SHIP CURVES'!$A$9:$A$316,0),MATCH(CONCATENATE(AG$4,AG$5,AG$6,AG$7),'SHIP CURVES'!$A$9:$AZ$9,0))</f>
        <v>-0</v>
      </c>
      <c r="AF64" s="351" t="n">
        <f aca="false">-Y64*INDEX(port_processing_fee,MATCH(AC64,PORTS!$H$626:$H$933,0),MATCH(AG$5,PORTS!$H$626:$Z$626,0))</f>
        <v>-0</v>
      </c>
      <c r="AG64" s="352" t="n">
        <f aca="false">(((VLOOKUP(AC64,curvecalc,4,0))*IF(W64=0,0,AA64/W64)-INDEX(ship_curves,MATCH(AC64,'SHIP CURVES'!$A$9:$A$316,0),MATCH(CONCATENATE(AG$4,AG$5,AG$6,AG$7),'SHIP CURVES'!$A$9:$Z$9,0))-INDEX(terminal_curves,MATCH(AC64,'TERMINAL CURVES'!$A$4:$A$313,0),MATCH(AG$5,'TERMINAL CURVES'!$A$4:$N$4,0))*IF(W64=0,0,Y64/W64))-(AE$8)*((AE$7-$N$5)-(INDEX(ship_curves,MATCH(AC64,'SHIP CURVES'!$A$9:$A$316,0),MATCH(CONCATENATE(AG$4,AG$5,AG$6,AG$7),'SHIP CURVES'!$A$9:$Z$9,0))-INDEX(ship_curves,MATCH(AC64,'SHIP CURVES'!$A$9:$A$316,0),MATCH(CONCATENATE(AG$4,AE$6,AG$6,AG$7),'SHIP CURVES'!$A$9:$Z$9,0)))-(INDEX(terminal_curves,MATCH(AC64,'TERMINAL CURVES'!$A$4:$A$313,0),MATCH(AG$5,'TERMINAL CURVES'!$A$4:$N$4,0))-INDEX(terminal_curves,MATCH(AC64,'TERMINAL CURVES'!$A$4:$A$313,0),MATCH(AE$6,'TERMINAL CURVES'!$A$4:$N$4,0)))*IF(W64=0,0,Y64/W64)))*-W64</f>
        <v>0</v>
      </c>
      <c r="AH64" s="356" t="n">
        <f aca="false">SUM(AE64:AG64)</f>
        <v>0</v>
      </c>
      <c r="AI64" s="357" t="n">
        <f aca="false">(-Y64/((HLOOKUP(AG$5,port_specs,2,0)/(365.25))*(AC65-AC64)))*(INDEX(fixed_capacity_charge,MATCH(AC64,PORTS!$H$11:$H$317,0),MATCH(AG$5,PORTS!$H$11:$N$11,0))+INDEX(variable_om_charge,MATCH(AC64,PORTS!$H$318:$H$625,0),MATCH(AG$5,PORTS!$H$318:$N$318,0)))</f>
        <v>-0</v>
      </c>
      <c r="AJ64" s="343" t="n">
        <f aca="false">+AI64+AH64</f>
        <v>0</v>
      </c>
      <c r="AK64" s="355" t="n">
        <f aca="false">+AJ64+AD64</f>
        <v>0</v>
      </c>
      <c r="AM64" s="346" t="n">
        <f aca="false">+DATE(YEAR(AM63),MONTH(AM63)+1,1)</f>
        <v>38108</v>
      </c>
      <c r="AN64" s="327" t="n">
        <f aca="false">+AP64/(1-HLOOKUP(AO$6,SHIPS,7,0)*INDEX(LADEN_VOYAGE_DAYS,MATCH(CONCATENATE(AO$4,AO$5),LADEN_VOYAGE_ROUTES,0),MATCH(AO$6,LADEN_VOYAGE_SHIPS,0)))</f>
        <v>5395761.47735991</v>
      </c>
      <c r="AO64" s="347" t="n">
        <f aca="false">+AP64-AN64</f>
        <v>-56655.4955122788</v>
      </c>
      <c r="AP64" s="348" t="n">
        <f aca="false">+IF(AND(AO$8&lt;=AM64,AO$9&gt;=AM64),+MIN($B64-SUMIF($H$17:AO$17,AP$17,$H64:AO64),((INDEX(ROUTE_PER_DAY_BY_SHIP,MATCH(CONCATENATE(AO$4,AO$5,AO$7),ROUTE_PER_DAY_ROUTES,0),MATCH(AO$6,ROUTE_PER_DAY_SHIPS,0))*(AM65-AM64))-(INDEX(ROUTE_PER_DAY_BY_SHIP,MATCH(CONCATENATE(AO$4,AO$5,AO$7),ROUTE_PER_DAY_ROUTES,0),MATCH(AO$6,ROUTE_PER_DAY_SHIPS,0))*(AM65-AM64))*HLOOKUP(AO$6,SHIPS,7,0)*INDEX(LADEN_VOYAGE_DAYS,MATCH(CONCATENATE(AO$4,AO$5,AO$7),LADEN_VOYAGE_ROUTES,0),MATCH(AO$6,LADEN_VOYAGE_SHIPS,0)))),0)</f>
        <v>5339105.98184763</v>
      </c>
      <c r="AQ64" s="349" t="n">
        <f aca="false">-(AP64)*PORTS!$I$6</f>
        <v>-133477.649546191</v>
      </c>
      <c r="AR64" s="327" t="n">
        <f aca="false">+AP64+AQ64</f>
        <v>5205628.33230144</v>
      </c>
      <c r="AS64" s="333"/>
      <c r="AT64" s="346" t="n">
        <f aca="false">+DATE(YEAR(AT63),MONTH(AT63)+1,1)</f>
        <v>38108</v>
      </c>
      <c r="AU64" s="343" t="n">
        <f aca="false">+AR64*(VLOOKUP(AT64,CURVECALC!$C$6:$J$312,4,0)+AV$5)</f>
        <v>15710586.3068858</v>
      </c>
      <c r="AV64" s="350" t="n">
        <f aca="false">-AN64*INDEX(ship_curves,MATCH(AT64,'SHIP CURVES'!$A$9:$A$316,0),MATCH(CONCATENATE(AX$4,AX$5,AX$6,AX$7),'SHIP CURVES'!$A$9:$AZ$9,0))</f>
        <v>-1758565.01663888</v>
      </c>
      <c r="AW64" s="351" t="n">
        <f aca="false">-AP64*INDEX(port_processing_fee,MATCH(AT64,PORTS!$H$626:$H$933,0),MATCH(AX$5,PORTS!$H$626:$Z$626,0))</f>
        <v>-148368.147019307</v>
      </c>
      <c r="AX64" s="352" t="n">
        <f aca="false">(((VLOOKUP(AT64,curvecalc,4,0))*IF(AN64=0,0,AR64/AN64)-INDEX(ship_curves,MATCH(AT64,'SHIP CURVES'!$A$9:$A$316,0),MATCH(CONCATENATE(AX$4,AX$5,AX$6,AX$7),'SHIP CURVES'!$A$9:$Z$9,0))-INDEX(terminal_curves,MATCH(AT64,'TERMINAL CURVES'!$A$4:$A$313,0),MATCH(AX$5,'TERMINAL CURVES'!$A$4:$N$4,0))*IF(AN64=0,0,AP64/AN64))-(AV$8)*((AV$7-$N$5)-(INDEX(ship_curves,MATCH(AT64,'SHIP CURVES'!$A$9:$A$316,0),MATCH(CONCATENATE(AX$4,AX$5,AX$6,AX$7),'SHIP CURVES'!$A$9:$Z$9,0))-INDEX(ship_curves,MATCH(AT64,'SHIP CURVES'!$A$9:$A$316,0),MATCH(CONCATENATE(AX$4,AV$6,AX$6,AX$7),'SHIP CURVES'!$A$9:$Z$9,0)))-(INDEX(terminal_curves,MATCH(AT64,'TERMINAL CURVES'!$A$4:$A$313,0),MATCH(AX$5,'TERMINAL CURVES'!$A$4:$N$4,0))-INDEX(terminal_curves,MATCH(AT64,'TERMINAL CURVES'!$A$4:$A$313,0),MATCH(AV$6,'TERMINAL CURVES'!$A$4:$N$4,0)))*IF(AN64=0,0,AP64/AN64)))*-AN64</f>
        <v>-12736372.1293779</v>
      </c>
      <c r="AY64" s="356" t="n">
        <f aca="false">SUM(AV64:AX64)</f>
        <v>-14643305.2930361</v>
      </c>
      <c r="AZ64" s="357" t="n">
        <f aca="false">(-AP64/((HLOOKUP(AX$5,port_specs,2,0)/(365.25))*(AT65-AT64)))*(INDEX(fixed_capacity_charge,MATCH(AT64,PORTS!$H$11:$H$317,0),MATCH(AX$5,PORTS!$H$11:$N$11,0))+INDEX(variable_om_charge,MATCH(AT64,PORTS!$H$318:$H$625,0),MATCH(AX$5,PORTS!$H$318:$N$318,0)))</f>
        <v>-963168.447203601</v>
      </c>
      <c r="BA64" s="343" t="n">
        <f aca="false">+AZ64+AY64</f>
        <v>-15606473.7402397</v>
      </c>
      <c r="BB64" s="355" t="n">
        <f aca="false">+BA64+AU64</f>
        <v>104112.56664603</v>
      </c>
      <c r="BC64" s="99"/>
      <c r="BD64" s="357" t="n">
        <f aca="false">+PORTS!I58+PORTS!I366</f>
        <v>963168.447203601</v>
      </c>
    </row>
    <row r="65" customFormat="false" ht="12.75" hidden="false" customHeight="false" outlineLevel="0" collapsed="false">
      <c r="A65" s="346" t="n">
        <f aca="false">+DATE(YEAR(A64),MONTH(A64)+1,1)</f>
        <v>38139</v>
      </c>
      <c r="B65" s="327" t="n">
        <f aca="false">+IF(AND($A65&gt;=$C$8,$A65&lt;=$C$9),1,0)*PORTS!$I$5/(365.25)*(A66-A65)</f>
        <v>5166876.75662674</v>
      </c>
      <c r="C65" s="328" t="n">
        <f aca="false">+B65-(SUMIF($F$17:$IV$17,$H$17,$F65:$IV65))</f>
        <v>0</v>
      </c>
      <c r="D65" s="0" t="n">
        <f aca="false">+YEAR(E65)</f>
        <v>2004</v>
      </c>
      <c r="E65" s="346" t="n">
        <f aca="false">+DATE(YEAR(E64),MONTH(E64)+1,1)</f>
        <v>38139</v>
      </c>
      <c r="F65" s="327" t="n">
        <f aca="false">+IF(AND(G$8&lt;=E65,G$9&gt;=E65),INDEX(ROUTE_PER_DAY_BY_SHIP,MATCH(CONCATENATE(G$4,G$5,G$7),ROUTE_PER_DAY_ROUTES,0),MATCH(G$6,ROUTE_PER_DAY_SHIPS,0))*(E66-E65),0)</f>
        <v>0</v>
      </c>
      <c r="G65" s="347" t="n">
        <f aca="false">-F65*HLOOKUP(G$6,SHIPS,7,0)*INDEX(LADEN_VOYAGE_DAYS,MATCH(CONCATENATE(G$4,G$5,G$7),LADEN_VOYAGE_ROUTES,0),MATCH(G$6,LADEN_VOYAGE_SHIPS,0))</f>
        <v>-0</v>
      </c>
      <c r="H65" s="348" t="n">
        <f aca="false">SUM(F65:G65)</f>
        <v>0</v>
      </c>
      <c r="I65" s="349" t="n">
        <f aca="false">-(H65)*HLOOKUP(G$5,TERMINAL_CHARGES,3,0)</f>
        <v>-0</v>
      </c>
      <c r="J65" s="327" t="n">
        <f aca="false">+H65+I65</f>
        <v>0</v>
      </c>
      <c r="K65" s="333"/>
      <c r="L65" s="346" t="n">
        <f aca="false">+DATE(YEAR(L64),MONTH(L64)+1,1)</f>
        <v>38139</v>
      </c>
      <c r="M65" s="334" t="n">
        <f aca="false">+J65*(VLOOKUP(L65,CURVECALC!$C$6:$J$312,4,0)+N$5)</f>
        <v>0</v>
      </c>
      <c r="N65" s="350" t="n">
        <f aca="false">-F65*INDEX(ship_curves,MATCH(L65,'SHIP CURVES'!$A$9:$A$316,0),MATCH(CONCATENATE(P$4,P$5,P$6,P$7),'SHIP CURVES'!$A$9:$AZ$9,0))</f>
        <v>-0</v>
      </c>
      <c r="O65" s="351" t="n">
        <f aca="false">-H65*INDEX(port_processing_fee,MATCH(L65,PORTS!$H$626:$H$933,0),MATCH(P$5,PORTS!$H$626:$Z$626,0))</f>
        <v>-0</v>
      </c>
      <c r="P65" s="352" t="n">
        <f aca="false">(((VLOOKUP(L65,curvecalc,4,0))*IF(F65=0,0,J65/F65)-INDEX(ship_curves,MATCH(L65,'SHIP CURVES'!$A$9:$A$316,0),MATCH(CONCATENATE(P$4,P$5,P$6,P$7),'SHIP CURVES'!$A$9:$Z$9,0))-INDEX(terminal_curves,MATCH(L65,'TERMINAL CURVES'!$A$4:$A$313,0),MATCH(P$5,'TERMINAL CURVES'!$A$4:$N$4,0))*IF(F65=0,0,H65/F65))-(N$8)*((N$7-$N$5)-(INDEX(ship_curves,MATCH(L65,'SHIP CURVES'!$A$9:$A$316,0),MATCH(CONCATENATE(P$4,P$5,P$6,P$7),'SHIP CURVES'!$A$9:$Z$9,0))-INDEX(ship_curves,MATCH(L65,'SHIP CURVES'!$A$9:$A$316,0),MATCH(CONCATENATE(P$4,N$6,P$6,P$7),'SHIP CURVES'!$A$9:$Z$9,0)))-(INDEX(terminal_curves,MATCH(L65,'TERMINAL CURVES'!$A$4:$A$313,0),MATCH(P$5,'TERMINAL CURVES'!$A$4:$N$4,0))-INDEX(terminal_curves,MATCH(L65,'TERMINAL CURVES'!$A$4:$A$313,0),MATCH(N$6,'TERMINAL CURVES'!$A$4:$N$4,0)))*IF(F65=0,0,H65/F65)))*-F65</f>
        <v>0</v>
      </c>
      <c r="Q65" s="353" t="n">
        <f aca="false">SUM(N65:P65)</f>
        <v>0</v>
      </c>
      <c r="R65" s="357" t="n">
        <f aca="false">(-H65/((HLOOKUP(P$5,port_specs,2,0)/(365.25))*(L66-L65)))*(INDEX(fixed_capacity_charge,MATCH(L65,PORTS!$H$11:$H$317,0),MATCH(P$5,PORTS!$H$11:$N$11,0))+INDEX(variable_om_charge,MATCH(L65,PORTS!$H$318:$H$625,0),MATCH(P$5,PORTS!$H$318:$N$318,0)))</f>
        <v>-0</v>
      </c>
      <c r="S65" s="343" t="n">
        <f aca="false">+R65+Q65</f>
        <v>0</v>
      </c>
      <c r="T65" s="355" t="n">
        <f aca="false">+S65+M65</f>
        <v>0</v>
      </c>
      <c r="U65" s="342"/>
      <c r="V65" s="346" t="n">
        <f aca="false">+DATE(YEAR(V64),MONTH(V64)+1,1)</f>
        <v>38139</v>
      </c>
      <c r="W65" s="327" t="n">
        <f aca="false">+Y65/(1-HLOOKUP(X$6,SHIPS,7,0)*INDEX(LADEN_VOYAGE_DAYS,MATCH(CONCATENATE(X$4,X$5),LADEN_VOYAGE_ROUTES,0),MATCH(X$6,LADEN_VOYAGE_SHIPS,0)))</f>
        <v>0</v>
      </c>
      <c r="X65" s="347" t="n">
        <f aca="false">+Y65-W65</f>
        <v>0</v>
      </c>
      <c r="Y65" s="348" t="n">
        <f aca="false">+IF(AND(X$8&lt;=V65,X$9&gt;=V65),+MIN($B65-SUMIF($H$17:X$17,Y$17,$H65:X65),((INDEX(ROUTE_PER_DAY_BY_SHIP,MATCH(CONCATENATE(X$4,X$5,X$7),ROUTE_PER_DAY_ROUTES,0),MATCH(X$6,ROUTE_PER_DAY_SHIPS,0))*(V66-V65))-(INDEX(ROUTE_PER_DAY_BY_SHIP,MATCH(CONCATENATE(X$4,X$5,X$7),ROUTE_PER_DAY_ROUTES,0),MATCH(X$6,ROUTE_PER_DAY_SHIPS,0))*(V66-V65))*HLOOKUP(X$6,SHIPS,7,0)*INDEX(LADEN_VOYAGE_DAYS,MATCH(CONCATENATE(X$4,X$5,X$7),LADEN_VOYAGE_ROUTES,0),MATCH(X$6,LADEN_VOYAGE_SHIPS,0)))),0)</f>
        <v>0</v>
      </c>
      <c r="Z65" s="349" t="n">
        <f aca="false">-(Y65)*HLOOKUP(X$5,TERMINAL_CHARGES,3,0)</f>
        <v>-0</v>
      </c>
      <c r="AA65" s="327" t="n">
        <f aca="false">+Y65+Z65</f>
        <v>0</v>
      </c>
      <c r="AB65" s="333"/>
      <c r="AC65" s="346" t="n">
        <f aca="false">+DATE(YEAR(AC64),MONTH(AC64)+1,1)</f>
        <v>38139</v>
      </c>
      <c r="AD65" s="343" t="n">
        <f aca="false">+AA65*(VLOOKUP(AC65,CURVECALC!$C$6:$J$312,4,0)+AE$5)</f>
        <v>0</v>
      </c>
      <c r="AE65" s="350" t="n">
        <f aca="false">-W65*INDEX(ship_curves,MATCH(AC65,'SHIP CURVES'!$A$9:$A$316,0),MATCH(CONCATENATE(AG$4,AG$5,AG$6,AG$7),'SHIP CURVES'!$A$9:$AZ$9,0))</f>
        <v>-0</v>
      </c>
      <c r="AF65" s="351" t="n">
        <f aca="false">-Y65*INDEX(port_processing_fee,MATCH(AC65,PORTS!$H$626:$H$933,0),MATCH(AG$5,PORTS!$H$626:$Z$626,0))</f>
        <v>-0</v>
      </c>
      <c r="AG65" s="352" t="n">
        <f aca="false">(((VLOOKUP(AC65,curvecalc,4,0))*IF(W65=0,0,AA65/W65)-INDEX(ship_curves,MATCH(AC65,'SHIP CURVES'!$A$9:$A$316,0),MATCH(CONCATENATE(AG$4,AG$5,AG$6,AG$7),'SHIP CURVES'!$A$9:$Z$9,0))-INDEX(terminal_curves,MATCH(AC65,'TERMINAL CURVES'!$A$4:$A$313,0),MATCH(AG$5,'TERMINAL CURVES'!$A$4:$N$4,0))*IF(W65=0,0,Y65/W65))-(AE$8)*((AE$7-$N$5)-(INDEX(ship_curves,MATCH(AC65,'SHIP CURVES'!$A$9:$A$316,0),MATCH(CONCATENATE(AG$4,AG$5,AG$6,AG$7),'SHIP CURVES'!$A$9:$Z$9,0))-INDEX(ship_curves,MATCH(AC65,'SHIP CURVES'!$A$9:$A$316,0),MATCH(CONCATENATE(AG$4,AE$6,AG$6,AG$7),'SHIP CURVES'!$A$9:$Z$9,0)))-(INDEX(terminal_curves,MATCH(AC65,'TERMINAL CURVES'!$A$4:$A$313,0),MATCH(AG$5,'TERMINAL CURVES'!$A$4:$N$4,0))-INDEX(terminal_curves,MATCH(AC65,'TERMINAL CURVES'!$A$4:$A$313,0),MATCH(AE$6,'TERMINAL CURVES'!$A$4:$N$4,0)))*IF(W65=0,0,Y65/W65)))*-W65</f>
        <v>0</v>
      </c>
      <c r="AH65" s="356" t="n">
        <f aca="false">SUM(AE65:AG65)</f>
        <v>0</v>
      </c>
      <c r="AI65" s="357" t="n">
        <f aca="false">(-Y65/((HLOOKUP(AG$5,port_specs,2,0)/(365.25))*(AC66-AC65)))*(INDEX(fixed_capacity_charge,MATCH(AC65,PORTS!$H$11:$H$317,0),MATCH(AG$5,PORTS!$H$11:$N$11,0))+INDEX(variable_om_charge,MATCH(AC65,PORTS!$H$318:$H$625,0),MATCH(AG$5,PORTS!$H$318:$N$318,0)))</f>
        <v>-0</v>
      </c>
      <c r="AJ65" s="343" t="n">
        <f aca="false">+AI65+AH65</f>
        <v>0</v>
      </c>
      <c r="AK65" s="355" t="n">
        <f aca="false">+AJ65+AD65</f>
        <v>0</v>
      </c>
      <c r="AM65" s="346" t="n">
        <f aca="false">+DATE(YEAR(AM64),MONTH(AM64)+1,1)</f>
        <v>38139</v>
      </c>
      <c r="AN65" s="327" t="n">
        <f aca="false">+AP65/(1-HLOOKUP(AO$6,SHIPS,7,0)*INDEX(LADEN_VOYAGE_DAYS,MATCH(CONCATENATE(AO$4,AO$5),LADEN_VOYAGE_ROUTES,0),MATCH(AO$6,LADEN_VOYAGE_SHIPS,0)))</f>
        <v>5221704.65550959</v>
      </c>
      <c r="AO65" s="347" t="n">
        <f aca="false">+AP65-AN65</f>
        <v>-54827.8988828501</v>
      </c>
      <c r="AP65" s="348" t="n">
        <f aca="false">+IF(AND(AO$8&lt;=AM65,AO$9&gt;=AM65),+MIN($B65-SUMIF($H$17:AO$17,AP$17,$H65:AO65),((INDEX(ROUTE_PER_DAY_BY_SHIP,MATCH(CONCATENATE(AO$4,AO$5,AO$7),ROUTE_PER_DAY_ROUTES,0),MATCH(AO$6,ROUTE_PER_DAY_SHIPS,0))*(AM66-AM65))-(INDEX(ROUTE_PER_DAY_BY_SHIP,MATCH(CONCATENATE(AO$4,AO$5,AO$7),ROUTE_PER_DAY_ROUTES,0),MATCH(AO$6,ROUTE_PER_DAY_SHIPS,0))*(AM66-AM65))*HLOOKUP(AO$6,SHIPS,7,0)*INDEX(LADEN_VOYAGE_DAYS,MATCH(CONCATENATE(AO$4,AO$5,AO$7),LADEN_VOYAGE_ROUTES,0),MATCH(AO$6,LADEN_VOYAGE_SHIPS,0)))),0)</f>
        <v>5166876.75662674</v>
      </c>
      <c r="AQ65" s="349" t="n">
        <f aca="false">-(AP65)*PORTS!$I$6</f>
        <v>-129171.918915669</v>
      </c>
      <c r="AR65" s="327" t="n">
        <f aca="false">+AP65+AQ65</f>
        <v>5037704.83771107</v>
      </c>
      <c r="AS65" s="333"/>
      <c r="AT65" s="346" t="n">
        <f aca="false">+DATE(YEAR(AT64),MONTH(AT64)+1,1)</f>
        <v>38139</v>
      </c>
      <c r="AU65" s="343" t="n">
        <f aca="false">+AR65*(VLOOKUP(AT65,CURVECALC!$C$6:$J$312,4,0)+AV$5)</f>
        <v>15359962.0501811</v>
      </c>
      <c r="AV65" s="350" t="n">
        <f aca="false">-AN65*INDEX(ship_curves,MATCH(AT65,'SHIP CURVES'!$A$9:$A$316,0),MATCH(CONCATENATE(AX$4,AX$5,AX$6,AX$7),'SHIP CURVES'!$A$9:$AZ$9,0))</f>
        <v>-1702290.01063767</v>
      </c>
      <c r="AW65" s="351" t="n">
        <f aca="false">-AP65*INDEX(port_processing_fee,MATCH(AT65,PORTS!$H$626:$H$933,0),MATCH(AX$5,PORTS!$H$626:$Z$626,0))</f>
        <v>-143731.642424954</v>
      </c>
      <c r="AX65" s="352" t="n">
        <f aca="false">(((VLOOKUP(AT65,curvecalc,4,0))*IF(AN65=0,0,AR65/AN65)-INDEX(ship_curves,MATCH(AT65,'SHIP CURVES'!$A$9:$A$316,0),MATCH(CONCATENATE(AX$4,AX$5,AX$6,AX$7),'SHIP CURVES'!$A$9:$Z$9,0))-INDEX(terminal_curves,MATCH(AT65,'TERMINAL CURVES'!$A$4:$A$313,0),MATCH(AX$5,'TERMINAL CURVES'!$A$4:$N$4,0))*IF(AN65=0,0,AP65/AN65))-(AV$8)*((AV$7-$N$5)-(INDEX(ship_curves,MATCH(AT65,'SHIP CURVES'!$A$9:$A$316,0),MATCH(CONCATENATE(AX$4,AX$5,AX$6,AX$7),'SHIP CURVES'!$A$9:$Z$9,0))-INDEX(ship_curves,MATCH(AT65,'SHIP CURVES'!$A$9:$A$316,0),MATCH(CONCATENATE(AX$4,AV$6,AX$6,AX$7),'SHIP CURVES'!$A$9:$Z$9,0)))-(INDEX(terminal_curves,MATCH(AT65,'TERMINAL CURVES'!$A$4:$A$313,0),MATCH(AX$5,'TERMINAL CURVES'!$A$4:$N$4,0))-INDEX(terminal_curves,MATCH(AT65,'TERMINAL CURVES'!$A$4:$A$313,0),MATCH(AV$6,'TERMINAL CURVES'!$A$4:$N$4,0)))*IF(AN65=0,0,AP65/AN65)))*-AN65</f>
        <v>-12449519.9553728</v>
      </c>
      <c r="AY65" s="356" t="n">
        <f aca="false">SUM(AV65:AX65)</f>
        <v>-14295541.6084354</v>
      </c>
      <c r="AZ65" s="357" t="n">
        <f aca="false">(-AP65/((HLOOKUP(AX$5,port_specs,2,0)/(365.25))*(AT66-AT65)))*(INDEX(fixed_capacity_charge,MATCH(AT65,PORTS!$H$11:$H$317,0),MATCH(AX$5,PORTS!$H$11:$N$11,0))+INDEX(variable_om_charge,MATCH(AT65,PORTS!$H$318:$H$625,0),MATCH(AX$5,PORTS!$H$318:$N$318,0)))</f>
        <v>-963666.344991408</v>
      </c>
      <c r="BA65" s="343" t="n">
        <f aca="false">+AZ65+AY65</f>
        <v>-15259207.9534268</v>
      </c>
      <c r="BB65" s="355" t="n">
        <f aca="false">+BA65+AU65</f>
        <v>100754.096754225</v>
      </c>
      <c r="BC65" s="99"/>
      <c r="BD65" s="357" t="n">
        <f aca="false">+PORTS!I59+PORTS!I367</f>
        <v>963666.344991408</v>
      </c>
    </row>
    <row r="66" customFormat="false" ht="12.75" hidden="false" customHeight="false" outlineLevel="0" collapsed="false">
      <c r="A66" s="346" t="n">
        <f aca="false">+DATE(YEAR(A65),MONTH(A65)+1,1)</f>
        <v>38169</v>
      </c>
      <c r="B66" s="327" t="n">
        <f aca="false">+IF(AND($A66&gt;=$C$8,$A66&lt;=$C$9),1,0)*PORTS!$I$5/(365.25)*(A67-A66)</f>
        <v>5339105.98184763</v>
      </c>
      <c r="C66" s="328" t="n">
        <f aca="false">+B66-(SUMIF($F$17:$IV$17,$H$17,$F66:$IV66))</f>
        <v>0</v>
      </c>
      <c r="D66" s="0" t="n">
        <f aca="false">+YEAR(E66)</f>
        <v>2004</v>
      </c>
      <c r="E66" s="346" t="n">
        <f aca="false">+DATE(YEAR(E65),MONTH(E65)+1,1)</f>
        <v>38169</v>
      </c>
      <c r="F66" s="327" t="n">
        <f aca="false">+IF(AND(G$8&lt;=E66,G$9&gt;=E66),INDEX(ROUTE_PER_DAY_BY_SHIP,MATCH(CONCATENATE(G$4,G$5,G$7),ROUTE_PER_DAY_ROUTES,0),MATCH(G$6,ROUTE_PER_DAY_SHIPS,0))*(E67-E66),0)</f>
        <v>0</v>
      </c>
      <c r="G66" s="347" t="n">
        <f aca="false">-F66*HLOOKUP(G$6,SHIPS,7,0)*INDEX(LADEN_VOYAGE_DAYS,MATCH(CONCATENATE(G$4,G$5,G$7),LADEN_VOYAGE_ROUTES,0),MATCH(G$6,LADEN_VOYAGE_SHIPS,0))</f>
        <v>-0</v>
      </c>
      <c r="H66" s="348" t="n">
        <f aca="false">SUM(F66:G66)</f>
        <v>0</v>
      </c>
      <c r="I66" s="349" t="n">
        <f aca="false">-(H66)*HLOOKUP(G$5,TERMINAL_CHARGES,3,0)</f>
        <v>-0</v>
      </c>
      <c r="J66" s="327" t="n">
        <f aca="false">+H66+I66</f>
        <v>0</v>
      </c>
      <c r="K66" s="333"/>
      <c r="L66" s="346" t="n">
        <f aca="false">+DATE(YEAR(L65),MONTH(L65)+1,1)</f>
        <v>38169</v>
      </c>
      <c r="M66" s="334" t="n">
        <f aca="false">+J66*(VLOOKUP(L66,CURVECALC!$C$6:$J$312,4,0)+N$5)</f>
        <v>0</v>
      </c>
      <c r="N66" s="350" t="n">
        <f aca="false">-F66*INDEX(ship_curves,MATCH(L66,'SHIP CURVES'!$A$9:$A$316,0),MATCH(CONCATENATE(P$4,P$5,P$6,P$7),'SHIP CURVES'!$A$9:$AZ$9,0))</f>
        <v>-0</v>
      </c>
      <c r="O66" s="351" t="n">
        <f aca="false">-H66*INDEX(port_processing_fee,MATCH(L66,PORTS!$H$626:$H$933,0),MATCH(P$5,PORTS!$H$626:$Z$626,0))</f>
        <v>-0</v>
      </c>
      <c r="P66" s="352" t="n">
        <f aca="false">(((VLOOKUP(L66,curvecalc,4,0))*IF(F66=0,0,J66/F66)-INDEX(ship_curves,MATCH(L66,'SHIP CURVES'!$A$9:$A$316,0),MATCH(CONCATENATE(P$4,P$5,P$6,P$7),'SHIP CURVES'!$A$9:$Z$9,0))-INDEX(terminal_curves,MATCH(L66,'TERMINAL CURVES'!$A$4:$A$313,0),MATCH(P$5,'TERMINAL CURVES'!$A$4:$N$4,0))*IF(F66=0,0,H66/F66))-(N$8)*((N$7-$N$5)-(INDEX(ship_curves,MATCH(L66,'SHIP CURVES'!$A$9:$A$316,0),MATCH(CONCATENATE(P$4,P$5,P$6,P$7),'SHIP CURVES'!$A$9:$Z$9,0))-INDEX(ship_curves,MATCH(L66,'SHIP CURVES'!$A$9:$A$316,0),MATCH(CONCATENATE(P$4,N$6,P$6,P$7),'SHIP CURVES'!$A$9:$Z$9,0)))-(INDEX(terminal_curves,MATCH(L66,'TERMINAL CURVES'!$A$4:$A$313,0),MATCH(P$5,'TERMINAL CURVES'!$A$4:$N$4,0))-INDEX(terminal_curves,MATCH(L66,'TERMINAL CURVES'!$A$4:$A$313,0),MATCH(N$6,'TERMINAL CURVES'!$A$4:$N$4,0)))*IF(F66=0,0,H66/F66)))*-F66</f>
        <v>0</v>
      </c>
      <c r="Q66" s="353" t="n">
        <f aca="false">SUM(N66:P66)</f>
        <v>0</v>
      </c>
      <c r="R66" s="357" t="n">
        <f aca="false">(-H66/((HLOOKUP(P$5,port_specs,2,0)/(365.25))*(L67-L66)))*(INDEX(fixed_capacity_charge,MATCH(L66,PORTS!$H$11:$H$317,0),MATCH(P$5,PORTS!$H$11:$N$11,0))+INDEX(variable_om_charge,MATCH(L66,PORTS!$H$318:$H$625,0),MATCH(P$5,PORTS!$H$318:$N$318,0)))</f>
        <v>-0</v>
      </c>
      <c r="S66" s="343" t="n">
        <f aca="false">+R66+Q66</f>
        <v>0</v>
      </c>
      <c r="T66" s="355" t="n">
        <f aca="false">+S66+M66</f>
        <v>0</v>
      </c>
      <c r="U66" s="342"/>
      <c r="V66" s="346" t="n">
        <f aca="false">+DATE(YEAR(V65),MONTH(V65)+1,1)</f>
        <v>38169</v>
      </c>
      <c r="W66" s="327" t="n">
        <f aca="false">+Y66/(1-HLOOKUP(X$6,SHIPS,7,0)*INDEX(LADEN_VOYAGE_DAYS,MATCH(CONCATENATE(X$4,X$5),LADEN_VOYAGE_ROUTES,0),MATCH(X$6,LADEN_VOYAGE_SHIPS,0)))</f>
        <v>0</v>
      </c>
      <c r="X66" s="347" t="n">
        <f aca="false">+Y66-W66</f>
        <v>0</v>
      </c>
      <c r="Y66" s="348" t="n">
        <f aca="false">+IF(AND(X$8&lt;=V66,X$9&gt;=V66),+MIN($B66-SUMIF($H$17:X$17,Y$17,$H66:X66),((INDEX(ROUTE_PER_DAY_BY_SHIP,MATCH(CONCATENATE(X$4,X$5,X$7),ROUTE_PER_DAY_ROUTES,0),MATCH(X$6,ROUTE_PER_DAY_SHIPS,0))*(V67-V66))-(INDEX(ROUTE_PER_DAY_BY_SHIP,MATCH(CONCATENATE(X$4,X$5,X$7),ROUTE_PER_DAY_ROUTES,0),MATCH(X$6,ROUTE_PER_DAY_SHIPS,0))*(V67-V66))*HLOOKUP(X$6,SHIPS,7,0)*INDEX(LADEN_VOYAGE_DAYS,MATCH(CONCATENATE(X$4,X$5,X$7),LADEN_VOYAGE_ROUTES,0),MATCH(X$6,LADEN_VOYAGE_SHIPS,0)))),0)</f>
        <v>0</v>
      </c>
      <c r="Z66" s="349" t="n">
        <f aca="false">-(Y66)*HLOOKUP(X$5,TERMINAL_CHARGES,3,0)</f>
        <v>-0</v>
      </c>
      <c r="AA66" s="327" t="n">
        <f aca="false">+Y66+Z66</f>
        <v>0</v>
      </c>
      <c r="AB66" s="333"/>
      <c r="AC66" s="346" t="n">
        <f aca="false">+DATE(YEAR(AC65),MONTH(AC65)+1,1)</f>
        <v>38169</v>
      </c>
      <c r="AD66" s="343" t="n">
        <f aca="false">+AA66*(VLOOKUP(AC66,CURVECALC!$C$6:$J$312,4,0)+AE$5)</f>
        <v>0</v>
      </c>
      <c r="AE66" s="350" t="n">
        <f aca="false">-W66*INDEX(ship_curves,MATCH(AC66,'SHIP CURVES'!$A$9:$A$316,0),MATCH(CONCATENATE(AG$4,AG$5,AG$6,AG$7),'SHIP CURVES'!$A$9:$AZ$9,0))</f>
        <v>-0</v>
      </c>
      <c r="AF66" s="351" t="n">
        <f aca="false">-Y66*INDEX(port_processing_fee,MATCH(AC66,PORTS!$H$626:$H$933,0),MATCH(AG$5,PORTS!$H$626:$Z$626,0))</f>
        <v>-0</v>
      </c>
      <c r="AG66" s="352" t="n">
        <f aca="false">(((VLOOKUP(AC66,curvecalc,4,0))*IF(W66=0,0,AA66/W66)-INDEX(ship_curves,MATCH(AC66,'SHIP CURVES'!$A$9:$A$316,0),MATCH(CONCATENATE(AG$4,AG$5,AG$6,AG$7),'SHIP CURVES'!$A$9:$Z$9,0))-INDEX(terminal_curves,MATCH(AC66,'TERMINAL CURVES'!$A$4:$A$313,0),MATCH(AG$5,'TERMINAL CURVES'!$A$4:$N$4,0))*IF(W66=0,0,Y66/W66))-(AE$8)*((AE$7-$N$5)-(INDEX(ship_curves,MATCH(AC66,'SHIP CURVES'!$A$9:$A$316,0),MATCH(CONCATENATE(AG$4,AG$5,AG$6,AG$7),'SHIP CURVES'!$A$9:$Z$9,0))-INDEX(ship_curves,MATCH(AC66,'SHIP CURVES'!$A$9:$A$316,0),MATCH(CONCATENATE(AG$4,AE$6,AG$6,AG$7),'SHIP CURVES'!$A$9:$Z$9,0)))-(INDEX(terminal_curves,MATCH(AC66,'TERMINAL CURVES'!$A$4:$A$313,0),MATCH(AG$5,'TERMINAL CURVES'!$A$4:$N$4,0))-INDEX(terminal_curves,MATCH(AC66,'TERMINAL CURVES'!$A$4:$A$313,0),MATCH(AE$6,'TERMINAL CURVES'!$A$4:$N$4,0)))*IF(W66=0,0,Y66/W66)))*-W66</f>
        <v>0</v>
      </c>
      <c r="AH66" s="356" t="n">
        <f aca="false">SUM(AE66:AG66)</f>
        <v>0</v>
      </c>
      <c r="AI66" s="357" t="n">
        <f aca="false">(-Y66/((HLOOKUP(AG$5,port_specs,2,0)/(365.25))*(AC67-AC66)))*(INDEX(fixed_capacity_charge,MATCH(AC66,PORTS!$H$11:$H$317,0),MATCH(AG$5,PORTS!$H$11:$N$11,0))+INDEX(variable_om_charge,MATCH(AC66,PORTS!$H$318:$H$625,0),MATCH(AG$5,PORTS!$H$318:$N$318,0)))</f>
        <v>-0</v>
      </c>
      <c r="AJ66" s="343" t="n">
        <f aca="false">+AI66+AH66</f>
        <v>0</v>
      </c>
      <c r="AK66" s="355" t="n">
        <f aca="false">+AJ66+AD66</f>
        <v>0</v>
      </c>
      <c r="AM66" s="346" t="n">
        <f aca="false">+DATE(YEAR(AM65),MONTH(AM65)+1,1)</f>
        <v>38169</v>
      </c>
      <c r="AN66" s="327" t="n">
        <f aca="false">+AP66/(1-HLOOKUP(AO$6,SHIPS,7,0)*INDEX(LADEN_VOYAGE_DAYS,MATCH(CONCATENATE(AO$4,AO$5),LADEN_VOYAGE_ROUTES,0),MATCH(AO$6,LADEN_VOYAGE_SHIPS,0)))</f>
        <v>5395761.47735991</v>
      </c>
      <c r="AO66" s="347" t="n">
        <f aca="false">+AP66-AN66</f>
        <v>-56655.4955122788</v>
      </c>
      <c r="AP66" s="348" t="n">
        <f aca="false">+IF(AND(AO$8&lt;=AM66,AO$9&gt;=AM66),+MIN($B66-SUMIF($H$17:AO$17,AP$17,$H66:AO66),((INDEX(ROUTE_PER_DAY_BY_SHIP,MATCH(CONCATENATE(AO$4,AO$5,AO$7),ROUTE_PER_DAY_ROUTES,0),MATCH(AO$6,ROUTE_PER_DAY_SHIPS,0))*(AM67-AM66))-(INDEX(ROUTE_PER_DAY_BY_SHIP,MATCH(CONCATENATE(AO$4,AO$5,AO$7),ROUTE_PER_DAY_ROUTES,0),MATCH(AO$6,ROUTE_PER_DAY_SHIPS,0))*(AM67-AM66))*HLOOKUP(AO$6,SHIPS,7,0)*INDEX(LADEN_VOYAGE_DAYS,MATCH(CONCATENATE(AO$4,AO$5,AO$7),LADEN_VOYAGE_ROUTES,0),MATCH(AO$6,LADEN_VOYAGE_SHIPS,0)))),0)</f>
        <v>5339105.98184763</v>
      </c>
      <c r="AQ66" s="349" t="n">
        <f aca="false">-(AP66)*PORTS!$I$6</f>
        <v>-133477.649546191</v>
      </c>
      <c r="AR66" s="327" t="n">
        <f aca="false">+AP66+AQ66</f>
        <v>5205628.33230144</v>
      </c>
      <c r="AS66" s="333"/>
      <c r="AT66" s="346" t="n">
        <f aca="false">+DATE(YEAR(AT65),MONTH(AT65)+1,1)</f>
        <v>38169</v>
      </c>
      <c r="AU66" s="343" t="n">
        <f aca="false">+AR66*(VLOOKUP(AT66,CURVECALC!$C$6:$J$312,4,0)+AV$5)</f>
        <v>15871960.7851871</v>
      </c>
      <c r="AV66" s="350" t="n">
        <f aca="false">-AN66*INDEX(ship_curves,MATCH(AT66,'SHIP CURVES'!$A$9:$A$316,0),MATCH(CONCATENATE(AX$4,AX$5,AX$6,AX$7),'SHIP CURVES'!$A$9:$AZ$9,0))</f>
        <v>-1759501.98033387</v>
      </c>
      <c r="AW66" s="351" t="n">
        <f aca="false">-AP66*INDEX(port_processing_fee,MATCH(AT66,PORTS!$H$626:$H$933,0),MATCH(AX$5,PORTS!$H$626:$Z$626,0))</f>
        <v>-148677.408315341</v>
      </c>
      <c r="AX66" s="352" t="n">
        <f aca="false">(((VLOOKUP(AT66,curvecalc,4,0))*IF(AN66=0,0,AR66/AN66)-INDEX(ship_curves,MATCH(AT66,'SHIP CURVES'!$A$9:$A$316,0),MATCH(CONCATENATE(AX$4,AX$5,AX$6,AX$7),'SHIP CURVES'!$A$9:$Z$9,0))-INDEX(terminal_curves,MATCH(AT66,'TERMINAL CURVES'!$A$4:$A$313,0),MATCH(AX$5,'TERMINAL CURVES'!$A$4:$N$4,0))*IF(AN66=0,0,AP66/AN66))-(AV$8)*((AV$7-$N$5)-(INDEX(ship_curves,MATCH(AT66,'SHIP CURVES'!$A$9:$A$316,0),MATCH(CONCATENATE(AX$4,AX$5,AX$6,AX$7),'SHIP CURVES'!$A$9:$Z$9,0))-INDEX(ship_curves,MATCH(AT66,'SHIP CURVES'!$A$9:$A$316,0),MATCH(CONCATENATE(AX$4,AV$6,AX$6,AX$7),'SHIP CURVES'!$A$9:$Z$9,0)))-(INDEX(terminal_curves,MATCH(AT66,'TERMINAL CURVES'!$A$4:$A$313,0),MATCH(AX$5,'TERMINAL CURVES'!$A$4:$N$4,0))-INDEX(terminal_curves,MATCH(AT66,'TERMINAL CURVES'!$A$4:$A$313,0),MATCH(AV$6,'TERMINAL CURVES'!$A$4:$N$4,0)))*IF(AN66=0,0,AP66/AN66)))*-AN66</f>
        <v>-12895504.0684691</v>
      </c>
      <c r="AY66" s="356" t="n">
        <f aca="false">SUM(AV66:AX66)</f>
        <v>-14803683.4571183</v>
      </c>
      <c r="AZ66" s="357" t="n">
        <f aca="false">(-AP66/((HLOOKUP(AX$5,port_specs,2,0)/(365.25))*(AT67-AT66)))*(INDEX(fixed_capacity_charge,MATCH(AT66,PORTS!$H$11:$H$317,0),MATCH(AX$5,PORTS!$H$11:$N$11,0))+INDEX(variable_om_charge,MATCH(AT66,PORTS!$H$318:$H$625,0),MATCH(AX$5,PORTS!$H$318:$N$318,0)))</f>
        <v>-964164.761422745</v>
      </c>
      <c r="BA66" s="343" t="n">
        <f aca="false">+AZ66+AY66</f>
        <v>-15767848.2185411</v>
      </c>
      <c r="BB66" s="355" t="n">
        <f aca="false">+BA66+AU66</f>
        <v>104112.56664603</v>
      </c>
      <c r="BC66" s="99"/>
      <c r="BD66" s="357" t="n">
        <f aca="false">+PORTS!I60+PORTS!I368</f>
        <v>964164.761422745</v>
      </c>
    </row>
    <row r="67" customFormat="false" ht="12.75" hidden="false" customHeight="false" outlineLevel="0" collapsed="false">
      <c r="A67" s="346" t="n">
        <f aca="false">+DATE(YEAR(A66),MONTH(A66)+1,1)</f>
        <v>38200</v>
      </c>
      <c r="B67" s="327" t="n">
        <f aca="false">+IF(AND($A67&gt;=$C$8,$A67&lt;=$C$9),1,0)*PORTS!$I$5/(365.25)*(A68-A67)</f>
        <v>5339105.98184763</v>
      </c>
      <c r="C67" s="328" t="n">
        <f aca="false">+B67-(SUMIF($F$17:$IV$17,$H$17,$F67:$IV67))</f>
        <v>0</v>
      </c>
      <c r="D67" s="0" t="n">
        <f aca="false">+YEAR(E67)</f>
        <v>2004</v>
      </c>
      <c r="E67" s="346" t="n">
        <f aca="false">+DATE(YEAR(E66),MONTH(E66)+1,1)</f>
        <v>38200</v>
      </c>
      <c r="F67" s="327" t="n">
        <f aca="false">+IF(AND(G$8&lt;=E67,G$9&gt;=E67),INDEX(ROUTE_PER_DAY_BY_SHIP,MATCH(CONCATENATE(G$4,G$5,G$7),ROUTE_PER_DAY_ROUTES,0),MATCH(G$6,ROUTE_PER_DAY_SHIPS,0))*(E68-E67),0)</f>
        <v>0</v>
      </c>
      <c r="G67" s="347" t="n">
        <f aca="false">-F67*HLOOKUP(G$6,SHIPS,7,0)*INDEX(LADEN_VOYAGE_DAYS,MATCH(CONCATENATE(G$4,G$5,G$7),LADEN_VOYAGE_ROUTES,0),MATCH(G$6,LADEN_VOYAGE_SHIPS,0))</f>
        <v>-0</v>
      </c>
      <c r="H67" s="348" t="n">
        <f aca="false">SUM(F67:G67)</f>
        <v>0</v>
      </c>
      <c r="I67" s="349" t="n">
        <f aca="false">-(H67)*HLOOKUP(G$5,TERMINAL_CHARGES,3,0)</f>
        <v>-0</v>
      </c>
      <c r="J67" s="327" t="n">
        <f aca="false">+H67+I67</f>
        <v>0</v>
      </c>
      <c r="K67" s="333"/>
      <c r="L67" s="346" t="n">
        <f aca="false">+DATE(YEAR(L66),MONTH(L66)+1,1)</f>
        <v>38200</v>
      </c>
      <c r="M67" s="334" t="n">
        <f aca="false">+J67*(VLOOKUP(L67,CURVECALC!$C$6:$J$312,4,0)+N$5)</f>
        <v>0</v>
      </c>
      <c r="N67" s="350" t="n">
        <f aca="false">-F67*INDEX(ship_curves,MATCH(L67,'SHIP CURVES'!$A$9:$A$316,0),MATCH(CONCATENATE(P$4,P$5,P$6,P$7),'SHIP CURVES'!$A$9:$AZ$9,0))</f>
        <v>-0</v>
      </c>
      <c r="O67" s="351" t="n">
        <f aca="false">-H67*INDEX(port_processing_fee,MATCH(L67,PORTS!$H$626:$H$933,0),MATCH(P$5,PORTS!$H$626:$Z$626,0))</f>
        <v>-0</v>
      </c>
      <c r="P67" s="352" t="n">
        <f aca="false">(((VLOOKUP(L67,curvecalc,4,0))*IF(F67=0,0,J67/F67)-INDEX(ship_curves,MATCH(L67,'SHIP CURVES'!$A$9:$A$316,0),MATCH(CONCATENATE(P$4,P$5,P$6,P$7),'SHIP CURVES'!$A$9:$Z$9,0))-INDEX(terminal_curves,MATCH(L67,'TERMINAL CURVES'!$A$4:$A$313,0),MATCH(P$5,'TERMINAL CURVES'!$A$4:$N$4,0))*IF(F67=0,0,H67/F67))-(N$8)*((N$7-$N$5)-(INDEX(ship_curves,MATCH(L67,'SHIP CURVES'!$A$9:$A$316,0),MATCH(CONCATENATE(P$4,P$5,P$6,P$7),'SHIP CURVES'!$A$9:$Z$9,0))-INDEX(ship_curves,MATCH(L67,'SHIP CURVES'!$A$9:$A$316,0),MATCH(CONCATENATE(P$4,N$6,P$6,P$7),'SHIP CURVES'!$A$9:$Z$9,0)))-(INDEX(terminal_curves,MATCH(L67,'TERMINAL CURVES'!$A$4:$A$313,0),MATCH(P$5,'TERMINAL CURVES'!$A$4:$N$4,0))-INDEX(terminal_curves,MATCH(L67,'TERMINAL CURVES'!$A$4:$A$313,0),MATCH(N$6,'TERMINAL CURVES'!$A$4:$N$4,0)))*IF(F67=0,0,H67/F67)))*-F67</f>
        <v>0</v>
      </c>
      <c r="Q67" s="353" t="n">
        <f aca="false">SUM(N67:P67)</f>
        <v>0</v>
      </c>
      <c r="R67" s="357" t="n">
        <f aca="false">(-H67/((HLOOKUP(P$5,port_specs,2,0)/(365.25))*(L68-L67)))*(INDEX(fixed_capacity_charge,MATCH(L67,PORTS!$H$11:$H$317,0),MATCH(P$5,PORTS!$H$11:$N$11,0))+INDEX(variable_om_charge,MATCH(L67,PORTS!$H$318:$H$625,0),MATCH(P$5,PORTS!$H$318:$N$318,0)))</f>
        <v>-0</v>
      </c>
      <c r="S67" s="343" t="n">
        <f aca="false">+R67+Q67</f>
        <v>0</v>
      </c>
      <c r="T67" s="355" t="n">
        <f aca="false">+S67+M67</f>
        <v>0</v>
      </c>
      <c r="U67" s="342"/>
      <c r="V67" s="346" t="n">
        <f aca="false">+DATE(YEAR(V66),MONTH(V66)+1,1)</f>
        <v>38200</v>
      </c>
      <c r="W67" s="327" t="n">
        <f aca="false">+Y67/(1-HLOOKUP(X$6,SHIPS,7,0)*INDEX(LADEN_VOYAGE_DAYS,MATCH(CONCATENATE(X$4,X$5),LADEN_VOYAGE_ROUTES,0),MATCH(X$6,LADEN_VOYAGE_SHIPS,0)))</f>
        <v>0</v>
      </c>
      <c r="X67" s="347" t="n">
        <f aca="false">+Y67-W67</f>
        <v>0</v>
      </c>
      <c r="Y67" s="348" t="n">
        <f aca="false">+IF(AND(X$8&lt;=V67,X$9&gt;=V67),+MIN($B67-SUMIF($H$17:X$17,Y$17,$H67:X67),((INDEX(ROUTE_PER_DAY_BY_SHIP,MATCH(CONCATENATE(X$4,X$5,X$7),ROUTE_PER_DAY_ROUTES,0),MATCH(X$6,ROUTE_PER_DAY_SHIPS,0))*(V68-V67))-(INDEX(ROUTE_PER_DAY_BY_SHIP,MATCH(CONCATENATE(X$4,X$5,X$7),ROUTE_PER_DAY_ROUTES,0),MATCH(X$6,ROUTE_PER_DAY_SHIPS,0))*(V68-V67))*HLOOKUP(X$6,SHIPS,7,0)*INDEX(LADEN_VOYAGE_DAYS,MATCH(CONCATENATE(X$4,X$5,X$7),LADEN_VOYAGE_ROUTES,0),MATCH(X$6,LADEN_VOYAGE_SHIPS,0)))),0)</f>
        <v>0</v>
      </c>
      <c r="Z67" s="349" t="n">
        <f aca="false">-(Y67)*HLOOKUP(X$5,TERMINAL_CHARGES,3,0)</f>
        <v>-0</v>
      </c>
      <c r="AA67" s="327" t="n">
        <f aca="false">+Y67+Z67</f>
        <v>0</v>
      </c>
      <c r="AB67" s="333"/>
      <c r="AC67" s="346" t="n">
        <f aca="false">+DATE(YEAR(AC66),MONTH(AC66)+1,1)</f>
        <v>38200</v>
      </c>
      <c r="AD67" s="343" t="n">
        <f aca="false">+AA67*(VLOOKUP(AC67,CURVECALC!$C$6:$J$312,4,0)+AE$5)</f>
        <v>0</v>
      </c>
      <c r="AE67" s="350" t="n">
        <f aca="false">-W67*INDEX(ship_curves,MATCH(AC67,'SHIP CURVES'!$A$9:$A$316,0),MATCH(CONCATENATE(AG$4,AG$5,AG$6,AG$7),'SHIP CURVES'!$A$9:$AZ$9,0))</f>
        <v>-0</v>
      </c>
      <c r="AF67" s="351" t="n">
        <f aca="false">-Y67*INDEX(port_processing_fee,MATCH(AC67,PORTS!$H$626:$H$933,0),MATCH(AG$5,PORTS!$H$626:$Z$626,0))</f>
        <v>-0</v>
      </c>
      <c r="AG67" s="352" t="n">
        <f aca="false">(((VLOOKUP(AC67,curvecalc,4,0))*IF(W67=0,0,AA67/W67)-INDEX(ship_curves,MATCH(AC67,'SHIP CURVES'!$A$9:$A$316,0),MATCH(CONCATENATE(AG$4,AG$5,AG$6,AG$7),'SHIP CURVES'!$A$9:$Z$9,0))-INDEX(terminal_curves,MATCH(AC67,'TERMINAL CURVES'!$A$4:$A$313,0),MATCH(AG$5,'TERMINAL CURVES'!$A$4:$N$4,0))*IF(W67=0,0,Y67/W67))-(AE$8)*((AE$7-$N$5)-(INDEX(ship_curves,MATCH(AC67,'SHIP CURVES'!$A$9:$A$316,0),MATCH(CONCATENATE(AG$4,AG$5,AG$6,AG$7),'SHIP CURVES'!$A$9:$Z$9,0))-INDEX(ship_curves,MATCH(AC67,'SHIP CURVES'!$A$9:$A$316,0),MATCH(CONCATENATE(AG$4,AE$6,AG$6,AG$7),'SHIP CURVES'!$A$9:$Z$9,0)))-(INDEX(terminal_curves,MATCH(AC67,'TERMINAL CURVES'!$A$4:$A$313,0),MATCH(AG$5,'TERMINAL CURVES'!$A$4:$N$4,0))-INDEX(terminal_curves,MATCH(AC67,'TERMINAL CURVES'!$A$4:$A$313,0),MATCH(AE$6,'TERMINAL CURVES'!$A$4:$N$4,0)))*IF(W67=0,0,Y67/W67)))*-W67</f>
        <v>0</v>
      </c>
      <c r="AH67" s="356" t="n">
        <f aca="false">SUM(AE67:AG67)</f>
        <v>0</v>
      </c>
      <c r="AI67" s="357" t="n">
        <f aca="false">(-Y67/((HLOOKUP(AG$5,port_specs,2,0)/(365.25))*(AC68-AC67)))*(INDEX(fixed_capacity_charge,MATCH(AC67,PORTS!$H$11:$H$317,0),MATCH(AG$5,PORTS!$H$11:$N$11,0))+INDEX(variable_om_charge,MATCH(AC67,PORTS!$H$318:$H$625,0),MATCH(AG$5,PORTS!$H$318:$N$318,0)))</f>
        <v>-0</v>
      </c>
      <c r="AJ67" s="343" t="n">
        <f aca="false">+AI67+AH67</f>
        <v>0</v>
      </c>
      <c r="AK67" s="355" t="n">
        <f aca="false">+AJ67+AD67</f>
        <v>0</v>
      </c>
      <c r="AM67" s="346" t="n">
        <f aca="false">+DATE(YEAR(AM66),MONTH(AM66)+1,1)</f>
        <v>38200</v>
      </c>
      <c r="AN67" s="327" t="n">
        <f aca="false">+AP67/(1-HLOOKUP(AO$6,SHIPS,7,0)*INDEX(LADEN_VOYAGE_DAYS,MATCH(CONCATENATE(AO$4,AO$5),LADEN_VOYAGE_ROUTES,0),MATCH(AO$6,LADEN_VOYAGE_SHIPS,0)))</f>
        <v>5395761.47735991</v>
      </c>
      <c r="AO67" s="347" t="n">
        <f aca="false">+AP67-AN67</f>
        <v>-56655.4955122788</v>
      </c>
      <c r="AP67" s="348" t="n">
        <f aca="false">+IF(AND(AO$8&lt;=AM67,AO$9&gt;=AM67),+MIN($B67-SUMIF($H$17:AO$17,AP$17,$H67:AO67),((INDEX(ROUTE_PER_DAY_BY_SHIP,MATCH(CONCATENATE(AO$4,AO$5,AO$7),ROUTE_PER_DAY_ROUTES,0),MATCH(AO$6,ROUTE_PER_DAY_SHIPS,0))*(AM68-AM67))-(INDEX(ROUTE_PER_DAY_BY_SHIP,MATCH(CONCATENATE(AO$4,AO$5,AO$7),ROUTE_PER_DAY_ROUTES,0),MATCH(AO$6,ROUTE_PER_DAY_SHIPS,0))*(AM68-AM67))*HLOOKUP(AO$6,SHIPS,7,0)*INDEX(LADEN_VOYAGE_DAYS,MATCH(CONCATENATE(AO$4,AO$5,AO$7),LADEN_VOYAGE_ROUTES,0),MATCH(AO$6,LADEN_VOYAGE_SHIPS,0)))),0)</f>
        <v>5339105.98184763</v>
      </c>
      <c r="AQ67" s="349" t="n">
        <f aca="false">-(AP67)*PORTS!$I$6</f>
        <v>-133477.649546191</v>
      </c>
      <c r="AR67" s="327" t="n">
        <f aca="false">+AP67+AQ67</f>
        <v>5205628.33230144</v>
      </c>
      <c r="AS67" s="333"/>
      <c r="AT67" s="346" t="n">
        <f aca="false">+DATE(YEAR(AT66),MONTH(AT66)+1,1)</f>
        <v>38200</v>
      </c>
      <c r="AU67" s="343" t="n">
        <f aca="false">+AR67*(VLOOKUP(AT67,CURVECALC!$C$6:$J$312,4,0)+AV$5)</f>
        <v>16184298.4851252</v>
      </c>
      <c r="AV67" s="350" t="n">
        <f aca="false">-AN67*INDEX(ship_curves,MATCH(AT67,'SHIP CURVES'!$A$9:$A$316,0),MATCH(CONCATENATE(AX$4,AX$5,AX$6,AX$7),'SHIP CURVES'!$A$9:$AZ$9,0))</f>
        <v>-1759971.92669495</v>
      </c>
      <c r="AW67" s="351" t="n">
        <f aca="false">-AP67*INDEX(port_processing_fee,MATCH(AT67,PORTS!$H$626:$H$933,0),MATCH(AX$5,PORTS!$H$626:$Z$626,0))</f>
        <v>-148832.280615669</v>
      </c>
      <c r="AX67" s="352" t="n">
        <f aca="false">(((VLOOKUP(AT67,curvecalc,4,0))*IF(AN67=0,0,AR67/AN67)-INDEX(ship_curves,MATCH(AT67,'SHIP CURVES'!$A$9:$A$316,0),MATCH(CONCATENATE(AX$4,AX$5,AX$6,AX$7),'SHIP CURVES'!$A$9:$Z$9,0))-INDEX(terminal_curves,MATCH(AT67,'TERMINAL CURVES'!$A$4:$A$313,0),MATCH(AX$5,'TERMINAL CURVES'!$A$4:$N$4,0))*IF(AN67=0,0,AP67/AN67))-(AV$8)*((AV$7-$N$5)-(INDEX(ship_curves,MATCH(AT67,'SHIP CURVES'!$A$9:$A$316,0),MATCH(CONCATENATE(AX$4,AX$5,AX$6,AX$7),'SHIP CURVES'!$A$9:$Z$9,0))-INDEX(ship_curves,MATCH(AT67,'SHIP CURVES'!$A$9:$A$316,0),MATCH(CONCATENATE(AX$4,AV$6,AX$6,AX$7),'SHIP CURVES'!$A$9:$Z$9,0)))-(INDEX(terminal_curves,MATCH(AT67,'TERMINAL CURVES'!$A$4:$A$313,0),MATCH(AX$5,'TERMINAL CURVES'!$A$4:$N$4,0))-INDEX(terminal_curves,MATCH(AT67,'TERMINAL CURVES'!$A$4:$A$313,0),MATCH(AV$6,'TERMINAL CURVES'!$A$4:$N$4,0)))*IF(AN67=0,0,AP67/AN67)))*-AN67</f>
        <v>-13206718.0141307</v>
      </c>
      <c r="AY67" s="356" t="n">
        <f aca="false">SUM(AV67:AX67)</f>
        <v>-15115522.2214413</v>
      </c>
      <c r="AZ67" s="357" t="n">
        <f aca="false">(-AP67/((HLOOKUP(AX$5,port_specs,2,0)/(365.25))*(AT68-AT67)))*(INDEX(fixed_capacity_charge,MATCH(AT67,PORTS!$H$11:$H$317,0),MATCH(AX$5,PORTS!$H$11:$N$11,0))+INDEX(variable_om_charge,MATCH(AT67,PORTS!$H$318:$H$625,0),MATCH(AX$5,PORTS!$H$318:$N$318,0)))</f>
        <v>-964663.697037864</v>
      </c>
      <c r="BA67" s="343" t="n">
        <f aca="false">+AZ67+AY67</f>
        <v>-16080185.9184792</v>
      </c>
      <c r="BB67" s="355" t="n">
        <f aca="false">+BA67+AU67</f>
        <v>104112.56664603</v>
      </c>
      <c r="BC67" s="99"/>
      <c r="BD67" s="357" t="n">
        <f aca="false">+PORTS!I61+PORTS!I369</f>
        <v>964663.697037864</v>
      </c>
    </row>
    <row r="68" customFormat="false" ht="12.75" hidden="false" customHeight="false" outlineLevel="0" collapsed="false">
      <c r="A68" s="346" t="n">
        <f aca="false">+DATE(YEAR(A67),MONTH(A67)+1,1)</f>
        <v>38231</v>
      </c>
      <c r="B68" s="327" t="n">
        <f aca="false">+IF(AND($A68&gt;=$C$8,$A68&lt;=$C$9),1,0)*PORTS!$I$5/(365.25)*(A69-A68)</f>
        <v>5166876.75662674</v>
      </c>
      <c r="C68" s="328" t="n">
        <f aca="false">+B68-(SUMIF($F$17:$IV$17,$H$17,$F68:$IV68))</f>
        <v>0</v>
      </c>
      <c r="D68" s="0" t="n">
        <f aca="false">+YEAR(E68)</f>
        <v>2004</v>
      </c>
      <c r="E68" s="346" t="n">
        <f aca="false">+DATE(YEAR(E67),MONTH(E67)+1,1)</f>
        <v>38231</v>
      </c>
      <c r="F68" s="327" t="n">
        <f aca="false">+IF(AND(G$8&lt;=E68,G$9&gt;=E68),INDEX(ROUTE_PER_DAY_BY_SHIP,MATCH(CONCATENATE(G$4,G$5,G$7),ROUTE_PER_DAY_ROUTES,0),MATCH(G$6,ROUTE_PER_DAY_SHIPS,0))*(E69-E68),0)</f>
        <v>0</v>
      </c>
      <c r="G68" s="347" t="n">
        <f aca="false">-F68*HLOOKUP(G$6,SHIPS,7,0)*INDEX(LADEN_VOYAGE_DAYS,MATCH(CONCATENATE(G$4,G$5,G$7),LADEN_VOYAGE_ROUTES,0),MATCH(G$6,LADEN_VOYAGE_SHIPS,0))</f>
        <v>-0</v>
      </c>
      <c r="H68" s="348" t="n">
        <f aca="false">SUM(F68:G68)</f>
        <v>0</v>
      </c>
      <c r="I68" s="349" t="n">
        <f aca="false">-(H68)*HLOOKUP(G$5,TERMINAL_CHARGES,3,0)</f>
        <v>-0</v>
      </c>
      <c r="J68" s="327" t="n">
        <f aca="false">+H68+I68</f>
        <v>0</v>
      </c>
      <c r="K68" s="333"/>
      <c r="L68" s="346" t="n">
        <f aca="false">+DATE(YEAR(L67),MONTH(L67)+1,1)</f>
        <v>38231</v>
      </c>
      <c r="M68" s="334" t="n">
        <f aca="false">+J68*(VLOOKUP(L68,CURVECALC!$C$6:$J$312,4,0)+N$5)</f>
        <v>0</v>
      </c>
      <c r="N68" s="350" t="n">
        <f aca="false">-F68*INDEX(ship_curves,MATCH(L68,'SHIP CURVES'!$A$9:$A$316,0),MATCH(CONCATENATE(P$4,P$5,P$6,P$7),'SHIP CURVES'!$A$9:$AZ$9,0))</f>
        <v>-0</v>
      </c>
      <c r="O68" s="351" t="n">
        <f aca="false">-H68*INDEX(port_processing_fee,MATCH(L68,PORTS!$H$626:$H$933,0),MATCH(P$5,PORTS!$H$626:$Z$626,0))</f>
        <v>-0</v>
      </c>
      <c r="P68" s="352" t="n">
        <f aca="false">(((VLOOKUP(L68,curvecalc,4,0))*IF(F68=0,0,J68/F68)-INDEX(ship_curves,MATCH(L68,'SHIP CURVES'!$A$9:$A$316,0),MATCH(CONCATENATE(P$4,P$5,P$6,P$7),'SHIP CURVES'!$A$9:$Z$9,0))-INDEX(terminal_curves,MATCH(L68,'TERMINAL CURVES'!$A$4:$A$313,0),MATCH(P$5,'TERMINAL CURVES'!$A$4:$N$4,0))*IF(F68=0,0,H68/F68))-(N$8)*((N$7-$N$5)-(INDEX(ship_curves,MATCH(L68,'SHIP CURVES'!$A$9:$A$316,0),MATCH(CONCATENATE(P$4,P$5,P$6,P$7),'SHIP CURVES'!$A$9:$Z$9,0))-INDEX(ship_curves,MATCH(L68,'SHIP CURVES'!$A$9:$A$316,0),MATCH(CONCATENATE(P$4,N$6,P$6,P$7),'SHIP CURVES'!$A$9:$Z$9,0)))-(INDEX(terminal_curves,MATCH(L68,'TERMINAL CURVES'!$A$4:$A$313,0),MATCH(P$5,'TERMINAL CURVES'!$A$4:$N$4,0))-INDEX(terminal_curves,MATCH(L68,'TERMINAL CURVES'!$A$4:$A$313,0),MATCH(N$6,'TERMINAL CURVES'!$A$4:$N$4,0)))*IF(F68=0,0,H68/F68)))*-F68</f>
        <v>0</v>
      </c>
      <c r="Q68" s="353" t="n">
        <f aca="false">SUM(N68:P68)</f>
        <v>0</v>
      </c>
      <c r="R68" s="357" t="n">
        <f aca="false">(-H68/((HLOOKUP(P$5,port_specs,2,0)/(365.25))*(L69-L68)))*(INDEX(fixed_capacity_charge,MATCH(L68,PORTS!$H$11:$H$317,0),MATCH(P$5,PORTS!$H$11:$N$11,0))+INDEX(variable_om_charge,MATCH(L68,PORTS!$H$318:$H$625,0),MATCH(P$5,PORTS!$H$318:$N$318,0)))</f>
        <v>-0</v>
      </c>
      <c r="S68" s="343" t="n">
        <f aca="false">+R68+Q68</f>
        <v>0</v>
      </c>
      <c r="T68" s="355" t="n">
        <f aca="false">+S68+M68</f>
        <v>0</v>
      </c>
      <c r="U68" s="342"/>
      <c r="V68" s="346" t="n">
        <f aca="false">+DATE(YEAR(V67),MONTH(V67)+1,1)</f>
        <v>38231</v>
      </c>
      <c r="W68" s="327" t="n">
        <f aca="false">+Y68/(1-HLOOKUP(X$6,SHIPS,7,0)*INDEX(LADEN_VOYAGE_DAYS,MATCH(CONCATENATE(X$4,X$5),LADEN_VOYAGE_ROUTES,0),MATCH(X$6,LADEN_VOYAGE_SHIPS,0)))</f>
        <v>0</v>
      </c>
      <c r="X68" s="347" t="n">
        <f aca="false">+Y68-W68</f>
        <v>0</v>
      </c>
      <c r="Y68" s="348" t="n">
        <f aca="false">+IF(AND(X$8&lt;=V68,X$9&gt;=V68),+MIN($B68-SUMIF($H$17:X$17,Y$17,$H68:X68),((INDEX(ROUTE_PER_DAY_BY_SHIP,MATCH(CONCATENATE(X$4,X$5,X$7),ROUTE_PER_DAY_ROUTES,0),MATCH(X$6,ROUTE_PER_DAY_SHIPS,0))*(V69-V68))-(INDEX(ROUTE_PER_DAY_BY_SHIP,MATCH(CONCATENATE(X$4,X$5,X$7),ROUTE_PER_DAY_ROUTES,0),MATCH(X$6,ROUTE_PER_DAY_SHIPS,0))*(V69-V68))*HLOOKUP(X$6,SHIPS,7,0)*INDEX(LADEN_VOYAGE_DAYS,MATCH(CONCATENATE(X$4,X$5,X$7),LADEN_VOYAGE_ROUTES,0),MATCH(X$6,LADEN_VOYAGE_SHIPS,0)))),0)</f>
        <v>0</v>
      </c>
      <c r="Z68" s="349" t="n">
        <f aca="false">-(Y68)*HLOOKUP(X$5,TERMINAL_CHARGES,3,0)</f>
        <v>-0</v>
      </c>
      <c r="AA68" s="327" t="n">
        <f aca="false">+Y68+Z68</f>
        <v>0</v>
      </c>
      <c r="AB68" s="333"/>
      <c r="AC68" s="346" t="n">
        <f aca="false">+DATE(YEAR(AC67),MONTH(AC67)+1,1)</f>
        <v>38231</v>
      </c>
      <c r="AD68" s="343" t="n">
        <f aca="false">+AA68*(VLOOKUP(AC68,CURVECALC!$C$6:$J$312,4,0)+AE$5)</f>
        <v>0</v>
      </c>
      <c r="AE68" s="350" t="n">
        <f aca="false">-W68*INDEX(ship_curves,MATCH(AC68,'SHIP CURVES'!$A$9:$A$316,0),MATCH(CONCATENATE(AG$4,AG$5,AG$6,AG$7),'SHIP CURVES'!$A$9:$AZ$9,0))</f>
        <v>-0</v>
      </c>
      <c r="AF68" s="351" t="n">
        <f aca="false">-Y68*INDEX(port_processing_fee,MATCH(AC68,PORTS!$H$626:$H$933,0),MATCH(AG$5,PORTS!$H$626:$Z$626,0))</f>
        <v>-0</v>
      </c>
      <c r="AG68" s="352" t="n">
        <f aca="false">(((VLOOKUP(AC68,curvecalc,4,0))*IF(W68=0,0,AA68/W68)-INDEX(ship_curves,MATCH(AC68,'SHIP CURVES'!$A$9:$A$316,0),MATCH(CONCATENATE(AG$4,AG$5,AG$6,AG$7),'SHIP CURVES'!$A$9:$Z$9,0))-INDEX(terminal_curves,MATCH(AC68,'TERMINAL CURVES'!$A$4:$A$313,0),MATCH(AG$5,'TERMINAL CURVES'!$A$4:$N$4,0))*IF(W68=0,0,Y68/W68))-(AE$8)*((AE$7-$N$5)-(INDEX(ship_curves,MATCH(AC68,'SHIP CURVES'!$A$9:$A$316,0),MATCH(CONCATENATE(AG$4,AG$5,AG$6,AG$7),'SHIP CURVES'!$A$9:$Z$9,0))-INDEX(ship_curves,MATCH(AC68,'SHIP CURVES'!$A$9:$A$316,0),MATCH(CONCATENATE(AG$4,AE$6,AG$6,AG$7),'SHIP CURVES'!$A$9:$Z$9,0)))-(INDEX(terminal_curves,MATCH(AC68,'TERMINAL CURVES'!$A$4:$A$313,0),MATCH(AG$5,'TERMINAL CURVES'!$A$4:$N$4,0))-INDEX(terminal_curves,MATCH(AC68,'TERMINAL CURVES'!$A$4:$A$313,0),MATCH(AE$6,'TERMINAL CURVES'!$A$4:$N$4,0)))*IF(W68=0,0,Y68/W68)))*-W68</f>
        <v>0</v>
      </c>
      <c r="AH68" s="356" t="n">
        <f aca="false">SUM(AE68:AG68)</f>
        <v>0</v>
      </c>
      <c r="AI68" s="357" t="n">
        <f aca="false">(-Y68/((HLOOKUP(AG$5,port_specs,2,0)/(365.25))*(AC69-AC68)))*(INDEX(fixed_capacity_charge,MATCH(AC68,PORTS!$H$11:$H$317,0),MATCH(AG$5,PORTS!$H$11:$N$11,0))+INDEX(variable_om_charge,MATCH(AC68,PORTS!$H$318:$H$625,0),MATCH(AG$5,PORTS!$H$318:$N$318,0)))</f>
        <v>-0</v>
      </c>
      <c r="AJ68" s="343" t="n">
        <f aca="false">+AI68+AH68</f>
        <v>0</v>
      </c>
      <c r="AK68" s="355" t="n">
        <f aca="false">+AJ68+AD68</f>
        <v>0</v>
      </c>
      <c r="AM68" s="346" t="n">
        <f aca="false">+DATE(YEAR(AM67),MONTH(AM67)+1,1)</f>
        <v>38231</v>
      </c>
      <c r="AN68" s="327" t="n">
        <f aca="false">+AP68/(1-HLOOKUP(AO$6,SHIPS,7,0)*INDEX(LADEN_VOYAGE_DAYS,MATCH(CONCATENATE(AO$4,AO$5),LADEN_VOYAGE_ROUTES,0),MATCH(AO$6,LADEN_VOYAGE_SHIPS,0)))</f>
        <v>5221704.65550959</v>
      </c>
      <c r="AO68" s="347" t="n">
        <f aca="false">+AP68-AN68</f>
        <v>-54827.8988828501</v>
      </c>
      <c r="AP68" s="348" t="n">
        <f aca="false">+IF(AND(AO$8&lt;=AM68,AO$9&gt;=AM68),+MIN($B68-SUMIF($H$17:AO$17,AP$17,$H68:AO68),((INDEX(ROUTE_PER_DAY_BY_SHIP,MATCH(CONCATENATE(AO$4,AO$5,AO$7),ROUTE_PER_DAY_ROUTES,0),MATCH(AO$6,ROUTE_PER_DAY_SHIPS,0))*(AM69-AM68))-(INDEX(ROUTE_PER_DAY_BY_SHIP,MATCH(CONCATENATE(AO$4,AO$5,AO$7),ROUTE_PER_DAY_ROUTES,0),MATCH(AO$6,ROUTE_PER_DAY_SHIPS,0))*(AM69-AM68))*HLOOKUP(AO$6,SHIPS,7,0)*INDEX(LADEN_VOYAGE_DAYS,MATCH(CONCATENATE(AO$4,AO$5,AO$7),LADEN_VOYAGE_ROUTES,0),MATCH(AO$6,LADEN_VOYAGE_SHIPS,0)))),0)</f>
        <v>5166876.75662674</v>
      </c>
      <c r="AQ68" s="349" t="n">
        <f aca="false">-(AP68)*PORTS!$I$6</f>
        <v>-129171.918915669</v>
      </c>
      <c r="AR68" s="327" t="n">
        <f aca="false">+AP68+AQ68</f>
        <v>5037704.83771107</v>
      </c>
      <c r="AS68" s="333"/>
      <c r="AT68" s="346" t="n">
        <f aca="false">+DATE(YEAR(AT67),MONTH(AT67)+1,1)</f>
        <v>38231</v>
      </c>
      <c r="AU68" s="343" t="n">
        <f aca="false">+AR68*(VLOOKUP(AT68,CURVECALC!$C$6:$J$312,4,0)+AV$5)</f>
        <v>15606809.5872289</v>
      </c>
      <c r="AV68" s="350" t="n">
        <f aca="false">-AN68*INDEX(ship_curves,MATCH(AT68,'SHIP CURVES'!$A$9:$A$316,0),MATCH(CONCATENATE(AX$4,AX$5,AX$6,AX$7),'SHIP CURVES'!$A$9:$AZ$9,0))</f>
        <v>-1703654.37301059</v>
      </c>
      <c r="AW68" s="351" t="n">
        <f aca="false">-AP68*INDEX(port_processing_fee,MATCH(AT68,PORTS!$H$626:$H$933,0),MATCH(AX$5,PORTS!$H$626:$Z$626,0))</f>
        <v>-144181.271846429</v>
      </c>
      <c r="AX68" s="352" t="n">
        <f aca="false">(((VLOOKUP(AT68,curvecalc,4,0))*IF(AN68=0,0,AR68/AN68)-INDEX(ship_curves,MATCH(AT68,'SHIP CURVES'!$A$9:$A$316,0),MATCH(CONCATENATE(AX$4,AX$5,AX$6,AX$7),'SHIP CURVES'!$A$9:$Z$9,0))-INDEX(terminal_curves,MATCH(AT68,'TERMINAL CURVES'!$A$4:$A$313,0),MATCH(AX$5,'TERMINAL CURVES'!$A$4:$N$4,0))*IF(AN68=0,0,AP68/AN68))-(AV$8)*((AV$7-$N$5)-(INDEX(ship_curves,MATCH(AT68,'SHIP CURVES'!$A$9:$A$316,0),MATCH(CONCATENATE(AX$4,AX$5,AX$6,AX$7),'SHIP CURVES'!$A$9:$Z$9,0))-INDEX(ship_curves,MATCH(AT68,'SHIP CURVES'!$A$9:$A$316,0),MATCH(CONCATENATE(AX$4,AV$6,AX$6,AX$7),'SHIP CURVES'!$A$9:$Z$9,0)))-(INDEX(terminal_curves,MATCH(AT68,'TERMINAL CURVES'!$A$4:$A$313,0),MATCH(AX$5,'TERMINAL CURVES'!$A$4:$N$4,0))-INDEX(terminal_curves,MATCH(AT68,'TERMINAL CURVES'!$A$4:$A$313,0),MATCH(AV$6,'TERMINAL CURVES'!$A$4:$N$4,0)))*IF(AN68=0,0,AP68/AN68)))*-AN68</f>
        <v>-12693056.6932401</v>
      </c>
      <c r="AY68" s="356" t="n">
        <f aca="false">SUM(AV68:AX68)</f>
        <v>-14540892.3380971</v>
      </c>
      <c r="AZ68" s="357" t="n">
        <f aca="false">(-AP68/((HLOOKUP(AX$5,port_specs,2,0)/(365.25))*(AT69-AT68)))*(INDEX(fixed_capacity_charge,MATCH(AT68,PORTS!$H$11:$H$317,0),MATCH(AX$5,PORTS!$H$11:$N$11,0))+INDEX(variable_om_charge,MATCH(AT68,PORTS!$H$318:$H$625,0),MATCH(AX$5,PORTS!$H$318:$N$318,0)))</f>
        <v>-965163.152377582</v>
      </c>
      <c r="BA68" s="343" t="n">
        <f aca="false">+AZ68+AY68</f>
        <v>-15506055.4904747</v>
      </c>
      <c r="BB68" s="355" t="n">
        <f aca="false">+BA68+AU68</f>
        <v>100754.096754227</v>
      </c>
      <c r="BC68" s="99"/>
      <c r="BD68" s="357" t="n">
        <f aca="false">+PORTS!I62+PORTS!I370</f>
        <v>965163.152377582</v>
      </c>
    </row>
    <row r="69" customFormat="false" ht="12.75" hidden="false" customHeight="false" outlineLevel="0" collapsed="false">
      <c r="A69" s="346" t="n">
        <f aca="false">+DATE(YEAR(A68),MONTH(A68)+1,1)</f>
        <v>38261</v>
      </c>
      <c r="B69" s="327" t="n">
        <f aca="false">+IF(AND($A69&gt;=$C$8,$A69&lt;=$C$9),1,0)*PORTS!$I$5/(365.25)*(A70-A69)</f>
        <v>5339105.98184763</v>
      </c>
      <c r="C69" s="328" t="n">
        <f aca="false">+B69-(SUMIF($F$17:$IV$17,$H$17,$F69:$IV69))</f>
        <v>0</v>
      </c>
      <c r="D69" s="0" t="n">
        <f aca="false">+YEAR(E69)</f>
        <v>2004</v>
      </c>
      <c r="E69" s="346" t="n">
        <f aca="false">+DATE(YEAR(E68),MONTH(E68)+1,1)</f>
        <v>38261</v>
      </c>
      <c r="F69" s="327" t="n">
        <f aca="false">+IF(AND(G$8&lt;=E69,G$9&gt;=E69),INDEX(ROUTE_PER_DAY_BY_SHIP,MATCH(CONCATENATE(G$4,G$5,G$7),ROUTE_PER_DAY_ROUTES,0),MATCH(G$6,ROUTE_PER_DAY_SHIPS,0))*(E70-E69),0)</f>
        <v>0</v>
      </c>
      <c r="G69" s="347" t="n">
        <f aca="false">-F69*HLOOKUP(G$6,SHIPS,7,0)*INDEX(LADEN_VOYAGE_DAYS,MATCH(CONCATENATE(G$4,G$5,G$7),LADEN_VOYAGE_ROUTES,0),MATCH(G$6,LADEN_VOYAGE_SHIPS,0))</f>
        <v>-0</v>
      </c>
      <c r="H69" s="348" t="n">
        <f aca="false">SUM(F69:G69)</f>
        <v>0</v>
      </c>
      <c r="I69" s="349" t="n">
        <f aca="false">-(H69)*HLOOKUP(G$5,TERMINAL_CHARGES,3,0)</f>
        <v>-0</v>
      </c>
      <c r="J69" s="327" t="n">
        <f aca="false">+H69+I69</f>
        <v>0</v>
      </c>
      <c r="K69" s="333"/>
      <c r="L69" s="346" t="n">
        <f aca="false">+DATE(YEAR(L68),MONTH(L68)+1,1)</f>
        <v>38261</v>
      </c>
      <c r="M69" s="334" t="n">
        <f aca="false">+J69*(VLOOKUP(L69,CURVECALC!$C$6:$J$312,4,0)+N$5)</f>
        <v>0</v>
      </c>
      <c r="N69" s="350" t="n">
        <f aca="false">-F69*INDEX(ship_curves,MATCH(L69,'SHIP CURVES'!$A$9:$A$316,0),MATCH(CONCATENATE(P$4,P$5,P$6,P$7),'SHIP CURVES'!$A$9:$AZ$9,0))</f>
        <v>-0</v>
      </c>
      <c r="O69" s="351" t="n">
        <f aca="false">-H69*INDEX(port_processing_fee,MATCH(L69,PORTS!$H$626:$H$933,0),MATCH(P$5,PORTS!$H$626:$Z$626,0))</f>
        <v>-0</v>
      </c>
      <c r="P69" s="352" t="n">
        <f aca="false">(((VLOOKUP(L69,curvecalc,4,0))*IF(F69=0,0,J69/F69)-INDEX(ship_curves,MATCH(L69,'SHIP CURVES'!$A$9:$A$316,0),MATCH(CONCATENATE(P$4,P$5,P$6,P$7),'SHIP CURVES'!$A$9:$Z$9,0))-INDEX(terminal_curves,MATCH(L69,'TERMINAL CURVES'!$A$4:$A$313,0),MATCH(P$5,'TERMINAL CURVES'!$A$4:$N$4,0))*IF(F69=0,0,H69/F69))-(N$8)*((N$7-$N$5)-(INDEX(ship_curves,MATCH(L69,'SHIP CURVES'!$A$9:$A$316,0),MATCH(CONCATENATE(P$4,P$5,P$6,P$7),'SHIP CURVES'!$A$9:$Z$9,0))-INDEX(ship_curves,MATCH(L69,'SHIP CURVES'!$A$9:$A$316,0),MATCH(CONCATENATE(P$4,N$6,P$6,P$7),'SHIP CURVES'!$A$9:$Z$9,0)))-(INDEX(terminal_curves,MATCH(L69,'TERMINAL CURVES'!$A$4:$A$313,0),MATCH(P$5,'TERMINAL CURVES'!$A$4:$N$4,0))-INDEX(terminal_curves,MATCH(L69,'TERMINAL CURVES'!$A$4:$A$313,0),MATCH(N$6,'TERMINAL CURVES'!$A$4:$N$4,0)))*IF(F69=0,0,H69/F69)))*-F69</f>
        <v>0</v>
      </c>
      <c r="Q69" s="353" t="n">
        <f aca="false">SUM(N69:P69)</f>
        <v>0</v>
      </c>
      <c r="R69" s="357" t="n">
        <f aca="false">(-H69/((HLOOKUP(P$5,port_specs,2,0)/(365.25))*(L70-L69)))*(INDEX(fixed_capacity_charge,MATCH(L69,PORTS!$H$11:$H$317,0),MATCH(P$5,PORTS!$H$11:$N$11,0))+INDEX(variable_om_charge,MATCH(L69,PORTS!$H$318:$H$625,0),MATCH(P$5,PORTS!$H$318:$N$318,0)))</f>
        <v>-0</v>
      </c>
      <c r="S69" s="343" t="n">
        <f aca="false">+R69+Q69</f>
        <v>0</v>
      </c>
      <c r="T69" s="355" t="n">
        <f aca="false">+S69+M69</f>
        <v>0</v>
      </c>
      <c r="U69" s="342"/>
      <c r="V69" s="346" t="n">
        <f aca="false">+DATE(YEAR(V68),MONTH(V68)+1,1)</f>
        <v>38261</v>
      </c>
      <c r="W69" s="327" t="n">
        <f aca="false">+Y69/(1-HLOOKUP(X$6,SHIPS,7,0)*INDEX(LADEN_VOYAGE_DAYS,MATCH(CONCATENATE(X$4,X$5),LADEN_VOYAGE_ROUTES,0),MATCH(X$6,LADEN_VOYAGE_SHIPS,0)))</f>
        <v>0</v>
      </c>
      <c r="X69" s="347" t="n">
        <f aca="false">+Y69-W69</f>
        <v>0</v>
      </c>
      <c r="Y69" s="348" t="n">
        <f aca="false">+IF(AND(X$8&lt;=V69,X$9&gt;=V69),+MIN($B69-SUMIF($H$17:X$17,Y$17,$H69:X69),((INDEX(ROUTE_PER_DAY_BY_SHIP,MATCH(CONCATENATE(X$4,X$5,X$7),ROUTE_PER_DAY_ROUTES,0),MATCH(X$6,ROUTE_PER_DAY_SHIPS,0))*(V70-V69))-(INDEX(ROUTE_PER_DAY_BY_SHIP,MATCH(CONCATENATE(X$4,X$5,X$7),ROUTE_PER_DAY_ROUTES,0),MATCH(X$6,ROUTE_PER_DAY_SHIPS,0))*(V70-V69))*HLOOKUP(X$6,SHIPS,7,0)*INDEX(LADEN_VOYAGE_DAYS,MATCH(CONCATENATE(X$4,X$5,X$7),LADEN_VOYAGE_ROUTES,0),MATCH(X$6,LADEN_VOYAGE_SHIPS,0)))),0)</f>
        <v>0</v>
      </c>
      <c r="Z69" s="349" t="n">
        <f aca="false">-(Y69)*HLOOKUP(X$5,TERMINAL_CHARGES,3,0)</f>
        <v>-0</v>
      </c>
      <c r="AA69" s="327" t="n">
        <f aca="false">+Y69+Z69</f>
        <v>0</v>
      </c>
      <c r="AB69" s="333"/>
      <c r="AC69" s="346" t="n">
        <f aca="false">+DATE(YEAR(AC68),MONTH(AC68)+1,1)</f>
        <v>38261</v>
      </c>
      <c r="AD69" s="343" t="n">
        <f aca="false">+AA69*(VLOOKUP(AC69,CURVECALC!$C$6:$J$312,4,0)+AE$5)</f>
        <v>0</v>
      </c>
      <c r="AE69" s="350" t="n">
        <f aca="false">-W69*INDEX(ship_curves,MATCH(AC69,'SHIP CURVES'!$A$9:$A$316,0),MATCH(CONCATENATE(AG$4,AG$5,AG$6,AG$7),'SHIP CURVES'!$A$9:$AZ$9,0))</f>
        <v>-0</v>
      </c>
      <c r="AF69" s="351" t="n">
        <f aca="false">-Y69*INDEX(port_processing_fee,MATCH(AC69,PORTS!$H$626:$H$933,0),MATCH(AG$5,PORTS!$H$626:$Z$626,0))</f>
        <v>-0</v>
      </c>
      <c r="AG69" s="352" t="n">
        <f aca="false">(((VLOOKUP(AC69,curvecalc,4,0))*IF(W69=0,0,AA69/W69)-INDEX(ship_curves,MATCH(AC69,'SHIP CURVES'!$A$9:$A$316,0),MATCH(CONCATENATE(AG$4,AG$5,AG$6,AG$7),'SHIP CURVES'!$A$9:$Z$9,0))-INDEX(terminal_curves,MATCH(AC69,'TERMINAL CURVES'!$A$4:$A$313,0),MATCH(AG$5,'TERMINAL CURVES'!$A$4:$N$4,0))*IF(W69=0,0,Y69/W69))-(AE$8)*((AE$7-$N$5)-(INDEX(ship_curves,MATCH(AC69,'SHIP CURVES'!$A$9:$A$316,0),MATCH(CONCATENATE(AG$4,AG$5,AG$6,AG$7),'SHIP CURVES'!$A$9:$Z$9,0))-INDEX(ship_curves,MATCH(AC69,'SHIP CURVES'!$A$9:$A$316,0),MATCH(CONCATENATE(AG$4,AE$6,AG$6,AG$7),'SHIP CURVES'!$A$9:$Z$9,0)))-(INDEX(terminal_curves,MATCH(AC69,'TERMINAL CURVES'!$A$4:$A$313,0),MATCH(AG$5,'TERMINAL CURVES'!$A$4:$N$4,0))-INDEX(terminal_curves,MATCH(AC69,'TERMINAL CURVES'!$A$4:$A$313,0),MATCH(AE$6,'TERMINAL CURVES'!$A$4:$N$4,0)))*IF(W69=0,0,Y69/W69)))*-W69</f>
        <v>0</v>
      </c>
      <c r="AH69" s="356" t="n">
        <f aca="false">SUM(AE69:AG69)</f>
        <v>0</v>
      </c>
      <c r="AI69" s="357" t="n">
        <f aca="false">(-Y69/((HLOOKUP(AG$5,port_specs,2,0)/(365.25))*(AC70-AC69)))*(INDEX(fixed_capacity_charge,MATCH(AC69,PORTS!$H$11:$H$317,0),MATCH(AG$5,PORTS!$H$11:$N$11,0))+INDEX(variable_om_charge,MATCH(AC69,PORTS!$H$318:$H$625,0),MATCH(AG$5,PORTS!$H$318:$N$318,0)))</f>
        <v>-0</v>
      </c>
      <c r="AJ69" s="343" t="n">
        <f aca="false">+AI69+AH69</f>
        <v>0</v>
      </c>
      <c r="AK69" s="355" t="n">
        <f aca="false">+AJ69+AD69</f>
        <v>0</v>
      </c>
      <c r="AM69" s="346" t="n">
        <f aca="false">+DATE(YEAR(AM68),MONTH(AM68)+1,1)</f>
        <v>38261</v>
      </c>
      <c r="AN69" s="327" t="n">
        <f aca="false">+AP69/(1-HLOOKUP(AO$6,SHIPS,7,0)*INDEX(LADEN_VOYAGE_DAYS,MATCH(CONCATENATE(AO$4,AO$5),LADEN_VOYAGE_ROUTES,0),MATCH(AO$6,LADEN_VOYAGE_SHIPS,0)))</f>
        <v>5395761.47735991</v>
      </c>
      <c r="AO69" s="347" t="n">
        <f aca="false">+AP69-AN69</f>
        <v>-56655.4955122788</v>
      </c>
      <c r="AP69" s="348" t="n">
        <f aca="false">+IF(AND(AO$8&lt;=AM69,AO$9&gt;=AM69),+MIN($B69-SUMIF($H$17:AO$17,AP$17,$H69:AO69),((INDEX(ROUTE_PER_DAY_BY_SHIP,MATCH(CONCATENATE(AO$4,AO$5,AO$7),ROUTE_PER_DAY_ROUTES,0),MATCH(AO$6,ROUTE_PER_DAY_SHIPS,0))*(AM70-AM69))-(INDEX(ROUTE_PER_DAY_BY_SHIP,MATCH(CONCATENATE(AO$4,AO$5,AO$7),ROUTE_PER_DAY_ROUTES,0),MATCH(AO$6,ROUTE_PER_DAY_SHIPS,0))*(AM70-AM69))*HLOOKUP(AO$6,SHIPS,7,0)*INDEX(LADEN_VOYAGE_DAYS,MATCH(CONCATENATE(AO$4,AO$5,AO$7),LADEN_VOYAGE_ROUTES,0),MATCH(AO$6,LADEN_VOYAGE_SHIPS,0)))),0)</f>
        <v>5339105.98184763</v>
      </c>
      <c r="AQ69" s="349" t="n">
        <f aca="false">-(AP69)*PORTS!$I$6</f>
        <v>-133477.649546191</v>
      </c>
      <c r="AR69" s="327" t="n">
        <f aca="false">+AP69+AQ69</f>
        <v>5205628.33230144</v>
      </c>
      <c r="AS69" s="333"/>
      <c r="AT69" s="346" t="n">
        <f aca="false">+DATE(YEAR(AT68),MONTH(AT68)+1,1)</f>
        <v>38261</v>
      </c>
      <c r="AU69" s="343" t="n">
        <f aca="false">+AR69*(VLOOKUP(AT69,CURVECALC!$C$6:$J$312,4,0)+AV$5)</f>
        <v>16225943.5117836</v>
      </c>
      <c r="AV69" s="350" t="n">
        <f aca="false">-AN69*INDEX(ship_curves,MATCH(AT69,'SHIP CURVES'!$A$9:$A$316,0),MATCH(CONCATENATE(AX$4,AX$5,AX$6,AX$7),'SHIP CURVES'!$A$9:$AZ$9,0))</f>
        <v>-1760914.75862156</v>
      </c>
      <c r="AW69" s="351" t="n">
        <f aca="false">-AP69*INDEX(port_processing_fee,MATCH(AT69,PORTS!$H$626:$H$933,0),MATCH(AX$5,PORTS!$H$626:$Z$626,0))</f>
        <v>-149142.509360312</v>
      </c>
      <c r="AX69" s="352" t="n">
        <f aca="false">(((VLOOKUP(AT69,curvecalc,4,0))*IF(AN69=0,0,AR69/AN69)-INDEX(ship_curves,MATCH(AT69,'SHIP CURVES'!$A$9:$A$316,0),MATCH(CONCATENATE(AX$4,AX$5,AX$6,AX$7),'SHIP CURVES'!$A$9:$Z$9,0))-INDEX(terminal_curves,MATCH(AT69,'TERMINAL CURVES'!$A$4:$A$313,0),MATCH(AX$5,'TERMINAL CURVES'!$A$4:$N$4,0))*IF(AN69=0,0,AP69/AN69))-(AV$8)*((AV$7-$N$5)-(INDEX(ship_curves,MATCH(AT69,'SHIP CURVES'!$A$9:$A$316,0),MATCH(CONCATENATE(AX$4,AX$5,AX$6,AX$7),'SHIP CURVES'!$A$9:$Z$9,0))-INDEX(ship_curves,MATCH(AT69,'SHIP CURVES'!$A$9:$A$316,0),MATCH(CONCATENATE(AX$4,AV$6,AX$6,AX$7),'SHIP CURVES'!$A$9:$Z$9,0)))-(INDEX(terminal_curves,MATCH(AT69,'TERMINAL CURVES'!$A$4:$A$313,0),MATCH(AX$5,'TERMINAL CURVES'!$A$4:$N$4,0))-INDEX(terminal_curves,MATCH(AT69,'TERMINAL CURVES'!$A$4:$A$313,0),MATCH(AV$6,'TERMINAL CURVES'!$A$4:$N$4,0)))*IF(AN69=0,0,AP69/AN69)))*-AN69</f>
        <v>-13246110.5491724</v>
      </c>
      <c r="AY69" s="356" t="n">
        <f aca="false">SUM(AV69:AX69)</f>
        <v>-15156167.8171543</v>
      </c>
      <c r="AZ69" s="357" t="n">
        <f aca="false">(-AP69/((HLOOKUP(AX$5,port_specs,2,0)/(365.25))*(AT70-AT69)))*(INDEX(fixed_capacity_charge,MATCH(AT69,PORTS!$H$11:$H$317,0),MATCH(AX$5,PORTS!$H$11:$N$11,0))+INDEX(variable_om_charge,MATCH(AT69,PORTS!$H$318:$H$625,0),MATCH(AX$5,PORTS!$H$318:$N$318,0)))</f>
        <v>-965663.127983279</v>
      </c>
      <c r="BA69" s="343" t="n">
        <f aca="false">+AZ69+AY69</f>
        <v>-16121830.9451376</v>
      </c>
      <c r="BB69" s="355" t="n">
        <f aca="false">+BA69+AU69</f>
        <v>104112.56664603</v>
      </c>
      <c r="BC69" s="99"/>
      <c r="BD69" s="357" t="n">
        <f aca="false">+PORTS!I63+PORTS!I371</f>
        <v>965663.127983279</v>
      </c>
    </row>
    <row r="70" customFormat="false" ht="12.75" hidden="false" customHeight="false" outlineLevel="0" collapsed="false">
      <c r="A70" s="346" t="n">
        <f aca="false">+DATE(YEAR(A69),MONTH(A69)+1,1)</f>
        <v>38292</v>
      </c>
      <c r="B70" s="327" t="n">
        <f aca="false">+IF(AND($A70&gt;=$C$8,$A70&lt;=$C$9),1,0)*PORTS!$I$5/(365.25)*(A71-A70)</f>
        <v>5166876.75662674</v>
      </c>
      <c r="C70" s="328" t="n">
        <f aca="false">+B70-(SUMIF($F$17:$IV$17,$H$17,$F70:$IV70))</f>
        <v>0</v>
      </c>
      <c r="D70" s="0" t="n">
        <f aca="false">+YEAR(E70)</f>
        <v>2004</v>
      </c>
      <c r="E70" s="346" t="n">
        <f aca="false">+DATE(YEAR(E69),MONTH(E69)+1,1)</f>
        <v>38292</v>
      </c>
      <c r="F70" s="327" t="n">
        <f aca="false">+IF(AND(G$8&lt;=E70,G$9&gt;=E70),INDEX(ROUTE_PER_DAY_BY_SHIP,MATCH(CONCATENATE(G$4,G$5,G$7),ROUTE_PER_DAY_ROUTES,0),MATCH(G$6,ROUTE_PER_DAY_SHIPS,0))*(E71-E70),0)</f>
        <v>0</v>
      </c>
      <c r="G70" s="347" t="n">
        <f aca="false">-F70*HLOOKUP(G$6,SHIPS,7,0)*INDEX(LADEN_VOYAGE_DAYS,MATCH(CONCATENATE(G$4,G$5,G$7),LADEN_VOYAGE_ROUTES,0),MATCH(G$6,LADEN_VOYAGE_SHIPS,0))</f>
        <v>-0</v>
      </c>
      <c r="H70" s="348" t="n">
        <f aca="false">SUM(F70:G70)</f>
        <v>0</v>
      </c>
      <c r="I70" s="349" t="n">
        <f aca="false">-(H70)*HLOOKUP(G$5,TERMINAL_CHARGES,3,0)</f>
        <v>-0</v>
      </c>
      <c r="J70" s="327" t="n">
        <f aca="false">+H70+I70</f>
        <v>0</v>
      </c>
      <c r="K70" s="333"/>
      <c r="L70" s="346" t="n">
        <f aca="false">+DATE(YEAR(L69),MONTH(L69)+1,1)</f>
        <v>38292</v>
      </c>
      <c r="M70" s="334" t="n">
        <f aca="false">+J70*(VLOOKUP(L70,CURVECALC!$C$6:$J$312,4,0)+N$5)</f>
        <v>0</v>
      </c>
      <c r="N70" s="350" t="n">
        <f aca="false">-F70*INDEX(ship_curves,MATCH(L70,'SHIP CURVES'!$A$9:$A$316,0),MATCH(CONCATENATE(P$4,P$5,P$6,P$7),'SHIP CURVES'!$A$9:$AZ$9,0))</f>
        <v>-0</v>
      </c>
      <c r="O70" s="351" t="n">
        <f aca="false">-H70*INDEX(port_processing_fee,MATCH(L70,PORTS!$H$626:$H$933,0),MATCH(P$5,PORTS!$H$626:$Z$626,0))</f>
        <v>-0</v>
      </c>
      <c r="P70" s="352" t="n">
        <f aca="false">(((VLOOKUP(L70,curvecalc,4,0))*IF(F70=0,0,J70/F70)-INDEX(ship_curves,MATCH(L70,'SHIP CURVES'!$A$9:$A$316,0),MATCH(CONCATENATE(P$4,P$5,P$6,P$7),'SHIP CURVES'!$A$9:$Z$9,0))-INDEX(terminal_curves,MATCH(L70,'TERMINAL CURVES'!$A$4:$A$313,0),MATCH(P$5,'TERMINAL CURVES'!$A$4:$N$4,0))*IF(F70=0,0,H70/F70))-(N$8)*((N$7-$N$5)-(INDEX(ship_curves,MATCH(L70,'SHIP CURVES'!$A$9:$A$316,0),MATCH(CONCATENATE(P$4,P$5,P$6,P$7),'SHIP CURVES'!$A$9:$Z$9,0))-INDEX(ship_curves,MATCH(L70,'SHIP CURVES'!$A$9:$A$316,0),MATCH(CONCATENATE(P$4,N$6,P$6,P$7),'SHIP CURVES'!$A$9:$Z$9,0)))-(INDEX(terminal_curves,MATCH(L70,'TERMINAL CURVES'!$A$4:$A$313,0),MATCH(P$5,'TERMINAL CURVES'!$A$4:$N$4,0))-INDEX(terminal_curves,MATCH(L70,'TERMINAL CURVES'!$A$4:$A$313,0),MATCH(N$6,'TERMINAL CURVES'!$A$4:$N$4,0)))*IF(F70=0,0,H70/F70)))*-F70</f>
        <v>0</v>
      </c>
      <c r="Q70" s="353" t="n">
        <f aca="false">SUM(N70:P70)</f>
        <v>0</v>
      </c>
      <c r="R70" s="357" t="n">
        <f aca="false">(-H70/((HLOOKUP(P$5,port_specs,2,0)/(365.25))*(L71-L70)))*(INDEX(fixed_capacity_charge,MATCH(L70,PORTS!$H$11:$H$317,0),MATCH(P$5,PORTS!$H$11:$N$11,0))+INDEX(variable_om_charge,MATCH(L70,PORTS!$H$318:$H$625,0),MATCH(P$5,PORTS!$H$318:$N$318,0)))</f>
        <v>-0</v>
      </c>
      <c r="S70" s="343" t="n">
        <f aca="false">+R70+Q70</f>
        <v>0</v>
      </c>
      <c r="T70" s="355" t="n">
        <f aca="false">+S70+M70</f>
        <v>0</v>
      </c>
      <c r="U70" s="342"/>
      <c r="V70" s="346" t="n">
        <f aca="false">+DATE(YEAR(V69),MONTH(V69)+1,1)</f>
        <v>38292</v>
      </c>
      <c r="W70" s="327" t="n">
        <f aca="false">+Y70/(1-HLOOKUP(X$6,SHIPS,7,0)*INDEX(LADEN_VOYAGE_DAYS,MATCH(CONCATENATE(X$4,X$5),LADEN_VOYAGE_ROUTES,0),MATCH(X$6,LADEN_VOYAGE_SHIPS,0)))</f>
        <v>0</v>
      </c>
      <c r="X70" s="347" t="n">
        <f aca="false">+Y70-W70</f>
        <v>0</v>
      </c>
      <c r="Y70" s="348" t="n">
        <f aca="false">+IF(AND(X$8&lt;=V70,X$9&gt;=V70),+MIN($B70-SUMIF($H$17:X$17,Y$17,$H70:X70),((INDEX(ROUTE_PER_DAY_BY_SHIP,MATCH(CONCATENATE(X$4,X$5,X$7),ROUTE_PER_DAY_ROUTES,0),MATCH(X$6,ROUTE_PER_DAY_SHIPS,0))*(V71-V70))-(INDEX(ROUTE_PER_DAY_BY_SHIP,MATCH(CONCATENATE(X$4,X$5,X$7),ROUTE_PER_DAY_ROUTES,0),MATCH(X$6,ROUTE_PER_DAY_SHIPS,0))*(V71-V70))*HLOOKUP(X$6,SHIPS,7,0)*INDEX(LADEN_VOYAGE_DAYS,MATCH(CONCATENATE(X$4,X$5,X$7),LADEN_VOYAGE_ROUTES,0),MATCH(X$6,LADEN_VOYAGE_SHIPS,0)))),0)</f>
        <v>0</v>
      </c>
      <c r="Z70" s="349" t="n">
        <f aca="false">-(Y70)*HLOOKUP(X$5,TERMINAL_CHARGES,3,0)</f>
        <v>-0</v>
      </c>
      <c r="AA70" s="327" t="n">
        <f aca="false">+Y70+Z70</f>
        <v>0</v>
      </c>
      <c r="AB70" s="333"/>
      <c r="AC70" s="346" t="n">
        <f aca="false">+DATE(YEAR(AC69),MONTH(AC69)+1,1)</f>
        <v>38292</v>
      </c>
      <c r="AD70" s="343" t="n">
        <f aca="false">+AA70*(VLOOKUP(AC70,CURVECALC!$C$6:$J$312,4,0)+AE$5)</f>
        <v>0</v>
      </c>
      <c r="AE70" s="350" t="n">
        <f aca="false">-W70*INDEX(ship_curves,MATCH(AC70,'SHIP CURVES'!$A$9:$A$316,0),MATCH(CONCATENATE(AG$4,AG$5,AG$6,AG$7),'SHIP CURVES'!$A$9:$AZ$9,0))</f>
        <v>-0</v>
      </c>
      <c r="AF70" s="351" t="n">
        <f aca="false">-Y70*INDEX(port_processing_fee,MATCH(AC70,PORTS!$H$626:$H$933,0),MATCH(AG$5,PORTS!$H$626:$Z$626,0))</f>
        <v>-0</v>
      </c>
      <c r="AG70" s="352" t="n">
        <f aca="false">(((VLOOKUP(AC70,curvecalc,4,0))*IF(W70=0,0,AA70/W70)-INDEX(ship_curves,MATCH(AC70,'SHIP CURVES'!$A$9:$A$316,0),MATCH(CONCATENATE(AG$4,AG$5,AG$6,AG$7),'SHIP CURVES'!$A$9:$Z$9,0))-INDEX(terminal_curves,MATCH(AC70,'TERMINAL CURVES'!$A$4:$A$313,0),MATCH(AG$5,'TERMINAL CURVES'!$A$4:$N$4,0))*IF(W70=0,0,Y70/W70))-(AE$8)*((AE$7-$N$5)-(INDEX(ship_curves,MATCH(AC70,'SHIP CURVES'!$A$9:$A$316,0),MATCH(CONCATENATE(AG$4,AG$5,AG$6,AG$7),'SHIP CURVES'!$A$9:$Z$9,0))-INDEX(ship_curves,MATCH(AC70,'SHIP CURVES'!$A$9:$A$316,0),MATCH(CONCATENATE(AG$4,AE$6,AG$6,AG$7),'SHIP CURVES'!$A$9:$Z$9,0)))-(INDEX(terminal_curves,MATCH(AC70,'TERMINAL CURVES'!$A$4:$A$313,0),MATCH(AG$5,'TERMINAL CURVES'!$A$4:$N$4,0))-INDEX(terminal_curves,MATCH(AC70,'TERMINAL CURVES'!$A$4:$A$313,0),MATCH(AE$6,'TERMINAL CURVES'!$A$4:$N$4,0)))*IF(W70=0,0,Y70/W70)))*-W70</f>
        <v>0</v>
      </c>
      <c r="AH70" s="356" t="n">
        <f aca="false">SUM(AE70:AG70)</f>
        <v>0</v>
      </c>
      <c r="AI70" s="357" t="n">
        <f aca="false">(-Y70/((HLOOKUP(AG$5,port_specs,2,0)/(365.25))*(AC71-AC70)))*(INDEX(fixed_capacity_charge,MATCH(AC70,PORTS!$H$11:$H$317,0),MATCH(AG$5,PORTS!$H$11:$N$11,0))+INDEX(variable_om_charge,MATCH(AC70,PORTS!$H$318:$H$625,0),MATCH(AG$5,PORTS!$H$318:$N$318,0)))</f>
        <v>-0</v>
      </c>
      <c r="AJ70" s="343" t="n">
        <f aca="false">+AI70+AH70</f>
        <v>0</v>
      </c>
      <c r="AK70" s="355" t="n">
        <f aca="false">+AJ70+AD70</f>
        <v>0</v>
      </c>
      <c r="AM70" s="346" t="n">
        <f aca="false">+DATE(YEAR(AM69),MONTH(AM69)+1,1)</f>
        <v>38292</v>
      </c>
      <c r="AN70" s="327" t="n">
        <f aca="false">+AP70/(1-HLOOKUP(AO$6,SHIPS,7,0)*INDEX(LADEN_VOYAGE_DAYS,MATCH(CONCATENATE(AO$4,AO$5),LADEN_VOYAGE_ROUTES,0),MATCH(AO$6,LADEN_VOYAGE_SHIPS,0)))</f>
        <v>5221704.65550959</v>
      </c>
      <c r="AO70" s="347" t="n">
        <f aca="false">+AP70-AN70</f>
        <v>-54827.8988828501</v>
      </c>
      <c r="AP70" s="348" t="n">
        <f aca="false">+IF(AND(AO$8&lt;=AM70,AO$9&gt;=AM70),+MIN($B70-SUMIF($H$17:AO$17,AP$17,$H70:AO70),((INDEX(ROUTE_PER_DAY_BY_SHIP,MATCH(CONCATENATE(AO$4,AO$5,AO$7),ROUTE_PER_DAY_ROUTES,0),MATCH(AO$6,ROUTE_PER_DAY_SHIPS,0))*(AM71-AM70))-(INDEX(ROUTE_PER_DAY_BY_SHIP,MATCH(CONCATENATE(AO$4,AO$5,AO$7),ROUTE_PER_DAY_ROUTES,0),MATCH(AO$6,ROUTE_PER_DAY_SHIPS,0))*(AM71-AM70))*HLOOKUP(AO$6,SHIPS,7,0)*INDEX(LADEN_VOYAGE_DAYS,MATCH(CONCATENATE(AO$4,AO$5,AO$7),LADEN_VOYAGE_ROUTES,0),MATCH(AO$6,LADEN_VOYAGE_SHIPS,0)))),0)</f>
        <v>5166876.75662674</v>
      </c>
      <c r="AQ70" s="349" t="n">
        <f aca="false">-(AP70)*PORTS!$I$6</f>
        <v>-129171.918915669</v>
      </c>
      <c r="AR70" s="327" t="n">
        <f aca="false">+AP70+AQ70</f>
        <v>5037704.83771107</v>
      </c>
      <c r="AS70" s="333"/>
      <c r="AT70" s="346" t="n">
        <f aca="false">+DATE(YEAR(AT69),MONTH(AT69)+1,1)</f>
        <v>38292</v>
      </c>
      <c r="AU70" s="343" t="n">
        <f aca="false">+AR70*(VLOOKUP(AT70,CURVECALC!$C$6:$J$312,4,0)+AV$5)</f>
        <v>16226447.2822674</v>
      </c>
      <c r="AV70" s="350" t="n">
        <f aca="false">-AN70*INDEX(ship_curves,MATCH(AT70,'SHIP CURVES'!$A$9:$A$316,0),MATCH(CONCATENATE(AX$4,AX$5,AX$6,AX$7),'SHIP CURVES'!$A$9:$AZ$9,0))</f>
        <v>-1704568.69187491</v>
      </c>
      <c r="AW70" s="351" t="n">
        <f aca="false">-AP70*INDEX(port_processing_fee,MATCH(AT70,PORTS!$H$626:$H$933,0),MATCH(AX$5,PORTS!$H$626:$Z$626,0))</f>
        <v>-144481.805942802</v>
      </c>
      <c r="AX70" s="352" t="n">
        <f aca="false">(((VLOOKUP(AT70,curvecalc,4,0))*IF(AN70=0,0,AR70/AN70)-INDEX(ship_curves,MATCH(AT70,'SHIP CURVES'!$A$9:$A$316,0),MATCH(CONCATENATE(AX$4,AX$5,AX$6,AX$7),'SHIP CURVES'!$A$9:$Z$9,0))-INDEX(terminal_curves,MATCH(AT70,'TERMINAL CURVES'!$A$4:$A$313,0),MATCH(AX$5,'TERMINAL CURVES'!$A$4:$N$4,0))*IF(AN70=0,0,AP70/AN70))-(AV$8)*((AV$7-$N$5)-(INDEX(ship_curves,MATCH(AT70,'SHIP CURVES'!$A$9:$A$316,0),MATCH(CONCATENATE(AX$4,AX$5,AX$6,AX$7),'SHIP CURVES'!$A$9:$Z$9,0))-INDEX(ship_curves,MATCH(AT70,'SHIP CURVES'!$A$9:$A$316,0),MATCH(CONCATENATE(AX$4,AV$6,AX$6,AX$7),'SHIP CURVES'!$A$9:$Z$9,0)))-(INDEX(terminal_curves,MATCH(AT70,'TERMINAL CURVES'!$A$4:$A$313,0),MATCH(AX$5,'TERMINAL CURVES'!$A$4:$N$4,0))-INDEX(terminal_curves,MATCH(AT70,'TERMINAL CURVES'!$A$4:$A$313,0),MATCH(AV$6,'TERMINAL CURVES'!$A$4:$N$4,0)))*IF(AN70=0,0,AP70/AN70)))*-AN70</f>
        <v>-13310479.0632985</v>
      </c>
      <c r="AY70" s="356" t="n">
        <f aca="false">SUM(AV70:AX70)</f>
        <v>-15159529.5611162</v>
      </c>
      <c r="AZ70" s="357" t="n">
        <f aca="false">(-AP70/((HLOOKUP(AX$5,port_specs,2,0)/(365.25))*(AT71-AT70)))*(INDEX(fixed_capacity_charge,MATCH(AT70,PORTS!$H$11:$H$317,0),MATCH(AX$5,PORTS!$H$11:$N$11,0))+INDEX(variable_om_charge,MATCH(AT70,PORTS!$H$318:$H$625,0),MATCH(AX$5,PORTS!$H$318:$N$318,0)))</f>
        <v>-966163.624396899</v>
      </c>
      <c r="BA70" s="343" t="n">
        <f aca="false">+AZ70+AY70</f>
        <v>-16125693.1855131</v>
      </c>
      <c r="BB70" s="355" t="n">
        <f aca="false">+BA70+AU70</f>
        <v>100754.096754221</v>
      </c>
      <c r="BC70" s="99"/>
      <c r="BD70" s="357" t="n">
        <f aca="false">+PORTS!I64+PORTS!I372</f>
        <v>966163.624396899</v>
      </c>
    </row>
    <row r="71" customFormat="false" ht="12.75" hidden="false" customHeight="false" outlineLevel="0" collapsed="false">
      <c r="A71" s="346" t="n">
        <f aca="false">+DATE(YEAR(A70),MONTH(A70)+1,1)</f>
        <v>38322</v>
      </c>
      <c r="B71" s="327" t="n">
        <f aca="false">+IF(AND($A71&gt;=$C$8,$A71&lt;=$C$9),1,0)*PORTS!$I$5/(365.25)*(A72-A71)</f>
        <v>5339105.98184763</v>
      </c>
      <c r="C71" s="328" t="n">
        <f aca="false">+B71-(SUMIF($F$17:$IV$17,$H$17,$F71:$IV71))</f>
        <v>0</v>
      </c>
      <c r="D71" s="0" t="n">
        <f aca="false">+YEAR(E71)</f>
        <v>2004</v>
      </c>
      <c r="E71" s="346" t="n">
        <f aca="false">+DATE(YEAR(E70),MONTH(E70)+1,1)</f>
        <v>38322</v>
      </c>
      <c r="F71" s="327" t="n">
        <f aca="false">+IF(AND(G$8&lt;=E71,G$9&gt;=E71),INDEX(ROUTE_PER_DAY_BY_SHIP,MATCH(CONCATENATE(G$4,G$5,G$7),ROUTE_PER_DAY_ROUTES,0),MATCH(G$6,ROUTE_PER_DAY_SHIPS,0))*(E72-E71),0)</f>
        <v>0</v>
      </c>
      <c r="G71" s="347" t="n">
        <f aca="false">-F71*HLOOKUP(G$6,SHIPS,7,0)*INDEX(LADEN_VOYAGE_DAYS,MATCH(CONCATENATE(G$4,G$5,G$7),LADEN_VOYAGE_ROUTES,0),MATCH(G$6,LADEN_VOYAGE_SHIPS,0))</f>
        <v>-0</v>
      </c>
      <c r="H71" s="348" t="n">
        <f aca="false">SUM(F71:G71)</f>
        <v>0</v>
      </c>
      <c r="I71" s="349" t="n">
        <f aca="false">-(H71)*HLOOKUP(G$5,TERMINAL_CHARGES,3,0)</f>
        <v>-0</v>
      </c>
      <c r="J71" s="327" t="n">
        <f aca="false">+H71+I71</f>
        <v>0</v>
      </c>
      <c r="K71" s="333"/>
      <c r="L71" s="346" t="n">
        <f aca="false">+DATE(YEAR(L70),MONTH(L70)+1,1)</f>
        <v>38322</v>
      </c>
      <c r="M71" s="334" t="n">
        <f aca="false">+J71*(VLOOKUP(L71,CURVECALC!$C$6:$J$312,4,0)+N$5)</f>
        <v>0</v>
      </c>
      <c r="N71" s="350" t="n">
        <f aca="false">-F71*INDEX(ship_curves,MATCH(L71,'SHIP CURVES'!$A$9:$A$316,0),MATCH(CONCATENATE(P$4,P$5,P$6,P$7),'SHIP CURVES'!$A$9:$AZ$9,0))</f>
        <v>-0</v>
      </c>
      <c r="O71" s="351" t="n">
        <f aca="false">-H71*INDEX(port_processing_fee,MATCH(L71,PORTS!$H$626:$H$933,0),MATCH(P$5,PORTS!$H$626:$Z$626,0))</f>
        <v>-0</v>
      </c>
      <c r="P71" s="352" t="n">
        <f aca="false">(((VLOOKUP(L71,curvecalc,4,0))*IF(F71=0,0,J71/F71)-INDEX(ship_curves,MATCH(L71,'SHIP CURVES'!$A$9:$A$316,0),MATCH(CONCATENATE(P$4,P$5,P$6,P$7),'SHIP CURVES'!$A$9:$Z$9,0))-INDEX(terminal_curves,MATCH(L71,'TERMINAL CURVES'!$A$4:$A$313,0),MATCH(P$5,'TERMINAL CURVES'!$A$4:$N$4,0))*IF(F71=0,0,H71/F71))-(N$8)*((N$7-$N$5)-(INDEX(ship_curves,MATCH(L71,'SHIP CURVES'!$A$9:$A$316,0),MATCH(CONCATENATE(P$4,P$5,P$6,P$7),'SHIP CURVES'!$A$9:$Z$9,0))-INDEX(ship_curves,MATCH(L71,'SHIP CURVES'!$A$9:$A$316,0),MATCH(CONCATENATE(P$4,N$6,P$6,P$7),'SHIP CURVES'!$A$9:$Z$9,0)))-(INDEX(terminal_curves,MATCH(L71,'TERMINAL CURVES'!$A$4:$A$313,0),MATCH(P$5,'TERMINAL CURVES'!$A$4:$N$4,0))-INDEX(terminal_curves,MATCH(L71,'TERMINAL CURVES'!$A$4:$A$313,0),MATCH(N$6,'TERMINAL CURVES'!$A$4:$N$4,0)))*IF(F71=0,0,H71/F71)))*-F71</f>
        <v>0</v>
      </c>
      <c r="Q71" s="353" t="n">
        <f aca="false">SUM(N71:P71)</f>
        <v>0</v>
      </c>
      <c r="R71" s="357" t="n">
        <f aca="false">(-H71/((HLOOKUP(P$5,port_specs,2,0)/(365.25))*(L72-L71)))*(INDEX(fixed_capacity_charge,MATCH(L71,PORTS!$H$11:$H$317,0),MATCH(P$5,PORTS!$H$11:$N$11,0))+INDEX(variable_om_charge,MATCH(L71,PORTS!$H$318:$H$625,0),MATCH(P$5,PORTS!$H$318:$N$318,0)))</f>
        <v>-0</v>
      </c>
      <c r="S71" s="343" t="n">
        <f aca="false">+R71+Q71</f>
        <v>0</v>
      </c>
      <c r="T71" s="355" t="n">
        <f aca="false">+S71+M71</f>
        <v>0</v>
      </c>
      <c r="U71" s="342"/>
      <c r="V71" s="346" t="n">
        <f aca="false">+DATE(YEAR(V70),MONTH(V70)+1,1)</f>
        <v>38322</v>
      </c>
      <c r="W71" s="327" t="n">
        <f aca="false">+Y71/(1-HLOOKUP(X$6,SHIPS,7,0)*INDEX(LADEN_VOYAGE_DAYS,MATCH(CONCATENATE(X$4,X$5),LADEN_VOYAGE_ROUTES,0),MATCH(X$6,LADEN_VOYAGE_SHIPS,0)))</f>
        <v>0</v>
      </c>
      <c r="X71" s="347" t="n">
        <f aca="false">+Y71-W71</f>
        <v>0</v>
      </c>
      <c r="Y71" s="348" t="n">
        <f aca="false">+IF(AND(X$8&lt;=V71,X$9&gt;=V71),+MIN($B71-SUMIF($H$17:X$17,Y$17,$H71:X71),((INDEX(ROUTE_PER_DAY_BY_SHIP,MATCH(CONCATENATE(X$4,X$5,X$7),ROUTE_PER_DAY_ROUTES,0),MATCH(X$6,ROUTE_PER_DAY_SHIPS,0))*(V72-V71))-(INDEX(ROUTE_PER_DAY_BY_SHIP,MATCH(CONCATENATE(X$4,X$5,X$7),ROUTE_PER_DAY_ROUTES,0),MATCH(X$6,ROUTE_PER_DAY_SHIPS,0))*(V72-V71))*HLOOKUP(X$6,SHIPS,7,0)*INDEX(LADEN_VOYAGE_DAYS,MATCH(CONCATENATE(X$4,X$5,X$7),LADEN_VOYAGE_ROUTES,0),MATCH(X$6,LADEN_VOYAGE_SHIPS,0)))),0)</f>
        <v>0</v>
      </c>
      <c r="Z71" s="349" t="n">
        <f aca="false">-(Y71)*HLOOKUP(X$5,TERMINAL_CHARGES,3,0)</f>
        <v>-0</v>
      </c>
      <c r="AA71" s="327" t="n">
        <f aca="false">+Y71+Z71</f>
        <v>0</v>
      </c>
      <c r="AB71" s="333"/>
      <c r="AC71" s="346" t="n">
        <f aca="false">+DATE(YEAR(AC70),MONTH(AC70)+1,1)</f>
        <v>38322</v>
      </c>
      <c r="AD71" s="343" t="n">
        <f aca="false">+AA71*(VLOOKUP(AC71,CURVECALC!$C$6:$J$312,4,0)+AE$5)</f>
        <v>0</v>
      </c>
      <c r="AE71" s="350" t="n">
        <f aca="false">-W71*INDEX(ship_curves,MATCH(AC71,'SHIP CURVES'!$A$9:$A$316,0),MATCH(CONCATENATE(AG$4,AG$5,AG$6,AG$7),'SHIP CURVES'!$A$9:$AZ$9,0))</f>
        <v>-0</v>
      </c>
      <c r="AF71" s="351" t="n">
        <f aca="false">-Y71*INDEX(port_processing_fee,MATCH(AC71,PORTS!$H$626:$H$933,0),MATCH(AG$5,PORTS!$H$626:$Z$626,0))</f>
        <v>-0</v>
      </c>
      <c r="AG71" s="352" t="n">
        <f aca="false">(((VLOOKUP(AC71,curvecalc,4,0))*IF(W71=0,0,AA71/W71)-INDEX(ship_curves,MATCH(AC71,'SHIP CURVES'!$A$9:$A$316,0),MATCH(CONCATENATE(AG$4,AG$5,AG$6,AG$7),'SHIP CURVES'!$A$9:$Z$9,0))-INDEX(terminal_curves,MATCH(AC71,'TERMINAL CURVES'!$A$4:$A$313,0),MATCH(AG$5,'TERMINAL CURVES'!$A$4:$N$4,0))*IF(W71=0,0,Y71/W71))-(AE$8)*((AE$7-$N$5)-(INDEX(ship_curves,MATCH(AC71,'SHIP CURVES'!$A$9:$A$316,0),MATCH(CONCATENATE(AG$4,AG$5,AG$6,AG$7),'SHIP CURVES'!$A$9:$Z$9,0))-INDEX(ship_curves,MATCH(AC71,'SHIP CURVES'!$A$9:$A$316,0),MATCH(CONCATENATE(AG$4,AE$6,AG$6,AG$7),'SHIP CURVES'!$A$9:$Z$9,0)))-(INDEX(terminal_curves,MATCH(AC71,'TERMINAL CURVES'!$A$4:$A$313,0),MATCH(AG$5,'TERMINAL CURVES'!$A$4:$N$4,0))-INDEX(terminal_curves,MATCH(AC71,'TERMINAL CURVES'!$A$4:$A$313,0),MATCH(AE$6,'TERMINAL CURVES'!$A$4:$N$4,0)))*IF(W71=0,0,Y71/W71)))*-W71</f>
        <v>0</v>
      </c>
      <c r="AH71" s="356" t="n">
        <f aca="false">SUM(AE71:AG71)</f>
        <v>0</v>
      </c>
      <c r="AI71" s="357" t="n">
        <f aca="false">(-Y71/((HLOOKUP(AG$5,port_specs,2,0)/(365.25))*(AC72-AC71)))*(INDEX(fixed_capacity_charge,MATCH(AC71,PORTS!$H$11:$H$317,0),MATCH(AG$5,PORTS!$H$11:$N$11,0))+INDEX(variable_om_charge,MATCH(AC71,PORTS!$H$318:$H$625,0),MATCH(AG$5,PORTS!$H$318:$N$318,0)))</f>
        <v>-0</v>
      </c>
      <c r="AJ71" s="343" t="n">
        <f aca="false">+AI71+AH71</f>
        <v>0</v>
      </c>
      <c r="AK71" s="355" t="n">
        <f aca="false">+AJ71+AD71</f>
        <v>0</v>
      </c>
      <c r="AM71" s="346" t="n">
        <f aca="false">+DATE(YEAR(AM70),MONTH(AM70)+1,1)</f>
        <v>38322</v>
      </c>
      <c r="AN71" s="327" t="n">
        <f aca="false">+AP71/(1-HLOOKUP(AO$6,SHIPS,7,0)*INDEX(LADEN_VOYAGE_DAYS,MATCH(CONCATENATE(AO$4,AO$5),LADEN_VOYAGE_ROUTES,0),MATCH(AO$6,LADEN_VOYAGE_SHIPS,0)))</f>
        <v>5395761.47735991</v>
      </c>
      <c r="AO71" s="347" t="n">
        <f aca="false">+AP71-AN71</f>
        <v>-56655.4955122788</v>
      </c>
      <c r="AP71" s="348" t="n">
        <f aca="false">+IF(AND(AO$8&lt;=AM71,AO$9&gt;=AM71),+MIN($B71-SUMIF($H$17:AO$17,AP$17,$H71:AO71),((INDEX(ROUTE_PER_DAY_BY_SHIP,MATCH(CONCATENATE(AO$4,AO$5,AO$7),ROUTE_PER_DAY_ROUTES,0),MATCH(AO$6,ROUTE_PER_DAY_SHIPS,0))*(AM72-AM71))-(INDEX(ROUTE_PER_DAY_BY_SHIP,MATCH(CONCATENATE(AO$4,AO$5,AO$7),ROUTE_PER_DAY_ROUTES,0),MATCH(AO$6,ROUTE_PER_DAY_SHIPS,0))*(AM72-AM71))*HLOOKUP(AO$6,SHIPS,7,0)*INDEX(LADEN_VOYAGE_DAYS,MATCH(CONCATENATE(AO$4,AO$5,AO$7),LADEN_VOYAGE_ROUTES,0),MATCH(AO$6,LADEN_VOYAGE_SHIPS,0)))),0)</f>
        <v>5339105.98184763</v>
      </c>
      <c r="AQ71" s="349" t="n">
        <f aca="false">-(AP71)*PORTS!$I$6</f>
        <v>-133477.649546191</v>
      </c>
      <c r="AR71" s="327" t="n">
        <f aca="false">+AP71+AQ71</f>
        <v>5205628.33230144</v>
      </c>
      <c r="AS71" s="333"/>
      <c r="AT71" s="346" t="n">
        <f aca="false">+DATE(YEAR(AT70),MONTH(AT70)+1,1)</f>
        <v>38322</v>
      </c>
      <c r="AU71" s="343" t="n">
        <f aca="false">+AR71*(VLOOKUP(AT71,CURVECALC!$C$6:$J$312,4,0)+AV$5)</f>
        <v>17298302.9482377</v>
      </c>
      <c r="AV71" s="350" t="n">
        <f aca="false">-AN71*INDEX(ship_curves,MATCH(AT71,'SHIP CURVES'!$A$9:$A$316,0),MATCH(CONCATENATE(AX$4,AX$5,AX$6,AX$7),'SHIP CURVES'!$A$9:$AZ$9,0))</f>
        <v>-1761861.52310669</v>
      </c>
      <c r="AW71" s="351" t="n">
        <f aca="false">-AP71*INDEX(port_processing_fee,MATCH(AT71,PORTS!$H$626:$H$933,0),MATCH(AX$5,PORTS!$H$626:$Z$626,0))</f>
        <v>-149453.384751459</v>
      </c>
      <c r="AX71" s="352" t="n">
        <f aca="false">(((VLOOKUP(AT71,curvecalc,4,0))*IF(AN71=0,0,AR71/AN71)-INDEX(ship_curves,MATCH(AT71,'SHIP CURVES'!$A$9:$A$316,0),MATCH(CONCATENATE(AX$4,AX$5,AX$6,AX$7),'SHIP CURVES'!$A$9:$Z$9,0))-INDEX(terminal_curves,MATCH(AT71,'TERMINAL CURVES'!$A$4:$A$313,0),MATCH(AX$5,'TERMINAL CURVES'!$A$4:$N$4,0))*IF(AN71=0,0,AP71/AN71))-(AV$8)*((AV$7-$N$5)-(INDEX(ship_curves,MATCH(AT71,'SHIP CURVES'!$A$9:$A$316,0),MATCH(CONCATENATE(AX$4,AX$5,AX$6,AX$7),'SHIP CURVES'!$A$9:$Z$9,0))-INDEX(ship_curves,MATCH(AT71,'SHIP CURVES'!$A$9:$A$316,0),MATCH(CONCATENATE(AX$4,AV$6,AX$6,AX$7),'SHIP CURVES'!$A$9:$Z$9,0)))-(INDEX(terminal_curves,MATCH(AT71,'TERMINAL CURVES'!$A$4:$A$313,0),MATCH(AX$5,'TERMINAL CURVES'!$A$4:$N$4,0))-INDEX(terminal_curves,MATCH(AT71,'TERMINAL CURVES'!$A$4:$A$313,0),MATCH(AV$6,'TERMINAL CURVES'!$A$4:$N$4,0)))*IF(AN71=0,0,AP71/AN71)))*-AN71</f>
        <v>-14316210.8315726</v>
      </c>
      <c r="AY71" s="356" t="n">
        <f aca="false">SUM(AV71:AX71)</f>
        <v>-16227525.7394307</v>
      </c>
      <c r="AZ71" s="357" t="n">
        <f aca="false">(-AP71/((HLOOKUP(AX$5,port_specs,2,0)/(365.25))*(AT72-AT71)))*(INDEX(fixed_capacity_charge,MATCH(AT71,PORTS!$H$11:$H$317,0),MATCH(AX$5,PORTS!$H$11:$N$11,0))+INDEX(variable_om_charge,MATCH(AT71,PORTS!$H$318:$H$625,0),MATCH(AX$5,PORTS!$H$318:$N$318,0)))</f>
        <v>-966664.642160949</v>
      </c>
      <c r="BA71" s="343" t="n">
        <f aca="false">+AZ71+AY71</f>
        <v>-17194190.3815917</v>
      </c>
      <c r="BB71" s="355" t="n">
        <f aca="false">+BA71+AU71</f>
        <v>104112.566646028</v>
      </c>
      <c r="BC71" s="99"/>
      <c r="BD71" s="357" t="n">
        <f aca="false">+PORTS!I65+PORTS!I373</f>
        <v>966664.642160949</v>
      </c>
    </row>
    <row r="72" customFormat="false" ht="12.75" hidden="false" customHeight="false" outlineLevel="0" collapsed="false">
      <c r="A72" s="346" t="n">
        <f aca="false">+DATE(YEAR(A71),MONTH(A71)+1,1)</f>
        <v>38353</v>
      </c>
      <c r="B72" s="327" t="n">
        <f aca="false">+IF(AND($A72&gt;=$C$8,$A72&lt;=$C$9),1,0)*PORTS!$I$5/(365.25)*(A73-A72)</f>
        <v>5339105.98184763</v>
      </c>
      <c r="C72" s="328" t="n">
        <f aca="false">+B72-(SUMIF($F$17:$IV$17,$H$17,$F72:$IV72))</f>
        <v>0</v>
      </c>
      <c r="D72" s="0" t="n">
        <f aca="false">+YEAR(E72)</f>
        <v>2005</v>
      </c>
      <c r="E72" s="346" t="n">
        <f aca="false">+DATE(YEAR(E71),MONTH(E71)+1,1)</f>
        <v>38353</v>
      </c>
      <c r="F72" s="327" t="n">
        <f aca="false">+IF(AND(G$8&lt;=E72,G$9&gt;=E72),INDEX(ROUTE_PER_DAY_BY_SHIP,MATCH(CONCATENATE(G$4,G$5,G$7),ROUTE_PER_DAY_ROUTES,0),MATCH(G$6,ROUTE_PER_DAY_SHIPS,0))*(E73-E72),0)</f>
        <v>0</v>
      </c>
      <c r="G72" s="347" t="n">
        <f aca="false">-F72*HLOOKUP(G$6,SHIPS,7,0)*INDEX(LADEN_VOYAGE_DAYS,MATCH(CONCATENATE(G$4,G$5,G$7),LADEN_VOYAGE_ROUTES,0),MATCH(G$6,LADEN_VOYAGE_SHIPS,0))</f>
        <v>-0</v>
      </c>
      <c r="H72" s="348" t="n">
        <f aca="false">SUM(F72:G72)</f>
        <v>0</v>
      </c>
      <c r="I72" s="349" t="n">
        <f aca="false">-(H72)*HLOOKUP(G$5,TERMINAL_CHARGES,3,0)</f>
        <v>-0</v>
      </c>
      <c r="J72" s="327" t="n">
        <f aca="false">+H72+I72</f>
        <v>0</v>
      </c>
      <c r="K72" s="333"/>
      <c r="L72" s="346" t="n">
        <f aca="false">+DATE(YEAR(L71),MONTH(L71)+1,1)</f>
        <v>38353</v>
      </c>
      <c r="M72" s="334" t="n">
        <f aca="false">+J72*(VLOOKUP(L72,CURVECALC!$C$6:$J$312,4,0)+N$5)</f>
        <v>0</v>
      </c>
      <c r="N72" s="350" t="n">
        <f aca="false">-F72*INDEX(ship_curves,MATCH(L72,'SHIP CURVES'!$A$9:$A$316,0),MATCH(CONCATENATE(P$4,P$5,P$6,P$7),'SHIP CURVES'!$A$9:$AZ$9,0))</f>
        <v>-0</v>
      </c>
      <c r="O72" s="351" t="n">
        <f aca="false">-H72*INDEX(port_processing_fee,MATCH(L72,PORTS!$H$626:$H$933,0),MATCH(P$5,PORTS!$H$626:$Z$626,0))</f>
        <v>-0</v>
      </c>
      <c r="P72" s="352" t="n">
        <f aca="false">(((VLOOKUP(L72,curvecalc,4,0))*IF(F72=0,0,J72/F72)-INDEX(ship_curves,MATCH(L72,'SHIP CURVES'!$A$9:$A$316,0),MATCH(CONCATENATE(P$4,P$5,P$6,P$7),'SHIP CURVES'!$A$9:$Z$9,0))-INDEX(terminal_curves,MATCH(L72,'TERMINAL CURVES'!$A$4:$A$313,0),MATCH(P$5,'TERMINAL CURVES'!$A$4:$N$4,0))*IF(F72=0,0,H72/F72))-(N$8)*((N$7-$N$5)-(INDEX(ship_curves,MATCH(L72,'SHIP CURVES'!$A$9:$A$316,0),MATCH(CONCATENATE(P$4,P$5,P$6,P$7),'SHIP CURVES'!$A$9:$Z$9,0))-INDEX(ship_curves,MATCH(L72,'SHIP CURVES'!$A$9:$A$316,0),MATCH(CONCATENATE(P$4,N$6,P$6,P$7),'SHIP CURVES'!$A$9:$Z$9,0)))-(INDEX(terminal_curves,MATCH(L72,'TERMINAL CURVES'!$A$4:$A$313,0),MATCH(P$5,'TERMINAL CURVES'!$A$4:$N$4,0))-INDEX(terminal_curves,MATCH(L72,'TERMINAL CURVES'!$A$4:$A$313,0),MATCH(N$6,'TERMINAL CURVES'!$A$4:$N$4,0)))*IF(F72=0,0,H72/F72)))*-F72</f>
        <v>0</v>
      </c>
      <c r="Q72" s="353" t="n">
        <f aca="false">SUM(N72:P72)</f>
        <v>0</v>
      </c>
      <c r="R72" s="357" t="n">
        <f aca="false">(-H72/((HLOOKUP(P$5,port_specs,2,0)/(365.25))*(L73-L72)))*(INDEX(fixed_capacity_charge,MATCH(L72,PORTS!$H$11:$H$317,0),MATCH(P$5,PORTS!$H$11:$N$11,0))+INDEX(variable_om_charge,MATCH(L72,PORTS!$H$318:$H$625,0),MATCH(P$5,PORTS!$H$318:$N$318,0)))</f>
        <v>-0</v>
      </c>
      <c r="S72" s="343" t="n">
        <f aca="false">+R72+Q72</f>
        <v>0</v>
      </c>
      <c r="T72" s="355" t="n">
        <f aca="false">+S72+M72</f>
        <v>0</v>
      </c>
      <c r="U72" s="342"/>
      <c r="V72" s="346" t="n">
        <f aca="false">+DATE(YEAR(V71),MONTH(V71)+1,1)</f>
        <v>38353</v>
      </c>
      <c r="W72" s="327" t="n">
        <f aca="false">+Y72/(1-HLOOKUP(X$6,SHIPS,7,0)*INDEX(LADEN_VOYAGE_DAYS,MATCH(CONCATENATE(X$4,X$5),LADEN_VOYAGE_ROUTES,0),MATCH(X$6,LADEN_VOYAGE_SHIPS,0)))</f>
        <v>0</v>
      </c>
      <c r="X72" s="347" t="n">
        <f aca="false">+Y72-W72</f>
        <v>0</v>
      </c>
      <c r="Y72" s="348" t="n">
        <f aca="false">+IF(AND(X$8&lt;=V72,X$9&gt;=V72),+MIN($B72-SUMIF($H$17:X$17,Y$17,$H72:X72),((INDEX(ROUTE_PER_DAY_BY_SHIP,MATCH(CONCATENATE(X$4,X$5,X$7),ROUTE_PER_DAY_ROUTES,0),MATCH(X$6,ROUTE_PER_DAY_SHIPS,0))*(V73-V72))-(INDEX(ROUTE_PER_DAY_BY_SHIP,MATCH(CONCATENATE(X$4,X$5,X$7),ROUTE_PER_DAY_ROUTES,0),MATCH(X$6,ROUTE_PER_DAY_SHIPS,0))*(V73-V72))*HLOOKUP(X$6,SHIPS,7,0)*INDEX(LADEN_VOYAGE_DAYS,MATCH(CONCATENATE(X$4,X$5,X$7),LADEN_VOYAGE_ROUTES,0),MATCH(X$6,LADEN_VOYAGE_SHIPS,0)))),0)</f>
        <v>0</v>
      </c>
      <c r="Z72" s="349" t="n">
        <f aca="false">-(Y72)*HLOOKUP(X$5,TERMINAL_CHARGES,3,0)</f>
        <v>-0</v>
      </c>
      <c r="AA72" s="327" t="n">
        <f aca="false">+Y72+Z72</f>
        <v>0</v>
      </c>
      <c r="AB72" s="333"/>
      <c r="AC72" s="346" t="n">
        <f aca="false">+DATE(YEAR(AC71),MONTH(AC71)+1,1)</f>
        <v>38353</v>
      </c>
      <c r="AD72" s="343" t="n">
        <f aca="false">+AA72*(VLOOKUP(AC72,CURVECALC!$C$6:$J$312,4,0)+AE$5)</f>
        <v>0</v>
      </c>
      <c r="AE72" s="350" t="n">
        <f aca="false">-W72*INDEX(ship_curves,MATCH(AC72,'SHIP CURVES'!$A$9:$A$316,0),MATCH(CONCATENATE(AG$4,AG$5,AG$6,AG$7),'SHIP CURVES'!$A$9:$AZ$9,0))</f>
        <v>-0</v>
      </c>
      <c r="AF72" s="351" t="n">
        <f aca="false">-Y72*INDEX(port_processing_fee,MATCH(AC72,PORTS!$H$626:$H$933,0),MATCH(AG$5,PORTS!$H$626:$Z$626,0))</f>
        <v>-0</v>
      </c>
      <c r="AG72" s="352" t="n">
        <f aca="false">(((VLOOKUP(AC72,curvecalc,4,0))*IF(W72=0,0,AA72/W72)-INDEX(ship_curves,MATCH(AC72,'SHIP CURVES'!$A$9:$A$316,0),MATCH(CONCATENATE(AG$4,AG$5,AG$6,AG$7),'SHIP CURVES'!$A$9:$Z$9,0))-INDEX(terminal_curves,MATCH(AC72,'TERMINAL CURVES'!$A$4:$A$313,0),MATCH(AG$5,'TERMINAL CURVES'!$A$4:$N$4,0))*IF(W72=0,0,Y72/W72))-(AE$8)*((AE$7-$N$5)-(INDEX(ship_curves,MATCH(AC72,'SHIP CURVES'!$A$9:$A$316,0),MATCH(CONCATENATE(AG$4,AG$5,AG$6,AG$7),'SHIP CURVES'!$A$9:$Z$9,0))-INDEX(ship_curves,MATCH(AC72,'SHIP CURVES'!$A$9:$A$316,0),MATCH(CONCATENATE(AG$4,AE$6,AG$6,AG$7),'SHIP CURVES'!$A$9:$Z$9,0)))-(INDEX(terminal_curves,MATCH(AC72,'TERMINAL CURVES'!$A$4:$A$313,0),MATCH(AG$5,'TERMINAL CURVES'!$A$4:$N$4,0))-INDEX(terminal_curves,MATCH(AC72,'TERMINAL CURVES'!$A$4:$A$313,0),MATCH(AE$6,'TERMINAL CURVES'!$A$4:$N$4,0)))*IF(W72=0,0,Y72/W72)))*-W72</f>
        <v>0</v>
      </c>
      <c r="AH72" s="356" t="n">
        <f aca="false">SUM(AE72:AG72)</f>
        <v>0</v>
      </c>
      <c r="AI72" s="357" t="n">
        <f aca="false">(-Y72/((HLOOKUP(AG$5,port_specs,2,0)/(365.25))*(AC73-AC72)))*(INDEX(fixed_capacity_charge,MATCH(AC72,PORTS!$H$11:$H$317,0),MATCH(AG$5,PORTS!$H$11:$N$11,0))+INDEX(variable_om_charge,MATCH(AC72,PORTS!$H$318:$H$625,0),MATCH(AG$5,PORTS!$H$318:$N$318,0)))</f>
        <v>-0</v>
      </c>
      <c r="AJ72" s="343" t="n">
        <f aca="false">+AI72+AH72</f>
        <v>0</v>
      </c>
      <c r="AK72" s="355" t="n">
        <f aca="false">+AJ72+AD72</f>
        <v>0</v>
      </c>
      <c r="AM72" s="346" t="n">
        <f aca="false">+DATE(YEAR(AM71),MONTH(AM71)+1,1)</f>
        <v>38353</v>
      </c>
      <c r="AN72" s="327" t="n">
        <f aca="false">+AP72/(1-HLOOKUP(AO$6,SHIPS,7,0)*INDEX(LADEN_VOYAGE_DAYS,MATCH(CONCATENATE(AO$4,AO$5),LADEN_VOYAGE_ROUTES,0),MATCH(AO$6,LADEN_VOYAGE_SHIPS,0)))</f>
        <v>5395761.47735991</v>
      </c>
      <c r="AO72" s="347" t="n">
        <f aca="false">+AP72-AN72</f>
        <v>-56655.4955122788</v>
      </c>
      <c r="AP72" s="348" t="n">
        <f aca="false">+IF(AND(AO$8&lt;=AM72,AO$9&gt;=AM72),+MIN($B72-SUMIF($H$17:AO$17,AP$17,$H72:AO72),((INDEX(ROUTE_PER_DAY_BY_SHIP,MATCH(CONCATENATE(AO$4,AO$5,AO$7),ROUTE_PER_DAY_ROUTES,0),MATCH(AO$6,ROUTE_PER_DAY_SHIPS,0))*(AM73-AM72))-(INDEX(ROUTE_PER_DAY_BY_SHIP,MATCH(CONCATENATE(AO$4,AO$5,AO$7),ROUTE_PER_DAY_ROUTES,0),MATCH(AO$6,ROUTE_PER_DAY_SHIPS,0))*(AM73-AM72))*HLOOKUP(AO$6,SHIPS,7,0)*INDEX(LADEN_VOYAGE_DAYS,MATCH(CONCATENATE(AO$4,AO$5,AO$7),LADEN_VOYAGE_ROUTES,0),MATCH(AO$6,LADEN_VOYAGE_SHIPS,0)))),0)</f>
        <v>5339105.98184763</v>
      </c>
      <c r="AQ72" s="349" t="n">
        <f aca="false">-(AP72)*PORTS!$I$6</f>
        <v>-133477.649546191</v>
      </c>
      <c r="AR72" s="327" t="n">
        <f aca="false">+AP72+AQ72</f>
        <v>5205628.33230144</v>
      </c>
      <c r="AS72" s="333"/>
      <c r="AT72" s="346" t="n">
        <f aca="false">+DATE(YEAR(AT71),MONTH(AT71)+1,1)</f>
        <v>38353</v>
      </c>
      <c r="AU72" s="343" t="n">
        <f aca="false">+AR72*(VLOOKUP(AT72,CURVECALC!$C$6:$J$312,4,0)+AV$5)</f>
        <v>17876127.6931232</v>
      </c>
      <c r="AV72" s="350" t="n">
        <f aca="false">-AN72*INDEX(ship_curves,MATCH(AT72,'SHIP CURVES'!$A$9:$A$316,0),MATCH(CONCATENATE(AX$4,AX$5,AX$6,AX$7),'SHIP CURVES'!$A$9:$AZ$9,0))</f>
        <v>-1762336.38518188</v>
      </c>
      <c r="AW72" s="351" t="n">
        <f aca="false">-AP72*INDEX(port_processing_fee,MATCH(AT72,PORTS!$H$626:$H$933,0),MATCH(AX$5,PORTS!$H$626:$Z$626,0))</f>
        <v>-149609.065360575</v>
      </c>
      <c r="AX72" s="352" t="n">
        <f aca="false">(((VLOOKUP(AT72,curvecalc,4,0))*IF(AN72=0,0,AR72/AN72)-INDEX(ship_curves,MATCH(AT72,'SHIP CURVES'!$A$9:$A$316,0),MATCH(CONCATENATE(AX$4,AX$5,AX$6,AX$7),'SHIP CURVES'!$A$9:$Z$9,0))-INDEX(terminal_curves,MATCH(AT72,'TERMINAL CURVES'!$A$4:$A$313,0),MATCH(AX$5,'TERMINAL CURVES'!$A$4:$N$4,0))*IF(AN72=0,0,AP72/AN72))-(AV$8)*((AV$7-$N$5)-(INDEX(ship_curves,MATCH(AT72,'SHIP CURVES'!$A$9:$A$316,0),MATCH(CONCATENATE(AX$4,AX$5,AX$6,AX$7),'SHIP CURVES'!$A$9:$Z$9,0))-INDEX(ship_curves,MATCH(AT72,'SHIP CURVES'!$A$9:$A$316,0),MATCH(CONCATENATE(AX$4,AV$6,AX$6,AX$7),'SHIP CURVES'!$A$9:$Z$9,0)))-(INDEX(terminal_curves,MATCH(AT72,'TERMINAL CURVES'!$A$4:$A$313,0),MATCH(AX$5,'TERMINAL CURVES'!$A$4:$N$4,0))-INDEX(terminal_curves,MATCH(AT72,'TERMINAL CURVES'!$A$4:$A$313,0),MATCH(AV$6,'TERMINAL CURVES'!$A$4:$N$4,0)))*IF(AN72=0,0,AP72/AN72)))*-AN72</f>
        <v>-14892903.4941162</v>
      </c>
      <c r="AY72" s="356" t="n">
        <f aca="false">SUM(AV72:AX72)</f>
        <v>-16804848.9446586</v>
      </c>
      <c r="AZ72" s="357" t="n">
        <f aca="false">(-AP72/((HLOOKUP(AX$5,port_specs,2,0)/(365.25))*(AT73-AT72)))*(INDEX(fixed_capacity_charge,MATCH(AT72,PORTS!$H$11:$H$317,0),MATCH(AX$5,PORTS!$H$11:$N$11,0))+INDEX(variable_om_charge,MATCH(AT72,PORTS!$H$318:$H$625,0),MATCH(AX$5,PORTS!$H$318:$N$318,0)))</f>
        <v>-967166.181818504</v>
      </c>
      <c r="BA72" s="343" t="n">
        <f aca="false">+AZ72+AY72</f>
        <v>-17772015.1264771</v>
      </c>
      <c r="BB72" s="355" t="n">
        <f aca="false">+BA72+AU72</f>
        <v>104112.566646032</v>
      </c>
      <c r="BC72" s="99"/>
      <c r="BD72" s="357" t="n">
        <f aca="false">+PORTS!I66+PORTS!I374</f>
        <v>967166.181818504</v>
      </c>
    </row>
    <row r="73" customFormat="false" ht="12.75" hidden="false" customHeight="false" outlineLevel="0" collapsed="false">
      <c r="A73" s="346" t="n">
        <f aca="false">+DATE(YEAR(A72),MONTH(A72)+1,1)</f>
        <v>38384</v>
      </c>
      <c r="B73" s="327" t="n">
        <f aca="false">+IF(AND($A73&gt;=$C$8,$A73&lt;=$C$9),1,0)*PORTS!$I$5/(365.25)*(A74-A73)</f>
        <v>4822418.30618496</v>
      </c>
      <c r="C73" s="328" t="n">
        <f aca="false">+B73-(SUMIF($F$17:$IV$17,$H$17,$F73:$IV73))</f>
        <v>0</v>
      </c>
      <c r="D73" s="0" t="n">
        <f aca="false">+YEAR(E73)</f>
        <v>2005</v>
      </c>
      <c r="E73" s="346" t="n">
        <f aca="false">+DATE(YEAR(E72),MONTH(E72)+1,1)</f>
        <v>38384</v>
      </c>
      <c r="F73" s="327" t="n">
        <f aca="false">+IF(AND(G$8&lt;=E73,G$9&gt;=E73),INDEX(ROUTE_PER_DAY_BY_SHIP,MATCH(CONCATENATE(G$4,G$5,G$7),ROUTE_PER_DAY_ROUTES,0),MATCH(G$6,ROUTE_PER_DAY_SHIPS,0))*(E74-E73),0)</f>
        <v>0</v>
      </c>
      <c r="G73" s="347" t="n">
        <f aca="false">-F73*HLOOKUP(G$6,SHIPS,7,0)*INDEX(LADEN_VOYAGE_DAYS,MATCH(CONCATENATE(G$4,G$5,G$7),LADEN_VOYAGE_ROUTES,0),MATCH(G$6,LADEN_VOYAGE_SHIPS,0))</f>
        <v>-0</v>
      </c>
      <c r="H73" s="348" t="n">
        <f aca="false">SUM(F73:G73)</f>
        <v>0</v>
      </c>
      <c r="I73" s="349" t="n">
        <f aca="false">-(H73)*HLOOKUP(G$5,TERMINAL_CHARGES,3,0)</f>
        <v>-0</v>
      </c>
      <c r="J73" s="327" t="n">
        <f aca="false">+H73+I73</f>
        <v>0</v>
      </c>
      <c r="K73" s="333"/>
      <c r="L73" s="346" t="n">
        <f aca="false">+DATE(YEAR(L72),MONTH(L72)+1,1)</f>
        <v>38384</v>
      </c>
      <c r="M73" s="334" t="n">
        <f aca="false">+J73*(VLOOKUP(L73,CURVECALC!$C$6:$J$312,4,0)+N$5)</f>
        <v>0</v>
      </c>
      <c r="N73" s="350" t="n">
        <f aca="false">-F73*INDEX(ship_curves,MATCH(L73,'SHIP CURVES'!$A$9:$A$316,0),MATCH(CONCATENATE(P$4,P$5,P$6,P$7),'SHIP CURVES'!$A$9:$AZ$9,0))</f>
        <v>-0</v>
      </c>
      <c r="O73" s="351" t="n">
        <f aca="false">-H73*INDEX(port_processing_fee,MATCH(L73,PORTS!$H$626:$H$933,0),MATCH(P$5,PORTS!$H$626:$Z$626,0))</f>
        <v>-0</v>
      </c>
      <c r="P73" s="352" t="n">
        <f aca="false">(((VLOOKUP(L73,curvecalc,4,0))*IF(F73=0,0,J73/F73)-INDEX(ship_curves,MATCH(L73,'SHIP CURVES'!$A$9:$A$316,0),MATCH(CONCATENATE(P$4,P$5,P$6,P$7),'SHIP CURVES'!$A$9:$Z$9,0))-INDEX(terminal_curves,MATCH(L73,'TERMINAL CURVES'!$A$4:$A$313,0),MATCH(P$5,'TERMINAL CURVES'!$A$4:$N$4,0))*IF(F73=0,0,H73/F73))-(N$8)*((N$7-$N$5)-(INDEX(ship_curves,MATCH(L73,'SHIP CURVES'!$A$9:$A$316,0),MATCH(CONCATENATE(P$4,P$5,P$6,P$7),'SHIP CURVES'!$A$9:$Z$9,0))-INDEX(ship_curves,MATCH(L73,'SHIP CURVES'!$A$9:$A$316,0),MATCH(CONCATENATE(P$4,N$6,P$6,P$7),'SHIP CURVES'!$A$9:$Z$9,0)))-(INDEX(terminal_curves,MATCH(L73,'TERMINAL CURVES'!$A$4:$A$313,0),MATCH(P$5,'TERMINAL CURVES'!$A$4:$N$4,0))-INDEX(terminal_curves,MATCH(L73,'TERMINAL CURVES'!$A$4:$A$313,0),MATCH(N$6,'TERMINAL CURVES'!$A$4:$N$4,0)))*IF(F73=0,0,H73/F73)))*-F73</f>
        <v>0</v>
      </c>
      <c r="Q73" s="353" t="n">
        <f aca="false">SUM(N73:P73)</f>
        <v>0</v>
      </c>
      <c r="R73" s="357" t="n">
        <f aca="false">(-H73/((HLOOKUP(P$5,port_specs,2,0)/(365.25))*(L74-L73)))*(INDEX(fixed_capacity_charge,MATCH(L73,PORTS!$H$11:$H$317,0),MATCH(P$5,PORTS!$H$11:$N$11,0))+INDEX(variable_om_charge,MATCH(L73,PORTS!$H$318:$H$625,0),MATCH(P$5,PORTS!$H$318:$N$318,0)))</f>
        <v>-0</v>
      </c>
      <c r="S73" s="343" t="n">
        <f aca="false">+R73+Q73</f>
        <v>0</v>
      </c>
      <c r="T73" s="355" t="n">
        <f aca="false">+S73+M73</f>
        <v>0</v>
      </c>
      <c r="U73" s="342"/>
      <c r="V73" s="346" t="n">
        <f aca="false">+DATE(YEAR(V72),MONTH(V72)+1,1)</f>
        <v>38384</v>
      </c>
      <c r="W73" s="327" t="n">
        <f aca="false">+Y73/(1-HLOOKUP(X$6,SHIPS,7,0)*INDEX(LADEN_VOYAGE_DAYS,MATCH(CONCATENATE(X$4,X$5),LADEN_VOYAGE_ROUTES,0),MATCH(X$6,LADEN_VOYAGE_SHIPS,0)))</f>
        <v>0</v>
      </c>
      <c r="X73" s="347" t="n">
        <f aca="false">+Y73-W73</f>
        <v>0</v>
      </c>
      <c r="Y73" s="348" t="n">
        <f aca="false">+IF(AND(X$8&lt;=V73,X$9&gt;=V73),+MIN($B73-SUMIF($H$17:X$17,Y$17,$H73:X73),((INDEX(ROUTE_PER_DAY_BY_SHIP,MATCH(CONCATENATE(X$4,X$5,X$7),ROUTE_PER_DAY_ROUTES,0),MATCH(X$6,ROUTE_PER_DAY_SHIPS,0))*(V74-V73))-(INDEX(ROUTE_PER_DAY_BY_SHIP,MATCH(CONCATENATE(X$4,X$5,X$7),ROUTE_PER_DAY_ROUTES,0),MATCH(X$6,ROUTE_PER_DAY_SHIPS,0))*(V74-V73))*HLOOKUP(X$6,SHIPS,7,0)*INDEX(LADEN_VOYAGE_DAYS,MATCH(CONCATENATE(X$4,X$5,X$7),LADEN_VOYAGE_ROUTES,0),MATCH(X$6,LADEN_VOYAGE_SHIPS,0)))),0)</f>
        <v>0</v>
      </c>
      <c r="Z73" s="349" t="n">
        <f aca="false">-(Y73)*HLOOKUP(X$5,TERMINAL_CHARGES,3,0)</f>
        <v>-0</v>
      </c>
      <c r="AA73" s="327" t="n">
        <f aca="false">+Y73+Z73</f>
        <v>0</v>
      </c>
      <c r="AB73" s="333"/>
      <c r="AC73" s="346" t="n">
        <f aca="false">+DATE(YEAR(AC72),MONTH(AC72)+1,1)</f>
        <v>38384</v>
      </c>
      <c r="AD73" s="343" t="n">
        <f aca="false">+AA73*(VLOOKUP(AC73,CURVECALC!$C$6:$J$312,4,0)+AE$5)</f>
        <v>0</v>
      </c>
      <c r="AE73" s="350" t="n">
        <f aca="false">-W73*INDEX(ship_curves,MATCH(AC73,'SHIP CURVES'!$A$9:$A$316,0),MATCH(CONCATENATE(AG$4,AG$5,AG$6,AG$7),'SHIP CURVES'!$A$9:$AZ$9,0))</f>
        <v>-0</v>
      </c>
      <c r="AF73" s="351" t="n">
        <f aca="false">-Y73*INDEX(port_processing_fee,MATCH(AC73,PORTS!$H$626:$H$933,0),MATCH(AG$5,PORTS!$H$626:$Z$626,0))</f>
        <v>-0</v>
      </c>
      <c r="AG73" s="352" t="n">
        <f aca="false">(((VLOOKUP(AC73,curvecalc,4,0))*IF(W73=0,0,AA73/W73)-INDEX(ship_curves,MATCH(AC73,'SHIP CURVES'!$A$9:$A$316,0),MATCH(CONCATENATE(AG$4,AG$5,AG$6,AG$7),'SHIP CURVES'!$A$9:$Z$9,0))-INDEX(terminal_curves,MATCH(AC73,'TERMINAL CURVES'!$A$4:$A$313,0),MATCH(AG$5,'TERMINAL CURVES'!$A$4:$N$4,0))*IF(W73=0,0,Y73/W73))-(AE$8)*((AE$7-$N$5)-(INDEX(ship_curves,MATCH(AC73,'SHIP CURVES'!$A$9:$A$316,0),MATCH(CONCATENATE(AG$4,AG$5,AG$6,AG$7),'SHIP CURVES'!$A$9:$Z$9,0))-INDEX(ship_curves,MATCH(AC73,'SHIP CURVES'!$A$9:$A$316,0),MATCH(CONCATENATE(AG$4,AE$6,AG$6,AG$7),'SHIP CURVES'!$A$9:$Z$9,0)))-(INDEX(terminal_curves,MATCH(AC73,'TERMINAL CURVES'!$A$4:$A$313,0),MATCH(AG$5,'TERMINAL CURVES'!$A$4:$N$4,0))-INDEX(terminal_curves,MATCH(AC73,'TERMINAL CURVES'!$A$4:$A$313,0),MATCH(AE$6,'TERMINAL CURVES'!$A$4:$N$4,0)))*IF(W73=0,0,Y73/W73)))*-W73</f>
        <v>0</v>
      </c>
      <c r="AH73" s="356" t="n">
        <f aca="false">SUM(AE73:AG73)</f>
        <v>0</v>
      </c>
      <c r="AI73" s="357" t="n">
        <f aca="false">(-Y73/((HLOOKUP(AG$5,port_specs,2,0)/(365.25))*(AC74-AC73)))*(INDEX(fixed_capacity_charge,MATCH(AC73,PORTS!$H$11:$H$317,0),MATCH(AG$5,PORTS!$H$11:$N$11,0))+INDEX(variable_om_charge,MATCH(AC73,PORTS!$H$318:$H$625,0),MATCH(AG$5,PORTS!$H$318:$N$318,0)))</f>
        <v>-0</v>
      </c>
      <c r="AJ73" s="343" t="n">
        <f aca="false">+AI73+AH73</f>
        <v>0</v>
      </c>
      <c r="AK73" s="355" t="n">
        <f aca="false">+AJ73+AD73</f>
        <v>0</v>
      </c>
      <c r="AM73" s="346" t="n">
        <f aca="false">+DATE(YEAR(AM72),MONTH(AM72)+1,1)</f>
        <v>38384</v>
      </c>
      <c r="AN73" s="327" t="n">
        <f aca="false">+AP73/(1-HLOOKUP(AO$6,SHIPS,7,0)*INDEX(LADEN_VOYAGE_DAYS,MATCH(CONCATENATE(AO$4,AO$5),LADEN_VOYAGE_ROUTES,0),MATCH(AO$6,LADEN_VOYAGE_SHIPS,0)))</f>
        <v>4873591.01180895</v>
      </c>
      <c r="AO73" s="347" t="n">
        <f aca="false">+AP73-AN73</f>
        <v>-51172.7056239937</v>
      </c>
      <c r="AP73" s="348" t="n">
        <f aca="false">+IF(AND(AO$8&lt;=AM73,AO$9&gt;=AM73),+MIN($B73-SUMIF($H$17:AO$17,AP$17,$H73:AO73),((INDEX(ROUTE_PER_DAY_BY_SHIP,MATCH(CONCATENATE(AO$4,AO$5,AO$7),ROUTE_PER_DAY_ROUTES,0),MATCH(AO$6,ROUTE_PER_DAY_SHIPS,0))*(AM74-AM73))-(INDEX(ROUTE_PER_DAY_BY_SHIP,MATCH(CONCATENATE(AO$4,AO$5,AO$7),ROUTE_PER_DAY_ROUTES,0),MATCH(AO$6,ROUTE_PER_DAY_SHIPS,0))*(AM74-AM73))*HLOOKUP(AO$6,SHIPS,7,0)*INDEX(LADEN_VOYAGE_DAYS,MATCH(CONCATENATE(AO$4,AO$5,AO$7),LADEN_VOYAGE_ROUTES,0),MATCH(AO$6,LADEN_VOYAGE_SHIPS,0)))),0)</f>
        <v>4822418.30618496</v>
      </c>
      <c r="AQ73" s="349" t="n">
        <f aca="false">-(AP73)*PORTS!$I$6</f>
        <v>-120560.457654624</v>
      </c>
      <c r="AR73" s="327" t="n">
        <f aca="false">+AP73+AQ73</f>
        <v>4701857.84853034</v>
      </c>
      <c r="AS73" s="333"/>
      <c r="AT73" s="346" t="n">
        <f aca="false">+DATE(YEAR(AT72),MONTH(AT72)+1,1)</f>
        <v>38384</v>
      </c>
      <c r="AU73" s="343" t="n">
        <f aca="false">+AR73*(VLOOKUP(AT73,CURVECALC!$C$6:$J$312,4,0)+AV$5)</f>
        <v>15572553.1943325</v>
      </c>
      <c r="AV73" s="350" t="n">
        <f aca="false">-AN73*INDEX(ship_curves,MATCH(AT73,'SHIP CURVES'!$A$9:$A$316,0),MATCH(CONCATENATE(AX$4,AX$5,AX$6,AX$7),'SHIP CURVES'!$A$9:$AZ$9,0))</f>
        <v>-1592217.5039834</v>
      </c>
      <c r="AW73" s="351" t="n">
        <f aca="false">-AP73*INDEX(port_processing_fee,MATCH(AT73,PORTS!$H$626:$H$933,0),MATCH(AX$5,PORTS!$H$626:$Z$626,0))</f>
        <v>-135271.529930186</v>
      </c>
      <c r="AX73" s="352" t="n">
        <f aca="false">(((VLOOKUP(AT73,curvecalc,4,0))*IF(AN73=0,0,AR73/AN73)-INDEX(ship_curves,MATCH(AT73,'SHIP CURVES'!$A$9:$A$316,0),MATCH(CONCATENATE(AX$4,AX$5,AX$6,AX$7),'SHIP CURVES'!$A$9:$Z$9,0))-INDEX(terminal_curves,MATCH(AT73,'TERMINAL CURVES'!$A$4:$A$313,0),MATCH(AX$5,'TERMINAL CURVES'!$A$4:$N$4,0))*IF(AN73=0,0,AP73/AN73))-(AV$8)*((AV$7-$N$5)-(INDEX(ship_curves,MATCH(AT73,'SHIP CURVES'!$A$9:$A$316,0),MATCH(CONCATENATE(AX$4,AX$5,AX$6,AX$7),'SHIP CURVES'!$A$9:$Z$9,0))-INDEX(ship_curves,MATCH(AT73,'SHIP CURVES'!$A$9:$A$316,0),MATCH(CONCATENATE(AX$4,AV$6,AX$6,AX$7),'SHIP CURVES'!$A$9:$Z$9,0)))-(INDEX(terminal_curves,MATCH(AT73,'TERMINAL CURVES'!$A$4:$A$313,0),MATCH(AX$5,'TERMINAL CURVES'!$A$4:$N$4,0))-INDEX(terminal_curves,MATCH(AT73,'TERMINAL CURVES'!$A$4:$A$313,0),MATCH(AV$6,'TERMINAL CURVES'!$A$4:$N$4,0)))*IF(AN73=0,0,AP73/AN73)))*-AN73</f>
        <v>-12783358.7595351</v>
      </c>
      <c r="AY73" s="356" t="n">
        <f aca="false">SUM(AV73:AX73)</f>
        <v>-14510847.7934487</v>
      </c>
      <c r="AZ73" s="357" t="n">
        <f aca="false">(-AP73/((HLOOKUP(AX$5,port_specs,2,0)/(365.25))*(AT74-AT73)))*(INDEX(fixed_capacity_charge,MATCH(AT73,PORTS!$H$11:$H$317,0),MATCH(AX$5,PORTS!$H$11:$N$11,0))+INDEX(variable_om_charge,MATCH(AT73,PORTS!$H$318:$H$625,0),MATCH(AX$5,PORTS!$H$318:$N$318,0)))</f>
        <v>-967668.243913202</v>
      </c>
      <c r="BA73" s="343" t="n">
        <f aca="false">+AZ73+AY73</f>
        <v>-15478516.0373619</v>
      </c>
      <c r="BB73" s="355" t="n">
        <f aca="false">+BA73+AU73</f>
        <v>94037.1569706053</v>
      </c>
      <c r="BC73" s="99"/>
      <c r="BD73" s="357" t="n">
        <f aca="false">+PORTS!I67+PORTS!I375</f>
        <v>967668.243913202</v>
      </c>
    </row>
    <row r="74" customFormat="false" ht="12.75" hidden="false" customHeight="false" outlineLevel="0" collapsed="false">
      <c r="A74" s="346" t="n">
        <f aca="false">+DATE(YEAR(A73),MONTH(A73)+1,1)</f>
        <v>38412</v>
      </c>
      <c r="B74" s="327" t="n">
        <f aca="false">+IF(AND($A74&gt;=$C$8,$A74&lt;=$C$9),1,0)*PORTS!$I$5/(365.25)*(A75-A74)</f>
        <v>5339105.98184763</v>
      </c>
      <c r="C74" s="328" t="n">
        <f aca="false">+B74-(SUMIF($F$17:$IV$17,$H$17,$F74:$IV74))</f>
        <v>0</v>
      </c>
      <c r="D74" s="0" t="n">
        <f aca="false">+YEAR(E74)</f>
        <v>2005</v>
      </c>
      <c r="E74" s="346" t="n">
        <f aca="false">+DATE(YEAR(E73),MONTH(E73)+1,1)</f>
        <v>38412</v>
      </c>
      <c r="F74" s="327" t="n">
        <f aca="false">+IF(AND(G$8&lt;=E74,G$9&gt;=E74),INDEX(ROUTE_PER_DAY_BY_SHIP,MATCH(CONCATENATE(G$4,G$5,G$7),ROUTE_PER_DAY_ROUTES,0),MATCH(G$6,ROUTE_PER_DAY_SHIPS,0))*(E75-E74),0)</f>
        <v>0</v>
      </c>
      <c r="G74" s="347" t="n">
        <f aca="false">-F74*HLOOKUP(G$6,SHIPS,7,0)*INDEX(LADEN_VOYAGE_DAYS,MATCH(CONCATENATE(G$4,G$5,G$7),LADEN_VOYAGE_ROUTES,0),MATCH(G$6,LADEN_VOYAGE_SHIPS,0))</f>
        <v>-0</v>
      </c>
      <c r="H74" s="348" t="n">
        <f aca="false">SUM(F74:G74)</f>
        <v>0</v>
      </c>
      <c r="I74" s="349" t="n">
        <f aca="false">-(H74)*HLOOKUP(G$5,TERMINAL_CHARGES,3,0)</f>
        <v>-0</v>
      </c>
      <c r="J74" s="327" t="n">
        <f aca="false">+H74+I74</f>
        <v>0</v>
      </c>
      <c r="K74" s="333"/>
      <c r="L74" s="346" t="n">
        <f aca="false">+DATE(YEAR(L73),MONTH(L73)+1,1)</f>
        <v>38412</v>
      </c>
      <c r="M74" s="334" t="n">
        <f aca="false">+J74*(VLOOKUP(L74,CURVECALC!$C$6:$J$312,4,0)+N$5)</f>
        <v>0</v>
      </c>
      <c r="N74" s="350" t="n">
        <f aca="false">-F74*INDEX(ship_curves,MATCH(L74,'SHIP CURVES'!$A$9:$A$316,0),MATCH(CONCATENATE(P$4,P$5,P$6,P$7),'SHIP CURVES'!$A$9:$AZ$9,0))</f>
        <v>-0</v>
      </c>
      <c r="O74" s="351" t="n">
        <f aca="false">-H74*INDEX(port_processing_fee,MATCH(L74,PORTS!$H$626:$H$933,0),MATCH(P$5,PORTS!$H$626:$Z$626,0))</f>
        <v>-0</v>
      </c>
      <c r="P74" s="352" t="n">
        <f aca="false">(((VLOOKUP(L74,curvecalc,4,0))*IF(F74=0,0,J74/F74)-INDEX(ship_curves,MATCH(L74,'SHIP CURVES'!$A$9:$A$316,0),MATCH(CONCATENATE(P$4,P$5,P$6,P$7),'SHIP CURVES'!$A$9:$Z$9,0))-INDEX(terminal_curves,MATCH(L74,'TERMINAL CURVES'!$A$4:$A$313,0),MATCH(P$5,'TERMINAL CURVES'!$A$4:$N$4,0))*IF(F74=0,0,H74/F74))-(N$8)*((N$7-$N$5)-(INDEX(ship_curves,MATCH(L74,'SHIP CURVES'!$A$9:$A$316,0),MATCH(CONCATENATE(P$4,P$5,P$6,P$7),'SHIP CURVES'!$A$9:$Z$9,0))-INDEX(ship_curves,MATCH(L74,'SHIP CURVES'!$A$9:$A$316,0),MATCH(CONCATENATE(P$4,N$6,P$6,P$7),'SHIP CURVES'!$A$9:$Z$9,0)))-(INDEX(terminal_curves,MATCH(L74,'TERMINAL CURVES'!$A$4:$A$313,0),MATCH(P$5,'TERMINAL CURVES'!$A$4:$N$4,0))-INDEX(terminal_curves,MATCH(L74,'TERMINAL CURVES'!$A$4:$A$313,0),MATCH(N$6,'TERMINAL CURVES'!$A$4:$N$4,0)))*IF(F74=0,0,H74/F74)))*-F74</f>
        <v>0</v>
      </c>
      <c r="Q74" s="353" t="n">
        <f aca="false">SUM(N74:P74)</f>
        <v>0</v>
      </c>
      <c r="R74" s="357" t="n">
        <f aca="false">(-H74/((HLOOKUP(P$5,port_specs,2,0)/(365.25))*(L75-L74)))*(INDEX(fixed_capacity_charge,MATCH(L74,PORTS!$H$11:$H$317,0),MATCH(P$5,PORTS!$H$11:$N$11,0))+INDEX(variable_om_charge,MATCH(L74,PORTS!$H$318:$H$625,0),MATCH(P$5,PORTS!$H$318:$N$318,0)))</f>
        <v>-0</v>
      </c>
      <c r="S74" s="343" t="n">
        <f aca="false">+R74+Q74</f>
        <v>0</v>
      </c>
      <c r="T74" s="355" t="n">
        <f aca="false">+S74+M74</f>
        <v>0</v>
      </c>
      <c r="U74" s="342"/>
      <c r="V74" s="346" t="n">
        <f aca="false">+DATE(YEAR(V73),MONTH(V73)+1,1)</f>
        <v>38412</v>
      </c>
      <c r="W74" s="327" t="n">
        <f aca="false">+Y74/(1-HLOOKUP(X$6,SHIPS,7,0)*INDEX(LADEN_VOYAGE_DAYS,MATCH(CONCATENATE(X$4,X$5),LADEN_VOYAGE_ROUTES,0),MATCH(X$6,LADEN_VOYAGE_SHIPS,0)))</f>
        <v>0</v>
      </c>
      <c r="X74" s="347" t="n">
        <f aca="false">+Y74-W74</f>
        <v>0</v>
      </c>
      <c r="Y74" s="348" t="n">
        <f aca="false">+IF(AND(X$8&lt;=V74,X$9&gt;=V74),+MIN($B74-SUMIF($H$17:X$17,Y$17,$H74:X74),((INDEX(ROUTE_PER_DAY_BY_SHIP,MATCH(CONCATENATE(X$4,X$5,X$7),ROUTE_PER_DAY_ROUTES,0),MATCH(X$6,ROUTE_PER_DAY_SHIPS,0))*(V75-V74))-(INDEX(ROUTE_PER_DAY_BY_SHIP,MATCH(CONCATENATE(X$4,X$5,X$7),ROUTE_PER_DAY_ROUTES,0),MATCH(X$6,ROUTE_PER_DAY_SHIPS,0))*(V75-V74))*HLOOKUP(X$6,SHIPS,7,0)*INDEX(LADEN_VOYAGE_DAYS,MATCH(CONCATENATE(X$4,X$5,X$7),LADEN_VOYAGE_ROUTES,0),MATCH(X$6,LADEN_VOYAGE_SHIPS,0)))),0)</f>
        <v>0</v>
      </c>
      <c r="Z74" s="349" t="n">
        <f aca="false">-(Y74)*HLOOKUP(X$5,TERMINAL_CHARGES,3,0)</f>
        <v>-0</v>
      </c>
      <c r="AA74" s="327" t="n">
        <f aca="false">+Y74+Z74</f>
        <v>0</v>
      </c>
      <c r="AB74" s="333"/>
      <c r="AC74" s="346" t="n">
        <f aca="false">+DATE(YEAR(AC73),MONTH(AC73)+1,1)</f>
        <v>38412</v>
      </c>
      <c r="AD74" s="343" t="n">
        <f aca="false">+AA74*(VLOOKUP(AC74,CURVECALC!$C$6:$J$312,4,0)+AE$5)</f>
        <v>0</v>
      </c>
      <c r="AE74" s="350" t="n">
        <f aca="false">-W74*INDEX(ship_curves,MATCH(AC74,'SHIP CURVES'!$A$9:$A$316,0),MATCH(CONCATENATE(AG$4,AG$5,AG$6,AG$7),'SHIP CURVES'!$A$9:$AZ$9,0))</f>
        <v>-0</v>
      </c>
      <c r="AF74" s="351" t="n">
        <f aca="false">-Y74*INDEX(port_processing_fee,MATCH(AC74,PORTS!$H$626:$H$933,0),MATCH(AG$5,PORTS!$H$626:$Z$626,0))</f>
        <v>-0</v>
      </c>
      <c r="AG74" s="352" t="n">
        <f aca="false">(((VLOOKUP(AC74,curvecalc,4,0))*IF(W74=0,0,AA74/W74)-INDEX(ship_curves,MATCH(AC74,'SHIP CURVES'!$A$9:$A$316,0),MATCH(CONCATENATE(AG$4,AG$5,AG$6,AG$7),'SHIP CURVES'!$A$9:$Z$9,0))-INDEX(terminal_curves,MATCH(AC74,'TERMINAL CURVES'!$A$4:$A$313,0),MATCH(AG$5,'TERMINAL CURVES'!$A$4:$N$4,0))*IF(W74=0,0,Y74/W74))-(AE$8)*((AE$7-$N$5)-(INDEX(ship_curves,MATCH(AC74,'SHIP CURVES'!$A$9:$A$316,0),MATCH(CONCATENATE(AG$4,AG$5,AG$6,AG$7),'SHIP CURVES'!$A$9:$Z$9,0))-INDEX(ship_curves,MATCH(AC74,'SHIP CURVES'!$A$9:$A$316,0),MATCH(CONCATENATE(AG$4,AE$6,AG$6,AG$7),'SHIP CURVES'!$A$9:$Z$9,0)))-(INDEX(terminal_curves,MATCH(AC74,'TERMINAL CURVES'!$A$4:$A$313,0),MATCH(AG$5,'TERMINAL CURVES'!$A$4:$N$4,0))-INDEX(terminal_curves,MATCH(AC74,'TERMINAL CURVES'!$A$4:$A$313,0),MATCH(AE$6,'TERMINAL CURVES'!$A$4:$N$4,0)))*IF(W74=0,0,Y74/W74)))*-W74</f>
        <v>0</v>
      </c>
      <c r="AH74" s="356" t="n">
        <f aca="false">SUM(AE74:AG74)</f>
        <v>0</v>
      </c>
      <c r="AI74" s="357" t="n">
        <f aca="false">(-Y74/((HLOOKUP(AG$5,port_specs,2,0)/(365.25))*(AC75-AC74)))*(INDEX(fixed_capacity_charge,MATCH(AC74,PORTS!$H$11:$H$317,0),MATCH(AG$5,PORTS!$H$11:$N$11,0))+INDEX(variable_om_charge,MATCH(AC74,PORTS!$H$318:$H$625,0),MATCH(AG$5,PORTS!$H$318:$N$318,0)))</f>
        <v>-0</v>
      </c>
      <c r="AJ74" s="343" t="n">
        <f aca="false">+AI74+AH74</f>
        <v>0</v>
      </c>
      <c r="AK74" s="355" t="n">
        <f aca="false">+AJ74+AD74</f>
        <v>0</v>
      </c>
      <c r="AM74" s="346" t="n">
        <f aca="false">+DATE(YEAR(AM73),MONTH(AM73)+1,1)</f>
        <v>38412</v>
      </c>
      <c r="AN74" s="327" t="n">
        <f aca="false">+AP74/(1-HLOOKUP(AO$6,SHIPS,7,0)*INDEX(LADEN_VOYAGE_DAYS,MATCH(CONCATENATE(AO$4,AO$5),LADEN_VOYAGE_ROUTES,0),MATCH(AO$6,LADEN_VOYAGE_SHIPS,0)))</f>
        <v>5395761.47735991</v>
      </c>
      <c r="AO74" s="347" t="n">
        <f aca="false">+AP74-AN74</f>
        <v>-56655.4955122788</v>
      </c>
      <c r="AP74" s="348" t="n">
        <f aca="false">+IF(AND(AO$8&lt;=AM74,AO$9&gt;=AM74),+MIN($B74-SUMIF($H$17:AO$17,AP$17,$H74:AO74),((INDEX(ROUTE_PER_DAY_BY_SHIP,MATCH(CONCATENATE(AO$4,AO$5,AO$7),ROUTE_PER_DAY_ROUTES,0),MATCH(AO$6,ROUTE_PER_DAY_SHIPS,0))*(AM75-AM74))-(INDEX(ROUTE_PER_DAY_BY_SHIP,MATCH(CONCATENATE(AO$4,AO$5,AO$7),ROUTE_PER_DAY_ROUTES,0),MATCH(AO$6,ROUTE_PER_DAY_SHIPS,0))*(AM75-AM74))*HLOOKUP(AO$6,SHIPS,7,0)*INDEX(LADEN_VOYAGE_DAYS,MATCH(CONCATENATE(AO$4,AO$5,AO$7),LADEN_VOYAGE_ROUTES,0),MATCH(AO$6,LADEN_VOYAGE_SHIPS,0)))),0)</f>
        <v>5339105.98184763</v>
      </c>
      <c r="AQ74" s="349" t="n">
        <f aca="false">-(AP74)*PORTS!$I$6</f>
        <v>-133477.649546191</v>
      </c>
      <c r="AR74" s="327" t="n">
        <f aca="false">+AP74+AQ74</f>
        <v>5205628.33230144</v>
      </c>
      <c r="AS74" s="333"/>
      <c r="AT74" s="346" t="n">
        <f aca="false">+DATE(YEAR(AT73),MONTH(AT73)+1,1)</f>
        <v>38412</v>
      </c>
      <c r="AU74" s="343" t="n">
        <f aca="false">+AR74*(VLOOKUP(AT74,CURVECALC!$C$6:$J$312,4,0)+AV$5)</f>
        <v>16543486.840054</v>
      </c>
      <c r="AV74" s="350" t="n">
        <f aca="false">-AN74*INDEX(ship_curves,MATCH(AT74,'SHIP CURVES'!$A$9:$A$316,0),MATCH(CONCATENATE(AX$4,AX$5,AX$6,AX$7),'SHIP CURVES'!$A$9:$AZ$9,0))</f>
        <v>-1763289.07928126</v>
      </c>
      <c r="AW74" s="351" t="n">
        <f aca="false">-AP74*INDEX(port_processing_fee,MATCH(AT74,PORTS!$H$626:$H$933,0),MATCH(AX$5,PORTS!$H$626:$Z$626,0))</f>
        <v>-149920.913249635</v>
      </c>
      <c r="AX74" s="352" t="n">
        <f aca="false">(((VLOOKUP(AT74,curvecalc,4,0))*IF(AN74=0,0,AR74/AN74)-INDEX(ship_curves,MATCH(AT74,'SHIP CURVES'!$A$9:$A$316,0),MATCH(CONCATENATE(AX$4,AX$5,AX$6,AX$7),'SHIP CURVES'!$A$9:$Z$9,0))-INDEX(terminal_curves,MATCH(AT74,'TERMINAL CURVES'!$A$4:$A$313,0),MATCH(AX$5,'TERMINAL CURVES'!$A$4:$N$4,0))*IF(AN74=0,0,AP74/AN74))-(AV$8)*((AV$7-$N$5)-(INDEX(ship_curves,MATCH(AT74,'SHIP CURVES'!$A$9:$A$316,0),MATCH(CONCATENATE(AX$4,AX$5,AX$6,AX$7),'SHIP CURVES'!$A$9:$Z$9,0))-INDEX(ship_curves,MATCH(AT74,'SHIP CURVES'!$A$9:$A$316,0),MATCH(CONCATENATE(AX$4,AV$6,AX$6,AX$7),'SHIP CURVES'!$A$9:$Z$9,0)))-(INDEX(terminal_curves,MATCH(AT74,'TERMINAL CURVES'!$A$4:$A$313,0),MATCH(AX$5,'TERMINAL CURVES'!$A$4:$N$4,0))-INDEX(terminal_curves,MATCH(AT74,'TERMINAL CURVES'!$A$4:$A$313,0),MATCH(AV$6,'TERMINAL CURVES'!$A$4:$N$4,0)))*IF(AN74=0,0,AP74/AN74)))*-AN74</f>
        <v>-13557993.4518878</v>
      </c>
      <c r="AY74" s="356" t="n">
        <f aca="false">SUM(AV74:AX74)</f>
        <v>-15471203.4444187</v>
      </c>
      <c r="AZ74" s="357" t="n">
        <f aca="false">(-AP74/((HLOOKUP(AX$5,port_specs,2,0)/(365.25))*(AT75-AT74)))*(INDEX(fixed_capacity_charge,MATCH(AT74,PORTS!$H$11:$H$317,0),MATCH(AX$5,PORTS!$H$11:$N$11,0))+INDEX(variable_om_charge,MATCH(AT74,PORTS!$H$318:$H$625,0),MATCH(AX$5,PORTS!$H$318:$N$318,0)))</f>
        <v>-968170.828989249</v>
      </c>
      <c r="BA74" s="343" t="n">
        <f aca="false">+AZ74+AY74</f>
        <v>-16439374.273408</v>
      </c>
      <c r="BB74" s="355" t="n">
        <f aca="false">+BA74+AU74</f>
        <v>104112.56664603</v>
      </c>
      <c r="BC74" s="99"/>
      <c r="BD74" s="357" t="n">
        <f aca="false">+PORTS!I68+PORTS!I376</f>
        <v>968170.828989249</v>
      </c>
    </row>
    <row r="75" customFormat="false" ht="12.75" hidden="false" customHeight="false" outlineLevel="0" collapsed="false">
      <c r="A75" s="346" t="n">
        <f aca="false">+DATE(YEAR(A74),MONTH(A74)+1,1)</f>
        <v>38443</v>
      </c>
      <c r="B75" s="327" t="n">
        <f aca="false">+IF(AND($A75&gt;=$C$8,$A75&lt;=$C$9),1,0)*PORTS!$I$5/(365.25)*(A76-A75)</f>
        <v>5166876.75662674</v>
      </c>
      <c r="C75" s="328" t="n">
        <f aca="false">+B75-(SUMIF($F$17:$IV$17,$H$17,$F75:$IV75))</f>
        <v>0</v>
      </c>
      <c r="D75" s="0" t="n">
        <f aca="false">+YEAR(E75)</f>
        <v>2005</v>
      </c>
      <c r="E75" s="346" t="n">
        <f aca="false">+DATE(YEAR(E74),MONTH(E74)+1,1)</f>
        <v>38443</v>
      </c>
      <c r="F75" s="327" t="n">
        <f aca="false">+IF(AND(G$8&lt;=E75,G$9&gt;=E75),INDEX(ROUTE_PER_DAY_BY_SHIP,MATCH(CONCATENATE(G$4,G$5,G$7),ROUTE_PER_DAY_ROUTES,0),MATCH(G$6,ROUTE_PER_DAY_SHIPS,0))*(E76-E75),0)</f>
        <v>0</v>
      </c>
      <c r="G75" s="347" t="n">
        <f aca="false">-F75*HLOOKUP(G$6,SHIPS,7,0)*INDEX(LADEN_VOYAGE_DAYS,MATCH(CONCATENATE(G$4,G$5,G$7),LADEN_VOYAGE_ROUTES,0),MATCH(G$6,LADEN_VOYAGE_SHIPS,0))</f>
        <v>-0</v>
      </c>
      <c r="H75" s="348" t="n">
        <f aca="false">SUM(F75:G75)</f>
        <v>0</v>
      </c>
      <c r="I75" s="349" t="n">
        <f aca="false">-(H75)*HLOOKUP(G$5,TERMINAL_CHARGES,3,0)</f>
        <v>-0</v>
      </c>
      <c r="J75" s="327" t="n">
        <f aca="false">+H75+I75</f>
        <v>0</v>
      </c>
      <c r="K75" s="333"/>
      <c r="L75" s="346" t="n">
        <f aca="false">+DATE(YEAR(L74),MONTH(L74)+1,1)</f>
        <v>38443</v>
      </c>
      <c r="M75" s="334" t="n">
        <f aca="false">+J75*(VLOOKUP(L75,CURVECALC!$C$6:$J$312,4,0)+N$5)</f>
        <v>0</v>
      </c>
      <c r="N75" s="350" t="n">
        <f aca="false">-F75*INDEX(ship_curves,MATCH(L75,'SHIP CURVES'!$A$9:$A$316,0),MATCH(CONCATENATE(P$4,P$5,P$6,P$7),'SHIP CURVES'!$A$9:$AZ$9,0))</f>
        <v>-0</v>
      </c>
      <c r="O75" s="351" t="n">
        <f aca="false">-H75*INDEX(port_processing_fee,MATCH(L75,PORTS!$H$626:$H$933,0),MATCH(P$5,PORTS!$H$626:$Z$626,0))</f>
        <v>-0</v>
      </c>
      <c r="P75" s="352" t="n">
        <f aca="false">(((VLOOKUP(L75,curvecalc,4,0))*IF(F75=0,0,J75/F75)-INDEX(ship_curves,MATCH(L75,'SHIP CURVES'!$A$9:$A$316,0),MATCH(CONCATENATE(P$4,P$5,P$6,P$7),'SHIP CURVES'!$A$9:$Z$9,0))-INDEX(terminal_curves,MATCH(L75,'TERMINAL CURVES'!$A$4:$A$313,0),MATCH(P$5,'TERMINAL CURVES'!$A$4:$N$4,0))*IF(F75=0,0,H75/F75))-(N$8)*((N$7-$N$5)-(INDEX(ship_curves,MATCH(L75,'SHIP CURVES'!$A$9:$A$316,0),MATCH(CONCATENATE(P$4,P$5,P$6,P$7),'SHIP CURVES'!$A$9:$Z$9,0))-INDEX(ship_curves,MATCH(L75,'SHIP CURVES'!$A$9:$A$316,0),MATCH(CONCATENATE(P$4,N$6,P$6,P$7),'SHIP CURVES'!$A$9:$Z$9,0)))-(INDEX(terminal_curves,MATCH(L75,'TERMINAL CURVES'!$A$4:$A$313,0),MATCH(P$5,'TERMINAL CURVES'!$A$4:$N$4,0))-INDEX(terminal_curves,MATCH(L75,'TERMINAL CURVES'!$A$4:$A$313,0),MATCH(N$6,'TERMINAL CURVES'!$A$4:$N$4,0)))*IF(F75=0,0,H75/F75)))*-F75</f>
        <v>0</v>
      </c>
      <c r="Q75" s="353" t="n">
        <f aca="false">SUM(N75:P75)</f>
        <v>0</v>
      </c>
      <c r="R75" s="357" t="n">
        <f aca="false">(-H75/((HLOOKUP(P$5,port_specs,2,0)/(365.25))*(L76-L75)))*(INDEX(fixed_capacity_charge,MATCH(L75,PORTS!$H$11:$H$317,0),MATCH(P$5,PORTS!$H$11:$N$11,0))+INDEX(variable_om_charge,MATCH(L75,PORTS!$H$318:$H$625,0),MATCH(P$5,PORTS!$H$318:$N$318,0)))</f>
        <v>-0</v>
      </c>
      <c r="S75" s="343" t="n">
        <f aca="false">+R75+Q75</f>
        <v>0</v>
      </c>
      <c r="T75" s="355" t="n">
        <f aca="false">+S75+M75</f>
        <v>0</v>
      </c>
      <c r="U75" s="342"/>
      <c r="V75" s="346" t="n">
        <f aca="false">+DATE(YEAR(V74),MONTH(V74)+1,1)</f>
        <v>38443</v>
      </c>
      <c r="W75" s="327" t="n">
        <f aca="false">+Y75/(1-HLOOKUP(X$6,SHIPS,7,0)*INDEX(LADEN_VOYAGE_DAYS,MATCH(CONCATENATE(X$4,X$5),LADEN_VOYAGE_ROUTES,0),MATCH(X$6,LADEN_VOYAGE_SHIPS,0)))</f>
        <v>0</v>
      </c>
      <c r="X75" s="347" t="n">
        <f aca="false">+Y75-W75</f>
        <v>0</v>
      </c>
      <c r="Y75" s="348" t="n">
        <f aca="false">+IF(AND(X$8&lt;=V75,X$9&gt;=V75),+MIN($B75-SUMIF($H$17:X$17,Y$17,$H75:X75),((INDEX(ROUTE_PER_DAY_BY_SHIP,MATCH(CONCATENATE(X$4,X$5,X$7),ROUTE_PER_DAY_ROUTES,0),MATCH(X$6,ROUTE_PER_DAY_SHIPS,0))*(V76-V75))-(INDEX(ROUTE_PER_DAY_BY_SHIP,MATCH(CONCATENATE(X$4,X$5,X$7),ROUTE_PER_DAY_ROUTES,0),MATCH(X$6,ROUTE_PER_DAY_SHIPS,0))*(V76-V75))*HLOOKUP(X$6,SHIPS,7,0)*INDEX(LADEN_VOYAGE_DAYS,MATCH(CONCATENATE(X$4,X$5,X$7),LADEN_VOYAGE_ROUTES,0),MATCH(X$6,LADEN_VOYAGE_SHIPS,0)))),0)</f>
        <v>0</v>
      </c>
      <c r="Z75" s="349" t="n">
        <f aca="false">-(Y75)*HLOOKUP(X$5,TERMINAL_CHARGES,3,0)</f>
        <v>-0</v>
      </c>
      <c r="AA75" s="327" t="n">
        <f aca="false">+Y75+Z75</f>
        <v>0</v>
      </c>
      <c r="AB75" s="333"/>
      <c r="AC75" s="346" t="n">
        <f aca="false">+DATE(YEAR(AC74),MONTH(AC74)+1,1)</f>
        <v>38443</v>
      </c>
      <c r="AD75" s="343" t="n">
        <f aca="false">+AA75*(VLOOKUP(AC75,CURVECALC!$C$6:$J$312,4,0)+AE$5)</f>
        <v>0</v>
      </c>
      <c r="AE75" s="350" t="n">
        <f aca="false">-W75*INDEX(ship_curves,MATCH(AC75,'SHIP CURVES'!$A$9:$A$316,0),MATCH(CONCATENATE(AG$4,AG$5,AG$6,AG$7),'SHIP CURVES'!$A$9:$AZ$9,0))</f>
        <v>-0</v>
      </c>
      <c r="AF75" s="351" t="n">
        <f aca="false">-Y75*INDEX(port_processing_fee,MATCH(AC75,PORTS!$H$626:$H$933,0),MATCH(AG$5,PORTS!$H$626:$Z$626,0))</f>
        <v>-0</v>
      </c>
      <c r="AG75" s="352" t="n">
        <f aca="false">(((VLOOKUP(AC75,curvecalc,4,0))*IF(W75=0,0,AA75/W75)-INDEX(ship_curves,MATCH(AC75,'SHIP CURVES'!$A$9:$A$316,0),MATCH(CONCATENATE(AG$4,AG$5,AG$6,AG$7),'SHIP CURVES'!$A$9:$Z$9,0))-INDEX(terminal_curves,MATCH(AC75,'TERMINAL CURVES'!$A$4:$A$313,0),MATCH(AG$5,'TERMINAL CURVES'!$A$4:$N$4,0))*IF(W75=0,0,Y75/W75))-(AE$8)*((AE$7-$N$5)-(INDEX(ship_curves,MATCH(AC75,'SHIP CURVES'!$A$9:$A$316,0),MATCH(CONCATENATE(AG$4,AG$5,AG$6,AG$7),'SHIP CURVES'!$A$9:$Z$9,0))-INDEX(ship_curves,MATCH(AC75,'SHIP CURVES'!$A$9:$A$316,0),MATCH(CONCATENATE(AG$4,AE$6,AG$6,AG$7),'SHIP CURVES'!$A$9:$Z$9,0)))-(INDEX(terminal_curves,MATCH(AC75,'TERMINAL CURVES'!$A$4:$A$313,0),MATCH(AG$5,'TERMINAL CURVES'!$A$4:$N$4,0))-INDEX(terminal_curves,MATCH(AC75,'TERMINAL CURVES'!$A$4:$A$313,0),MATCH(AE$6,'TERMINAL CURVES'!$A$4:$N$4,0)))*IF(W75=0,0,Y75/W75)))*-W75</f>
        <v>0</v>
      </c>
      <c r="AH75" s="356" t="n">
        <f aca="false">SUM(AE75:AG75)</f>
        <v>0</v>
      </c>
      <c r="AI75" s="357" t="n">
        <f aca="false">(-Y75/((HLOOKUP(AG$5,port_specs,2,0)/(365.25))*(AC76-AC75)))*(INDEX(fixed_capacity_charge,MATCH(AC75,PORTS!$H$11:$H$317,0),MATCH(AG$5,PORTS!$H$11:$N$11,0))+INDEX(variable_om_charge,MATCH(AC75,PORTS!$H$318:$H$625,0),MATCH(AG$5,PORTS!$H$318:$N$318,0)))</f>
        <v>-0</v>
      </c>
      <c r="AJ75" s="343" t="n">
        <f aca="false">+AI75+AH75</f>
        <v>0</v>
      </c>
      <c r="AK75" s="355" t="n">
        <f aca="false">+AJ75+AD75</f>
        <v>0</v>
      </c>
      <c r="AM75" s="346" t="n">
        <f aca="false">+DATE(YEAR(AM74),MONTH(AM74)+1,1)</f>
        <v>38443</v>
      </c>
      <c r="AN75" s="327" t="n">
        <f aca="false">+AP75/(1-HLOOKUP(AO$6,SHIPS,7,0)*INDEX(LADEN_VOYAGE_DAYS,MATCH(CONCATENATE(AO$4,AO$5),LADEN_VOYAGE_ROUTES,0),MATCH(AO$6,LADEN_VOYAGE_SHIPS,0)))</f>
        <v>5221704.65550959</v>
      </c>
      <c r="AO75" s="347" t="n">
        <f aca="false">+AP75-AN75</f>
        <v>-54827.8988828501</v>
      </c>
      <c r="AP75" s="348" t="n">
        <f aca="false">+IF(AND(AO$8&lt;=AM75,AO$9&gt;=AM75),+MIN($B75-SUMIF($H$17:AO$17,AP$17,$H75:AO75),((INDEX(ROUTE_PER_DAY_BY_SHIP,MATCH(CONCATENATE(AO$4,AO$5,AO$7),ROUTE_PER_DAY_ROUTES,0),MATCH(AO$6,ROUTE_PER_DAY_SHIPS,0))*(AM76-AM75))-(INDEX(ROUTE_PER_DAY_BY_SHIP,MATCH(CONCATENATE(AO$4,AO$5,AO$7),ROUTE_PER_DAY_ROUTES,0),MATCH(AO$6,ROUTE_PER_DAY_SHIPS,0))*(AM76-AM75))*HLOOKUP(AO$6,SHIPS,7,0)*INDEX(LADEN_VOYAGE_DAYS,MATCH(CONCATENATE(AO$4,AO$5,AO$7),LADEN_VOYAGE_ROUTES,0),MATCH(AO$6,LADEN_VOYAGE_SHIPS,0)))),0)</f>
        <v>5166876.75662674</v>
      </c>
      <c r="AQ75" s="349" t="n">
        <f aca="false">-(AP75)*PORTS!$I$6</f>
        <v>-129171.918915669</v>
      </c>
      <c r="AR75" s="327" t="n">
        <f aca="false">+AP75+AQ75</f>
        <v>5037704.83771107</v>
      </c>
      <c r="AS75" s="333"/>
      <c r="AT75" s="346" t="n">
        <f aca="false">+DATE(YEAR(AT74),MONTH(AT74)+1,1)</f>
        <v>38443</v>
      </c>
      <c r="AU75" s="343" t="n">
        <f aca="false">+AR75*(VLOOKUP(AT75,CURVECALC!$C$6:$J$312,4,0)+AV$5)</f>
        <v>15334773.5259925</v>
      </c>
      <c r="AV75" s="350" t="n">
        <f aca="false">-AN75*INDEX(ship_curves,MATCH(AT75,'SHIP CURVES'!$A$9:$A$316,0),MATCH(CONCATENATE(AX$4,AX$5,AX$6,AX$7),'SHIP CURVES'!$A$9:$AZ$9,0))</f>
        <v>-1706871.20848239</v>
      </c>
      <c r="AW75" s="351" t="n">
        <f aca="false">-AP75*INDEX(port_processing_fee,MATCH(AT75,PORTS!$H$626:$H$933,0),MATCH(AX$5,PORTS!$H$626:$Z$626,0))</f>
        <v>-145235.884710584</v>
      </c>
      <c r="AX75" s="352" t="n">
        <f aca="false">(((VLOOKUP(AT75,curvecalc,4,0))*IF(AN75=0,0,AR75/AN75)-INDEX(ship_curves,MATCH(AT75,'SHIP CURVES'!$A$9:$A$316,0),MATCH(CONCATENATE(AX$4,AX$5,AX$6,AX$7),'SHIP CURVES'!$A$9:$Z$9,0))-INDEX(terminal_curves,MATCH(AT75,'TERMINAL CURVES'!$A$4:$A$313,0),MATCH(AX$5,'TERMINAL CURVES'!$A$4:$N$4,0))*IF(AN75=0,0,AP75/AN75))-(AV$8)*((AV$7-$N$5)-(INDEX(ship_curves,MATCH(AT75,'SHIP CURVES'!$A$9:$A$316,0),MATCH(CONCATENATE(AX$4,AX$5,AX$6,AX$7),'SHIP CURVES'!$A$9:$Z$9,0))-INDEX(ship_curves,MATCH(AT75,'SHIP CURVES'!$A$9:$A$316,0),MATCH(CONCATENATE(AX$4,AV$6,AX$6,AX$7),'SHIP CURVES'!$A$9:$Z$9,0)))-(INDEX(terminal_curves,MATCH(AT75,'TERMINAL CURVES'!$A$4:$A$313,0),MATCH(AX$5,'TERMINAL CURVES'!$A$4:$N$4,0))-INDEX(terminal_curves,MATCH(AT75,'TERMINAL CURVES'!$A$4:$A$313,0),MATCH(AV$6,'TERMINAL CURVES'!$A$4:$N$4,0)))*IF(AN75=0,0,AP75/AN75)))*-AN75</f>
        <v>-12413238.3984539</v>
      </c>
      <c r="AY75" s="356" t="n">
        <f aca="false">SUM(AV75:AX75)</f>
        <v>-14265345.4916469</v>
      </c>
      <c r="AZ75" s="357" t="n">
        <f aca="false">(-AP75/((HLOOKUP(AX$5,port_specs,2,0)/(365.25))*(AT76-AT75)))*(INDEX(fixed_capacity_charge,MATCH(AT75,PORTS!$H$11:$H$317,0),MATCH(AX$5,PORTS!$H$11:$N$11,0))+INDEX(variable_om_charge,MATCH(AT75,PORTS!$H$318:$H$625,0),MATCH(AX$5,PORTS!$H$318:$N$318,0)))</f>
        <v>-968673.937591417</v>
      </c>
      <c r="BA75" s="343" t="n">
        <f aca="false">+AZ75+AY75</f>
        <v>-15234019.4292383</v>
      </c>
      <c r="BB75" s="355" t="n">
        <f aca="false">+BA75+AU75</f>
        <v>100754.096754221</v>
      </c>
      <c r="BC75" s="99"/>
      <c r="BD75" s="357" t="n">
        <f aca="false">+PORTS!I69+PORTS!I377</f>
        <v>968673.937591417</v>
      </c>
    </row>
    <row r="76" customFormat="false" ht="12.75" hidden="false" customHeight="false" outlineLevel="0" collapsed="false">
      <c r="A76" s="346" t="n">
        <f aca="false">+DATE(YEAR(A75),MONTH(A75)+1,1)</f>
        <v>38473</v>
      </c>
      <c r="B76" s="327" t="n">
        <f aca="false">+IF(AND($A76&gt;=$C$8,$A76&lt;=$C$9),1,0)*PORTS!$I$5/(365.25)*(A77-A76)</f>
        <v>5339105.98184763</v>
      </c>
      <c r="C76" s="328" t="n">
        <f aca="false">+B76-(SUMIF($F$17:$IV$17,$H$17,$F76:$IV76))</f>
        <v>0</v>
      </c>
      <c r="D76" s="0" t="n">
        <f aca="false">+YEAR(E76)</f>
        <v>2005</v>
      </c>
      <c r="E76" s="346" t="n">
        <f aca="false">+DATE(YEAR(E75),MONTH(E75)+1,1)</f>
        <v>38473</v>
      </c>
      <c r="F76" s="327" t="n">
        <f aca="false">+IF(AND(G$8&lt;=E76,G$9&gt;=E76),INDEX(ROUTE_PER_DAY_BY_SHIP,MATCH(CONCATENATE(G$4,G$5,G$7),ROUTE_PER_DAY_ROUTES,0),MATCH(G$6,ROUTE_PER_DAY_SHIPS,0))*(E77-E76),0)</f>
        <v>0</v>
      </c>
      <c r="G76" s="347" t="n">
        <f aca="false">-F76*HLOOKUP(G$6,SHIPS,7,0)*INDEX(LADEN_VOYAGE_DAYS,MATCH(CONCATENATE(G$4,G$5,G$7),LADEN_VOYAGE_ROUTES,0),MATCH(G$6,LADEN_VOYAGE_SHIPS,0))</f>
        <v>-0</v>
      </c>
      <c r="H76" s="348" t="n">
        <f aca="false">SUM(F76:G76)</f>
        <v>0</v>
      </c>
      <c r="I76" s="349" t="n">
        <f aca="false">-(H76)*HLOOKUP(G$5,TERMINAL_CHARGES,3,0)</f>
        <v>-0</v>
      </c>
      <c r="J76" s="327" t="n">
        <f aca="false">+H76+I76</f>
        <v>0</v>
      </c>
      <c r="K76" s="333"/>
      <c r="L76" s="346" t="n">
        <f aca="false">+DATE(YEAR(L75),MONTH(L75)+1,1)</f>
        <v>38473</v>
      </c>
      <c r="M76" s="334" t="n">
        <f aca="false">+J76*(VLOOKUP(L76,CURVECALC!$C$6:$J$312,4,0)+N$5)</f>
        <v>0</v>
      </c>
      <c r="N76" s="350" t="n">
        <f aca="false">-F76*INDEX(ship_curves,MATCH(L76,'SHIP CURVES'!$A$9:$A$316,0),MATCH(CONCATENATE(P$4,P$5,P$6,P$7),'SHIP CURVES'!$A$9:$AZ$9,0))</f>
        <v>-0</v>
      </c>
      <c r="O76" s="351" t="n">
        <f aca="false">-H76*INDEX(port_processing_fee,MATCH(L76,PORTS!$H$626:$H$933,0),MATCH(P$5,PORTS!$H$626:$Z$626,0))</f>
        <v>-0</v>
      </c>
      <c r="P76" s="352" t="n">
        <f aca="false">(((VLOOKUP(L76,curvecalc,4,0))*IF(F76=0,0,J76/F76)-INDEX(ship_curves,MATCH(L76,'SHIP CURVES'!$A$9:$A$316,0),MATCH(CONCATENATE(P$4,P$5,P$6,P$7),'SHIP CURVES'!$A$9:$Z$9,0))-INDEX(terminal_curves,MATCH(L76,'TERMINAL CURVES'!$A$4:$A$313,0),MATCH(P$5,'TERMINAL CURVES'!$A$4:$N$4,0))*IF(F76=0,0,H76/F76))-(N$8)*((N$7-$N$5)-(INDEX(ship_curves,MATCH(L76,'SHIP CURVES'!$A$9:$A$316,0),MATCH(CONCATENATE(P$4,P$5,P$6,P$7),'SHIP CURVES'!$A$9:$Z$9,0))-INDEX(ship_curves,MATCH(L76,'SHIP CURVES'!$A$9:$A$316,0),MATCH(CONCATENATE(P$4,N$6,P$6,P$7),'SHIP CURVES'!$A$9:$Z$9,0)))-(INDEX(terminal_curves,MATCH(L76,'TERMINAL CURVES'!$A$4:$A$313,0),MATCH(P$5,'TERMINAL CURVES'!$A$4:$N$4,0))-INDEX(terminal_curves,MATCH(L76,'TERMINAL CURVES'!$A$4:$A$313,0),MATCH(N$6,'TERMINAL CURVES'!$A$4:$N$4,0)))*IF(F76=0,0,H76/F76)))*-F76</f>
        <v>0</v>
      </c>
      <c r="Q76" s="353" t="n">
        <f aca="false">SUM(N76:P76)</f>
        <v>0</v>
      </c>
      <c r="R76" s="357" t="n">
        <f aca="false">(-H76/((HLOOKUP(P$5,port_specs,2,0)/(365.25))*(L77-L76)))*(INDEX(fixed_capacity_charge,MATCH(L76,PORTS!$H$11:$H$317,0),MATCH(P$5,PORTS!$H$11:$N$11,0))+INDEX(variable_om_charge,MATCH(L76,PORTS!$H$318:$H$625,0),MATCH(P$5,PORTS!$H$318:$N$318,0)))</f>
        <v>-0</v>
      </c>
      <c r="S76" s="343" t="n">
        <f aca="false">+R76+Q76</f>
        <v>0</v>
      </c>
      <c r="T76" s="355" t="n">
        <f aca="false">+S76+M76</f>
        <v>0</v>
      </c>
      <c r="U76" s="342"/>
      <c r="V76" s="346" t="n">
        <f aca="false">+DATE(YEAR(V75),MONTH(V75)+1,1)</f>
        <v>38473</v>
      </c>
      <c r="W76" s="327" t="n">
        <f aca="false">+Y76/(1-HLOOKUP(X$6,SHIPS,7,0)*INDEX(LADEN_VOYAGE_DAYS,MATCH(CONCATENATE(X$4,X$5),LADEN_VOYAGE_ROUTES,0),MATCH(X$6,LADEN_VOYAGE_SHIPS,0)))</f>
        <v>0</v>
      </c>
      <c r="X76" s="347" t="n">
        <f aca="false">+Y76-W76</f>
        <v>0</v>
      </c>
      <c r="Y76" s="348" t="n">
        <f aca="false">+IF(AND(X$8&lt;=V76,X$9&gt;=V76),+MIN($B76-SUMIF($H$17:X$17,Y$17,$H76:X76),((INDEX(ROUTE_PER_DAY_BY_SHIP,MATCH(CONCATENATE(X$4,X$5,X$7),ROUTE_PER_DAY_ROUTES,0),MATCH(X$6,ROUTE_PER_DAY_SHIPS,0))*(V77-V76))-(INDEX(ROUTE_PER_DAY_BY_SHIP,MATCH(CONCATENATE(X$4,X$5,X$7),ROUTE_PER_DAY_ROUTES,0),MATCH(X$6,ROUTE_PER_DAY_SHIPS,0))*(V77-V76))*HLOOKUP(X$6,SHIPS,7,0)*INDEX(LADEN_VOYAGE_DAYS,MATCH(CONCATENATE(X$4,X$5,X$7),LADEN_VOYAGE_ROUTES,0),MATCH(X$6,LADEN_VOYAGE_SHIPS,0)))),0)</f>
        <v>0</v>
      </c>
      <c r="Z76" s="349" t="n">
        <f aca="false">-(Y76)*HLOOKUP(X$5,TERMINAL_CHARGES,3,0)</f>
        <v>-0</v>
      </c>
      <c r="AA76" s="327" t="n">
        <f aca="false">+Y76+Z76</f>
        <v>0</v>
      </c>
      <c r="AB76" s="333"/>
      <c r="AC76" s="346" t="n">
        <f aca="false">+DATE(YEAR(AC75),MONTH(AC75)+1,1)</f>
        <v>38473</v>
      </c>
      <c r="AD76" s="343" t="n">
        <f aca="false">+AA76*(VLOOKUP(AC76,CURVECALC!$C$6:$J$312,4,0)+AE$5)</f>
        <v>0</v>
      </c>
      <c r="AE76" s="350" t="n">
        <f aca="false">-W76*INDEX(ship_curves,MATCH(AC76,'SHIP CURVES'!$A$9:$A$316,0),MATCH(CONCATENATE(AG$4,AG$5,AG$6,AG$7),'SHIP CURVES'!$A$9:$AZ$9,0))</f>
        <v>-0</v>
      </c>
      <c r="AF76" s="351" t="n">
        <f aca="false">-Y76*INDEX(port_processing_fee,MATCH(AC76,PORTS!$H$626:$H$933,0),MATCH(AG$5,PORTS!$H$626:$Z$626,0))</f>
        <v>-0</v>
      </c>
      <c r="AG76" s="352" t="n">
        <f aca="false">(((VLOOKUP(AC76,curvecalc,4,0))*IF(W76=0,0,AA76/W76)-INDEX(ship_curves,MATCH(AC76,'SHIP CURVES'!$A$9:$A$316,0),MATCH(CONCATENATE(AG$4,AG$5,AG$6,AG$7),'SHIP CURVES'!$A$9:$Z$9,0))-INDEX(terminal_curves,MATCH(AC76,'TERMINAL CURVES'!$A$4:$A$313,0),MATCH(AG$5,'TERMINAL CURVES'!$A$4:$N$4,0))*IF(W76=0,0,Y76/W76))-(AE$8)*((AE$7-$N$5)-(INDEX(ship_curves,MATCH(AC76,'SHIP CURVES'!$A$9:$A$316,0),MATCH(CONCATENATE(AG$4,AG$5,AG$6,AG$7),'SHIP CURVES'!$A$9:$Z$9,0))-INDEX(ship_curves,MATCH(AC76,'SHIP CURVES'!$A$9:$A$316,0),MATCH(CONCATENATE(AG$4,AE$6,AG$6,AG$7),'SHIP CURVES'!$A$9:$Z$9,0)))-(INDEX(terminal_curves,MATCH(AC76,'TERMINAL CURVES'!$A$4:$A$313,0),MATCH(AG$5,'TERMINAL CURVES'!$A$4:$N$4,0))-INDEX(terminal_curves,MATCH(AC76,'TERMINAL CURVES'!$A$4:$A$313,0),MATCH(AE$6,'TERMINAL CURVES'!$A$4:$N$4,0)))*IF(W76=0,0,Y76/W76)))*-W76</f>
        <v>0</v>
      </c>
      <c r="AH76" s="356" t="n">
        <f aca="false">SUM(AE76:AG76)</f>
        <v>0</v>
      </c>
      <c r="AI76" s="357" t="n">
        <f aca="false">(-Y76/((HLOOKUP(AG$5,port_specs,2,0)/(365.25))*(AC77-AC76)))*(INDEX(fixed_capacity_charge,MATCH(AC76,PORTS!$H$11:$H$317,0),MATCH(AG$5,PORTS!$H$11:$N$11,0))+INDEX(variable_om_charge,MATCH(AC76,PORTS!$H$318:$H$625,0),MATCH(AG$5,PORTS!$H$318:$N$318,0)))</f>
        <v>-0</v>
      </c>
      <c r="AJ76" s="343" t="n">
        <f aca="false">+AI76+AH76</f>
        <v>0</v>
      </c>
      <c r="AK76" s="355" t="n">
        <f aca="false">+AJ76+AD76</f>
        <v>0</v>
      </c>
      <c r="AM76" s="346" t="n">
        <f aca="false">+DATE(YEAR(AM75),MONTH(AM75)+1,1)</f>
        <v>38473</v>
      </c>
      <c r="AN76" s="327" t="n">
        <f aca="false">+AP76/(1-HLOOKUP(AO$6,SHIPS,7,0)*INDEX(LADEN_VOYAGE_DAYS,MATCH(CONCATENATE(AO$4,AO$5),LADEN_VOYAGE_ROUTES,0),MATCH(AO$6,LADEN_VOYAGE_SHIPS,0)))</f>
        <v>5395761.47735991</v>
      </c>
      <c r="AO76" s="347" t="n">
        <f aca="false">+AP76-AN76</f>
        <v>-56655.4955122788</v>
      </c>
      <c r="AP76" s="348" t="n">
        <f aca="false">+IF(AND(AO$8&lt;=AM76,AO$9&gt;=AM76),+MIN($B76-SUMIF($H$17:AO$17,AP$17,$H76:AO76),((INDEX(ROUTE_PER_DAY_BY_SHIP,MATCH(CONCATENATE(AO$4,AO$5,AO$7),ROUTE_PER_DAY_ROUTES,0),MATCH(AO$6,ROUTE_PER_DAY_SHIPS,0))*(AM77-AM76))-(INDEX(ROUTE_PER_DAY_BY_SHIP,MATCH(CONCATENATE(AO$4,AO$5,AO$7),ROUTE_PER_DAY_ROUTES,0),MATCH(AO$6,ROUTE_PER_DAY_SHIPS,0))*(AM77-AM76))*HLOOKUP(AO$6,SHIPS,7,0)*INDEX(LADEN_VOYAGE_DAYS,MATCH(CONCATENATE(AO$4,AO$5,AO$7),LADEN_VOYAGE_ROUTES,0),MATCH(AO$6,LADEN_VOYAGE_SHIPS,0)))),0)</f>
        <v>5339105.98184763</v>
      </c>
      <c r="AQ76" s="349" t="n">
        <f aca="false">-(AP76)*PORTS!$I$6</f>
        <v>-133477.649546191</v>
      </c>
      <c r="AR76" s="327" t="n">
        <f aca="false">+AP76+AQ76</f>
        <v>5205628.33230144</v>
      </c>
      <c r="AS76" s="333"/>
      <c r="AT76" s="346" t="n">
        <f aca="false">+DATE(YEAR(AT75),MONTH(AT75)+1,1)</f>
        <v>38473</v>
      </c>
      <c r="AU76" s="343" t="n">
        <f aca="false">+AR76*(VLOOKUP(AT76,CURVECALC!$C$6:$J$312,4,0)+AV$5)</f>
        <v>15778259.4752057</v>
      </c>
      <c r="AV76" s="350" t="n">
        <f aca="false">-AN76*INDEX(ship_curves,MATCH(AT76,'SHIP CURVES'!$A$9:$A$316,0),MATCH(CONCATENATE(AX$4,AX$5,AX$6,AX$7),'SHIP CURVES'!$A$9:$AZ$9,0))</f>
        <v>-1764245.74707434</v>
      </c>
      <c r="AW76" s="351" t="n">
        <f aca="false">-AP76*INDEX(port_processing_fee,MATCH(AT76,PORTS!$H$626:$H$933,0),MATCH(AX$5,PORTS!$H$626:$Z$626,0))</f>
        <v>-150233.411160174</v>
      </c>
      <c r="AX76" s="352" t="n">
        <f aca="false">(((VLOOKUP(AT76,curvecalc,4,0))*IF(AN76=0,0,AR76/AN76)-INDEX(ship_curves,MATCH(AT76,'SHIP CURVES'!$A$9:$A$316,0),MATCH(CONCATENATE(AX$4,AX$5,AX$6,AX$7),'SHIP CURVES'!$A$9:$Z$9,0))-INDEX(terminal_curves,MATCH(AT76,'TERMINAL CURVES'!$A$4:$A$313,0),MATCH(AX$5,'TERMINAL CURVES'!$A$4:$N$4,0))*IF(AN76=0,0,AP76/AN76))-(AV$8)*((AV$7-$N$5)-(INDEX(ship_curves,MATCH(AT76,'SHIP CURVES'!$A$9:$A$316,0),MATCH(CONCATENATE(AX$4,AX$5,AX$6,AX$7),'SHIP CURVES'!$A$9:$Z$9,0))-INDEX(ship_curves,MATCH(AT76,'SHIP CURVES'!$A$9:$A$316,0),MATCH(CONCATENATE(AX$4,AV$6,AX$6,AX$7),'SHIP CURVES'!$A$9:$Z$9,0)))-(INDEX(terminal_curves,MATCH(AT76,'TERMINAL CURVES'!$A$4:$A$313,0),MATCH(AX$5,'TERMINAL CURVES'!$A$4:$N$4,0))-INDEX(terminal_curves,MATCH(AT76,'TERMINAL CURVES'!$A$4:$A$313,0),MATCH(AV$6,'TERMINAL CURVES'!$A$4:$N$4,0)))*IF(AN76=0,0,AP76/AN76)))*-AN76</f>
        <v>-12790490.1800601</v>
      </c>
      <c r="AY76" s="356" t="n">
        <f aca="false">SUM(AV76:AX76)</f>
        <v>-14704969.3382946</v>
      </c>
      <c r="AZ76" s="357" t="n">
        <f aca="false">(-AP76/((HLOOKUP(AX$5,port_specs,2,0)/(365.25))*(AT77-AT76)))*(INDEX(fixed_capacity_charge,MATCH(AT76,PORTS!$H$11:$H$317,0),MATCH(AX$5,PORTS!$H$11:$N$11,0))+INDEX(variable_om_charge,MATCH(AT76,PORTS!$H$318:$H$625,0),MATCH(AX$5,PORTS!$H$318:$N$318,0)))</f>
        <v>-969177.570265045</v>
      </c>
      <c r="BA76" s="343" t="n">
        <f aca="false">+AZ76+AY76</f>
        <v>-15674146.9085596</v>
      </c>
      <c r="BB76" s="355" t="n">
        <f aca="false">+BA76+AU76</f>
        <v>104112.56664603</v>
      </c>
      <c r="BC76" s="99"/>
      <c r="BD76" s="357" t="n">
        <f aca="false">+PORTS!I70+PORTS!I378</f>
        <v>969177.570265045</v>
      </c>
    </row>
    <row r="77" customFormat="false" ht="12.75" hidden="false" customHeight="false" outlineLevel="0" collapsed="false">
      <c r="A77" s="346" t="n">
        <f aca="false">+DATE(YEAR(A76),MONTH(A76)+1,1)</f>
        <v>38504</v>
      </c>
      <c r="B77" s="327" t="n">
        <f aca="false">+IF(AND($A77&gt;=$C$8,$A77&lt;=$C$9),1,0)*PORTS!$I$5/(365.25)*(A78-A77)</f>
        <v>5166876.75662674</v>
      </c>
      <c r="C77" s="328" t="n">
        <f aca="false">+B77-(SUMIF($F$17:$IV$17,$H$17,$F77:$IV77))</f>
        <v>0</v>
      </c>
      <c r="D77" s="0" t="n">
        <f aca="false">+YEAR(E77)</f>
        <v>2005</v>
      </c>
      <c r="E77" s="346" t="n">
        <f aca="false">+DATE(YEAR(E76),MONTH(E76)+1,1)</f>
        <v>38504</v>
      </c>
      <c r="F77" s="327" t="n">
        <f aca="false">+IF(AND(G$8&lt;=E77,G$9&gt;=E77),INDEX(ROUTE_PER_DAY_BY_SHIP,MATCH(CONCATENATE(G$4,G$5,G$7),ROUTE_PER_DAY_ROUTES,0),MATCH(G$6,ROUTE_PER_DAY_SHIPS,0))*(E78-E77),0)</f>
        <v>0</v>
      </c>
      <c r="G77" s="347" t="n">
        <f aca="false">-F77*HLOOKUP(G$6,SHIPS,7,0)*INDEX(LADEN_VOYAGE_DAYS,MATCH(CONCATENATE(G$4,G$5,G$7),LADEN_VOYAGE_ROUTES,0),MATCH(G$6,LADEN_VOYAGE_SHIPS,0))</f>
        <v>-0</v>
      </c>
      <c r="H77" s="348" t="n">
        <f aca="false">SUM(F77:G77)</f>
        <v>0</v>
      </c>
      <c r="I77" s="349" t="n">
        <f aca="false">-(H77)*HLOOKUP(G$5,TERMINAL_CHARGES,3,0)</f>
        <v>-0</v>
      </c>
      <c r="J77" s="327" t="n">
        <f aca="false">+H77+I77</f>
        <v>0</v>
      </c>
      <c r="K77" s="333"/>
      <c r="L77" s="346" t="n">
        <f aca="false">+DATE(YEAR(L76),MONTH(L76)+1,1)</f>
        <v>38504</v>
      </c>
      <c r="M77" s="334" t="n">
        <f aca="false">+J77*(VLOOKUP(L77,CURVECALC!$C$6:$J$312,4,0)+N$5)</f>
        <v>0</v>
      </c>
      <c r="N77" s="350" t="n">
        <f aca="false">-F77*INDEX(ship_curves,MATCH(L77,'SHIP CURVES'!$A$9:$A$316,0),MATCH(CONCATENATE(P$4,P$5,P$6,P$7),'SHIP CURVES'!$A$9:$AZ$9,0))</f>
        <v>-0</v>
      </c>
      <c r="O77" s="351" t="n">
        <f aca="false">-H77*INDEX(port_processing_fee,MATCH(L77,PORTS!$H$626:$H$933,0),MATCH(P$5,PORTS!$H$626:$Z$626,0))</f>
        <v>-0</v>
      </c>
      <c r="P77" s="352" t="n">
        <f aca="false">(((VLOOKUP(L77,curvecalc,4,0))*IF(F77=0,0,J77/F77)-INDEX(ship_curves,MATCH(L77,'SHIP CURVES'!$A$9:$A$316,0),MATCH(CONCATENATE(P$4,P$5,P$6,P$7),'SHIP CURVES'!$A$9:$Z$9,0))-INDEX(terminal_curves,MATCH(L77,'TERMINAL CURVES'!$A$4:$A$313,0),MATCH(P$5,'TERMINAL CURVES'!$A$4:$N$4,0))*IF(F77=0,0,H77/F77))-(N$8)*((N$7-$N$5)-(INDEX(ship_curves,MATCH(L77,'SHIP CURVES'!$A$9:$A$316,0),MATCH(CONCATENATE(P$4,P$5,P$6,P$7),'SHIP CURVES'!$A$9:$Z$9,0))-INDEX(ship_curves,MATCH(L77,'SHIP CURVES'!$A$9:$A$316,0),MATCH(CONCATENATE(P$4,N$6,P$6,P$7),'SHIP CURVES'!$A$9:$Z$9,0)))-(INDEX(terminal_curves,MATCH(L77,'TERMINAL CURVES'!$A$4:$A$313,0),MATCH(P$5,'TERMINAL CURVES'!$A$4:$N$4,0))-INDEX(terminal_curves,MATCH(L77,'TERMINAL CURVES'!$A$4:$A$313,0),MATCH(N$6,'TERMINAL CURVES'!$A$4:$N$4,0)))*IF(F77=0,0,H77/F77)))*-F77</f>
        <v>0</v>
      </c>
      <c r="Q77" s="353" t="n">
        <f aca="false">SUM(N77:P77)</f>
        <v>0</v>
      </c>
      <c r="R77" s="357" t="n">
        <f aca="false">(-H77/((HLOOKUP(P$5,port_specs,2,0)/(365.25))*(L78-L77)))*(INDEX(fixed_capacity_charge,MATCH(L77,PORTS!$H$11:$H$317,0),MATCH(P$5,PORTS!$H$11:$N$11,0))+INDEX(variable_om_charge,MATCH(L77,PORTS!$H$318:$H$625,0),MATCH(P$5,PORTS!$H$318:$N$318,0)))</f>
        <v>-0</v>
      </c>
      <c r="S77" s="343" t="n">
        <f aca="false">+R77+Q77</f>
        <v>0</v>
      </c>
      <c r="T77" s="355" t="n">
        <f aca="false">+S77+M77</f>
        <v>0</v>
      </c>
      <c r="U77" s="342"/>
      <c r="V77" s="346" t="n">
        <f aca="false">+DATE(YEAR(V76),MONTH(V76)+1,1)</f>
        <v>38504</v>
      </c>
      <c r="W77" s="327" t="n">
        <f aca="false">+Y77/(1-HLOOKUP(X$6,SHIPS,7,0)*INDEX(LADEN_VOYAGE_DAYS,MATCH(CONCATENATE(X$4,X$5),LADEN_VOYAGE_ROUTES,0),MATCH(X$6,LADEN_VOYAGE_SHIPS,0)))</f>
        <v>0</v>
      </c>
      <c r="X77" s="347" t="n">
        <f aca="false">+Y77-W77</f>
        <v>0</v>
      </c>
      <c r="Y77" s="348" t="n">
        <f aca="false">+IF(AND(X$8&lt;=V77,X$9&gt;=V77),+MIN($B77-SUMIF($H$17:X$17,Y$17,$H77:X77),((INDEX(ROUTE_PER_DAY_BY_SHIP,MATCH(CONCATENATE(X$4,X$5,X$7),ROUTE_PER_DAY_ROUTES,0),MATCH(X$6,ROUTE_PER_DAY_SHIPS,0))*(V78-V77))-(INDEX(ROUTE_PER_DAY_BY_SHIP,MATCH(CONCATENATE(X$4,X$5,X$7),ROUTE_PER_DAY_ROUTES,0),MATCH(X$6,ROUTE_PER_DAY_SHIPS,0))*(V78-V77))*HLOOKUP(X$6,SHIPS,7,0)*INDEX(LADEN_VOYAGE_DAYS,MATCH(CONCATENATE(X$4,X$5,X$7),LADEN_VOYAGE_ROUTES,0),MATCH(X$6,LADEN_VOYAGE_SHIPS,0)))),0)</f>
        <v>0</v>
      </c>
      <c r="Z77" s="349" t="n">
        <f aca="false">-(Y77)*HLOOKUP(X$5,TERMINAL_CHARGES,3,0)</f>
        <v>-0</v>
      </c>
      <c r="AA77" s="327" t="n">
        <f aca="false">+Y77+Z77</f>
        <v>0</v>
      </c>
      <c r="AB77" s="333"/>
      <c r="AC77" s="346" t="n">
        <f aca="false">+DATE(YEAR(AC76),MONTH(AC76)+1,1)</f>
        <v>38504</v>
      </c>
      <c r="AD77" s="343" t="n">
        <f aca="false">+AA77*(VLOOKUP(AC77,CURVECALC!$C$6:$J$312,4,0)+AE$5)</f>
        <v>0</v>
      </c>
      <c r="AE77" s="350" t="n">
        <f aca="false">-W77*INDEX(ship_curves,MATCH(AC77,'SHIP CURVES'!$A$9:$A$316,0),MATCH(CONCATENATE(AG$4,AG$5,AG$6,AG$7),'SHIP CURVES'!$A$9:$AZ$9,0))</f>
        <v>-0</v>
      </c>
      <c r="AF77" s="351" t="n">
        <f aca="false">-Y77*INDEX(port_processing_fee,MATCH(AC77,PORTS!$H$626:$H$933,0),MATCH(AG$5,PORTS!$H$626:$Z$626,0))</f>
        <v>-0</v>
      </c>
      <c r="AG77" s="352" t="n">
        <f aca="false">(((VLOOKUP(AC77,curvecalc,4,0))*IF(W77=0,0,AA77/W77)-INDEX(ship_curves,MATCH(AC77,'SHIP CURVES'!$A$9:$A$316,0),MATCH(CONCATENATE(AG$4,AG$5,AG$6,AG$7),'SHIP CURVES'!$A$9:$Z$9,0))-INDEX(terminal_curves,MATCH(AC77,'TERMINAL CURVES'!$A$4:$A$313,0),MATCH(AG$5,'TERMINAL CURVES'!$A$4:$N$4,0))*IF(W77=0,0,Y77/W77))-(AE$8)*((AE$7-$N$5)-(INDEX(ship_curves,MATCH(AC77,'SHIP CURVES'!$A$9:$A$316,0),MATCH(CONCATENATE(AG$4,AG$5,AG$6,AG$7),'SHIP CURVES'!$A$9:$Z$9,0))-INDEX(ship_curves,MATCH(AC77,'SHIP CURVES'!$A$9:$A$316,0),MATCH(CONCATENATE(AG$4,AE$6,AG$6,AG$7),'SHIP CURVES'!$A$9:$Z$9,0)))-(INDEX(terminal_curves,MATCH(AC77,'TERMINAL CURVES'!$A$4:$A$313,0),MATCH(AG$5,'TERMINAL CURVES'!$A$4:$N$4,0))-INDEX(terminal_curves,MATCH(AC77,'TERMINAL CURVES'!$A$4:$A$313,0),MATCH(AE$6,'TERMINAL CURVES'!$A$4:$N$4,0)))*IF(W77=0,0,Y77/W77)))*-W77</f>
        <v>0</v>
      </c>
      <c r="AH77" s="356" t="n">
        <f aca="false">SUM(AE77:AG77)</f>
        <v>0</v>
      </c>
      <c r="AI77" s="357" t="n">
        <f aca="false">(-Y77/((HLOOKUP(AG$5,port_specs,2,0)/(365.25))*(AC78-AC77)))*(INDEX(fixed_capacity_charge,MATCH(AC77,PORTS!$H$11:$H$317,0),MATCH(AG$5,PORTS!$H$11:$N$11,0))+INDEX(variable_om_charge,MATCH(AC77,PORTS!$H$318:$H$625,0),MATCH(AG$5,PORTS!$H$318:$N$318,0)))</f>
        <v>-0</v>
      </c>
      <c r="AJ77" s="343" t="n">
        <f aca="false">+AI77+AH77</f>
        <v>0</v>
      </c>
      <c r="AK77" s="355" t="n">
        <f aca="false">+AJ77+AD77</f>
        <v>0</v>
      </c>
      <c r="AM77" s="346" t="n">
        <f aca="false">+DATE(YEAR(AM76),MONTH(AM76)+1,1)</f>
        <v>38504</v>
      </c>
      <c r="AN77" s="327" t="n">
        <f aca="false">+AP77/(1-HLOOKUP(AO$6,SHIPS,7,0)*INDEX(LADEN_VOYAGE_DAYS,MATCH(CONCATENATE(AO$4,AO$5),LADEN_VOYAGE_ROUTES,0),MATCH(AO$6,LADEN_VOYAGE_SHIPS,0)))</f>
        <v>5221704.65550959</v>
      </c>
      <c r="AO77" s="347" t="n">
        <f aca="false">+AP77-AN77</f>
        <v>-54827.8988828501</v>
      </c>
      <c r="AP77" s="348" t="n">
        <f aca="false">+IF(AND(AO$8&lt;=AM77,AO$9&gt;=AM77),+MIN($B77-SUMIF($H$17:AO$17,AP$17,$H77:AO77),((INDEX(ROUTE_PER_DAY_BY_SHIP,MATCH(CONCATENATE(AO$4,AO$5,AO$7),ROUTE_PER_DAY_ROUTES,0),MATCH(AO$6,ROUTE_PER_DAY_SHIPS,0))*(AM78-AM77))-(INDEX(ROUTE_PER_DAY_BY_SHIP,MATCH(CONCATENATE(AO$4,AO$5,AO$7),ROUTE_PER_DAY_ROUTES,0),MATCH(AO$6,ROUTE_PER_DAY_SHIPS,0))*(AM78-AM77))*HLOOKUP(AO$6,SHIPS,7,0)*INDEX(LADEN_VOYAGE_DAYS,MATCH(CONCATENATE(AO$4,AO$5,AO$7),LADEN_VOYAGE_ROUTES,0),MATCH(AO$6,LADEN_VOYAGE_SHIPS,0)))),0)</f>
        <v>5166876.75662674</v>
      </c>
      <c r="AQ77" s="349" t="n">
        <f aca="false">-(AP77)*PORTS!$I$6</f>
        <v>-129171.918915669</v>
      </c>
      <c r="AR77" s="327" t="n">
        <f aca="false">+AP77+AQ77</f>
        <v>5037704.83771107</v>
      </c>
      <c r="AS77" s="333"/>
      <c r="AT77" s="346" t="n">
        <f aca="false">+DATE(YEAR(AT76),MONTH(AT76)+1,1)</f>
        <v>38504</v>
      </c>
      <c r="AU77" s="343" t="n">
        <f aca="false">+AR77*(VLOOKUP(AT77,CURVECALC!$C$6:$J$312,4,0)+AV$5)</f>
        <v>15430489.917909</v>
      </c>
      <c r="AV77" s="350" t="n">
        <f aca="false">-AN77*INDEX(ship_curves,MATCH(AT77,'SHIP CURVES'!$A$9:$A$316,0),MATCH(CONCATENATE(AX$4,AX$5,AX$6,AX$7),'SHIP CURVES'!$A$9:$AZ$9,0))</f>
        <v>-1707798.9447898</v>
      </c>
      <c r="AW77" s="351" t="n">
        <f aca="false">-AP77*INDEX(port_processing_fee,MATCH(AT77,PORTS!$H$626:$H$933,0),MATCH(AX$5,PORTS!$H$626:$Z$626,0))</f>
        <v>-145538.617061418</v>
      </c>
      <c r="AX77" s="352" t="n">
        <f aca="false">(((VLOOKUP(AT77,curvecalc,4,0))*IF(AN77=0,0,AR77/AN77)-INDEX(ship_curves,MATCH(AT77,'SHIP CURVES'!$A$9:$A$316,0),MATCH(CONCATENATE(AX$4,AX$5,AX$6,AX$7),'SHIP CURVES'!$A$9:$Z$9,0))-INDEX(terminal_curves,MATCH(AT77,'TERMINAL CURVES'!$A$4:$A$313,0),MATCH(AX$5,'TERMINAL CURVES'!$A$4:$N$4,0))*IF(AN77=0,0,AP77/AN77))-(AV$8)*((AV$7-$N$5)-(INDEX(ship_curves,MATCH(AT77,'SHIP CURVES'!$A$9:$A$316,0),MATCH(CONCATENATE(AX$4,AX$5,AX$6,AX$7),'SHIP CURVES'!$A$9:$Z$9,0))-INDEX(ship_curves,MATCH(AT77,'SHIP CURVES'!$A$9:$A$316,0),MATCH(CONCATENATE(AX$4,AV$6,AX$6,AX$7),'SHIP CURVES'!$A$9:$Z$9,0)))-(INDEX(terminal_curves,MATCH(AT77,'TERMINAL CURVES'!$A$4:$A$313,0),MATCH(AX$5,'TERMINAL CURVES'!$A$4:$N$4,0))-INDEX(terminal_curves,MATCH(AT77,'TERMINAL CURVES'!$A$4:$A$313,0),MATCH(AV$6,'TERMINAL CURVES'!$A$4:$N$4,0)))*IF(AN77=0,0,AP77/AN77)))*-AN77</f>
        <v>-12506716.5317475</v>
      </c>
      <c r="AY77" s="356" t="n">
        <f aca="false">SUM(AV77:AX77)</f>
        <v>-14360054.0935988</v>
      </c>
      <c r="AZ77" s="357" t="n">
        <f aca="false">(-AP77/((HLOOKUP(AX$5,port_specs,2,0)/(365.25))*(AT78-AT77)))*(INDEX(fixed_capacity_charge,MATCH(AT77,PORTS!$H$11:$H$317,0),MATCH(AX$5,PORTS!$H$11:$N$11,0))+INDEX(variable_om_charge,MATCH(AT77,PORTS!$H$318:$H$625,0),MATCH(AX$5,PORTS!$H$318:$N$318,0)))</f>
        <v>-969681.727556041</v>
      </c>
      <c r="BA77" s="343" t="n">
        <f aca="false">+AZ77+AY77</f>
        <v>-15329735.8211548</v>
      </c>
      <c r="BB77" s="355" t="n">
        <f aca="false">+BA77+AU77</f>
        <v>100754.096754225</v>
      </c>
      <c r="BC77" s="99"/>
      <c r="BD77" s="357" t="n">
        <f aca="false">+PORTS!I71+PORTS!I379</f>
        <v>969681.727556041</v>
      </c>
    </row>
    <row r="78" customFormat="false" ht="12.75" hidden="false" customHeight="false" outlineLevel="0" collapsed="false">
      <c r="A78" s="346" t="n">
        <f aca="false">+DATE(YEAR(A77),MONTH(A77)+1,1)</f>
        <v>38534</v>
      </c>
      <c r="B78" s="327" t="n">
        <f aca="false">+IF(AND($A78&gt;=$C$8,$A78&lt;=$C$9),1,0)*PORTS!$I$5/(365.25)*(A79-A78)</f>
        <v>5339105.98184763</v>
      </c>
      <c r="C78" s="328" t="n">
        <f aca="false">+B78-(SUMIF($F$17:$IV$17,$H$17,$F78:$IV78))</f>
        <v>0</v>
      </c>
      <c r="D78" s="0" t="n">
        <f aca="false">+YEAR(E78)</f>
        <v>2005</v>
      </c>
      <c r="E78" s="346" t="n">
        <f aca="false">+DATE(YEAR(E77),MONTH(E77)+1,1)</f>
        <v>38534</v>
      </c>
      <c r="F78" s="327" t="n">
        <f aca="false">+IF(AND(G$8&lt;=E78,G$9&gt;=E78),INDEX(ROUTE_PER_DAY_BY_SHIP,MATCH(CONCATENATE(G$4,G$5,G$7),ROUTE_PER_DAY_ROUTES,0),MATCH(G$6,ROUTE_PER_DAY_SHIPS,0))*(E79-E78),0)</f>
        <v>0</v>
      </c>
      <c r="G78" s="347" t="n">
        <f aca="false">-F78*HLOOKUP(G$6,SHIPS,7,0)*INDEX(LADEN_VOYAGE_DAYS,MATCH(CONCATENATE(G$4,G$5,G$7),LADEN_VOYAGE_ROUTES,0),MATCH(G$6,LADEN_VOYAGE_SHIPS,0))</f>
        <v>-0</v>
      </c>
      <c r="H78" s="348" t="n">
        <f aca="false">SUM(F78:G78)</f>
        <v>0</v>
      </c>
      <c r="I78" s="349" t="n">
        <f aca="false">-(H78)*HLOOKUP(G$5,TERMINAL_CHARGES,3,0)</f>
        <v>-0</v>
      </c>
      <c r="J78" s="327" t="n">
        <f aca="false">+H78+I78</f>
        <v>0</v>
      </c>
      <c r="K78" s="333"/>
      <c r="L78" s="346" t="n">
        <f aca="false">+DATE(YEAR(L77),MONTH(L77)+1,1)</f>
        <v>38534</v>
      </c>
      <c r="M78" s="334" t="n">
        <f aca="false">+J78*(VLOOKUP(L78,CURVECALC!$C$6:$J$312,4,0)+N$5)</f>
        <v>0</v>
      </c>
      <c r="N78" s="350" t="n">
        <f aca="false">-F78*INDEX(ship_curves,MATCH(L78,'SHIP CURVES'!$A$9:$A$316,0),MATCH(CONCATENATE(P$4,P$5,P$6,P$7),'SHIP CURVES'!$A$9:$AZ$9,0))</f>
        <v>-0</v>
      </c>
      <c r="O78" s="351" t="n">
        <f aca="false">-H78*INDEX(port_processing_fee,MATCH(L78,PORTS!$H$626:$H$933,0),MATCH(P$5,PORTS!$H$626:$Z$626,0))</f>
        <v>-0</v>
      </c>
      <c r="P78" s="352" t="n">
        <f aca="false">(((VLOOKUP(L78,curvecalc,4,0))*IF(F78=0,0,J78/F78)-INDEX(ship_curves,MATCH(L78,'SHIP CURVES'!$A$9:$A$316,0),MATCH(CONCATENATE(P$4,P$5,P$6,P$7),'SHIP CURVES'!$A$9:$Z$9,0))-INDEX(terminal_curves,MATCH(L78,'TERMINAL CURVES'!$A$4:$A$313,0),MATCH(P$5,'TERMINAL CURVES'!$A$4:$N$4,0))*IF(F78=0,0,H78/F78))-(N$8)*((N$7-$N$5)-(INDEX(ship_curves,MATCH(L78,'SHIP CURVES'!$A$9:$A$316,0),MATCH(CONCATENATE(P$4,P$5,P$6,P$7),'SHIP CURVES'!$A$9:$Z$9,0))-INDEX(ship_curves,MATCH(L78,'SHIP CURVES'!$A$9:$A$316,0),MATCH(CONCATENATE(P$4,N$6,P$6,P$7),'SHIP CURVES'!$A$9:$Z$9,0)))-(INDEX(terminal_curves,MATCH(L78,'TERMINAL CURVES'!$A$4:$A$313,0),MATCH(P$5,'TERMINAL CURVES'!$A$4:$N$4,0))-INDEX(terminal_curves,MATCH(L78,'TERMINAL CURVES'!$A$4:$A$313,0),MATCH(N$6,'TERMINAL CURVES'!$A$4:$N$4,0)))*IF(F78=0,0,H78/F78)))*-F78</f>
        <v>0</v>
      </c>
      <c r="Q78" s="353" t="n">
        <f aca="false">SUM(N78:P78)</f>
        <v>0</v>
      </c>
      <c r="R78" s="357" t="n">
        <f aca="false">(-H78/((HLOOKUP(P$5,port_specs,2,0)/(365.25))*(L79-L78)))*(INDEX(fixed_capacity_charge,MATCH(L78,PORTS!$H$11:$H$317,0),MATCH(P$5,PORTS!$H$11:$N$11,0))+INDEX(variable_om_charge,MATCH(L78,PORTS!$H$318:$H$625,0),MATCH(P$5,PORTS!$H$318:$N$318,0)))</f>
        <v>-0</v>
      </c>
      <c r="S78" s="343" t="n">
        <f aca="false">+R78+Q78</f>
        <v>0</v>
      </c>
      <c r="T78" s="355" t="n">
        <f aca="false">+S78+M78</f>
        <v>0</v>
      </c>
      <c r="U78" s="342"/>
      <c r="V78" s="346" t="n">
        <f aca="false">+DATE(YEAR(V77),MONTH(V77)+1,1)</f>
        <v>38534</v>
      </c>
      <c r="W78" s="327" t="n">
        <f aca="false">+Y78/(1-HLOOKUP(X$6,SHIPS,7,0)*INDEX(LADEN_VOYAGE_DAYS,MATCH(CONCATENATE(X$4,X$5),LADEN_VOYAGE_ROUTES,0),MATCH(X$6,LADEN_VOYAGE_SHIPS,0)))</f>
        <v>0</v>
      </c>
      <c r="X78" s="347" t="n">
        <f aca="false">+Y78-W78</f>
        <v>0</v>
      </c>
      <c r="Y78" s="348" t="n">
        <f aca="false">+IF(AND(X$8&lt;=V78,X$9&gt;=V78),+MIN($B78-SUMIF($H$17:X$17,Y$17,$H78:X78),((INDEX(ROUTE_PER_DAY_BY_SHIP,MATCH(CONCATENATE(X$4,X$5,X$7),ROUTE_PER_DAY_ROUTES,0),MATCH(X$6,ROUTE_PER_DAY_SHIPS,0))*(V79-V78))-(INDEX(ROUTE_PER_DAY_BY_SHIP,MATCH(CONCATENATE(X$4,X$5,X$7),ROUTE_PER_DAY_ROUTES,0),MATCH(X$6,ROUTE_PER_DAY_SHIPS,0))*(V79-V78))*HLOOKUP(X$6,SHIPS,7,0)*INDEX(LADEN_VOYAGE_DAYS,MATCH(CONCATENATE(X$4,X$5,X$7),LADEN_VOYAGE_ROUTES,0),MATCH(X$6,LADEN_VOYAGE_SHIPS,0)))),0)</f>
        <v>0</v>
      </c>
      <c r="Z78" s="349" t="n">
        <f aca="false">-(Y78)*HLOOKUP(X$5,TERMINAL_CHARGES,3,0)</f>
        <v>-0</v>
      </c>
      <c r="AA78" s="327" t="n">
        <f aca="false">+Y78+Z78</f>
        <v>0</v>
      </c>
      <c r="AB78" s="333"/>
      <c r="AC78" s="346" t="n">
        <f aca="false">+DATE(YEAR(AC77),MONTH(AC77)+1,1)</f>
        <v>38534</v>
      </c>
      <c r="AD78" s="343" t="n">
        <f aca="false">+AA78*(VLOOKUP(AC78,CURVECALC!$C$6:$J$312,4,0)+AE$5)</f>
        <v>0</v>
      </c>
      <c r="AE78" s="350" t="n">
        <f aca="false">-W78*INDEX(ship_curves,MATCH(AC78,'SHIP CURVES'!$A$9:$A$316,0),MATCH(CONCATENATE(AG$4,AG$5,AG$6,AG$7),'SHIP CURVES'!$A$9:$AZ$9,0))</f>
        <v>-0</v>
      </c>
      <c r="AF78" s="351" t="n">
        <f aca="false">-Y78*INDEX(port_processing_fee,MATCH(AC78,PORTS!$H$626:$H$933,0),MATCH(AG$5,PORTS!$H$626:$Z$626,0))</f>
        <v>-0</v>
      </c>
      <c r="AG78" s="352" t="n">
        <f aca="false">(((VLOOKUP(AC78,curvecalc,4,0))*IF(W78=0,0,AA78/W78)-INDEX(ship_curves,MATCH(AC78,'SHIP CURVES'!$A$9:$A$316,0),MATCH(CONCATENATE(AG$4,AG$5,AG$6,AG$7),'SHIP CURVES'!$A$9:$Z$9,0))-INDEX(terminal_curves,MATCH(AC78,'TERMINAL CURVES'!$A$4:$A$313,0),MATCH(AG$5,'TERMINAL CURVES'!$A$4:$N$4,0))*IF(W78=0,0,Y78/W78))-(AE$8)*((AE$7-$N$5)-(INDEX(ship_curves,MATCH(AC78,'SHIP CURVES'!$A$9:$A$316,0),MATCH(CONCATENATE(AG$4,AG$5,AG$6,AG$7),'SHIP CURVES'!$A$9:$Z$9,0))-INDEX(ship_curves,MATCH(AC78,'SHIP CURVES'!$A$9:$A$316,0),MATCH(CONCATENATE(AG$4,AE$6,AG$6,AG$7),'SHIP CURVES'!$A$9:$Z$9,0)))-(INDEX(terminal_curves,MATCH(AC78,'TERMINAL CURVES'!$A$4:$A$313,0),MATCH(AG$5,'TERMINAL CURVES'!$A$4:$N$4,0))-INDEX(terminal_curves,MATCH(AC78,'TERMINAL CURVES'!$A$4:$A$313,0),MATCH(AE$6,'TERMINAL CURVES'!$A$4:$N$4,0)))*IF(W78=0,0,Y78/W78)))*-W78</f>
        <v>0</v>
      </c>
      <c r="AH78" s="356" t="n">
        <f aca="false">SUM(AE78:AG78)</f>
        <v>0</v>
      </c>
      <c r="AI78" s="357" t="n">
        <f aca="false">(-Y78/((HLOOKUP(AG$5,port_specs,2,0)/(365.25))*(AC79-AC78)))*(INDEX(fixed_capacity_charge,MATCH(AC78,PORTS!$H$11:$H$317,0),MATCH(AG$5,PORTS!$H$11:$N$11,0))+INDEX(variable_om_charge,MATCH(AC78,PORTS!$H$318:$H$625,0),MATCH(AG$5,PORTS!$H$318:$N$318,0)))</f>
        <v>-0</v>
      </c>
      <c r="AJ78" s="343" t="n">
        <f aca="false">+AI78+AH78</f>
        <v>0</v>
      </c>
      <c r="AK78" s="355" t="n">
        <f aca="false">+AJ78+AD78</f>
        <v>0</v>
      </c>
      <c r="AM78" s="346" t="n">
        <f aca="false">+DATE(YEAR(AM77),MONTH(AM77)+1,1)</f>
        <v>38534</v>
      </c>
      <c r="AN78" s="327" t="n">
        <f aca="false">+AP78/(1-HLOOKUP(AO$6,SHIPS,7,0)*INDEX(LADEN_VOYAGE_DAYS,MATCH(CONCATENATE(AO$4,AO$5),LADEN_VOYAGE_ROUTES,0),MATCH(AO$6,LADEN_VOYAGE_SHIPS,0)))</f>
        <v>5395761.47735991</v>
      </c>
      <c r="AO78" s="347" t="n">
        <f aca="false">+AP78-AN78</f>
        <v>-56655.4955122788</v>
      </c>
      <c r="AP78" s="348" t="n">
        <f aca="false">+IF(AND(AO$8&lt;=AM78,AO$9&gt;=AM78),+MIN($B78-SUMIF($H$17:AO$17,AP$17,$H78:AO78),((INDEX(ROUTE_PER_DAY_BY_SHIP,MATCH(CONCATENATE(AO$4,AO$5,AO$7),ROUTE_PER_DAY_ROUTES,0),MATCH(AO$6,ROUTE_PER_DAY_SHIPS,0))*(AM79-AM78))-(INDEX(ROUTE_PER_DAY_BY_SHIP,MATCH(CONCATENATE(AO$4,AO$5,AO$7),ROUTE_PER_DAY_ROUTES,0),MATCH(AO$6,ROUTE_PER_DAY_SHIPS,0))*(AM79-AM78))*HLOOKUP(AO$6,SHIPS,7,0)*INDEX(LADEN_VOYAGE_DAYS,MATCH(CONCATENATE(AO$4,AO$5,AO$7),LADEN_VOYAGE_ROUTES,0),MATCH(AO$6,LADEN_VOYAGE_SHIPS,0)))),0)</f>
        <v>5339105.98184763</v>
      </c>
      <c r="AQ78" s="349" t="n">
        <f aca="false">-(AP78)*PORTS!$I$6</f>
        <v>-133477.649546191</v>
      </c>
      <c r="AR78" s="327" t="n">
        <f aca="false">+AP78+AQ78</f>
        <v>5205628.33230144</v>
      </c>
      <c r="AS78" s="333"/>
      <c r="AT78" s="346" t="n">
        <f aca="false">+DATE(YEAR(AT77),MONTH(AT77)+1,1)</f>
        <v>38534</v>
      </c>
      <c r="AU78" s="343" t="n">
        <f aca="false">+AR78*(VLOOKUP(AT78,CURVECALC!$C$6:$J$312,4,0)+AV$5)</f>
        <v>15944839.5818393</v>
      </c>
      <c r="AV78" s="350" t="n">
        <f aca="false">-AN78*INDEX(ship_curves,MATCH(AT78,'SHIP CURVES'!$A$9:$A$316,0),MATCH(CONCATENATE(AX$4,AX$5,AX$6,AX$7),'SHIP CURVES'!$A$9:$AZ$9,0))</f>
        <v>-1765206.40513543</v>
      </c>
      <c r="AW78" s="351" t="n">
        <f aca="false">-AP78*INDEX(port_processing_fee,MATCH(AT78,PORTS!$H$626:$H$933,0),MATCH(AX$5,PORTS!$H$626:$Z$626,0))</f>
        <v>-150546.560447108</v>
      </c>
      <c r="AX78" s="352" t="n">
        <f aca="false">(((VLOOKUP(AT78,curvecalc,4,0))*IF(AN78=0,0,AR78/AN78)-INDEX(ship_curves,MATCH(AT78,'SHIP CURVES'!$A$9:$A$316,0),MATCH(CONCATENATE(AX$4,AX$5,AX$6,AX$7),'SHIP CURVES'!$A$9:$Z$9,0))-INDEX(terminal_curves,MATCH(AT78,'TERMINAL CURVES'!$A$4:$A$313,0),MATCH(AX$5,'TERMINAL CURVES'!$A$4:$N$4,0))*IF(AN78=0,0,AP78/AN78))-(AV$8)*((AV$7-$N$5)-(INDEX(ship_curves,MATCH(AT78,'SHIP CURVES'!$A$9:$A$316,0),MATCH(CONCATENATE(AX$4,AX$5,AX$6,AX$7),'SHIP CURVES'!$A$9:$Z$9,0))-INDEX(ship_curves,MATCH(AT78,'SHIP CURVES'!$A$9:$A$316,0),MATCH(CONCATENATE(AX$4,AV$6,AX$6,AX$7),'SHIP CURVES'!$A$9:$Z$9,0)))-(INDEX(terminal_curves,MATCH(AT78,'TERMINAL CURVES'!$A$4:$A$313,0),MATCH(AX$5,'TERMINAL CURVES'!$A$4:$N$4,0))-INDEX(terminal_curves,MATCH(AT78,'TERMINAL CURVES'!$A$4:$A$313,0),MATCH(AV$6,'TERMINAL CURVES'!$A$4:$N$4,0)))*IF(AN78=0,0,AP78/AN78)))*-AN78</f>
        <v>-12954787.6395999</v>
      </c>
      <c r="AY78" s="356" t="n">
        <f aca="false">SUM(AV78:AX78)</f>
        <v>-14870540.6051824</v>
      </c>
      <c r="AZ78" s="357" t="n">
        <f aca="false">(-AP78/((HLOOKUP(AX$5,port_specs,2,0)/(365.25))*(AT79-AT78)))*(INDEX(fixed_capacity_charge,MATCH(AT78,PORTS!$H$11:$H$317,0),MATCH(AX$5,PORTS!$H$11:$N$11,0))+INDEX(variable_om_charge,MATCH(AT78,PORTS!$H$318:$H$625,0),MATCH(AX$5,PORTS!$H$318:$N$318,0)))</f>
        <v>-970186.410010883</v>
      </c>
      <c r="BA78" s="343" t="n">
        <f aca="false">+AZ78+AY78</f>
        <v>-15840727.0151933</v>
      </c>
      <c r="BB78" s="355" t="n">
        <f aca="false">+BA78+AU78</f>
        <v>104112.566646032</v>
      </c>
      <c r="BC78" s="99"/>
      <c r="BD78" s="357" t="n">
        <f aca="false">+PORTS!I72+PORTS!I380</f>
        <v>970186.410010883</v>
      </c>
    </row>
    <row r="79" customFormat="false" ht="12.75" hidden="false" customHeight="false" outlineLevel="0" collapsed="false">
      <c r="A79" s="346" t="n">
        <f aca="false">+DATE(YEAR(A78),MONTH(A78)+1,1)</f>
        <v>38565</v>
      </c>
      <c r="B79" s="327" t="n">
        <f aca="false">+IF(AND($A79&gt;=$C$8,$A79&lt;=$C$9),1,0)*PORTS!$I$5/(365.25)*(A80-A79)</f>
        <v>5339105.98184763</v>
      </c>
      <c r="C79" s="328" t="n">
        <f aca="false">+B79-(SUMIF($F$17:$IV$17,$H$17,$F79:$IV79))</f>
        <v>0</v>
      </c>
      <c r="D79" s="0" t="n">
        <f aca="false">+YEAR(E79)</f>
        <v>2005</v>
      </c>
      <c r="E79" s="346" t="n">
        <f aca="false">+DATE(YEAR(E78),MONTH(E78)+1,1)</f>
        <v>38565</v>
      </c>
      <c r="F79" s="327" t="n">
        <f aca="false">+IF(AND(G$8&lt;=E79,G$9&gt;=E79),INDEX(ROUTE_PER_DAY_BY_SHIP,MATCH(CONCATENATE(G$4,G$5,G$7),ROUTE_PER_DAY_ROUTES,0),MATCH(G$6,ROUTE_PER_DAY_SHIPS,0))*(E80-E79),0)</f>
        <v>0</v>
      </c>
      <c r="G79" s="347" t="n">
        <f aca="false">-F79*HLOOKUP(G$6,SHIPS,7,0)*INDEX(LADEN_VOYAGE_DAYS,MATCH(CONCATENATE(G$4,G$5,G$7),LADEN_VOYAGE_ROUTES,0),MATCH(G$6,LADEN_VOYAGE_SHIPS,0))</f>
        <v>-0</v>
      </c>
      <c r="H79" s="348" t="n">
        <f aca="false">SUM(F79:G79)</f>
        <v>0</v>
      </c>
      <c r="I79" s="349" t="n">
        <f aca="false">-(H79)*HLOOKUP(G$5,TERMINAL_CHARGES,3,0)</f>
        <v>-0</v>
      </c>
      <c r="J79" s="327" t="n">
        <f aca="false">+H79+I79</f>
        <v>0</v>
      </c>
      <c r="K79" s="333"/>
      <c r="L79" s="346" t="n">
        <f aca="false">+DATE(YEAR(L78),MONTH(L78)+1,1)</f>
        <v>38565</v>
      </c>
      <c r="M79" s="334" t="n">
        <f aca="false">+J79*(VLOOKUP(L79,CURVECALC!$C$6:$J$312,4,0)+N$5)</f>
        <v>0</v>
      </c>
      <c r="N79" s="350" t="n">
        <f aca="false">-F79*INDEX(ship_curves,MATCH(L79,'SHIP CURVES'!$A$9:$A$316,0),MATCH(CONCATENATE(P$4,P$5,P$6,P$7),'SHIP CURVES'!$A$9:$AZ$9,0))</f>
        <v>-0</v>
      </c>
      <c r="O79" s="351" t="n">
        <f aca="false">-H79*INDEX(port_processing_fee,MATCH(L79,PORTS!$H$626:$H$933,0),MATCH(P$5,PORTS!$H$626:$Z$626,0))</f>
        <v>-0</v>
      </c>
      <c r="P79" s="352" t="n">
        <f aca="false">(((VLOOKUP(L79,curvecalc,4,0))*IF(F79=0,0,J79/F79)-INDEX(ship_curves,MATCH(L79,'SHIP CURVES'!$A$9:$A$316,0),MATCH(CONCATENATE(P$4,P$5,P$6,P$7),'SHIP CURVES'!$A$9:$Z$9,0))-INDEX(terminal_curves,MATCH(L79,'TERMINAL CURVES'!$A$4:$A$313,0),MATCH(P$5,'TERMINAL CURVES'!$A$4:$N$4,0))*IF(F79=0,0,H79/F79))-(N$8)*((N$7-$N$5)-(INDEX(ship_curves,MATCH(L79,'SHIP CURVES'!$A$9:$A$316,0),MATCH(CONCATENATE(P$4,P$5,P$6,P$7),'SHIP CURVES'!$A$9:$Z$9,0))-INDEX(ship_curves,MATCH(L79,'SHIP CURVES'!$A$9:$A$316,0),MATCH(CONCATENATE(P$4,N$6,P$6,P$7),'SHIP CURVES'!$A$9:$Z$9,0)))-(INDEX(terminal_curves,MATCH(L79,'TERMINAL CURVES'!$A$4:$A$313,0),MATCH(P$5,'TERMINAL CURVES'!$A$4:$N$4,0))-INDEX(terminal_curves,MATCH(L79,'TERMINAL CURVES'!$A$4:$A$313,0),MATCH(N$6,'TERMINAL CURVES'!$A$4:$N$4,0)))*IF(F79=0,0,H79/F79)))*-F79</f>
        <v>0</v>
      </c>
      <c r="Q79" s="353" t="n">
        <f aca="false">SUM(N79:P79)</f>
        <v>0</v>
      </c>
      <c r="R79" s="357" t="n">
        <f aca="false">(-H79/((HLOOKUP(P$5,port_specs,2,0)/(365.25))*(L80-L79)))*(INDEX(fixed_capacity_charge,MATCH(L79,PORTS!$H$11:$H$317,0),MATCH(P$5,PORTS!$H$11:$N$11,0))+INDEX(variable_om_charge,MATCH(L79,PORTS!$H$318:$H$625,0),MATCH(P$5,PORTS!$H$318:$N$318,0)))</f>
        <v>-0</v>
      </c>
      <c r="S79" s="343" t="n">
        <f aca="false">+R79+Q79</f>
        <v>0</v>
      </c>
      <c r="T79" s="355" t="n">
        <f aca="false">+S79+M79</f>
        <v>0</v>
      </c>
      <c r="U79" s="342"/>
      <c r="V79" s="346" t="n">
        <f aca="false">+DATE(YEAR(V78),MONTH(V78)+1,1)</f>
        <v>38565</v>
      </c>
      <c r="W79" s="327" t="n">
        <f aca="false">+Y79/(1-HLOOKUP(X$6,SHIPS,7,0)*INDEX(LADEN_VOYAGE_DAYS,MATCH(CONCATENATE(X$4,X$5),LADEN_VOYAGE_ROUTES,0),MATCH(X$6,LADEN_VOYAGE_SHIPS,0)))</f>
        <v>0</v>
      </c>
      <c r="X79" s="347" t="n">
        <f aca="false">+Y79-W79</f>
        <v>0</v>
      </c>
      <c r="Y79" s="348" t="n">
        <f aca="false">+IF(AND(X$8&lt;=V79,X$9&gt;=V79),+MIN($B79-SUMIF($H$17:X$17,Y$17,$H79:X79),((INDEX(ROUTE_PER_DAY_BY_SHIP,MATCH(CONCATENATE(X$4,X$5,X$7),ROUTE_PER_DAY_ROUTES,0),MATCH(X$6,ROUTE_PER_DAY_SHIPS,0))*(V80-V79))-(INDEX(ROUTE_PER_DAY_BY_SHIP,MATCH(CONCATENATE(X$4,X$5,X$7),ROUTE_PER_DAY_ROUTES,0),MATCH(X$6,ROUTE_PER_DAY_SHIPS,0))*(V80-V79))*HLOOKUP(X$6,SHIPS,7,0)*INDEX(LADEN_VOYAGE_DAYS,MATCH(CONCATENATE(X$4,X$5,X$7),LADEN_VOYAGE_ROUTES,0),MATCH(X$6,LADEN_VOYAGE_SHIPS,0)))),0)</f>
        <v>0</v>
      </c>
      <c r="Z79" s="349" t="n">
        <f aca="false">-(Y79)*HLOOKUP(X$5,TERMINAL_CHARGES,3,0)</f>
        <v>-0</v>
      </c>
      <c r="AA79" s="327" t="n">
        <f aca="false">+Y79+Z79</f>
        <v>0</v>
      </c>
      <c r="AB79" s="333"/>
      <c r="AC79" s="346" t="n">
        <f aca="false">+DATE(YEAR(AC78),MONTH(AC78)+1,1)</f>
        <v>38565</v>
      </c>
      <c r="AD79" s="343" t="n">
        <f aca="false">+AA79*(VLOOKUP(AC79,CURVECALC!$C$6:$J$312,4,0)+AE$5)</f>
        <v>0</v>
      </c>
      <c r="AE79" s="350" t="n">
        <f aca="false">-W79*INDEX(ship_curves,MATCH(AC79,'SHIP CURVES'!$A$9:$A$316,0),MATCH(CONCATENATE(AG$4,AG$5,AG$6,AG$7),'SHIP CURVES'!$A$9:$AZ$9,0))</f>
        <v>-0</v>
      </c>
      <c r="AF79" s="351" t="n">
        <f aca="false">-Y79*INDEX(port_processing_fee,MATCH(AC79,PORTS!$H$626:$H$933,0),MATCH(AG$5,PORTS!$H$626:$Z$626,0))</f>
        <v>-0</v>
      </c>
      <c r="AG79" s="352" t="n">
        <f aca="false">(((VLOOKUP(AC79,curvecalc,4,0))*IF(W79=0,0,AA79/W79)-INDEX(ship_curves,MATCH(AC79,'SHIP CURVES'!$A$9:$A$316,0),MATCH(CONCATENATE(AG$4,AG$5,AG$6,AG$7),'SHIP CURVES'!$A$9:$Z$9,0))-INDEX(terminal_curves,MATCH(AC79,'TERMINAL CURVES'!$A$4:$A$313,0),MATCH(AG$5,'TERMINAL CURVES'!$A$4:$N$4,0))*IF(W79=0,0,Y79/W79))-(AE$8)*((AE$7-$N$5)-(INDEX(ship_curves,MATCH(AC79,'SHIP CURVES'!$A$9:$A$316,0),MATCH(CONCATENATE(AG$4,AG$5,AG$6,AG$7),'SHIP CURVES'!$A$9:$Z$9,0))-INDEX(ship_curves,MATCH(AC79,'SHIP CURVES'!$A$9:$A$316,0),MATCH(CONCATENATE(AG$4,AE$6,AG$6,AG$7),'SHIP CURVES'!$A$9:$Z$9,0)))-(INDEX(terminal_curves,MATCH(AC79,'TERMINAL CURVES'!$A$4:$A$313,0),MATCH(AG$5,'TERMINAL CURVES'!$A$4:$N$4,0))-INDEX(terminal_curves,MATCH(AC79,'TERMINAL CURVES'!$A$4:$A$313,0),MATCH(AE$6,'TERMINAL CURVES'!$A$4:$N$4,0)))*IF(W79=0,0,Y79/W79)))*-W79</f>
        <v>0</v>
      </c>
      <c r="AH79" s="356" t="n">
        <f aca="false">SUM(AE79:AG79)</f>
        <v>0</v>
      </c>
      <c r="AI79" s="357" t="n">
        <f aca="false">(-Y79/((HLOOKUP(AG$5,port_specs,2,0)/(365.25))*(AC80-AC79)))*(INDEX(fixed_capacity_charge,MATCH(AC79,PORTS!$H$11:$H$317,0),MATCH(AG$5,PORTS!$H$11:$N$11,0))+INDEX(variable_om_charge,MATCH(AC79,PORTS!$H$318:$H$625,0),MATCH(AG$5,PORTS!$H$318:$N$318,0)))</f>
        <v>-0</v>
      </c>
      <c r="AJ79" s="343" t="n">
        <f aca="false">+AI79+AH79</f>
        <v>0</v>
      </c>
      <c r="AK79" s="355" t="n">
        <f aca="false">+AJ79+AD79</f>
        <v>0</v>
      </c>
      <c r="AM79" s="346" t="n">
        <f aca="false">+DATE(YEAR(AM78),MONTH(AM78)+1,1)</f>
        <v>38565</v>
      </c>
      <c r="AN79" s="327" t="n">
        <f aca="false">+AP79/(1-HLOOKUP(AO$6,SHIPS,7,0)*INDEX(LADEN_VOYAGE_DAYS,MATCH(CONCATENATE(AO$4,AO$5),LADEN_VOYAGE_ROUTES,0),MATCH(AO$6,LADEN_VOYAGE_SHIPS,0)))</f>
        <v>5395761.47735991</v>
      </c>
      <c r="AO79" s="347" t="n">
        <f aca="false">+AP79-AN79</f>
        <v>-56655.4955122788</v>
      </c>
      <c r="AP79" s="348" t="n">
        <f aca="false">+IF(AND(AO$8&lt;=AM79,AO$9&gt;=AM79),+MIN($B79-SUMIF($H$17:AO$17,AP$17,$H79:AO79),((INDEX(ROUTE_PER_DAY_BY_SHIP,MATCH(CONCATENATE(AO$4,AO$5,AO$7),ROUTE_PER_DAY_ROUTES,0),MATCH(AO$6,ROUTE_PER_DAY_SHIPS,0))*(AM80-AM79))-(INDEX(ROUTE_PER_DAY_BY_SHIP,MATCH(CONCATENATE(AO$4,AO$5,AO$7),ROUTE_PER_DAY_ROUTES,0),MATCH(AO$6,ROUTE_PER_DAY_SHIPS,0))*(AM80-AM79))*HLOOKUP(AO$6,SHIPS,7,0)*INDEX(LADEN_VOYAGE_DAYS,MATCH(CONCATENATE(AO$4,AO$5,AO$7),LADEN_VOYAGE_ROUTES,0),MATCH(AO$6,LADEN_VOYAGE_SHIPS,0)))),0)</f>
        <v>5339105.98184763</v>
      </c>
      <c r="AQ79" s="349" t="n">
        <f aca="false">-(AP79)*PORTS!$I$6</f>
        <v>-133477.649546191</v>
      </c>
      <c r="AR79" s="327" t="n">
        <f aca="false">+AP79+AQ79</f>
        <v>5205628.33230144</v>
      </c>
      <c r="AS79" s="333"/>
      <c r="AT79" s="346" t="n">
        <f aca="false">+DATE(YEAR(AT78),MONTH(AT78)+1,1)</f>
        <v>38565</v>
      </c>
      <c r="AU79" s="343" t="n">
        <f aca="false">+AR79*(VLOOKUP(AT79,CURVECALC!$C$6:$J$312,4,0)+AV$5)</f>
        <v>16257177.2817774</v>
      </c>
      <c r="AV79" s="350" t="n">
        <f aca="false">-AN79*INDEX(ship_curves,MATCH(AT79,'SHIP CURVES'!$A$9:$A$316,0),MATCH(CONCATENATE(AX$4,AX$5,AX$6,AX$7),'SHIP CURVES'!$A$9:$AZ$9,0))</f>
        <v>-1765688.23571485</v>
      </c>
      <c r="AW79" s="351" t="n">
        <f aca="false">-AP79*INDEX(port_processing_fee,MATCH(AT79,PORTS!$H$626:$H$933,0),MATCH(AX$5,PORTS!$H$626:$Z$626,0))</f>
        <v>-150703.379780907</v>
      </c>
      <c r="AX79" s="352" t="n">
        <f aca="false">(((VLOOKUP(AT79,curvecalc,4,0))*IF(AN79=0,0,AR79/AN79)-INDEX(ship_curves,MATCH(AT79,'SHIP CURVES'!$A$9:$A$316,0),MATCH(CONCATENATE(AX$4,AX$5,AX$6,AX$7),'SHIP CURVES'!$A$9:$Z$9,0))-INDEX(terminal_curves,MATCH(AT79,'TERMINAL CURVES'!$A$4:$A$313,0),MATCH(AX$5,'TERMINAL CURVES'!$A$4:$N$4,0))*IF(AN79=0,0,AP79/AN79))-(AV$8)*((AV$7-$N$5)-(INDEX(ship_curves,MATCH(AT79,'SHIP CURVES'!$A$9:$A$316,0),MATCH(CONCATENATE(AX$4,AX$5,AX$6,AX$7),'SHIP CURVES'!$A$9:$Z$9,0))-INDEX(ship_curves,MATCH(AT79,'SHIP CURVES'!$A$9:$A$316,0),MATCH(CONCATENATE(AX$4,AV$6,AX$6,AX$7),'SHIP CURVES'!$A$9:$Z$9,0)))-(INDEX(terminal_curves,MATCH(AT79,'TERMINAL CURVES'!$A$4:$A$313,0),MATCH(AX$5,'TERMINAL CURVES'!$A$4:$N$4,0))-INDEX(terminal_curves,MATCH(AT79,'TERMINAL CURVES'!$A$4:$A$313,0),MATCH(AV$6,'TERMINAL CURVES'!$A$4:$N$4,0)))*IF(AN79=0,0,AP79/AN79)))*-AN79</f>
        <v>-13265981.481459</v>
      </c>
      <c r="AY79" s="356" t="n">
        <f aca="false">SUM(AV79:AX79)</f>
        <v>-15182373.0969548</v>
      </c>
      <c r="AZ79" s="357" t="n">
        <f aca="false">(-AP79/((HLOOKUP(AX$5,port_specs,2,0)/(365.25))*(AT80-AT79)))*(INDEX(fixed_capacity_charge,MATCH(AT79,PORTS!$H$11:$H$317,0),MATCH(AX$5,PORTS!$H$11:$N$11,0))+INDEX(variable_om_charge,MATCH(AT79,PORTS!$H$318:$H$625,0),MATCH(AX$5,PORTS!$H$318:$N$318,0)))</f>
        <v>-970691.618176614</v>
      </c>
      <c r="BA79" s="343" t="n">
        <f aca="false">+AZ79+AY79</f>
        <v>-16153064.7151314</v>
      </c>
      <c r="BB79" s="355" t="n">
        <f aca="false">+BA79+AU79</f>
        <v>104112.566646032</v>
      </c>
      <c r="BC79" s="99"/>
      <c r="BD79" s="357" t="n">
        <f aca="false">+PORTS!I73+PORTS!I381</f>
        <v>970691.618176614</v>
      </c>
    </row>
    <row r="80" customFormat="false" ht="12.75" hidden="false" customHeight="false" outlineLevel="0" collapsed="false">
      <c r="A80" s="346" t="n">
        <f aca="false">+DATE(YEAR(A79),MONTH(A79)+1,1)</f>
        <v>38596</v>
      </c>
      <c r="B80" s="327" t="n">
        <f aca="false">+IF(AND($A80&gt;=$C$8,$A80&lt;=$C$9),1,0)*PORTS!$I$5/(365.25)*(A81-A80)</f>
        <v>5166876.75662674</v>
      </c>
      <c r="C80" s="328" t="n">
        <f aca="false">+B80-(SUMIF($F$17:$IV$17,$H$17,$F80:$IV80))</f>
        <v>0</v>
      </c>
      <c r="D80" s="0" t="n">
        <f aca="false">+YEAR(E80)</f>
        <v>2005</v>
      </c>
      <c r="E80" s="346" t="n">
        <f aca="false">+DATE(YEAR(E79),MONTH(E79)+1,1)</f>
        <v>38596</v>
      </c>
      <c r="F80" s="327" t="n">
        <f aca="false">+IF(AND(G$8&lt;=E80,G$9&gt;=E80),INDEX(ROUTE_PER_DAY_BY_SHIP,MATCH(CONCATENATE(G$4,G$5,G$7),ROUTE_PER_DAY_ROUTES,0),MATCH(G$6,ROUTE_PER_DAY_SHIPS,0))*(E81-E80),0)</f>
        <v>0</v>
      </c>
      <c r="G80" s="347" t="n">
        <f aca="false">-F80*HLOOKUP(G$6,SHIPS,7,0)*INDEX(LADEN_VOYAGE_DAYS,MATCH(CONCATENATE(G$4,G$5,G$7),LADEN_VOYAGE_ROUTES,0),MATCH(G$6,LADEN_VOYAGE_SHIPS,0))</f>
        <v>-0</v>
      </c>
      <c r="H80" s="348" t="n">
        <f aca="false">SUM(F80:G80)</f>
        <v>0</v>
      </c>
      <c r="I80" s="349" t="n">
        <f aca="false">-(H80)*HLOOKUP(G$5,TERMINAL_CHARGES,3,0)</f>
        <v>-0</v>
      </c>
      <c r="J80" s="327" t="n">
        <f aca="false">+H80+I80</f>
        <v>0</v>
      </c>
      <c r="K80" s="333"/>
      <c r="L80" s="346" t="n">
        <f aca="false">+DATE(YEAR(L79),MONTH(L79)+1,1)</f>
        <v>38596</v>
      </c>
      <c r="M80" s="334" t="n">
        <f aca="false">+J80*(VLOOKUP(L80,CURVECALC!$C$6:$J$312,4,0)+N$5)</f>
        <v>0</v>
      </c>
      <c r="N80" s="350" t="n">
        <f aca="false">-F80*INDEX(ship_curves,MATCH(L80,'SHIP CURVES'!$A$9:$A$316,0),MATCH(CONCATENATE(P$4,P$5,P$6,P$7),'SHIP CURVES'!$A$9:$AZ$9,0))</f>
        <v>-0</v>
      </c>
      <c r="O80" s="351" t="n">
        <f aca="false">-H80*INDEX(port_processing_fee,MATCH(L80,PORTS!$H$626:$H$933,0),MATCH(P$5,PORTS!$H$626:$Z$626,0))</f>
        <v>-0</v>
      </c>
      <c r="P80" s="352" t="n">
        <f aca="false">(((VLOOKUP(L80,curvecalc,4,0))*IF(F80=0,0,J80/F80)-INDEX(ship_curves,MATCH(L80,'SHIP CURVES'!$A$9:$A$316,0),MATCH(CONCATENATE(P$4,P$5,P$6,P$7),'SHIP CURVES'!$A$9:$Z$9,0))-INDEX(terminal_curves,MATCH(L80,'TERMINAL CURVES'!$A$4:$A$313,0),MATCH(P$5,'TERMINAL CURVES'!$A$4:$N$4,0))*IF(F80=0,0,H80/F80))-(N$8)*((N$7-$N$5)-(INDEX(ship_curves,MATCH(L80,'SHIP CURVES'!$A$9:$A$316,0),MATCH(CONCATENATE(P$4,P$5,P$6,P$7),'SHIP CURVES'!$A$9:$Z$9,0))-INDEX(ship_curves,MATCH(L80,'SHIP CURVES'!$A$9:$A$316,0),MATCH(CONCATENATE(P$4,N$6,P$6,P$7),'SHIP CURVES'!$A$9:$Z$9,0)))-(INDEX(terminal_curves,MATCH(L80,'TERMINAL CURVES'!$A$4:$A$313,0),MATCH(P$5,'TERMINAL CURVES'!$A$4:$N$4,0))-INDEX(terminal_curves,MATCH(L80,'TERMINAL CURVES'!$A$4:$A$313,0),MATCH(N$6,'TERMINAL CURVES'!$A$4:$N$4,0)))*IF(F80=0,0,H80/F80)))*-F80</f>
        <v>0</v>
      </c>
      <c r="Q80" s="353" t="n">
        <f aca="false">SUM(N80:P80)</f>
        <v>0</v>
      </c>
      <c r="R80" s="357" t="n">
        <f aca="false">(-H80/((HLOOKUP(P$5,port_specs,2,0)/(365.25))*(L81-L80)))*(INDEX(fixed_capacity_charge,MATCH(L80,PORTS!$H$11:$H$317,0),MATCH(P$5,PORTS!$H$11:$N$11,0))+INDEX(variable_om_charge,MATCH(L80,PORTS!$H$318:$H$625,0),MATCH(P$5,PORTS!$H$318:$N$318,0)))</f>
        <v>-0</v>
      </c>
      <c r="S80" s="343" t="n">
        <f aca="false">+R80+Q80</f>
        <v>0</v>
      </c>
      <c r="T80" s="355" t="n">
        <f aca="false">+S80+M80</f>
        <v>0</v>
      </c>
      <c r="U80" s="342"/>
      <c r="V80" s="346" t="n">
        <f aca="false">+DATE(YEAR(V79),MONTH(V79)+1,1)</f>
        <v>38596</v>
      </c>
      <c r="W80" s="327" t="n">
        <f aca="false">+Y80/(1-HLOOKUP(X$6,SHIPS,7,0)*INDEX(LADEN_VOYAGE_DAYS,MATCH(CONCATENATE(X$4,X$5),LADEN_VOYAGE_ROUTES,0),MATCH(X$6,LADEN_VOYAGE_SHIPS,0)))</f>
        <v>0</v>
      </c>
      <c r="X80" s="347" t="n">
        <f aca="false">+Y80-W80</f>
        <v>0</v>
      </c>
      <c r="Y80" s="348" t="n">
        <f aca="false">+IF(AND(X$8&lt;=V80,X$9&gt;=V80),+MIN($B80-SUMIF($H$17:X$17,Y$17,$H80:X80),((INDEX(ROUTE_PER_DAY_BY_SHIP,MATCH(CONCATENATE(X$4,X$5,X$7),ROUTE_PER_DAY_ROUTES,0),MATCH(X$6,ROUTE_PER_DAY_SHIPS,0))*(V81-V80))-(INDEX(ROUTE_PER_DAY_BY_SHIP,MATCH(CONCATENATE(X$4,X$5,X$7),ROUTE_PER_DAY_ROUTES,0),MATCH(X$6,ROUTE_PER_DAY_SHIPS,0))*(V81-V80))*HLOOKUP(X$6,SHIPS,7,0)*INDEX(LADEN_VOYAGE_DAYS,MATCH(CONCATENATE(X$4,X$5,X$7),LADEN_VOYAGE_ROUTES,0),MATCH(X$6,LADEN_VOYAGE_SHIPS,0)))),0)</f>
        <v>0</v>
      </c>
      <c r="Z80" s="349" t="n">
        <f aca="false">-(Y80)*HLOOKUP(X$5,TERMINAL_CHARGES,3,0)</f>
        <v>-0</v>
      </c>
      <c r="AA80" s="327" t="n">
        <f aca="false">+Y80+Z80</f>
        <v>0</v>
      </c>
      <c r="AB80" s="333"/>
      <c r="AC80" s="346" t="n">
        <f aca="false">+DATE(YEAR(AC79),MONTH(AC79)+1,1)</f>
        <v>38596</v>
      </c>
      <c r="AD80" s="343" t="n">
        <f aca="false">+AA80*(VLOOKUP(AC80,CURVECALC!$C$6:$J$312,4,0)+AE$5)</f>
        <v>0</v>
      </c>
      <c r="AE80" s="350" t="n">
        <f aca="false">-W80*INDEX(ship_curves,MATCH(AC80,'SHIP CURVES'!$A$9:$A$316,0),MATCH(CONCATENATE(AG$4,AG$5,AG$6,AG$7),'SHIP CURVES'!$A$9:$AZ$9,0))</f>
        <v>-0</v>
      </c>
      <c r="AF80" s="351" t="n">
        <f aca="false">-Y80*INDEX(port_processing_fee,MATCH(AC80,PORTS!$H$626:$H$933,0),MATCH(AG$5,PORTS!$H$626:$Z$626,0))</f>
        <v>-0</v>
      </c>
      <c r="AG80" s="352" t="n">
        <f aca="false">(((VLOOKUP(AC80,curvecalc,4,0))*IF(W80=0,0,AA80/W80)-INDEX(ship_curves,MATCH(AC80,'SHIP CURVES'!$A$9:$A$316,0),MATCH(CONCATENATE(AG$4,AG$5,AG$6,AG$7),'SHIP CURVES'!$A$9:$Z$9,0))-INDEX(terminal_curves,MATCH(AC80,'TERMINAL CURVES'!$A$4:$A$313,0),MATCH(AG$5,'TERMINAL CURVES'!$A$4:$N$4,0))*IF(W80=0,0,Y80/W80))-(AE$8)*((AE$7-$N$5)-(INDEX(ship_curves,MATCH(AC80,'SHIP CURVES'!$A$9:$A$316,0),MATCH(CONCATENATE(AG$4,AG$5,AG$6,AG$7),'SHIP CURVES'!$A$9:$Z$9,0))-INDEX(ship_curves,MATCH(AC80,'SHIP CURVES'!$A$9:$A$316,0),MATCH(CONCATENATE(AG$4,AE$6,AG$6,AG$7),'SHIP CURVES'!$A$9:$Z$9,0)))-(INDEX(terminal_curves,MATCH(AC80,'TERMINAL CURVES'!$A$4:$A$313,0),MATCH(AG$5,'TERMINAL CURVES'!$A$4:$N$4,0))-INDEX(terminal_curves,MATCH(AC80,'TERMINAL CURVES'!$A$4:$A$313,0),MATCH(AE$6,'TERMINAL CURVES'!$A$4:$N$4,0)))*IF(W80=0,0,Y80/W80)))*-W80</f>
        <v>0</v>
      </c>
      <c r="AH80" s="356" t="n">
        <f aca="false">SUM(AE80:AG80)</f>
        <v>0</v>
      </c>
      <c r="AI80" s="357" t="n">
        <f aca="false">(-Y80/((HLOOKUP(AG$5,port_specs,2,0)/(365.25))*(AC81-AC80)))*(INDEX(fixed_capacity_charge,MATCH(AC80,PORTS!$H$11:$H$317,0),MATCH(AG$5,PORTS!$H$11:$N$11,0))+INDEX(variable_om_charge,MATCH(AC80,PORTS!$H$318:$H$625,0),MATCH(AG$5,PORTS!$H$318:$N$318,0)))</f>
        <v>-0</v>
      </c>
      <c r="AJ80" s="343" t="n">
        <f aca="false">+AI80+AH80</f>
        <v>0</v>
      </c>
      <c r="AK80" s="355" t="n">
        <f aca="false">+AJ80+AD80</f>
        <v>0</v>
      </c>
      <c r="AM80" s="346" t="n">
        <f aca="false">+DATE(YEAR(AM79),MONTH(AM79)+1,1)</f>
        <v>38596</v>
      </c>
      <c r="AN80" s="327" t="n">
        <f aca="false">+AP80/(1-HLOOKUP(AO$6,SHIPS,7,0)*INDEX(LADEN_VOYAGE_DAYS,MATCH(CONCATENATE(AO$4,AO$5),LADEN_VOYAGE_ROUTES,0),MATCH(AO$6,LADEN_VOYAGE_SHIPS,0)))</f>
        <v>5221704.65550959</v>
      </c>
      <c r="AO80" s="347" t="n">
        <f aca="false">+AP80-AN80</f>
        <v>-54827.8988828501</v>
      </c>
      <c r="AP80" s="348" t="n">
        <f aca="false">+IF(AND(AO$8&lt;=AM80,AO$9&gt;=AM80),+MIN($B80-SUMIF($H$17:AO$17,AP$17,$H80:AO80),((INDEX(ROUTE_PER_DAY_BY_SHIP,MATCH(CONCATENATE(AO$4,AO$5,AO$7),ROUTE_PER_DAY_ROUTES,0),MATCH(AO$6,ROUTE_PER_DAY_SHIPS,0))*(AM81-AM80))-(INDEX(ROUTE_PER_DAY_BY_SHIP,MATCH(CONCATENATE(AO$4,AO$5,AO$7),ROUTE_PER_DAY_ROUTES,0),MATCH(AO$6,ROUTE_PER_DAY_SHIPS,0))*(AM81-AM80))*HLOOKUP(AO$6,SHIPS,7,0)*INDEX(LADEN_VOYAGE_DAYS,MATCH(CONCATENATE(AO$4,AO$5,AO$7),LADEN_VOYAGE_ROUTES,0),MATCH(AO$6,LADEN_VOYAGE_SHIPS,0)))),0)</f>
        <v>5166876.75662674</v>
      </c>
      <c r="AQ80" s="349" t="n">
        <f aca="false">-(AP80)*PORTS!$I$6</f>
        <v>-129171.918915669</v>
      </c>
      <c r="AR80" s="327" t="n">
        <f aca="false">+AP80+AQ80</f>
        <v>5037704.83771107</v>
      </c>
      <c r="AS80" s="333"/>
      <c r="AT80" s="346" t="n">
        <f aca="false">+DATE(YEAR(AT79),MONTH(AT79)+1,1)</f>
        <v>38596</v>
      </c>
      <c r="AU80" s="343" t="n">
        <f aca="false">+AR80*(VLOOKUP(AT80,CURVECALC!$C$6:$J$312,4,0)+AV$5)</f>
        <v>15672299.7501192</v>
      </c>
      <c r="AV80" s="350" t="n">
        <f aca="false">-AN80*INDEX(ship_curves,MATCH(AT80,'SHIP CURVES'!$A$9:$A$316,0),MATCH(CONCATENATE(AX$4,AX$5,AX$6,AX$7),'SHIP CURVES'!$A$9:$AZ$9,0))</f>
        <v>-1709197.80978191</v>
      </c>
      <c r="AW80" s="351" t="n">
        <f aca="false">-AP80*INDEX(port_processing_fee,MATCH(AT80,PORTS!$H$626:$H$933,0),MATCH(AX$5,PORTS!$H$626:$Z$626,0))</f>
        <v>-145993.899162754</v>
      </c>
      <c r="AX80" s="352" t="n">
        <f aca="false">(((VLOOKUP(AT80,curvecalc,4,0))*IF(AN80=0,0,AR80/AN80)-INDEX(ship_curves,MATCH(AT80,'SHIP CURVES'!$A$9:$A$316,0),MATCH(CONCATENATE(AX$4,AX$5,AX$6,AX$7),'SHIP CURVES'!$A$9:$Z$9,0))-INDEX(terminal_curves,MATCH(AT80,'TERMINAL CURVES'!$A$4:$A$313,0),MATCH(AX$5,'TERMINAL CURVES'!$A$4:$N$4,0))*IF(AN80=0,0,AP80/AN80))-(AV$8)*((AV$7-$N$5)-(INDEX(ship_curves,MATCH(AT80,'SHIP CURVES'!$A$9:$A$316,0),MATCH(CONCATENATE(AX$4,AX$5,AX$6,AX$7),'SHIP CURVES'!$A$9:$Z$9,0))-INDEX(ship_curves,MATCH(AT80,'SHIP CURVES'!$A$9:$A$316,0),MATCH(CONCATENATE(AX$4,AV$6,AX$6,AX$7),'SHIP CURVES'!$A$9:$Z$9,0)))-(INDEX(terminal_curves,MATCH(AT80,'TERMINAL CURVES'!$A$4:$A$313,0),MATCH(AX$5,'TERMINAL CURVES'!$A$4:$N$4,0))-INDEX(terminal_curves,MATCH(AT80,'TERMINAL CURVES'!$A$4:$A$313,0),MATCH(AV$6,'TERMINAL CURVES'!$A$4:$N$4,0)))*IF(AN80=0,0,AP80/AN80)))*-AN80</f>
        <v>-12745156.5918194</v>
      </c>
      <c r="AY80" s="356" t="n">
        <f aca="false">SUM(AV80:AX80)</f>
        <v>-14600348.3007641</v>
      </c>
      <c r="AZ80" s="357" t="n">
        <f aca="false">(-AP80/((HLOOKUP(AX$5,port_specs,2,0)/(365.25))*(AT81-AT80)))*(INDEX(fixed_capacity_charge,MATCH(AT80,PORTS!$H$11:$H$317,0),MATCH(AX$5,PORTS!$H$11:$N$11,0))+INDEX(variable_om_charge,MATCH(AT80,PORTS!$H$318:$H$625,0),MATCH(AX$5,PORTS!$H$318:$N$318,0)))</f>
        <v>-971197.352600852</v>
      </c>
      <c r="BA80" s="343" t="n">
        <f aca="false">+AZ80+AY80</f>
        <v>-15571545.6533649</v>
      </c>
      <c r="BB80" s="355" t="n">
        <f aca="false">+BA80+AU80</f>
        <v>100754.096754221</v>
      </c>
      <c r="BC80" s="99"/>
      <c r="BD80" s="357" t="n">
        <f aca="false">+PORTS!I74+PORTS!I382</f>
        <v>971197.352600852</v>
      </c>
    </row>
    <row r="81" customFormat="false" ht="12.75" hidden="false" customHeight="false" outlineLevel="0" collapsed="false">
      <c r="A81" s="346" t="n">
        <f aca="false">+DATE(YEAR(A80),MONTH(A80)+1,1)</f>
        <v>38626</v>
      </c>
      <c r="B81" s="327" t="n">
        <f aca="false">+IF(AND($A81&gt;=$C$8,$A81&lt;=$C$9),1,0)*PORTS!$I$5/(365.25)*(A82-A81)</f>
        <v>5339105.98184763</v>
      </c>
      <c r="C81" s="328" t="n">
        <f aca="false">+B81-(SUMIF($F$17:$IV$17,$H$17,$F81:$IV81))</f>
        <v>0</v>
      </c>
      <c r="D81" s="0" t="n">
        <f aca="false">+YEAR(E81)</f>
        <v>2005</v>
      </c>
      <c r="E81" s="346" t="n">
        <f aca="false">+DATE(YEAR(E80),MONTH(E80)+1,1)</f>
        <v>38626</v>
      </c>
      <c r="F81" s="327" t="n">
        <f aca="false">+IF(AND(G$8&lt;=E81,G$9&gt;=E81),INDEX(ROUTE_PER_DAY_BY_SHIP,MATCH(CONCATENATE(G$4,G$5,G$7),ROUTE_PER_DAY_ROUTES,0),MATCH(G$6,ROUTE_PER_DAY_SHIPS,0))*(E82-E81),0)</f>
        <v>0</v>
      </c>
      <c r="G81" s="347" t="n">
        <f aca="false">-F81*HLOOKUP(G$6,SHIPS,7,0)*INDEX(LADEN_VOYAGE_DAYS,MATCH(CONCATENATE(G$4,G$5,G$7),LADEN_VOYAGE_ROUTES,0),MATCH(G$6,LADEN_VOYAGE_SHIPS,0))</f>
        <v>-0</v>
      </c>
      <c r="H81" s="348" t="n">
        <f aca="false">SUM(F81:G81)</f>
        <v>0</v>
      </c>
      <c r="I81" s="349" t="n">
        <f aca="false">-(H81)*HLOOKUP(G$5,TERMINAL_CHARGES,3,0)</f>
        <v>-0</v>
      </c>
      <c r="J81" s="327" t="n">
        <f aca="false">+H81+I81</f>
        <v>0</v>
      </c>
      <c r="K81" s="333"/>
      <c r="L81" s="346" t="n">
        <f aca="false">+DATE(YEAR(L80),MONTH(L80)+1,1)</f>
        <v>38626</v>
      </c>
      <c r="M81" s="334" t="n">
        <f aca="false">+J81*(VLOOKUP(L81,CURVECALC!$C$6:$J$312,4,0)+N$5)</f>
        <v>0</v>
      </c>
      <c r="N81" s="350" t="n">
        <f aca="false">-F81*INDEX(ship_curves,MATCH(L81,'SHIP CURVES'!$A$9:$A$316,0),MATCH(CONCATENATE(P$4,P$5,P$6,P$7),'SHIP CURVES'!$A$9:$AZ$9,0))</f>
        <v>-0</v>
      </c>
      <c r="O81" s="351" t="n">
        <f aca="false">-H81*INDEX(port_processing_fee,MATCH(L81,PORTS!$H$626:$H$933,0),MATCH(P$5,PORTS!$H$626:$Z$626,0))</f>
        <v>-0</v>
      </c>
      <c r="P81" s="352" t="n">
        <f aca="false">(((VLOOKUP(L81,curvecalc,4,0))*IF(F81=0,0,J81/F81)-INDEX(ship_curves,MATCH(L81,'SHIP CURVES'!$A$9:$A$316,0),MATCH(CONCATENATE(P$4,P$5,P$6,P$7),'SHIP CURVES'!$A$9:$Z$9,0))-INDEX(terminal_curves,MATCH(L81,'TERMINAL CURVES'!$A$4:$A$313,0),MATCH(P$5,'TERMINAL CURVES'!$A$4:$N$4,0))*IF(F81=0,0,H81/F81))-(N$8)*((N$7-$N$5)-(INDEX(ship_curves,MATCH(L81,'SHIP CURVES'!$A$9:$A$316,0),MATCH(CONCATENATE(P$4,P$5,P$6,P$7),'SHIP CURVES'!$A$9:$Z$9,0))-INDEX(ship_curves,MATCH(L81,'SHIP CURVES'!$A$9:$A$316,0),MATCH(CONCATENATE(P$4,N$6,P$6,P$7),'SHIP CURVES'!$A$9:$Z$9,0)))-(INDEX(terminal_curves,MATCH(L81,'TERMINAL CURVES'!$A$4:$A$313,0),MATCH(P$5,'TERMINAL CURVES'!$A$4:$N$4,0))-INDEX(terminal_curves,MATCH(L81,'TERMINAL CURVES'!$A$4:$A$313,0),MATCH(N$6,'TERMINAL CURVES'!$A$4:$N$4,0)))*IF(F81=0,0,H81/F81)))*-F81</f>
        <v>0</v>
      </c>
      <c r="Q81" s="353" t="n">
        <f aca="false">SUM(N81:P81)</f>
        <v>0</v>
      </c>
      <c r="R81" s="357" t="n">
        <f aca="false">(-H81/((HLOOKUP(P$5,port_specs,2,0)/(365.25))*(L82-L81)))*(INDEX(fixed_capacity_charge,MATCH(L81,PORTS!$H$11:$H$317,0),MATCH(P$5,PORTS!$H$11:$N$11,0))+INDEX(variable_om_charge,MATCH(L81,PORTS!$H$318:$H$625,0),MATCH(P$5,PORTS!$H$318:$N$318,0)))</f>
        <v>-0</v>
      </c>
      <c r="S81" s="343" t="n">
        <f aca="false">+R81+Q81</f>
        <v>0</v>
      </c>
      <c r="T81" s="355" t="n">
        <f aca="false">+S81+M81</f>
        <v>0</v>
      </c>
      <c r="U81" s="342"/>
      <c r="V81" s="346" t="n">
        <f aca="false">+DATE(YEAR(V80),MONTH(V80)+1,1)</f>
        <v>38626</v>
      </c>
      <c r="W81" s="327" t="n">
        <f aca="false">+Y81/(1-HLOOKUP(X$6,SHIPS,7,0)*INDEX(LADEN_VOYAGE_DAYS,MATCH(CONCATENATE(X$4,X$5),LADEN_VOYAGE_ROUTES,0),MATCH(X$6,LADEN_VOYAGE_SHIPS,0)))</f>
        <v>0</v>
      </c>
      <c r="X81" s="347" t="n">
        <f aca="false">+Y81-W81</f>
        <v>0</v>
      </c>
      <c r="Y81" s="348" t="n">
        <f aca="false">+IF(AND(X$8&lt;=V81,X$9&gt;=V81),+MIN($B81-SUMIF($H$17:X$17,Y$17,$H81:X81),((INDEX(ROUTE_PER_DAY_BY_SHIP,MATCH(CONCATENATE(X$4,X$5,X$7),ROUTE_PER_DAY_ROUTES,0),MATCH(X$6,ROUTE_PER_DAY_SHIPS,0))*(V82-V81))-(INDEX(ROUTE_PER_DAY_BY_SHIP,MATCH(CONCATENATE(X$4,X$5,X$7),ROUTE_PER_DAY_ROUTES,0),MATCH(X$6,ROUTE_PER_DAY_SHIPS,0))*(V82-V81))*HLOOKUP(X$6,SHIPS,7,0)*INDEX(LADEN_VOYAGE_DAYS,MATCH(CONCATENATE(X$4,X$5,X$7),LADEN_VOYAGE_ROUTES,0),MATCH(X$6,LADEN_VOYAGE_SHIPS,0)))),0)</f>
        <v>0</v>
      </c>
      <c r="Z81" s="349" t="n">
        <f aca="false">-(Y81)*HLOOKUP(X$5,TERMINAL_CHARGES,3,0)</f>
        <v>-0</v>
      </c>
      <c r="AA81" s="327" t="n">
        <f aca="false">+Y81+Z81</f>
        <v>0</v>
      </c>
      <c r="AB81" s="333"/>
      <c r="AC81" s="346" t="n">
        <f aca="false">+DATE(YEAR(AC80),MONTH(AC80)+1,1)</f>
        <v>38626</v>
      </c>
      <c r="AD81" s="343" t="n">
        <f aca="false">+AA81*(VLOOKUP(AC81,CURVECALC!$C$6:$J$312,4,0)+AE$5)</f>
        <v>0</v>
      </c>
      <c r="AE81" s="350" t="n">
        <f aca="false">-W81*INDEX(ship_curves,MATCH(AC81,'SHIP CURVES'!$A$9:$A$316,0),MATCH(CONCATENATE(AG$4,AG$5,AG$6,AG$7),'SHIP CURVES'!$A$9:$AZ$9,0))</f>
        <v>-0</v>
      </c>
      <c r="AF81" s="351" t="n">
        <f aca="false">-Y81*INDEX(port_processing_fee,MATCH(AC81,PORTS!$H$626:$H$933,0),MATCH(AG$5,PORTS!$H$626:$Z$626,0))</f>
        <v>-0</v>
      </c>
      <c r="AG81" s="352" t="n">
        <f aca="false">(((VLOOKUP(AC81,curvecalc,4,0))*IF(W81=0,0,AA81/W81)-INDEX(ship_curves,MATCH(AC81,'SHIP CURVES'!$A$9:$A$316,0),MATCH(CONCATENATE(AG$4,AG$5,AG$6,AG$7),'SHIP CURVES'!$A$9:$Z$9,0))-INDEX(terminal_curves,MATCH(AC81,'TERMINAL CURVES'!$A$4:$A$313,0),MATCH(AG$5,'TERMINAL CURVES'!$A$4:$N$4,0))*IF(W81=0,0,Y81/W81))-(AE$8)*((AE$7-$N$5)-(INDEX(ship_curves,MATCH(AC81,'SHIP CURVES'!$A$9:$A$316,0),MATCH(CONCATENATE(AG$4,AG$5,AG$6,AG$7),'SHIP CURVES'!$A$9:$Z$9,0))-INDEX(ship_curves,MATCH(AC81,'SHIP CURVES'!$A$9:$A$316,0),MATCH(CONCATENATE(AG$4,AE$6,AG$6,AG$7),'SHIP CURVES'!$A$9:$Z$9,0)))-(INDEX(terminal_curves,MATCH(AC81,'TERMINAL CURVES'!$A$4:$A$313,0),MATCH(AG$5,'TERMINAL CURVES'!$A$4:$N$4,0))-INDEX(terminal_curves,MATCH(AC81,'TERMINAL CURVES'!$A$4:$A$313,0),MATCH(AE$6,'TERMINAL CURVES'!$A$4:$N$4,0)))*IF(W81=0,0,Y81/W81)))*-W81</f>
        <v>0</v>
      </c>
      <c r="AH81" s="356" t="n">
        <f aca="false">SUM(AE81:AG81)</f>
        <v>0</v>
      </c>
      <c r="AI81" s="357" t="n">
        <f aca="false">(-Y81/((HLOOKUP(AG$5,port_specs,2,0)/(365.25))*(AC82-AC81)))*(INDEX(fixed_capacity_charge,MATCH(AC81,PORTS!$H$11:$H$317,0),MATCH(AG$5,PORTS!$H$11:$N$11,0))+INDEX(variable_om_charge,MATCH(AC81,PORTS!$H$318:$H$625,0),MATCH(AG$5,PORTS!$H$318:$N$318,0)))</f>
        <v>-0</v>
      </c>
      <c r="AJ81" s="343" t="n">
        <f aca="false">+AI81+AH81</f>
        <v>0</v>
      </c>
      <c r="AK81" s="355" t="n">
        <f aca="false">+AJ81+AD81</f>
        <v>0</v>
      </c>
      <c r="AM81" s="346" t="n">
        <f aca="false">+DATE(YEAR(AM80),MONTH(AM80)+1,1)</f>
        <v>38626</v>
      </c>
      <c r="AN81" s="327" t="n">
        <f aca="false">+AP81/(1-HLOOKUP(AO$6,SHIPS,7,0)*INDEX(LADEN_VOYAGE_DAYS,MATCH(CONCATENATE(AO$4,AO$5),LADEN_VOYAGE_ROUTES,0),MATCH(AO$6,LADEN_VOYAGE_SHIPS,0)))</f>
        <v>5395761.47735991</v>
      </c>
      <c r="AO81" s="347" t="n">
        <f aca="false">+AP81-AN81</f>
        <v>-56655.4955122788</v>
      </c>
      <c r="AP81" s="348" t="n">
        <f aca="false">+IF(AND(AO$8&lt;=AM81,AO$9&gt;=AM81),+MIN($B81-SUMIF($H$17:AO$17,AP$17,$H81:AO81),((INDEX(ROUTE_PER_DAY_BY_SHIP,MATCH(CONCATENATE(AO$4,AO$5,AO$7),ROUTE_PER_DAY_ROUTES,0),MATCH(AO$6,ROUTE_PER_DAY_SHIPS,0))*(AM82-AM81))-(INDEX(ROUTE_PER_DAY_BY_SHIP,MATCH(CONCATENATE(AO$4,AO$5,AO$7),ROUTE_PER_DAY_ROUTES,0),MATCH(AO$6,ROUTE_PER_DAY_SHIPS,0))*(AM82-AM81))*HLOOKUP(AO$6,SHIPS,7,0)*INDEX(LADEN_VOYAGE_DAYS,MATCH(CONCATENATE(AO$4,AO$5,AO$7),LADEN_VOYAGE_ROUTES,0),MATCH(AO$6,LADEN_VOYAGE_SHIPS,0)))),0)</f>
        <v>5339105.98184763</v>
      </c>
      <c r="AQ81" s="349" t="n">
        <f aca="false">-(AP81)*PORTS!$I$6</f>
        <v>-133477.649546191</v>
      </c>
      <c r="AR81" s="327" t="n">
        <f aca="false">+AP81+AQ81</f>
        <v>5205628.33230144</v>
      </c>
      <c r="AS81" s="333"/>
      <c r="AT81" s="346" t="n">
        <f aca="false">+DATE(YEAR(AT80),MONTH(AT80)+1,1)</f>
        <v>38626</v>
      </c>
      <c r="AU81" s="343" t="n">
        <f aca="false">+AR81*(VLOOKUP(AT81,CURVECALC!$C$6:$J$312,4,0)+AV$5)</f>
        <v>16288411.0517712</v>
      </c>
      <c r="AV81" s="350" t="n">
        <f aca="false">-AN81*INDEX(ship_curves,MATCH(AT81,'SHIP CURVES'!$A$9:$A$316,0),MATCH(CONCATENATE(AX$4,AX$5,AX$6,AX$7),'SHIP CURVES'!$A$9:$AZ$9,0))</f>
        <v>-1766654.91040608</v>
      </c>
      <c r="AW81" s="351" t="n">
        <f aca="false">-AP81*INDEX(port_processing_fee,MATCH(AT81,PORTS!$H$626:$H$933,0),MATCH(AX$5,PORTS!$H$626:$Z$626,0))</f>
        <v>-151017.508679083</v>
      </c>
      <c r="AX81" s="352" t="n">
        <f aca="false">(((VLOOKUP(AT81,curvecalc,4,0))*IF(AN81=0,0,AR81/AN81)-INDEX(ship_curves,MATCH(AT81,'SHIP CURVES'!$A$9:$A$316,0),MATCH(CONCATENATE(AX$4,AX$5,AX$6,AX$7),'SHIP CURVES'!$A$9:$Z$9,0))-INDEX(terminal_curves,MATCH(AT81,'TERMINAL CURVES'!$A$4:$A$313,0),MATCH(AX$5,'TERMINAL CURVES'!$A$4:$N$4,0))*IF(AN81=0,0,AP81/AN81))-(AV$8)*((AV$7-$N$5)-(INDEX(ship_curves,MATCH(AT81,'SHIP CURVES'!$A$9:$A$316,0),MATCH(CONCATENATE(AX$4,AX$5,AX$6,AX$7),'SHIP CURVES'!$A$9:$Z$9,0))-INDEX(ship_curves,MATCH(AT81,'SHIP CURVES'!$A$9:$A$316,0),MATCH(CONCATENATE(AX$4,AV$6,AX$6,AX$7),'SHIP CURVES'!$A$9:$Z$9,0)))-(INDEX(terminal_curves,MATCH(AT81,'TERMINAL CURVES'!$A$4:$A$313,0),MATCH(AX$5,'TERMINAL CURVES'!$A$4:$N$4,0))-INDEX(terminal_curves,MATCH(AT81,'TERMINAL CURVES'!$A$4:$A$313,0),MATCH(AV$6,'TERMINAL CURVES'!$A$4:$N$4,0)))*IF(AN81=0,0,AP81/AN81)))*-AN81</f>
        <v>-13294922.4522082</v>
      </c>
      <c r="AY81" s="356" t="n">
        <f aca="false">SUM(AV81:AX81)</f>
        <v>-15212594.8712934</v>
      </c>
      <c r="AZ81" s="357" t="n">
        <f aca="false">(-AP81/((HLOOKUP(AX$5,port_specs,2,0)/(365.25))*(AT82-AT81)))*(INDEX(fixed_capacity_charge,MATCH(AT81,PORTS!$H$11:$H$317,0),MATCH(AX$5,PORTS!$H$11:$N$11,0))+INDEX(variable_om_charge,MATCH(AT81,PORTS!$H$318:$H$625,0),MATCH(AX$5,PORTS!$H$318:$N$318,0)))</f>
        <v>-971703.613831782</v>
      </c>
      <c r="BA81" s="343" t="n">
        <f aca="false">+AZ81+AY81</f>
        <v>-16184298.4851252</v>
      </c>
      <c r="BB81" s="355" t="n">
        <f aca="false">+BA81+AU81</f>
        <v>104112.566646028</v>
      </c>
      <c r="BC81" s="99"/>
      <c r="BD81" s="357" t="n">
        <f aca="false">+PORTS!I75+PORTS!I383</f>
        <v>971703.613831782</v>
      </c>
    </row>
    <row r="82" customFormat="false" ht="12.75" hidden="false" customHeight="false" outlineLevel="0" collapsed="false">
      <c r="A82" s="346" t="n">
        <f aca="false">+DATE(YEAR(A81),MONTH(A81)+1,1)</f>
        <v>38657</v>
      </c>
      <c r="B82" s="327" t="n">
        <f aca="false">+IF(AND($A82&gt;=$C$8,$A82&lt;=$C$9),1,0)*PORTS!$I$5/(365.25)*(A83-A82)</f>
        <v>5166876.75662674</v>
      </c>
      <c r="C82" s="328" t="n">
        <f aca="false">+B82-(SUMIF($F$17:$IV$17,$H$17,$F82:$IV82))</f>
        <v>0</v>
      </c>
      <c r="D82" s="0" t="n">
        <f aca="false">+YEAR(E82)</f>
        <v>2005</v>
      </c>
      <c r="E82" s="346" t="n">
        <f aca="false">+DATE(YEAR(E81),MONTH(E81)+1,1)</f>
        <v>38657</v>
      </c>
      <c r="F82" s="327" t="n">
        <f aca="false">+IF(AND(G$8&lt;=E82,G$9&gt;=E82),INDEX(ROUTE_PER_DAY_BY_SHIP,MATCH(CONCATENATE(G$4,G$5,G$7),ROUTE_PER_DAY_ROUTES,0),MATCH(G$6,ROUTE_PER_DAY_SHIPS,0))*(E83-E82),0)</f>
        <v>0</v>
      </c>
      <c r="G82" s="347" t="n">
        <f aca="false">-F82*HLOOKUP(G$6,SHIPS,7,0)*INDEX(LADEN_VOYAGE_DAYS,MATCH(CONCATENATE(G$4,G$5,G$7),LADEN_VOYAGE_ROUTES,0),MATCH(G$6,LADEN_VOYAGE_SHIPS,0))</f>
        <v>-0</v>
      </c>
      <c r="H82" s="348" t="n">
        <f aca="false">SUM(F82:G82)</f>
        <v>0</v>
      </c>
      <c r="I82" s="349" t="n">
        <f aca="false">-(H82)*HLOOKUP(G$5,TERMINAL_CHARGES,3,0)</f>
        <v>-0</v>
      </c>
      <c r="J82" s="327" t="n">
        <f aca="false">+H82+I82</f>
        <v>0</v>
      </c>
      <c r="K82" s="333"/>
      <c r="L82" s="346" t="n">
        <f aca="false">+DATE(YEAR(L81),MONTH(L81)+1,1)</f>
        <v>38657</v>
      </c>
      <c r="M82" s="334" t="n">
        <f aca="false">+J82*(VLOOKUP(L82,CURVECALC!$C$6:$J$312,4,0)+N$5)</f>
        <v>0</v>
      </c>
      <c r="N82" s="350" t="n">
        <f aca="false">-F82*INDEX(ship_curves,MATCH(L82,'SHIP CURVES'!$A$9:$A$316,0),MATCH(CONCATENATE(P$4,P$5,P$6,P$7),'SHIP CURVES'!$A$9:$AZ$9,0))</f>
        <v>-0</v>
      </c>
      <c r="O82" s="351" t="n">
        <f aca="false">-H82*INDEX(port_processing_fee,MATCH(L82,PORTS!$H$626:$H$933,0),MATCH(P$5,PORTS!$H$626:$Z$626,0))</f>
        <v>-0</v>
      </c>
      <c r="P82" s="352" t="n">
        <f aca="false">(((VLOOKUP(L82,curvecalc,4,0))*IF(F82=0,0,J82/F82)-INDEX(ship_curves,MATCH(L82,'SHIP CURVES'!$A$9:$A$316,0),MATCH(CONCATENATE(P$4,P$5,P$6,P$7),'SHIP CURVES'!$A$9:$Z$9,0))-INDEX(terminal_curves,MATCH(L82,'TERMINAL CURVES'!$A$4:$A$313,0),MATCH(P$5,'TERMINAL CURVES'!$A$4:$N$4,0))*IF(F82=0,0,H82/F82))-(N$8)*((N$7-$N$5)-(INDEX(ship_curves,MATCH(L82,'SHIP CURVES'!$A$9:$A$316,0),MATCH(CONCATENATE(P$4,P$5,P$6,P$7),'SHIP CURVES'!$A$9:$Z$9,0))-INDEX(ship_curves,MATCH(L82,'SHIP CURVES'!$A$9:$A$316,0),MATCH(CONCATENATE(P$4,N$6,P$6,P$7),'SHIP CURVES'!$A$9:$Z$9,0)))-(INDEX(terminal_curves,MATCH(L82,'TERMINAL CURVES'!$A$4:$A$313,0),MATCH(P$5,'TERMINAL CURVES'!$A$4:$N$4,0))-INDEX(terminal_curves,MATCH(L82,'TERMINAL CURVES'!$A$4:$A$313,0),MATCH(N$6,'TERMINAL CURVES'!$A$4:$N$4,0)))*IF(F82=0,0,H82/F82)))*-F82</f>
        <v>0</v>
      </c>
      <c r="Q82" s="353" t="n">
        <f aca="false">SUM(N82:P82)</f>
        <v>0</v>
      </c>
      <c r="R82" s="357" t="n">
        <f aca="false">(-H82/((HLOOKUP(P$5,port_specs,2,0)/(365.25))*(L83-L82)))*(INDEX(fixed_capacity_charge,MATCH(L82,PORTS!$H$11:$H$317,0),MATCH(P$5,PORTS!$H$11:$N$11,0))+INDEX(variable_om_charge,MATCH(L82,PORTS!$H$318:$H$625,0),MATCH(P$5,PORTS!$H$318:$N$318,0)))</f>
        <v>-0</v>
      </c>
      <c r="S82" s="343" t="n">
        <f aca="false">+R82+Q82</f>
        <v>0</v>
      </c>
      <c r="T82" s="355" t="n">
        <f aca="false">+S82+M82</f>
        <v>0</v>
      </c>
      <c r="U82" s="342"/>
      <c r="V82" s="346" t="n">
        <f aca="false">+DATE(YEAR(V81),MONTH(V81)+1,1)</f>
        <v>38657</v>
      </c>
      <c r="W82" s="327" t="n">
        <f aca="false">+Y82/(1-HLOOKUP(X$6,SHIPS,7,0)*INDEX(LADEN_VOYAGE_DAYS,MATCH(CONCATENATE(X$4,X$5),LADEN_VOYAGE_ROUTES,0),MATCH(X$6,LADEN_VOYAGE_SHIPS,0)))</f>
        <v>0</v>
      </c>
      <c r="X82" s="347" t="n">
        <f aca="false">+Y82-W82</f>
        <v>0</v>
      </c>
      <c r="Y82" s="348" t="n">
        <f aca="false">+IF(AND(X$8&lt;=V82,X$9&gt;=V82),+MIN($B82-SUMIF($H$17:X$17,Y$17,$H82:X82),((INDEX(ROUTE_PER_DAY_BY_SHIP,MATCH(CONCATENATE(X$4,X$5,X$7),ROUTE_PER_DAY_ROUTES,0),MATCH(X$6,ROUTE_PER_DAY_SHIPS,0))*(V83-V82))-(INDEX(ROUTE_PER_DAY_BY_SHIP,MATCH(CONCATENATE(X$4,X$5,X$7),ROUTE_PER_DAY_ROUTES,0),MATCH(X$6,ROUTE_PER_DAY_SHIPS,0))*(V83-V82))*HLOOKUP(X$6,SHIPS,7,0)*INDEX(LADEN_VOYAGE_DAYS,MATCH(CONCATENATE(X$4,X$5,X$7),LADEN_VOYAGE_ROUTES,0),MATCH(X$6,LADEN_VOYAGE_SHIPS,0)))),0)</f>
        <v>0</v>
      </c>
      <c r="Z82" s="349" t="n">
        <f aca="false">-(Y82)*HLOOKUP(X$5,TERMINAL_CHARGES,3,0)</f>
        <v>-0</v>
      </c>
      <c r="AA82" s="327" t="n">
        <f aca="false">+Y82+Z82</f>
        <v>0</v>
      </c>
      <c r="AB82" s="333"/>
      <c r="AC82" s="346" t="n">
        <f aca="false">+DATE(YEAR(AC81),MONTH(AC81)+1,1)</f>
        <v>38657</v>
      </c>
      <c r="AD82" s="343" t="n">
        <f aca="false">+AA82*(VLOOKUP(AC82,CURVECALC!$C$6:$J$312,4,0)+AE$5)</f>
        <v>0</v>
      </c>
      <c r="AE82" s="350" t="n">
        <f aca="false">-W82*INDEX(ship_curves,MATCH(AC82,'SHIP CURVES'!$A$9:$A$316,0),MATCH(CONCATENATE(AG$4,AG$5,AG$6,AG$7),'SHIP CURVES'!$A$9:$AZ$9,0))</f>
        <v>-0</v>
      </c>
      <c r="AF82" s="351" t="n">
        <f aca="false">-Y82*INDEX(port_processing_fee,MATCH(AC82,PORTS!$H$626:$H$933,0),MATCH(AG$5,PORTS!$H$626:$Z$626,0))</f>
        <v>-0</v>
      </c>
      <c r="AG82" s="352" t="n">
        <f aca="false">(((VLOOKUP(AC82,curvecalc,4,0))*IF(W82=0,0,AA82/W82)-INDEX(ship_curves,MATCH(AC82,'SHIP CURVES'!$A$9:$A$316,0),MATCH(CONCATENATE(AG$4,AG$5,AG$6,AG$7),'SHIP CURVES'!$A$9:$Z$9,0))-INDEX(terminal_curves,MATCH(AC82,'TERMINAL CURVES'!$A$4:$A$313,0),MATCH(AG$5,'TERMINAL CURVES'!$A$4:$N$4,0))*IF(W82=0,0,Y82/W82))-(AE$8)*((AE$7-$N$5)-(INDEX(ship_curves,MATCH(AC82,'SHIP CURVES'!$A$9:$A$316,0),MATCH(CONCATENATE(AG$4,AG$5,AG$6,AG$7),'SHIP CURVES'!$A$9:$Z$9,0))-INDEX(ship_curves,MATCH(AC82,'SHIP CURVES'!$A$9:$A$316,0),MATCH(CONCATENATE(AG$4,AE$6,AG$6,AG$7),'SHIP CURVES'!$A$9:$Z$9,0)))-(INDEX(terminal_curves,MATCH(AC82,'TERMINAL CURVES'!$A$4:$A$313,0),MATCH(AG$5,'TERMINAL CURVES'!$A$4:$N$4,0))-INDEX(terminal_curves,MATCH(AC82,'TERMINAL CURVES'!$A$4:$A$313,0),MATCH(AE$6,'TERMINAL CURVES'!$A$4:$N$4,0)))*IF(W82=0,0,Y82/W82)))*-W82</f>
        <v>0</v>
      </c>
      <c r="AH82" s="356" t="n">
        <f aca="false">SUM(AE82:AG82)</f>
        <v>0</v>
      </c>
      <c r="AI82" s="357" t="n">
        <f aca="false">(-Y82/((HLOOKUP(AG$5,port_specs,2,0)/(365.25))*(AC83-AC82)))*(INDEX(fixed_capacity_charge,MATCH(AC82,PORTS!$H$11:$H$317,0),MATCH(AG$5,PORTS!$H$11:$N$11,0))+INDEX(variable_om_charge,MATCH(AC82,PORTS!$H$318:$H$625,0),MATCH(AG$5,PORTS!$H$318:$N$318,0)))</f>
        <v>-0</v>
      </c>
      <c r="AJ82" s="343" t="n">
        <f aca="false">+AI82+AH82</f>
        <v>0</v>
      </c>
      <c r="AK82" s="355" t="n">
        <f aca="false">+AJ82+AD82</f>
        <v>0</v>
      </c>
      <c r="AM82" s="346" t="n">
        <f aca="false">+DATE(YEAR(AM81),MONTH(AM81)+1,1)</f>
        <v>38657</v>
      </c>
      <c r="AN82" s="327" t="n">
        <f aca="false">+AP82/(1-HLOOKUP(AO$6,SHIPS,7,0)*INDEX(LADEN_VOYAGE_DAYS,MATCH(CONCATENATE(AO$4,AO$5),LADEN_VOYAGE_ROUTES,0),MATCH(AO$6,LADEN_VOYAGE_SHIPS,0)))</f>
        <v>5221704.65550959</v>
      </c>
      <c r="AO82" s="347" t="n">
        <f aca="false">+AP82-AN82</f>
        <v>-54827.8988828501</v>
      </c>
      <c r="AP82" s="348" t="n">
        <f aca="false">+IF(AND(AO$8&lt;=AM82,AO$9&gt;=AM82),+MIN($B82-SUMIF($H$17:AO$17,AP$17,$H82:AO82),((INDEX(ROUTE_PER_DAY_BY_SHIP,MATCH(CONCATENATE(AO$4,AO$5,AO$7),ROUTE_PER_DAY_ROUTES,0),MATCH(AO$6,ROUTE_PER_DAY_SHIPS,0))*(AM83-AM82))-(INDEX(ROUTE_PER_DAY_BY_SHIP,MATCH(CONCATENATE(AO$4,AO$5,AO$7),ROUTE_PER_DAY_ROUTES,0),MATCH(AO$6,ROUTE_PER_DAY_SHIPS,0))*(AM83-AM82))*HLOOKUP(AO$6,SHIPS,7,0)*INDEX(LADEN_VOYAGE_DAYS,MATCH(CONCATENATE(AO$4,AO$5,AO$7),LADEN_VOYAGE_ROUTES,0),MATCH(AO$6,LADEN_VOYAGE_SHIPS,0)))),0)</f>
        <v>5166876.75662674</v>
      </c>
      <c r="AQ82" s="349" t="n">
        <f aca="false">-(AP82)*PORTS!$I$6</f>
        <v>-129171.918915669</v>
      </c>
      <c r="AR82" s="327" t="n">
        <f aca="false">+AP82+AQ82</f>
        <v>5037704.83771107</v>
      </c>
      <c r="AS82" s="333"/>
      <c r="AT82" s="346" t="n">
        <f aca="false">+DATE(YEAR(AT81),MONTH(AT81)+1,1)</f>
        <v>38657</v>
      </c>
      <c r="AU82" s="343" t="n">
        <f aca="false">+AR82*(VLOOKUP(AT82,CURVECALC!$C$6:$J$312,4,0)+AV$5)</f>
        <v>16261711.2161313</v>
      </c>
      <c r="AV82" s="350" t="n">
        <f aca="false">-AN82*INDEX(ship_curves,MATCH(AT82,'SHIP CURVES'!$A$9:$A$316,0),MATCH(CONCATENATE(AX$4,AX$5,AX$6,AX$7),'SHIP CURVES'!$A$9:$AZ$9,0))</f>
        <v>-1710135.25035949</v>
      </c>
      <c r="AW82" s="351" t="n">
        <f aca="false">-AP82*INDEX(port_processing_fee,MATCH(AT82,PORTS!$H$626:$H$933,0),MATCH(AX$5,PORTS!$H$626:$Z$626,0))</f>
        <v>-146298.211532862</v>
      </c>
      <c r="AX82" s="352" t="n">
        <f aca="false">(((VLOOKUP(AT82,curvecalc,4,0))*IF(AN82=0,0,AR82/AN82)-INDEX(ship_curves,MATCH(AT82,'SHIP CURVES'!$A$9:$A$316,0),MATCH(CONCATENATE(AX$4,AX$5,AX$6,AX$7),'SHIP CURVES'!$A$9:$Z$9,0))-INDEX(terminal_curves,MATCH(AT82,'TERMINAL CURVES'!$A$4:$A$313,0),MATCH(AX$5,'TERMINAL CURVES'!$A$4:$N$4,0))*IF(AN82=0,0,AP82/AN82))-(AV$8)*((AV$7-$N$5)-(INDEX(ship_curves,MATCH(AT82,'SHIP CURVES'!$A$9:$A$316,0),MATCH(CONCATENATE(AX$4,AX$5,AX$6,AX$7),'SHIP CURVES'!$A$9:$Z$9,0))-INDEX(ship_curves,MATCH(AT82,'SHIP CURVES'!$A$9:$A$316,0),MATCH(CONCATENATE(AX$4,AV$6,AX$6,AX$7),'SHIP CURVES'!$A$9:$Z$9,0)))-(INDEX(terminal_curves,MATCH(AT82,'TERMINAL CURVES'!$A$4:$A$313,0),MATCH(AX$5,'TERMINAL CURVES'!$A$4:$N$4,0))-INDEX(terminal_curves,MATCH(AT82,'TERMINAL CURVES'!$A$4:$A$313,0),MATCH(AV$6,'TERMINAL CURVES'!$A$4:$N$4,0)))*IF(AN82=0,0,AP82/AN82)))*-AN82</f>
        <v>-13332313.2550666</v>
      </c>
      <c r="AY82" s="356" t="n">
        <f aca="false">SUM(AV82:AX82)</f>
        <v>-15188746.716959</v>
      </c>
      <c r="AZ82" s="357" t="n">
        <f aca="false">(-AP82/((HLOOKUP(AX$5,port_specs,2,0)/(365.25))*(AT83-AT82)))*(INDEX(fixed_capacity_charge,MATCH(AT82,PORTS!$H$11:$H$317,0),MATCH(AX$5,PORTS!$H$11:$N$11,0))+INDEX(variable_om_charge,MATCH(AT82,PORTS!$H$318:$H$625,0),MATCH(AX$5,PORTS!$H$318:$N$318,0)))</f>
        <v>-972210.40241816</v>
      </c>
      <c r="BA82" s="343" t="n">
        <f aca="false">+AZ82+AY82</f>
        <v>-16160957.1193771</v>
      </c>
      <c r="BB82" s="355" t="n">
        <f aca="false">+BA82+AU82</f>
        <v>100754.096754223</v>
      </c>
      <c r="BC82" s="99"/>
      <c r="BD82" s="357" t="n">
        <f aca="false">+PORTS!I76+PORTS!I384</f>
        <v>972210.40241816</v>
      </c>
    </row>
    <row r="83" customFormat="false" ht="12.75" hidden="false" customHeight="false" outlineLevel="0" collapsed="false">
      <c r="A83" s="346" t="n">
        <f aca="false">+DATE(YEAR(A82),MONTH(A82)+1,1)</f>
        <v>38687</v>
      </c>
      <c r="B83" s="327" t="n">
        <f aca="false">+IF(AND($A83&gt;=$C$8,$A83&lt;=$C$9),1,0)*PORTS!$I$5/(365.25)*(A84-A83)</f>
        <v>5339105.98184763</v>
      </c>
      <c r="C83" s="328" t="n">
        <f aca="false">+B83-(SUMIF($F$17:$IV$17,$H$17,$F83:$IV83))</f>
        <v>0</v>
      </c>
      <c r="D83" s="0" t="n">
        <f aca="false">+YEAR(E83)</f>
        <v>2005</v>
      </c>
      <c r="E83" s="346" t="n">
        <f aca="false">+DATE(YEAR(E82),MONTH(E82)+1,1)</f>
        <v>38687</v>
      </c>
      <c r="F83" s="327" t="n">
        <f aca="false">+IF(AND(G$8&lt;=E83,G$9&gt;=E83),INDEX(ROUTE_PER_DAY_BY_SHIP,MATCH(CONCATENATE(G$4,G$5,G$7),ROUTE_PER_DAY_ROUTES,0),MATCH(G$6,ROUTE_PER_DAY_SHIPS,0))*(E84-E83),0)</f>
        <v>0</v>
      </c>
      <c r="G83" s="347" t="n">
        <f aca="false">-F83*HLOOKUP(G$6,SHIPS,7,0)*INDEX(LADEN_VOYAGE_DAYS,MATCH(CONCATENATE(G$4,G$5,G$7),LADEN_VOYAGE_ROUTES,0),MATCH(G$6,LADEN_VOYAGE_SHIPS,0))</f>
        <v>-0</v>
      </c>
      <c r="H83" s="348" t="n">
        <f aca="false">SUM(F83:G83)</f>
        <v>0</v>
      </c>
      <c r="I83" s="349" t="n">
        <f aca="false">-(H83)*HLOOKUP(G$5,TERMINAL_CHARGES,3,0)</f>
        <v>-0</v>
      </c>
      <c r="J83" s="327" t="n">
        <f aca="false">+H83+I83</f>
        <v>0</v>
      </c>
      <c r="K83" s="333"/>
      <c r="L83" s="346" t="n">
        <f aca="false">+DATE(YEAR(L82),MONTH(L82)+1,1)</f>
        <v>38687</v>
      </c>
      <c r="M83" s="334" t="n">
        <f aca="false">+J83*(VLOOKUP(L83,CURVECALC!$C$6:$J$312,4,0)+N$5)</f>
        <v>0</v>
      </c>
      <c r="N83" s="350" t="n">
        <f aca="false">-F83*INDEX(ship_curves,MATCH(L83,'SHIP CURVES'!$A$9:$A$316,0),MATCH(CONCATENATE(P$4,P$5,P$6,P$7),'SHIP CURVES'!$A$9:$AZ$9,0))</f>
        <v>-0</v>
      </c>
      <c r="O83" s="351" t="n">
        <f aca="false">-H83*INDEX(port_processing_fee,MATCH(L83,PORTS!$H$626:$H$933,0),MATCH(P$5,PORTS!$H$626:$Z$626,0))</f>
        <v>-0</v>
      </c>
      <c r="P83" s="352" t="n">
        <f aca="false">(((VLOOKUP(L83,curvecalc,4,0))*IF(F83=0,0,J83/F83)-INDEX(ship_curves,MATCH(L83,'SHIP CURVES'!$A$9:$A$316,0),MATCH(CONCATENATE(P$4,P$5,P$6,P$7),'SHIP CURVES'!$A$9:$Z$9,0))-INDEX(terminal_curves,MATCH(L83,'TERMINAL CURVES'!$A$4:$A$313,0),MATCH(P$5,'TERMINAL CURVES'!$A$4:$N$4,0))*IF(F83=0,0,H83/F83))-(N$8)*((N$7-$N$5)-(INDEX(ship_curves,MATCH(L83,'SHIP CURVES'!$A$9:$A$316,0),MATCH(CONCATENATE(P$4,P$5,P$6,P$7),'SHIP CURVES'!$A$9:$Z$9,0))-INDEX(ship_curves,MATCH(L83,'SHIP CURVES'!$A$9:$A$316,0),MATCH(CONCATENATE(P$4,N$6,P$6,P$7),'SHIP CURVES'!$A$9:$Z$9,0)))-(INDEX(terminal_curves,MATCH(L83,'TERMINAL CURVES'!$A$4:$A$313,0),MATCH(P$5,'TERMINAL CURVES'!$A$4:$N$4,0))-INDEX(terminal_curves,MATCH(L83,'TERMINAL CURVES'!$A$4:$A$313,0),MATCH(N$6,'TERMINAL CURVES'!$A$4:$N$4,0)))*IF(F83=0,0,H83/F83)))*-F83</f>
        <v>0</v>
      </c>
      <c r="Q83" s="353" t="n">
        <f aca="false">SUM(N83:P83)</f>
        <v>0</v>
      </c>
      <c r="R83" s="357" t="n">
        <f aca="false">(-H83/((HLOOKUP(P$5,port_specs,2,0)/(365.25))*(L84-L83)))*(INDEX(fixed_capacity_charge,MATCH(L83,PORTS!$H$11:$H$317,0),MATCH(P$5,PORTS!$H$11:$N$11,0))+INDEX(variable_om_charge,MATCH(L83,PORTS!$H$318:$H$625,0),MATCH(P$5,PORTS!$H$318:$N$318,0)))</f>
        <v>-0</v>
      </c>
      <c r="S83" s="343" t="n">
        <f aca="false">+R83+Q83</f>
        <v>0</v>
      </c>
      <c r="T83" s="355" t="n">
        <f aca="false">+S83+M83</f>
        <v>0</v>
      </c>
      <c r="V83" s="346" t="n">
        <f aca="false">+DATE(YEAR(V82),MONTH(V82)+1,1)</f>
        <v>38687</v>
      </c>
      <c r="W83" s="327" t="n">
        <f aca="false">+Y83/(1-HLOOKUP(X$6,SHIPS,7,0)*INDEX(LADEN_VOYAGE_DAYS,MATCH(CONCATENATE(X$4,X$5),LADEN_VOYAGE_ROUTES,0),MATCH(X$6,LADEN_VOYAGE_SHIPS,0)))</f>
        <v>0</v>
      </c>
      <c r="X83" s="347" t="n">
        <f aca="false">+Y83-W83</f>
        <v>0</v>
      </c>
      <c r="Y83" s="348" t="n">
        <f aca="false">+IF(AND(X$8&lt;=V83,X$9&gt;=V83),+MIN($B83-SUMIF($H$17:X$17,Y$17,$H83:X83),((INDEX(ROUTE_PER_DAY_BY_SHIP,MATCH(CONCATENATE(X$4,X$5,X$7),ROUTE_PER_DAY_ROUTES,0),MATCH(X$6,ROUTE_PER_DAY_SHIPS,0))*(V84-V83))-(INDEX(ROUTE_PER_DAY_BY_SHIP,MATCH(CONCATENATE(X$4,X$5,X$7),ROUTE_PER_DAY_ROUTES,0),MATCH(X$6,ROUTE_PER_DAY_SHIPS,0))*(V84-V83))*HLOOKUP(X$6,SHIPS,7,0)*INDEX(LADEN_VOYAGE_DAYS,MATCH(CONCATENATE(X$4,X$5,X$7),LADEN_VOYAGE_ROUTES,0),MATCH(X$6,LADEN_VOYAGE_SHIPS,0)))),0)</f>
        <v>0</v>
      </c>
      <c r="Z83" s="349" t="n">
        <f aca="false">-(Y83)*HLOOKUP(X$5,TERMINAL_CHARGES,3,0)</f>
        <v>-0</v>
      </c>
      <c r="AA83" s="327" t="n">
        <f aca="false">+Y83+Z83</f>
        <v>0</v>
      </c>
      <c r="AB83" s="333"/>
      <c r="AC83" s="346" t="n">
        <f aca="false">+DATE(YEAR(AC82),MONTH(AC82)+1,1)</f>
        <v>38687</v>
      </c>
      <c r="AD83" s="343" t="n">
        <f aca="false">+AA83*(VLOOKUP(AC83,CURVECALC!$C$6:$J$312,4,0)+AE$5)</f>
        <v>0</v>
      </c>
      <c r="AE83" s="350" t="n">
        <f aca="false">-W83*INDEX(ship_curves,MATCH(AC83,'SHIP CURVES'!$A$9:$A$316,0),MATCH(CONCATENATE(AG$4,AG$5,AG$6,AG$7),'SHIP CURVES'!$A$9:$AZ$9,0))</f>
        <v>-0</v>
      </c>
      <c r="AF83" s="351" t="n">
        <f aca="false">-Y83*INDEX(port_processing_fee,MATCH(AC83,PORTS!$H$626:$H$933,0),MATCH(AG$5,PORTS!$H$626:$Z$626,0))</f>
        <v>-0</v>
      </c>
      <c r="AG83" s="352" t="n">
        <f aca="false">(((VLOOKUP(AC83,curvecalc,4,0))*IF(W83=0,0,AA83/W83)-INDEX(ship_curves,MATCH(AC83,'SHIP CURVES'!$A$9:$A$316,0),MATCH(CONCATENATE(AG$4,AG$5,AG$6,AG$7),'SHIP CURVES'!$A$9:$Z$9,0))-INDEX(terminal_curves,MATCH(AC83,'TERMINAL CURVES'!$A$4:$A$313,0),MATCH(AG$5,'TERMINAL CURVES'!$A$4:$N$4,0))*IF(W83=0,0,Y83/W83))-(AE$8)*((AE$7-$N$5)-(INDEX(ship_curves,MATCH(AC83,'SHIP CURVES'!$A$9:$A$316,0),MATCH(CONCATENATE(AG$4,AG$5,AG$6,AG$7),'SHIP CURVES'!$A$9:$Z$9,0))-INDEX(ship_curves,MATCH(AC83,'SHIP CURVES'!$A$9:$A$316,0),MATCH(CONCATENATE(AG$4,AE$6,AG$6,AG$7),'SHIP CURVES'!$A$9:$Z$9,0)))-(INDEX(terminal_curves,MATCH(AC83,'TERMINAL CURVES'!$A$4:$A$313,0),MATCH(AG$5,'TERMINAL CURVES'!$A$4:$N$4,0))-INDEX(terminal_curves,MATCH(AC83,'TERMINAL CURVES'!$A$4:$A$313,0),MATCH(AE$6,'TERMINAL CURVES'!$A$4:$N$4,0)))*IF(W83=0,0,Y83/W83)))*-W83</f>
        <v>0</v>
      </c>
      <c r="AH83" s="356" t="n">
        <f aca="false">SUM(AE83:AG83)</f>
        <v>0</v>
      </c>
      <c r="AI83" s="357" t="n">
        <f aca="false">(-Y83/((HLOOKUP(AG$5,port_specs,2,0)/(365.25))*(AC84-AC83)))*(INDEX(fixed_capacity_charge,MATCH(AC83,PORTS!$H$11:$H$317,0),MATCH(AG$5,PORTS!$H$11:$N$11,0))+INDEX(variable_om_charge,MATCH(AC83,PORTS!$H$318:$H$625,0),MATCH(AG$5,PORTS!$H$318:$N$318,0)))</f>
        <v>-0</v>
      </c>
      <c r="AJ83" s="343" t="n">
        <f aca="false">+AI83+AH83</f>
        <v>0</v>
      </c>
      <c r="AK83" s="355" t="n">
        <f aca="false">+AJ83+AD83</f>
        <v>0</v>
      </c>
      <c r="AM83" s="346" t="n">
        <f aca="false">+DATE(YEAR(AM82),MONTH(AM82)+1,1)</f>
        <v>38687</v>
      </c>
      <c r="AN83" s="327" t="n">
        <f aca="false">+AP83/(1-HLOOKUP(AO$6,SHIPS,7,0)*INDEX(LADEN_VOYAGE_DAYS,MATCH(CONCATENATE(AO$4,AO$5),LADEN_VOYAGE_ROUTES,0),MATCH(AO$6,LADEN_VOYAGE_SHIPS,0)))</f>
        <v>5395761.47735991</v>
      </c>
      <c r="AO83" s="347" t="n">
        <f aca="false">+AP83-AN83</f>
        <v>-56655.4955122788</v>
      </c>
      <c r="AP83" s="348" t="n">
        <f aca="false">+IF(AND(AO$8&lt;=AM83,AO$9&gt;=AM83),+MIN($B83-SUMIF($H$17:AO$17,AP$17,$H83:AO83),((INDEX(ROUTE_PER_DAY_BY_SHIP,MATCH(CONCATENATE(AO$4,AO$5,AO$7),ROUTE_PER_DAY_ROUTES,0),MATCH(AO$6,ROUTE_PER_DAY_SHIPS,0))*(AM84-AM83))-(INDEX(ROUTE_PER_DAY_BY_SHIP,MATCH(CONCATENATE(AO$4,AO$5,AO$7),ROUTE_PER_DAY_ROUTES,0),MATCH(AO$6,ROUTE_PER_DAY_SHIPS,0))*(AM84-AM83))*HLOOKUP(AO$6,SHIPS,7,0)*INDEX(LADEN_VOYAGE_DAYS,MATCH(CONCATENATE(AO$4,AO$5,AO$7),LADEN_VOYAGE_ROUTES,0),MATCH(AO$6,LADEN_VOYAGE_SHIPS,0)))),0)</f>
        <v>5339105.98184763</v>
      </c>
      <c r="AQ83" s="349" t="n">
        <f aca="false">-(AP83)*PORTS!$I$6</f>
        <v>-133477.649546191</v>
      </c>
      <c r="AR83" s="327" t="n">
        <f aca="false">+AP83+AQ83</f>
        <v>5205628.33230144</v>
      </c>
      <c r="AS83" s="333"/>
      <c r="AT83" s="346" t="n">
        <f aca="false">+DATE(YEAR(AT82),MONTH(AT82)+1,1)</f>
        <v>38687</v>
      </c>
      <c r="AU83" s="343" t="n">
        <f aca="false">+AR83*(VLOOKUP(AT83,CURVECALC!$C$6:$J$312,4,0)+AV$5)</f>
        <v>17319125.4615669</v>
      </c>
      <c r="AV83" s="350" t="n">
        <f aca="false">-AN83*INDEX(ship_curves,MATCH(AT83,'SHIP CURVES'!$A$9:$A$316,0),MATCH(CONCATENATE(AX$4,AX$5,AX$6,AX$7),'SHIP CURVES'!$A$9:$AZ$9,0))</f>
        <v>-1767625.61710416</v>
      </c>
      <c r="AW83" s="351" t="n">
        <f aca="false">-AP83*INDEX(port_processing_fee,MATCH(AT83,PORTS!$H$626:$H$933,0),MATCH(AX$5,PORTS!$H$626:$Z$626,0))</f>
        <v>-151332.292353315</v>
      </c>
      <c r="AX83" s="352" t="n">
        <f aca="false">(((VLOOKUP(AT83,curvecalc,4,0))*IF(AN83=0,0,AR83/AN83)-INDEX(ship_curves,MATCH(AT83,'SHIP CURVES'!$A$9:$A$316,0),MATCH(CONCATENATE(AX$4,AX$5,AX$6,AX$7),'SHIP CURVES'!$A$9:$Z$9,0))-INDEX(terminal_curves,MATCH(AT83,'TERMINAL CURVES'!$A$4:$A$313,0),MATCH(AX$5,'TERMINAL CURVES'!$A$4:$N$4,0))*IF(AN83=0,0,AP83/AN83))-(AV$8)*((AV$7-$N$5)-(INDEX(ship_curves,MATCH(AT83,'SHIP CURVES'!$A$9:$A$316,0),MATCH(CONCATENATE(AX$4,AX$5,AX$6,AX$7),'SHIP CURVES'!$A$9:$Z$9,0))-INDEX(ship_curves,MATCH(AT83,'SHIP CURVES'!$A$9:$A$316,0),MATCH(CONCATENATE(AX$4,AV$6,AX$6,AX$7),'SHIP CURVES'!$A$9:$Z$9,0)))-(INDEX(terminal_curves,MATCH(AT83,'TERMINAL CURVES'!$A$4:$A$313,0),MATCH(AX$5,'TERMINAL CURVES'!$A$4:$N$4,0))-INDEX(terminal_curves,MATCH(AT83,'TERMINAL CURVES'!$A$4:$A$313,0),MATCH(AV$6,'TERMINAL CURVES'!$A$4:$N$4,0)))*IF(AN83=0,0,AP83/AN83)))*-AN83</f>
        <v>-14323337.2665541</v>
      </c>
      <c r="AY83" s="356" t="n">
        <f aca="false">SUM(AV83:AX83)</f>
        <v>-16242295.1760116</v>
      </c>
      <c r="AZ83" s="357" t="n">
        <f aca="false">(-AP83/((HLOOKUP(AX$5,port_specs,2,0)/(365.25))*(AT84-AT83)))*(INDEX(fixed_capacity_charge,MATCH(AT83,PORTS!$H$11:$H$317,0),MATCH(AX$5,PORTS!$H$11:$N$11,0))+INDEX(variable_om_charge,MATCH(AT83,PORTS!$H$318:$H$625,0),MATCH(AX$5,PORTS!$H$318:$N$318,0)))</f>
        <v>-972717.718909317</v>
      </c>
      <c r="BA83" s="343" t="n">
        <f aca="false">+AZ83+AY83</f>
        <v>-17215012.8949209</v>
      </c>
      <c r="BB83" s="355" t="n">
        <f aca="false">+BA83+AU83</f>
        <v>104112.566646028</v>
      </c>
      <c r="BC83" s="99"/>
      <c r="BD83" s="357" t="n">
        <f aca="false">+PORTS!I77+PORTS!I385</f>
        <v>972717.718909317</v>
      </c>
    </row>
    <row r="84" customFormat="false" ht="12.75" hidden="false" customHeight="false" outlineLevel="0" collapsed="false">
      <c r="A84" s="346" t="n">
        <f aca="false">+DATE(YEAR(A83),MONTH(A83)+1,1)</f>
        <v>38718</v>
      </c>
      <c r="B84" s="327" t="n">
        <f aca="false">+IF(AND($A84&gt;=$C$8,$A84&lt;=$C$9),1,0)*PORTS!$I$5/(365.25)*(A85-A84)</f>
        <v>5339105.98184763</v>
      </c>
      <c r="C84" s="328" t="n">
        <f aca="false">+B84-(SUMIF($F$17:$IV$17,$H$17,$F84:$IV84))</f>
        <v>0</v>
      </c>
      <c r="D84" s="0" t="n">
        <f aca="false">+YEAR(E84)</f>
        <v>2006</v>
      </c>
      <c r="E84" s="346" t="n">
        <f aca="false">+DATE(YEAR(E83),MONTH(E83)+1,1)</f>
        <v>38718</v>
      </c>
      <c r="F84" s="327" t="n">
        <f aca="false">+IF(AND(G$8&lt;=E84,G$9&gt;=E84),INDEX(ROUTE_PER_DAY_BY_SHIP,MATCH(CONCATENATE(G$4,G$5,G$7),ROUTE_PER_DAY_ROUTES,0),MATCH(G$6,ROUTE_PER_DAY_SHIPS,0))*(E85-E84),0)</f>
        <v>0</v>
      </c>
      <c r="G84" s="347" t="n">
        <f aca="false">-F84*HLOOKUP(G$6,SHIPS,7,0)*INDEX(LADEN_VOYAGE_DAYS,MATCH(CONCATENATE(G$4,G$5,G$7),LADEN_VOYAGE_ROUTES,0),MATCH(G$6,LADEN_VOYAGE_SHIPS,0))</f>
        <v>-0</v>
      </c>
      <c r="H84" s="348" t="n">
        <f aca="false">SUM(F84:G84)</f>
        <v>0</v>
      </c>
      <c r="I84" s="349" t="n">
        <f aca="false">-(H84)*HLOOKUP(G$5,TERMINAL_CHARGES,3,0)</f>
        <v>-0</v>
      </c>
      <c r="J84" s="327" t="n">
        <f aca="false">+H84+I84</f>
        <v>0</v>
      </c>
      <c r="K84" s="333"/>
      <c r="L84" s="346" t="n">
        <f aca="false">+DATE(YEAR(L83),MONTH(L83)+1,1)</f>
        <v>38718</v>
      </c>
      <c r="M84" s="334" t="n">
        <f aca="false">+J84*(VLOOKUP(L84,CURVECALC!$C$6:$J$312,4,0)+N$5)</f>
        <v>0</v>
      </c>
      <c r="N84" s="350" t="n">
        <f aca="false">-F84*INDEX(ship_curves,MATCH(L84,'SHIP CURVES'!$A$9:$A$316,0),MATCH(CONCATENATE(P$4,P$5,P$6,P$7),'SHIP CURVES'!$A$9:$AZ$9,0))</f>
        <v>-0</v>
      </c>
      <c r="O84" s="351" t="n">
        <f aca="false">-H84*INDEX(port_processing_fee,MATCH(L84,PORTS!$H$626:$H$933,0),MATCH(P$5,PORTS!$H$626:$Z$626,0))</f>
        <v>-0</v>
      </c>
      <c r="P84" s="352" t="n">
        <f aca="false">(((VLOOKUP(L84,curvecalc,4,0))*IF(F84=0,0,J84/F84)-INDEX(ship_curves,MATCH(L84,'SHIP CURVES'!$A$9:$A$316,0),MATCH(CONCATENATE(P$4,P$5,P$6,P$7),'SHIP CURVES'!$A$9:$Z$9,0))-INDEX(terminal_curves,MATCH(L84,'TERMINAL CURVES'!$A$4:$A$313,0),MATCH(P$5,'TERMINAL CURVES'!$A$4:$N$4,0))*IF(F84=0,0,H84/F84))-(N$8)*((N$7-$N$5)-(INDEX(ship_curves,MATCH(L84,'SHIP CURVES'!$A$9:$A$316,0),MATCH(CONCATENATE(P$4,P$5,P$6,P$7),'SHIP CURVES'!$A$9:$Z$9,0))-INDEX(ship_curves,MATCH(L84,'SHIP CURVES'!$A$9:$A$316,0),MATCH(CONCATENATE(P$4,N$6,P$6,P$7),'SHIP CURVES'!$A$9:$Z$9,0)))-(INDEX(terminal_curves,MATCH(L84,'TERMINAL CURVES'!$A$4:$A$313,0),MATCH(P$5,'TERMINAL CURVES'!$A$4:$N$4,0))-INDEX(terminal_curves,MATCH(L84,'TERMINAL CURVES'!$A$4:$A$313,0),MATCH(N$6,'TERMINAL CURVES'!$A$4:$N$4,0)))*IF(F84=0,0,H84/F84)))*-F84</f>
        <v>0</v>
      </c>
      <c r="Q84" s="353" t="n">
        <f aca="false">SUM(N84:P84)</f>
        <v>0</v>
      </c>
      <c r="R84" s="357" t="n">
        <f aca="false">(-H84/((HLOOKUP(P$5,port_specs,2,0)/(365.25))*(L85-L84)))*(INDEX(fixed_capacity_charge,MATCH(L84,PORTS!$H$11:$H$317,0),MATCH(P$5,PORTS!$H$11:$N$11,0))+INDEX(variable_om_charge,MATCH(L84,PORTS!$H$318:$H$625,0),MATCH(P$5,PORTS!$H$318:$N$318,0)))</f>
        <v>-0</v>
      </c>
      <c r="S84" s="343" t="n">
        <f aca="false">+R84+Q84</f>
        <v>0</v>
      </c>
      <c r="T84" s="355" t="n">
        <f aca="false">+S84+M84</f>
        <v>0</v>
      </c>
      <c r="V84" s="346" t="n">
        <f aca="false">+DATE(YEAR(V83),MONTH(V83)+1,1)</f>
        <v>38718</v>
      </c>
      <c r="W84" s="327" t="n">
        <f aca="false">+Y84/(1-HLOOKUP(X$6,SHIPS,7,0)*INDEX(LADEN_VOYAGE_DAYS,MATCH(CONCATENATE(X$4,X$5),LADEN_VOYAGE_ROUTES,0),MATCH(X$6,LADEN_VOYAGE_SHIPS,0)))</f>
        <v>0</v>
      </c>
      <c r="X84" s="347" t="n">
        <f aca="false">+Y84-W84</f>
        <v>0</v>
      </c>
      <c r="Y84" s="348" t="n">
        <f aca="false">+IF(AND(X$8&lt;=V84,X$9&gt;=V84),+MIN($B84-SUMIF($H$17:X$17,Y$17,$H84:X84),((INDEX(ROUTE_PER_DAY_BY_SHIP,MATCH(CONCATENATE(X$4,X$5,X$7),ROUTE_PER_DAY_ROUTES,0),MATCH(X$6,ROUTE_PER_DAY_SHIPS,0))*(V85-V84))-(INDEX(ROUTE_PER_DAY_BY_SHIP,MATCH(CONCATENATE(X$4,X$5,X$7),ROUTE_PER_DAY_ROUTES,0),MATCH(X$6,ROUTE_PER_DAY_SHIPS,0))*(V85-V84))*HLOOKUP(X$6,SHIPS,7,0)*INDEX(LADEN_VOYAGE_DAYS,MATCH(CONCATENATE(X$4,X$5,X$7),LADEN_VOYAGE_ROUTES,0),MATCH(X$6,LADEN_VOYAGE_SHIPS,0)))),0)</f>
        <v>0</v>
      </c>
      <c r="Z84" s="349" t="n">
        <f aca="false">-(Y84)*HLOOKUP(X$5,TERMINAL_CHARGES,3,0)</f>
        <v>-0</v>
      </c>
      <c r="AA84" s="327" t="n">
        <f aca="false">+Y84+Z84</f>
        <v>0</v>
      </c>
      <c r="AB84" s="333"/>
      <c r="AC84" s="346" t="n">
        <f aca="false">+DATE(YEAR(AC83),MONTH(AC83)+1,1)</f>
        <v>38718</v>
      </c>
      <c r="AD84" s="343" t="n">
        <f aca="false">+AA84*(VLOOKUP(AC84,CURVECALC!$C$6:$J$312,4,0)+AE$5)</f>
        <v>0</v>
      </c>
      <c r="AE84" s="350" t="n">
        <f aca="false">-W84*INDEX(ship_curves,MATCH(AC84,'SHIP CURVES'!$A$9:$A$316,0),MATCH(CONCATENATE(AG$4,AG$5,AG$6,AG$7),'SHIP CURVES'!$A$9:$AZ$9,0))</f>
        <v>-0</v>
      </c>
      <c r="AF84" s="351" t="n">
        <f aca="false">-Y84*INDEX(port_processing_fee,MATCH(AC84,PORTS!$H$626:$H$933,0),MATCH(AG$5,PORTS!$H$626:$Z$626,0))</f>
        <v>-0</v>
      </c>
      <c r="AG84" s="352" t="n">
        <f aca="false">(((VLOOKUP(AC84,curvecalc,4,0))*IF(W84=0,0,AA84/W84)-INDEX(ship_curves,MATCH(AC84,'SHIP CURVES'!$A$9:$A$316,0),MATCH(CONCATENATE(AG$4,AG$5,AG$6,AG$7),'SHIP CURVES'!$A$9:$Z$9,0))-INDEX(terminal_curves,MATCH(AC84,'TERMINAL CURVES'!$A$4:$A$313,0),MATCH(AG$5,'TERMINAL CURVES'!$A$4:$N$4,0))*IF(W84=0,0,Y84/W84))-(AE$8)*((AE$7-$N$5)-(INDEX(ship_curves,MATCH(AC84,'SHIP CURVES'!$A$9:$A$316,0),MATCH(CONCATENATE(AG$4,AG$5,AG$6,AG$7),'SHIP CURVES'!$A$9:$Z$9,0))-INDEX(ship_curves,MATCH(AC84,'SHIP CURVES'!$A$9:$A$316,0),MATCH(CONCATENATE(AG$4,AE$6,AG$6,AG$7),'SHIP CURVES'!$A$9:$Z$9,0)))-(INDEX(terminal_curves,MATCH(AC84,'TERMINAL CURVES'!$A$4:$A$313,0),MATCH(AG$5,'TERMINAL CURVES'!$A$4:$N$4,0))-INDEX(terminal_curves,MATCH(AC84,'TERMINAL CURVES'!$A$4:$A$313,0),MATCH(AE$6,'TERMINAL CURVES'!$A$4:$N$4,0)))*IF(W84=0,0,Y84/W84)))*-W84</f>
        <v>0</v>
      </c>
      <c r="AH84" s="356" t="n">
        <f aca="false">SUM(AE84:AG84)</f>
        <v>0</v>
      </c>
      <c r="AI84" s="357" t="n">
        <f aca="false">(-Y84/((HLOOKUP(AG$5,port_specs,2,0)/(365.25))*(AC85-AC84)))*(INDEX(fixed_capacity_charge,MATCH(AC84,PORTS!$H$11:$H$317,0),MATCH(AG$5,PORTS!$H$11:$N$11,0))+INDEX(variable_om_charge,MATCH(AC84,PORTS!$H$318:$H$625,0),MATCH(AG$5,PORTS!$H$318:$N$318,0)))</f>
        <v>-0</v>
      </c>
      <c r="AJ84" s="343" t="n">
        <f aca="false">+AI84+AH84</f>
        <v>0</v>
      </c>
      <c r="AK84" s="355" t="n">
        <f aca="false">+AJ84+AD84</f>
        <v>0</v>
      </c>
      <c r="AM84" s="346" t="n">
        <f aca="false">+DATE(YEAR(AM83),MONTH(AM83)+1,1)</f>
        <v>38718</v>
      </c>
      <c r="AN84" s="327" t="n">
        <f aca="false">+AP84/(1-HLOOKUP(AO$6,SHIPS,7,0)*INDEX(LADEN_VOYAGE_DAYS,MATCH(CONCATENATE(AO$4,AO$5),LADEN_VOYAGE_ROUTES,0),MATCH(AO$6,LADEN_VOYAGE_SHIPS,0)))</f>
        <v>5395761.47735991</v>
      </c>
      <c r="AO84" s="347" t="n">
        <f aca="false">+AP84-AN84</f>
        <v>-56655.4955122788</v>
      </c>
      <c r="AP84" s="348" t="n">
        <f aca="false">+IF(AND(AO$8&lt;=AM84,AO$9&gt;=AM84),+MIN($B84-SUMIF($H$17:AO$17,AP$17,$H84:AO84),((INDEX(ROUTE_PER_DAY_BY_SHIP,MATCH(CONCATENATE(AO$4,AO$5,AO$7),ROUTE_PER_DAY_ROUTES,0),MATCH(AO$6,ROUTE_PER_DAY_SHIPS,0))*(AM85-AM84))-(INDEX(ROUTE_PER_DAY_BY_SHIP,MATCH(CONCATENATE(AO$4,AO$5,AO$7),ROUTE_PER_DAY_ROUTES,0),MATCH(AO$6,ROUTE_PER_DAY_SHIPS,0))*(AM85-AM84))*HLOOKUP(AO$6,SHIPS,7,0)*INDEX(LADEN_VOYAGE_DAYS,MATCH(CONCATENATE(AO$4,AO$5,AO$7),LADEN_VOYAGE_ROUTES,0),MATCH(AO$6,LADEN_VOYAGE_SHIPS,0)))),0)</f>
        <v>5339105.98184763</v>
      </c>
      <c r="AQ84" s="349" t="n">
        <f aca="false">-(AP84)*PORTS!$I$6</f>
        <v>-133477.649546191</v>
      </c>
      <c r="AR84" s="327" t="n">
        <f aca="false">+AP84+AQ84</f>
        <v>5205628.33230144</v>
      </c>
      <c r="AS84" s="333"/>
      <c r="AT84" s="346" t="n">
        <f aca="false">+DATE(YEAR(AT83),MONTH(AT83)+1,1)</f>
        <v>38718</v>
      </c>
      <c r="AU84" s="343" t="n">
        <f aca="false">+AR84*(VLOOKUP(AT84,CURVECALC!$C$6:$J$312,4,0)+AV$5)</f>
        <v>17964623.3747723</v>
      </c>
      <c r="AV84" s="350" t="n">
        <f aca="false">-AN84*INDEX(ship_curves,MATCH(AT84,'SHIP CURVES'!$A$9:$A$316,0),MATCH(CONCATENATE(AX$4,AX$5,AX$6,AX$7),'SHIP CURVES'!$A$9:$AZ$9,0))</f>
        <v>-1768112.48770851</v>
      </c>
      <c r="AW84" s="351" t="n">
        <f aca="false">-AP84*INDEX(port_processing_fee,MATCH(AT84,PORTS!$H$626:$H$933,0),MATCH(AX$5,PORTS!$H$626:$Z$626,0))</f>
        <v>-151489.93015785</v>
      </c>
      <c r="AX84" s="352" t="n">
        <f aca="false">(((VLOOKUP(AT84,curvecalc,4,0))*IF(AN84=0,0,AR84/AN84)-INDEX(ship_curves,MATCH(AT84,'SHIP CURVES'!$A$9:$A$316,0),MATCH(CONCATENATE(AX$4,AX$5,AX$6,AX$7),'SHIP CURVES'!$A$9:$Z$9,0))-INDEX(terminal_curves,MATCH(AT84,'TERMINAL CURVES'!$A$4:$A$313,0),MATCH(AX$5,'TERMINAL CURVES'!$A$4:$N$4,0))*IF(AN84=0,0,AP84/AN84))-(AV$8)*((AV$7-$N$5)-(INDEX(ship_curves,MATCH(AT84,'SHIP CURVES'!$A$9:$A$316,0),MATCH(CONCATENATE(AX$4,AX$5,AX$6,AX$7),'SHIP CURVES'!$A$9:$Z$9,0))-INDEX(ship_curves,MATCH(AT84,'SHIP CURVES'!$A$9:$A$316,0),MATCH(CONCATENATE(AX$4,AV$6,AX$6,AX$7),'SHIP CURVES'!$A$9:$Z$9,0)))-(INDEX(terminal_curves,MATCH(AT84,'TERMINAL CURVES'!$A$4:$A$313,0),MATCH(AX$5,'TERMINAL CURVES'!$A$4:$N$4,0))-INDEX(terminal_curves,MATCH(AT84,'TERMINAL CURVES'!$A$4:$A$313,0),MATCH(AV$6,'TERMINAL CURVES'!$A$4:$N$4,0)))*IF(AN84=0,0,AP84/AN84)))*-AN84</f>
        <v>-14967682.8264047</v>
      </c>
      <c r="AY84" s="356" t="n">
        <f aca="false">SUM(AV84:AX84)</f>
        <v>-16887285.2442711</v>
      </c>
      <c r="AZ84" s="357" t="n">
        <f aca="false">(-AP84/((HLOOKUP(AX$5,port_specs,2,0)/(365.25))*(AT85-AT84)))*(INDEX(fixed_capacity_charge,MATCH(AT84,PORTS!$H$11:$H$317,0),MATCH(AX$5,PORTS!$H$11:$N$11,0))+INDEX(variable_om_charge,MATCH(AT84,PORTS!$H$318:$H$625,0),MATCH(AX$5,PORTS!$H$318:$N$318,0)))</f>
        <v>-973225.563855151</v>
      </c>
      <c r="BA84" s="343" t="n">
        <f aca="false">+AZ84+AY84</f>
        <v>-17860510.8081263</v>
      </c>
      <c r="BB84" s="355" t="n">
        <f aca="false">+BA84+AU84</f>
        <v>104112.566646028</v>
      </c>
      <c r="BC84" s="99"/>
      <c r="BD84" s="357" t="n">
        <f aca="false">+PORTS!I78+PORTS!I386</f>
        <v>973225.563855151</v>
      </c>
    </row>
    <row r="85" customFormat="false" ht="12.75" hidden="false" customHeight="false" outlineLevel="0" collapsed="false">
      <c r="A85" s="346" t="n">
        <f aca="false">+DATE(YEAR(A84),MONTH(A84)+1,1)</f>
        <v>38749</v>
      </c>
      <c r="B85" s="327" t="n">
        <f aca="false">+IF(AND($A85&gt;=$C$8,$A85&lt;=$C$9),1,0)*PORTS!$I$5/(365.25)*(A86-A85)</f>
        <v>4822418.30618496</v>
      </c>
      <c r="C85" s="328" t="n">
        <f aca="false">+B85-(SUMIF($F$17:$IV$17,$H$17,$F85:$IV85))</f>
        <v>0</v>
      </c>
      <c r="D85" s="0" t="n">
        <f aca="false">+YEAR(E85)</f>
        <v>2006</v>
      </c>
      <c r="E85" s="346" t="n">
        <f aca="false">+DATE(YEAR(E84),MONTH(E84)+1,1)</f>
        <v>38749</v>
      </c>
      <c r="F85" s="327" t="n">
        <f aca="false">+IF(AND(G$8&lt;=E85,G$9&gt;=E85),INDEX(ROUTE_PER_DAY_BY_SHIP,MATCH(CONCATENATE(G$4,G$5,G$7),ROUTE_PER_DAY_ROUTES,0),MATCH(G$6,ROUTE_PER_DAY_SHIPS,0))*(E86-E85),0)</f>
        <v>0</v>
      </c>
      <c r="G85" s="347" t="n">
        <f aca="false">-F85*HLOOKUP(G$6,SHIPS,7,0)*INDEX(LADEN_VOYAGE_DAYS,MATCH(CONCATENATE(G$4,G$5,G$7),LADEN_VOYAGE_ROUTES,0),MATCH(G$6,LADEN_VOYAGE_SHIPS,0))</f>
        <v>-0</v>
      </c>
      <c r="H85" s="348" t="n">
        <f aca="false">SUM(F85:G85)</f>
        <v>0</v>
      </c>
      <c r="I85" s="349" t="n">
        <f aca="false">-(H85)*HLOOKUP(G$5,TERMINAL_CHARGES,3,0)</f>
        <v>-0</v>
      </c>
      <c r="J85" s="327" t="n">
        <f aca="false">+H85+I85</f>
        <v>0</v>
      </c>
      <c r="K85" s="333"/>
      <c r="L85" s="346" t="n">
        <f aca="false">+DATE(YEAR(L84),MONTH(L84)+1,1)</f>
        <v>38749</v>
      </c>
      <c r="M85" s="334" t="n">
        <f aca="false">+J85*(VLOOKUP(L85,CURVECALC!$C$6:$J$312,4,0)+N$5)</f>
        <v>0</v>
      </c>
      <c r="N85" s="350" t="n">
        <f aca="false">-F85*INDEX(ship_curves,MATCH(L85,'SHIP CURVES'!$A$9:$A$316,0),MATCH(CONCATENATE(P$4,P$5,P$6,P$7),'SHIP CURVES'!$A$9:$AZ$9,0))</f>
        <v>-0</v>
      </c>
      <c r="O85" s="351" t="n">
        <f aca="false">-H85*INDEX(port_processing_fee,MATCH(L85,PORTS!$H$626:$H$933,0),MATCH(P$5,PORTS!$H$626:$Z$626,0))</f>
        <v>-0</v>
      </c>
      <c r="P85" s="352" t="n">
        <f aca="false">(((VLOOKUP(L85,curvecalc,4,0))*IF(F85=0,0,J85/F85)-INDEX(ship_curves,MATCH(L85,'SHIP CURVES'!$A$9:$A$316,0),MATCH(CONCATENATE(P$4,P$5,P$6,P$7),'SHIP CURVES'!$A$9:$Z$9,0))-INDEX(terminal_curves,MATCH(L85,'TERMINAL CURVES'!$A$4:$A$313,0),MATCH(P$5,'TERMINAL CURVES'!$A$4:$N$4,0))*IF(F85=0,0,H85/F85))-(N$8)*((N$7-$N$5)-(INDEX(ship_curves,MATCH(L85,'SHIP CURVES'!$A$9:$A$316,0),MATCH(CONCATENATE(P$4,P$5,P$6,P$7),'SHIP CURVES'!$A$9:$Z$9,0))-INDEX(ship_curves,MATCH(L85,'SHIP CURVES'!$A$9:$A$316,0),MATCH(CONCATENATE(P$4,N$6,P$6,P$7),'SHIP CURVES'!$A$9:$Z$9,0)))-(INDEX(terminal_curves,MATCH(L85,'TERMINAL CURVES'!$A$4:$A$313,0),MATCH(P$5,'TERMINAL CURVES'!$A$4:$N$4,0))-INDEX(terminal_curves,MATCH(L85,'TERMINAL CURVES'!$A$4:$A$313,0),MATCH(N$6,'TERMINAL CURVES'!$A$4:$N$4,0)))*IF(F85=0,0,H85/F85)))*-F85</f>
        <v>0</v>
      </c>
      <c r="Q85" s="353" t="n">
        <f aca="false">SUM(N85:P85)</f>
        <v>0</v>
      </c>
      <c r="R85" s="357" t="n">
        <f aca="false">(-H85/((HLOOKUP(P$5,port_specs,2,0)/(365.25))*(L86-L85)))*(INDEX(fixed_capacity_charge,MATCH(L85,PORTS!$H$11:$H$317,0),MATCH(P$5,PORTS!$H$11:$N$11,0))+INDEX(variable_om_charge,MATCH(L85,PORTS!$H$318:$H$625,0),MATCH(P$5,PORTS!$H$318:$N$318,0)))</f>
        <v>-0</v>
      </c>
      <c r="S85" s="343" t="n">
        <f aca="false">+R85+Q85</f>
        <v>0</v>
      </c>
      <c r="T85" s="355" t="n">
        <f aca="false">+S85+M85</f>
        <v>0</v>
      </c>
      <c r="V85" s="346" t="n">
        <f aca="false">+DATE(YEAR(V84),MONTH(V84)+1,1)</f>
        <v>38749</v>
      </c>
      <c r="W85" s="327" t="n">
        <f aca="false">+Y85/(1-HLOOKUP(X$6,SHIPS,7,0)*INDEX(LADEN_VOYAGE_DAYS,MATCH(CONCATENATE(X$4,X$5),LADEN_VOYAGE_ROUTES,0),MATCH(X$6,LADEN_VOYAGE_SHIPS,0)))</f>
        <v>0</v>
      </c>
      <c r="X85" s="347" t="n">
        <f aca="false">+Y85-W85</f>
        <v>0</v>
      </c>
      <c r="Y85" s="348" t="n">
        <f aca="false">+IF(AND(X$8&lt;=V85,X$9&gt;=V85),+MIN($B85-SUMIF($H$17:X$17,Y$17,$H85:X85),((INDEX(ROUTE_PER_DAY_BY_SHIP,MATCH(CONCATENATE(X$4,X$5,X$7),ROUTE_PER_DAY_ROUTES,0),MATCH(X$6,ROUTE_PER_DAY_SHIPS,0))*(V86-V85))-(INDEX(ROUTE_PER_DAY_BY_SHIP,MATCH(CONCATENATE(X$4,X$5,X$7),ROUTE_PER_DAY_ROUTES,0),MATCH(X$6,ROUTE_PER_DAY_SHIPS,0))*(V86-V85))*HLOOKUP(X$6,SHIPS,7,0)*INDEX(LADEN_VOYAGE_DAYS,MATCH(CONCATENATE(X$4,X$5,X$7),LADEN_VOYAGE_ROUTES,0),MATCH(X$6,LADEN_VOYAGE_SHIPS,0)))),0)</f>
        <v>0</v>
      </c>
      <c r="Z85" s="349" t="n">
        <f aca="false">-(Y85)*HLOOKUP(X$5,TERMINAL_CHARGES,3,0)</f>
        <v>-0</v>
      </c>
      <c r="AA85" s="327" t="n">
        <f aca="false">+Y85+Z85</f>
        <v>0</v>
      </c>
      <c r="AB85" s="333"/>
      <c r="AC85" s="346" t="n">
        <f aca="false">+DATE(YEAR(AC84),MONTH(AC84)+1,1)</f>
        <v>38749</v>
      </c>
      <c r="AD85" s="343" t="n">
        <f aca="false">+AA85*(VLOOKUP(AC85,CURVECALC!$C$6:$J$312,4,0)+AE$5)</f>
        <v>0</v>
      </c>
      <c r="AE85" s="350" t="n">
        <f aca="false">-W85*INDEX(ship_curves,MATCH(AC85,'SHIP CURVES'!$A$9:$A$316,0),MATCH(CONCATENATE(AG$4,AG$5,AG$6,AG$7),'SHIP CURVES'!$A$9:$AZ$9,0))</f>
        <v>-0</v>
      </c>
      <c r="AF85" s="351" t="n">
        <f aca="false">-Y85*INDEX(port_processing_fee,MATCH(AC85,PORTS!$H$626:$H$933,0),MATCH(AG$5,PORTS!$H$626:$Z$626,0))</f>
        <v>-0</v>
      </c>
      <c r="AG85" s="352" t="n">
        <f aca="false">(((VLOOKUP(AC85,curvecalc,4,0))*IF(W85=0,0,AA85/W85)-INDEX(ship_curves,MATCH(AC85,'SHIP CURVES'!$A$9:$A$316,0),MATCH(CONCATENATE(AG$4,AG$5,AG$6,AG$7),'SHIP CURVES'!$A$9:$Z$9,0))-INDEX(terminal_curves,MATCH(AC85,'TERMINAL CURVES'!$A$4:$A$313,0),MATCH(AG$5,'TERMINAL CURVES'!$A$4:$N$4,0))*IF(W85=0,0,Y85/W85))-(AE$8)*((AE$7-$N$5)-(INDEX(ship_curves,MATCH(AC85,'SHIP CURVES'!$A$9:$A$316,0),MATCH(CONCATENATE(AG$4,AG$5,AG$6,AG$7),'SHIP CURVES'!$A$9:$Z$9,0))-INDEX(ship_curves,MATCH(AC85,'SHIP CURVES'!$A$9:$A$316,0),MATCH(CONCATENATE(AG$4,AE$6,AG$6,AG$7),'SHIP CURVES'!$A$9:$Z$9,0)))-(INDEX(terminal_curves,MATCH(AC85,'TERMINAL CURVES'!$A$4:$A$313,0),MATCH(AG$5,'TERMINAL CURVES'!$A$4:$N$4,0))-INDEX(terminal_curves,MATCH(AC85,'TERMINAL CURVES'!$A$4:$A$313,0),MATCH(AE$6,'TERMINAL CURVES'!$A$4:$N$4,0)))*IF(W85=0,0,Y85/W85)))*-W85</f>
        <v>0</v>
      </c>
      <c r="AH85" s="356" t="n">
        <f aca="false">SUM(AE85:AG85)</f>
        <v>0</v>
      </c>
      <c r="AI85" s="357" t="n">
        <f aca="false">(-Y85/((HLOOKUP(AG$5,port_specs,2,0)/(365.25))*(AC86-AC85)))*(INDEX(fixed_capacity_charge,MATCH(AC85,PORTS!$H$11:$H$317,0),MATCH(AG$5,PORTS!$H$11:$N$11,0))+INDEX(variable_om_charge,MATCH(AC85,PORTS!$H$318:$H$625,0),MATCH(AG$5,PORTS!$H$318:$N$318,0)))</f>
        <v>-0</v>
      </c>
      <c r="AJ85" s="343" t="n">
        <f aca="false">+AI85+AH85</f>
        <v>0</v>
      </c>
      <c r="AK85" s="355" t="n">
        <f aca="false">+AJ85+AD85</f>
        <v>0</v>
      </c>
      <c r="AM85" s="346" t="n">
        <f aca="false">+DATE(YEAR(AM84),MONTH(AM84)+1,1)</f>
        <v>38749</v>
      </c>
      <c r="AN85" s="327" t="n">
        <f aca="false">+AP85/(1-HLOOKUP(AO$6,SHIPS,7,0)*INDEX(LADEN_VOYAGE_DAYS,MATCH(CONCATENATE(AO$4,AO$5),LADEN_VOYAGE_ROUTES,0),MATCH(AO$6,LADEN_VOYAGE_SHIPS,0)))</f>
        <v>4873591.01180895</v>
      </c>
      <c r="AO85" s="347" t="n">
        <f aca="false">+AP85-AN85</f>
        <v>-51172.7056239937</v>
      </c>
      <c r="AP85" s="348" t="n">
        <f aca="false">+IF(AND(AO$8&lt;=AM85,AO$9&gt;=AM85),+MIN($B85-SUMIF($H$17:AO$17,AP$17,$H85:AO85),((INDEX(ROUTE_PER_DAY_BY_SHIP,MATCH(CONCATENATE(AO$4,AO$5,AO$7),ROUTE_PER_DAY_ROUTES,0),MATCH(AO$6,ROUTE_PER_DAY_SHIPS,0))*(AM86-AM85))-(INDEX(ROUTE_PER_DAY_BY_SHIP,MATCH(CONCATENATE(AO$4,AO$5,AO$7),ROUTE_PER_DAY_ROUTES,0),MATCH(AO$6,ROUTE_PER_DAY_SHIPS,0))*(AM86-AM85))*HLOOKUP(AO$6,SHIPS,7,0)*INDEX(LADEN_VOYAGE_DAYS,MATCH(CONCATENATE(AO$4,AO$5,AO$7),LADEN_VOYAGE_ROUTES,0),MATCH(AO$6,LADEN_VOYAGE_SHIPS,0)))),0)</f>
        <v>4822418.30618496</v>
      </c>
      <c r="AQ85" s="349" t="n">
        <f aca="false">-(AP85)*PORTS!$I$6</f>
        <v>-120560.457654624</v>
      </c>
      <c r="AR85" s="327" t="n">
        <f aca="false">+AP85+AQ85</f>
        <v>4701857.84853034</v>
      </c>
      <c r="AS85" s="333"/>
      <c r="AT85" s="346" t="n">
        <f aca="false">+DATE(YEAR(AT84),MONTH(AT84)+1,1)</f>
        <v>38749</v>
      </c>
      <c r="AU85" s="343" t="n">
        <f aca="false">+AR85*(VLOOKUP(AT85,CURVECALC!$C$6:$J$312,4,0)+AV$5)</f>
        <v>15671292.2091516</v>
      </c>
      <c r="AV85" s="350" t="n">
        <f aca="false">-AN85*INDEX(ship_curves,MATCH(AT85,'SHIP CURVES'!$A$9:$A$316,0),MATCH(CONCATENATE(AX$4,AX$5,AX$6,AX$7),'SHIP CURVES'!$A$9:$AZ$9,0))</f>
        <v>-1597445.4978563</v>
      </c>
      <c r="AW85" s="351" t="n">
        <f aca="false">-AP85*INDEX(port_processing_fee,MATCH(AT85,PORTS!$H$626:$H$933,0),MATCH(AX$5,PORTS!$H$626:$Z$626,0))</f>
        <v>-136972.145184389</v>
      </c>
      <c r="AX85" s="352" t="n">
        <f aca="false">(((VLOOKUP(AT85,curvecalc,4,0))*IF(AN85=0,0,AR85/AN85)-INDEX(ship_curves,MATCH(AT85,'SHIP CURVES'!$A$9:$A$316,0),MATCH(CONCATENATE(AX$4,AX$5,AX$6,AX$7),'SHIP CURVES'!$A$9:$Z$9,0))-INDEX(terminal_curves,MATCH(AT85,'TERMINAL CURVES'!$A$4:$A$313,0),MATCH(AX$5,'TERMINAL CURVES'!$A$4:$N$4,0))*IF(AN85=0,0,AP85/AN85))-(AV$8)*((AV$7-$N$5)-(INDEX(ship_curves,MATCH(AT85,'SHIP CURVES'!$A$9:$A$316,0),MATCH(CONCATENATE(AX$4,AX$5,AX$6,AX$7),'SHIP CURVES'!$A$9:$Z$9,0))-INDEX(ship_curves,MATCH(AT85,'SHIP CURVES'!$A$9:$A$316,0),MATCH(CONCATENATE(AX$4,AV$6,AX$6,AX$7),'SHIP CURVES'!$A$9:$Z$9,0)))-(INDEX(terminal_curves,MATCH(AT85,'TERMINAL CURVES'!$A$4:$A$313,0),MATCH(AX$5,'TERMINAL CURVES'!$A$4:$N$4,0))-INDEX(terminal_curves,MATCH(AT85,'TERMINAL CURVES'!$A$4:$A$313,0),MATCH(AV$6,'TERMINAL CURVES'!$A$4:$N$4,0)))*IF(AN85=0,0,AP85/AN85)))*-AN85</f>
        <v>-12869103.4713342</v>
      </c>
      <c r="AY85" s="356" t="n">
        <f aca="false">SUM(AV85:AX85)</f>
        <v>-14603521.1143749</v>
      </c>
      <c r="AZ85" s="357" t="n">
        <f aca="false">(-AP85/((HLOOKUP(AX$5,port_specs,2,0)/(365.25))*(AT86-AT85)))*(INDEX(fixed_capacity_charge,MATCH(AT85,PORTS!$H$11:$H$317,0),MATCH(AX$5,PORTS!$H$11:$N$11,0))+INDEX(variable_om_charge,MATCH(AT85,PORTS!$H$318:$H$625,0),MATCH(AX$5,PORTS!$H$318:$N$318,0)))</f>
        <v>-973733.937806137</v>
      </c>
      <c r="BA85" s="343" t="n">
        <f aca="false">+AZ85+AY85</f>
        <v>-15577255.052181</v>
      </c>
      <c r="BB85" s="355" t="n">
        <f aca="false">+BA85+AU85</f>
        <v>94037.1569706071</v>
      </c>
      <c r="BC85" s="99"/>
      <c r="BD85" s="357" t="n">
        <f aca="false">+PORTS!I79+PORTS!I387</f>
        <v>973733.937806137</v>
      </c>
    </row>
    <row r="86" customFormat="false" ht="12.75" hidden="false" customHeight="false" outlineLevel="0" collapsed="false">
      <c r="A86" s="346" t="n">
        <f aca="false">+DATE(YEAR(A85),MONTH(A85)+1,1)</f>
        <v>38777</v>
      </c>
      <c r="B86" s="327" t="n">
        <f aca="false">+IF(AND($A86&gt;=$C$8,$A86&lt;=$C$9),1,0)*PORTS!$I$5/(365.25)*(A87-A86)</f>
        <v>5339105.98184763</v>
      </c>
      <c r="C86" s="328" t="n">
        <f aca="false">+B86-(SUMIF($F$17:$IV$17,$H$17,$F86:$IV86))</f>
        <v>0</v>
      </c>
      <c r="D86" s="0" t="n">
        <f aca="false">+YEAR(E86)</f>
        <v>2006</v>
      </c>
      <c r="E86" s="346" t="n">
        <f aca="false">+DATE(YEAR(E85),MONTH(E85)+1,1)</f>
        <v>38777</v>
      </c>
      <c r="F86" s="327" t="n">
        <f aca="false">+IF(AND(G$8&lt;=E86,G$9&gt;=E86),INDEX(ROUTE_PER_DAY_BY_SHIP,MATCH(CONCATENATE(G$4,G$5,G$7),ROUTE_PER_DAY_ROUTES,0),MATCH(G$6,ROUTE_PER_DAY_SHIPS,0))*(E87-E86),0)</f>
        <v>0</v>
      </c>
      <c r="G86" s="347" t="n">
        <f aca="false">-F86*HLOOKUP(G$6,SHIPS,7,0)*INDEX(LADEN_VOYAGE_DAYS,MATCH(CONCATENATE(G$4,G$5,G$7),LADEN_VOYAGE_ROUTES,0),MATCH(G$6,LADEN_VOYAGE_SHIPS,0))</f>
        <v>-0</v>
      </c>
      <c r="H86" s="348" t="n">
        <f aca="false">SUM(F86:G86)</f>
        <v>0</v>
      </c>
      <c r="I86" s="349" t="n">
        <f aca="false">-(H86)*HLOOKUP(G$5,TERMINAL_CHARGES,3,0)</f>
        <v>-0</v>
      </c>
      <c r="J86" s="327" t="n">
        <f aca="false">+H86+I86</f>
        <v>0</v>
      </c>
      <c r="K86" s="333"/>
      <c r="L86" s="346" t="n">
        <f aca="false">+DATE(YEAR(L85),MONTH(L85)+1,1)</f>
        <v>38777</v>
      </c>
      <c r="M86" s="334" t="n">
        <f aca="false">+J86*(VLOOKUP(L86,CURVECALC!$C$6:$J$312,4,0)+N$5)</f>
        <v>0</v>
      </c>
      <c r="N86" s="350" t="n">
        <f aca="false">-F86*INDEX(ship_curves,MATCH(L86,'SHIP CURVES'!$A$9:$A$316,0),MATCH(CONCATENATE(P$4,P$5,P$6,P$7),'SHIP CURVES'!$A$9:$AZ$9,0))</f>
        <v>-0</v>
      </c>
      <c r="O86" s="351" t="n">
        <f aca="false">-H86*INDEX(port_processing_fee,MATCH(L86,PORTS!$H$626:$H$933,0),MATCH(P$5,PORTS!$H$626:$Z$626,0))</f>
        <v>-0</v>
      </c>
      <c r="P86" s="352" t="n">
        <f aca="false">(((VLOOKUP(L86,curvecalc,4,0))*IF(F86=0,0,J86/F86)-INDEX(ship_curves,MATCH(L86,'SHIP CURVES'!$A$9:$A$316,0),MATCH(CONCATENATE(P$4,P$5,P$6,P$7),'SHIP CURVES'!$A$9:$Z$9,0))-INDEX(terminal_curves,MATCH(L86,'TERMINAL CURVES'!$A$4:$A$313,0),MATCH(P$5,'TERMINAL CURVES'!$A$4:$N$4,0))*IF(F86=0,0,H86/F86))-(N$8)*((N$7-$N$5)-(INDEX(ship_curves,MATCH(L86,'SHIP CURVES'!$A$9:$A$316,0),MATCH(CONCATENATE(P$4,P$5,P$6,P$7),'SHIP CURVES'!$A$9:$Z$9,0))-INDEX(ship_curves,MATCH(L86,'SHIP CURVES'!$A$9:$A$316,0),MATCH(CONCATENATE(P$4,N$6,P$6,P$7),'SHIP CURVES'!$A$9:$Z$9,0)))-(INDEX(terminal_curves,MATCH(L86,'TERMINAL CURVES'!$A$4:$A$313,0),MATCH(P$5,'TERMINAL CURVES'!$A$4:$N$4,0))-INDEX(terminal_curves,MATCH(L86,'TERMINAL CURVES'!$A$4:$A$313,0),MATCH(N$6,'TERMINAL CURVES'!$A$4:$N$4,0)))*IF(F86=0,0,H86/F86)))*-F86</f>
        <v>0</v>
      </c>
      <c r="Q86" s="353" t="n">
        <f aca="false">SUM(N86:P86)</f>
        <v>0</v>
      </c>
      <c r="R86" s="357" t="n">
        <f aca="false">(-H86/((HLOOKUP(P$5,port_specs,2,0)/(365.25))*(L87-L86)))*(INDEX(fixed_capacity_charge,MATCH(L86,PORTS!$H$11:$H$317,0),MATCH(P$5,PORTS!$H$11:$N$11,0))+INDEX(variable_om_charge,MATCH(L86,PORTS!$H$318:$H$625,0),MATCH(P$5,PORTS!$H$318:$N$318,0)))</f>
        <v>-0</v>
      </c>
      <c r="S86" s="343" t="n">
        <f aca="false">+R86+Q86</f>
        <v>0</v>
      </c>
      <c r="T86" s="355" t="n">
        <f aca="false">+S86+M86</f>
        <v>0</v>
      </c>
      <c r="V86" s="346" t="n">
        <f aca="false">+DATE(YEAR(V85),MONTH(V85)+1,1)</f>
        <v>38777</v>
      </c>
      <c r="W86" s="327" t="n">
        <f aca="false">+Y86/(1-HLOOKUP(X$6,SHIPS,7,0)*INDEX(LADEN_VOYAGE_DAYS,MATCH(CONCATENATE(X$4,X$5),LADEN_VOYAGE_ROUTES,0),MATCH(X$6,LADEN_VOYAGE_SHIPS,0)))</f>
        <v>0</v>
      </c>
      <c r="X86" s="347" t="n">
        <f aca="false">+Y86-W86</f>
        <v>0</v>
      </c>
      <c r="Y86" s="348" t="n">
        <f aca="false">+IF(AND(X$8&lt;=V86,X$9&gt;=V86),+MIN($B86-SUMIF($H$17:X$17,Y$17,$H86:X86),((INDEX(ROUTE_PER_DAY_BY_SHIP,MATCH(CONCATENATE(X$4,X$5,X$7),ROUTE_PER_DAY_ROUTES,0),MATCH(X$6,ROUTE_PER_DAY_SHIPS,0))*(V87-V86))-(INDEX(ROUTE_PER_DAY_BY_SHIP,MATCH(CONCATENATE(X$4,X$5,X$7),ROUTE_PER_DAY_ROUTES,0),MATCH(X$6,ROUTE_PER_DAY_SHIPS,0))*(V87-V86))*HLOOKUP(X$6,SHIPS,7,0)*INDEX(LADEN_VOYAGE_DAYS,MATCH(CONCATENATE(X$4,X$5,X$7),LADEN_VOYAGE_ROUTES,0),MATCH(X$6,LADEN_VOYAGE_SHIPS,0)))),0)</f>
        <v>0</v>
      </c>
      <c r="Z86" s="349" t="n">
        <f aca="false">-(Y86)*HLOOKUP(X$5,TERMINAL_CHARGES,3,0)</f>
        <v>-0</v>
      </c>
      <c r="AA86" s="327" t="n">
        <f aca="false">+Y86+Z86</f>
        <v>0</v>
      </c>
      <c r="AB86" s="333"/>
      <c r="AC86" s="346" t="n">
        <f aca="false">+DATE(YEAR(AC85),MONTH(AC85)+1,1)</f>
        <v>38777</v>
      </c>
      <c r="AD86" s="343" t="n">
        <f aca="false">+AA86*(VLOOKUP(AC86,CURVECALC!$C$6:$J$312,4,0)+AE$5)</f>
        <v>0</v>
      </c>
      <c r="AE86" s="350" t="n">
        <f aca="false">-W86*INDEX(ship_curves,MATCH(AC86,'SHIP CURVES'!$A$9:$A$316,0),MATCH(CONCATENATE(AG$4,AG$5,AG$6,AG$7),'SHIP CURVES'!$A$9:$AZ$9,0))</f>
        <v>-0</v>
      </c>
      <c r="AF86" s="351" t="n">
        <f aca="false">-Y86*INDEX(port_processing_fee,MATCH(AC86,PORTS!$H$626:$H$933,0),MATCH(AG$5,PORTS!$H$626:$Z$626,0))</f>
        <v>-0</v>
      </c>
      <c r="AG86" s="352" t="n">
        <f aca="false">(((VLOOKUP(AC86,curvecalc,4,0))*IF(W86=0,0,AA86/W86)-INDEX(ship_curves,MATCH(AC86,'SHIP CURVES'!$A$9:$A$316,0),MATCH(CONCATENATE(AG$4,AG$5,AG$6,AG$7),'SHIP CURVES'!$A$9:$Z$9,0))-INDEX(terminal_curves,MATCH(AC86,'TERMINAL CURVES'!$A$4:$A$313,0),MATCH(AG$5,'TERMINAL CURVES'!$A$4:$N$4,0))*IF(W86=0,0,Y86/W86))-(AE$8)*((AE$7-$N$5)-(INDEX(ship_curves,MATCH(AC86,'SHIP CURVES'!$A$9:$A$316,0),MATCH(CONCATENATE(AG$4,AG$5,AG$6,AG$7),'SHIP CURVES'!$A$9:$Z$9,0))-INDEX(ship_curves,MATCH(AC86,'SHIP CURVES'!$A$9:$A$316,0),MATCH(CONCATENATE(AG$4,AE$6,AG$6,AG$7),'SHIP CURVES'!$A$9:$Z$9,0)))-(INDEX(terminal_curves,MATCH(AC86,'TERMINAL CURVES'!$A$4:$A$313,0),MATCH(AG$5,'TERMINAL CURVES'!$A$4:$N$4,0))-INDEX(terminal_curves,MATCH(AC86,'TERMINAL CURVES'!$A$4:$A$313,0),MATCH(AE$6,'TERMINAL CURVES'!$A$4:$N$4,0)))*IF(W86=0,0,Y86/W86)))*-W86</f>
        <v>0</v>
      </c>
      <c r="AH86" s="356" t="n">
        <f aca="false">SUM(AE86:AG86)</f>
        <v>0</v>
      </c>
      <c r="AI86" s="357" t="n">
        <f aca="false">(-Y86/((HLOOKUP(AG$5,port_specs,2,0)/(365.25))*(AC87-AC86)))*(INDEX(fixed_capacity_charge,MATCH(AC86,PORTS!$H$11:$H$317,0),MATCH(AG$5,PORTS!$H$11:$N$11,0))+INDEX(variable_om_charge,MATCH(AC86,PORTS!$H$318:$H$625,0),MATCH(AG$5,PORTS!$H$318:$N$318,0)))</f>
        <v>-0</v>
      </c>
      <c r="AJ86" s="343" t="n">
        <f aca="false">+AI86+AH86</f>
        <v>0</v>
      </c>
      <c r="AK86" s="355" t="n">
        <f aca="false">+AJ86+AD86</f>
        <v>0</v>
      </c>
      <c r="AM86" s="346" t="n">
        <f aca="false">+DATE(YEAR(AM85),MONTH(AM85)+1,1)</f>
        <v>38777</v>
      </c>
      <c r="AN86" s="327" t="n">
        <f aca="false">+AP86/(1-HLOOKUP(AO$6,SHIPS,7,0)*INDEX(LADEN_VOYAGE_DAYS,MATCH(CONCATENATE(AO$4,AO$5),LADEN_VOYAGE_ROUTES,0),MATCH(AO$6,LADEN_VOYAGE_SHIPS,0)))</f>
        <v>5395761.47735991</v>
      </c>
      <c r="AO86" s="347" t="n">
        <f aca="false">+AP86-AN86</f>
        <v>-56655.4955122788</v>
      </c>
      <c r="AP86" s="348" t="n">
        <f aca="false">+IF(AND(AO$8&lt;=AM86,AO$9&gt;=AM86),+MIN($B86-SUMIF($H$17:AO$17,AP$17,$H86:AO86),((INDEX(ROUTE_PER_DAY_BY_SHIP,MATCH(CONCATENATE(AO$4,AO$5,AO$7),ROUTE_PER_DAY_ROUTES,0),MATCH(AO$6,ROUTE_PER_DAY_SHIPS,0))*(AM87-AM86))-(INDEX(ROUTE_PER_DAY_BY_SHIP,MATCH(CONCATENATE(AO$4,AO$5,AO$7),ROUTE_PER_DAY_ROUTES,0),MATCH(AO$6,ROUTE_PER_DAY_SHIPS,0))*(AM87-AM86))*HLOOKUP(AO$6,SHIPS,7,0)*INDEX(LADEN_VOYAGE_DAYS,MATCH(CONCATENATE(AO$4,AO$5,AO$7),LADEN_VOYAGE_ROUTES,0),MATCH(AO$6,LADEN_VOYAGE_SHIPS,0)))),0)</f>
        <v>5339105.98184763</v>
      </c>
      <c r="AQ86" s="349" t="n">
        <f aca="false">-(AP86)*PORTS!$I$6</f>
        <v>-133477.649546191</v>
      </c>
      <c r="AR86" s="327" t="n">
        <f aca="false">+AP86+AQ86</f>
        <v>5205628.33230144</v>
      </c>
      <c r="AS86" s="333"/>
      <c r="AT86" s="346" t="n">
        <f aca="false">+DATE(YEAR(AT85),MONTH(AT85)+1,1)</f>
        <v>38777</v>
      </c>
      <c r="AU86" s="343" t="n">
        <f aca="false">+AR86*(VLOOKUP(AT86,CURVECALC!$C$6:$J$312,4,0)+AV$5)</f>
        <v>16668421.9200292</v>
      </c>
      <c r="AV86" s="350" t="n">
        <f aca="false">-AN86*INDEX(ship_curves,MATCH(AT86,'SHIP CURVES'!$A$9:$A$316,0),MATCH(CONCATENATE(AX$4,AX$5,AX$6,AX$7),'SHIP CURVES'!$A$9:$AZ$9,0))</f>
        <v>-1769089.27397164</v>
      </c>
      <c r="AW86" s="351" t="n">
        <f aca="false">-AP86*INDEX(port_processing_fee,MATCH(AT86,PORTS!$H$626:$H$933,0),MATCH(AX$5,PORTS!$H$626:$Z$626,0))</f>
        <v>-151805.698556107</v>
      </c>
      <c r="AX86" s="352" t="n">
        <f aca="false">(((VLOOKUP(AT86,curvecalc,4,0))*IF(AN86=0,0,AR86/AN86)-INDEX(ship_curves,MATCH(AT86,'SHIP CURVES'!$A$9:$A$316,0),MATCH(CONCATENATE(AX$4,AX$5,AX$6,AX$7),'SHIP CURVES'!$A$9:$Z$9,0))-INDEX(terminal_curves,MATCH(AT86,'TERMINAL CURVES'!$A$4:$A$313,0),MATCH(AX$5,'TERMINAL CURVES'!$A$4:$N$4,0))*IF(AN86=0,0,AP86/AN86))-(AV$8)*((AV$7-$N$5)-(INDEX(ship_curves,MATCH(AT86,'SHIP CURVES'!$A$9:$A$316,0),MATCH(CONCATENATE(AX$4,AX$5,AX$6,AX$7),'SHIP CURVES'!$A$9:$Z$9,0))-INDEX(ship_curves,MATCH(AT86,'SHIP CURVES'!$A$9:$A$316,0),MATCH(CONCATENATE(AX$4,AV$6,AX$6,AX$7),'SHIP CURVES'!$A$9:$Z$9,0)))-(INDEX(terminal_curves,MATCH(AT86,'TERMINAL CURVES'!$A$4:$A$313,0),MATCH(AX$5,'TERMINAL CURVES'!$A$4:$N$4,0))-INDEX(terminal_curves,MATCH(AT86,'TERMINAL CURVES'!$A$4:$A$313,0),MATCH(AV$6,'TERMINAL CURVES'!$A$4:$N$4,0)))*IF(AN86=0,0,AP86/AN86)))*-AN86</f>
        <v>-13669171.5395421</v>
      </c>
      <c r="AY86" s="356" t="n">
        <f aca="false">SUM(AV86:AX86)</f>
        <v>-15590066.5120699</v>
      </c>
      <c r="AZ86" s="357" t="n">
        <f aca="false">(-AP86/((HLOOKUP(AX$5,port_specs,2,0)/(365.25))*(AT87-AT86)))*(INDEX(fixed_capacity_charge,MATCH(AT86,PORTS!$H$11:$H$317,0),MATCH(AX$5,PORTS!$H$11:$N$11,0))+INDEX(variable_om_charge,MATCH(AT86,PORTS!$H$318:$H$625,0),MATCH(AX$5,PORTS!$H$318:$N$318,0)))</f>
        <v>-974242.841313322</v>
      </c>
      <c r="BA86" s="343" t="n">
        <f aca="false">+AZ86+AY86</f>
        <v>-16564309.3533832</v>
      </c>
      <c r="BB86" s="355" t="n">
        <f aca="false">+BA86+AU86</f>
        <v>104112.566646032</v>
      </c>
      <c r="BC86" s="99"/>
      <c r="BD86" s="357" t="n">
        <f aca="false">+PORTS!I80+PORTS!I388</f>
        <v>974242.841313322</v>
      </c>
    </row>
    <row r="87" customFormat="false" ht="12.75" hidden="false" customHeight="false" outlineLevel="0" collapsed="false">
      <c r="A87" s="346" t="n">
        <f aca="false">+DATE(YEAR(A86),MONTH(A86)+1,1)</f>
        <v>38808</v>
      </c>
      <c r="B87" s="327" t="n">
        <f aca="false">+IF(AND($A87&gt;=$C$8,$A87&lt;=$C$9),1,0)*PORTS!$I$5/(365.25)*(A88-A87)</f>
        <v>5166876.75662674</v>
      </c>
      <c r="C87" s="328" t="n">
        <f aca="false">+B87-(SUMIF($F$17:$IV$17,$H$17,$F87:$IV87))</f>
        <v>0</v>
      </c>
      <c r="D87" s="0" t="n">
        <f aca="false">+YEAR(E87)</f>
        <v>2006</v>
      </c>
      <c r="E87" s="346" t="n">
        <f aca="false">+DATE(YEAR(E86),MONTH(E86)+1,1)</f>
        <v>38808</v>
      </c>
      <c r="F87" s="327" t="n">
        <f aca="false">+IF(AND(G$8&lt;=E87,G$9&gt;=E87),INDEX(ROUTE_PER_DAY_BY_SHIP,MATCH(CONCATENATE(G$4,G$5,G$7),ROUTE_PER_DAY_ROUTES,0),MATCH(G$6,ROUTE_PER_DAY_SHIPS,0))*(E88-E87),0)</f>
        <v>0</v>
      </c>
      <c r="G87" s="347" t="n">
        <f aca="false">-F87*HLOOKUP(G$6,SHIPS,7,0)*INDEX(LADEN_VOYAGE_DAYS,MATCH(CONCATENATE(G$4,G$5,G$7),LADEN_VOYAGE_ROUTES,0),MATCH(G$6,LADEN_VOYAGE_SHIPS,0))</f>
        <v>-0</v>
      </c>
      <c r="H87" s="348" t="n">
        <f aca="false">SUM(F87:G87)</f>
        <v>0</v>
      </c>
      <c r="I87" s="349" t="n">
        <f aca="false">-(H87)*HLOOKUP(G$5,TERMINAL_CHARGES,3,0)</f>
        <v>-0</v>
      </c>
      <c r="J87" s="327" t="n">
        <f aca="false">+H87+I87</f>
        <v>0</v>
      </c>
      <c r="K87" s="333"/>
      <c r="L87" s="346" t="n">
        <f aca="false">+DATE(YEAR(L86),MONTH(L86)+1,1)</f>
        <v>38808</v>
      </c>
      <c r="M87" s="334" t="n">
        <f aca="false">+J87*(VLOOKUP(L87,CURVECALC!$C$6:$J$312,4,0)+N$5)</f>
        <v>0</v>
      </c>
      <c r="N87" s="350" t="n">
        <f aca="false">-F87*INDEX(ship_curves,MATCH(L87,'SHIP CURVES'!$A$9:$A$316,0),MATCH(CONCATENATE(P$4,P$5,P$6,P$7),'SHIP CURVES'!$A$9:$AZ$9,0))</f>
        <v>-0</v>
      </c>
      <c r="O87" s="351" t="n">
        <f aca="false">-H87*INDEX(port_processing_fee,MATCH(L87,PORTS!$H$626:$H$933,0),MATCH(P$5,PORTS!$H$626:$Z$626,0))</f>
        <v>-0</v>
      </c>
      <c r="P87" s="352" t="n">
        <f aca="false">(((VLOOKUP(L87,curvecalc,4,0))*IF(F87=0,0,J87/F87)-INDEX(ship_curves,MATCH(L87,'SHIP CURVES'!$A$9:$A$316,0),MATCH(CONCATENATE(P$4,P$5,P$6,P$7),'SHIP CURVES'!$A$9:$Z$9,0))-INDEX(terminal_curves,MATCH(L87,'TERMINAL CURVES'!$A$4:$A$313,0),MATCH(P$5,'TERMINAL CURVES'!$A$4:$N$4,0))*IF(F87=0,0,H87/F87))-(N$8)*((N$7-$N$5)-(INDEX(ship_curves,MATCH(L87,'SHIP CURVES'!$A$9:$A$316,0),MATCH(CONCATENATE(P$4,P$5,P$6,P$7),'SHIP CURVES'!$A$9:$Z$9,0))-INDEX(ship_curves,MATCH(L87,'SHIP CURVES'!$A$9:$A$316,0),MATCH(CONCATENATE(P$4,N$6,P$6,P$7),'SHIP CURVES'!$A$9:$Z$9,0)))-(INDEX(terminal_curves,MATCH(L87,'TERMINAL CURVES'!$A$4:$A$313,0),MATCH(P$5,'TERMINAL CURVES'!$A$4:$N$4,0))-INDEX(terminal_curves,MATCH(L87,'TERMINAL CURVES'!$A$4:$A$313,0),MATCH(N$6,'TERMINAL CURVES'!$A$4:$N$4,0)))*IF(F87=0,0,H87/F87)))*-F87</f>
        <v>0</v>
      </c>
      <c r="Q87" s="353" t="n">
        <f aca="false">SUM(N87:P87)</f>
        <v>0</v>
      </c>
      <c r="R87" s="357" t="n">
        <f aca="false">(-H87/((HLOOKUP(P$5,port_specs,2,0)/(365.25))*(L88-L87)))*(INDEX(fixed_capacity_charge,MATCH(L87,PORTS!$H$11:$H$317,0),MATCH(P$5,PORTS!$H$11:$N$11,0))+INDEX(variable_om_charge,MATCH(L87,PORTS!$H$318:$H$625,0),MATCH(P$5,PORTS!$H$318:$N$318,0)))</f>
        <v>-0</v>
      </c>
      <c r="S87" s="343" t="n">
        <f aca="false">+R87+Q87</f>
        <v>0</v>
      </c>
      <c r="T87" s="355" t="n">
        <f aca="false">+S87+M87</f>
        <v>0</v>
      </c>
      <c r="V87" s="346" t="n">
        <f aca="false">+DATE(YEAR(V86),MONTH(V86)+1,1)</f>
        <v>38808</v>
      </c>
      <c r="W87" s="327" t="n">
        <f aca="false">+Y87/(1-HLOOKUP(X$6,SHIPS,7,0)*INDEX(LADEN_VOYAGE_DAYS,MATCH(CONCATENATE(X$4,X$5),LADEN_VOYAGE_ROUTES,0),MATCH(X$6,LADEN_VOYAGE_SHIPS,0)))</f>
        <v>0</v>
      </c>
      <c r="X87" s="347" t="n">
        <f aca="false">+Y87-W87</f>
        <v>0</v>
      </c>
      <c r="Y87" s="348" t="n">
        <f aca="false">+IF(AND(X$8&lt;=V87,X$9&gt;=V87),+MIN($B87-SUMIF($H$17:X$17,Y$17,$H87:X87),((INDEX(ROUTE_PER_DAY_BY_SHIP,MATCH(CONCATENATE(X$4,X$5,X$7),ROUTE_PER_DAY_ROUTES,0),MATCH(X$6,ROUTE_PER_DAY_SHIPS,0))*(V88-V87))-(INDEX(ROUTE_PER_DAY_BY_SHIP,MATCH(CONCATENATE(X$4,X$5,X$7),ROUTE_PER_DAY_ROUTES,0),MATCH(X$6,ROUTE_PER_DAY_SHIPS,0))*(V88-V87))*HLOOKUP(X$6,SHIPS,7,0)*INDEX(LADEN_VOYAGE_DAYS,MATCH(CONCATENATE(X$4,X$5,X$7),LADEN_VOYAGE_ROUTES,0),MATCH(X$6,LADEN_VOYAGE_SHIPS,0)))),0)</f>
        <v>0</v>
      </c>
      <c r="Z87" s="349" t="n">
        <f aca="false">-(Y87)*HLOOKUP(X$5,TERMINAL_CHARGES,3,0)</f>
        <v>-0</v>
      </c>
      <c r="AA87" s="327" t="n">
        <f aca="false">+Y87+Z87</f>
        <v>0</v>
      </c>
      <c r="AB87" s="333"/>
      <c r="AC87" s="346" t="n">
        <f aca="false">+DATE(YEAR(AC86),MONTH(AC86)+1,1)</f>
        <v>38808</v>
      </c>
      <c r="AD87" s="343" t="n">
        <f aca="false">+AA87*(VLOOKUP(AC87,CURVECALC!$C$6:$J$312,4,0)+AE$5)</f>
        <v>0</v>
      </c>
      <c r="AE87" s="350" t="n">
        <f aca="false">-W87*INDEX(ship_curves,MATCH(AC87,'SHIP CURVES'!$A$9:$A$316,0),MATCH(CONCATENATE(AG$4,AG$5,AG$6,AG$7),'SHIP CURVES'!$A$9:$AZ$9,0))</f>
        <v>-0</v>
      </c>
      <c r="AF87" s="351" t="n">
        <f aca="false">-Y87*INDEX(port_processing_fee,MATCH(AC87,PORTS!$H$626:$H$933,0),MATCH(AG$5,PORTS!$H$626:$Z$626,0))</f>
        <v>-0</v>
      </c>
      <c r="AG87" s="352" t="n">
        <f aca="false">(((VLOOKUP(AC87,curvecalc,4,0))*IF(W87=0,0,AA87/W87)-INDEX(ship_curves,MATCH(AC87,'SHIP CURVES'!$A$9:$A$316,0),MATCH(CONCATENATE(AG$4,AG$5,AG$6,AG$7),'SHIP CURVES'!$A$9:$Z$9,0))-INDEX(terminal_curves,MATCH(AC87,'TERMINAL CURVES'!$A$4:$A$313,0),MATCH(AG$5,'TERMINAL CURVES'!$A$4:$N$4,0))*IF(W87=0,0,Y87/W87))-(AE$8)*((AE$7-$N$5)-(INDEX(ship_curves,MATCH(AC87,'SHIP CURVES'!$A$9:$A$316,0),MATCH(CONCATENATE(AG$4,AG$5,AG$6,AG$7),'SHIP CURVES'!$A$9:$Z$9,0))-INDEX(ship_curves,MATCH(AC87,'SHIP CURVES'!$A$9:$A$316,0),MATCH(CONCATENATE(AG$4,AE$6,AG$6,AG$7),'SHIP CURVES'!$A$9:$Z$9,0)))-(INDEX(terminal_curves,MATCH(AC87,'TERMINAL CURVES'!$A$4:$A$313,0),MATCH(AG$5,'TERMINAL CURVES'!$A$4:$N$4,0))-INDEX(terminal_curves,MATCH(AC87,'TERMINAL CURVES'!$A$4:$A$313,0),MATCH(AE$6,'TERMINAL CURVES'!$A$4:$N$4,0)))*IF(W87=0,0,Y87/W87)))*-W87</f>
        <v>0</v>
      </c>
      <c r="AH87" s="356" t="n">
        <f aca="false">SUM(AE87:AG87)</f>
        <v>0</v>
      </c>
      <c r="AI87" s="357" t="n">
        <f aca="false">(-Y87/((HLOOKUP(AG$5,port_specs,2,0)/(365.25))*(AC88-AC87)))*(INDEX(fixed_capacity_charge,MATCH(AC87,PORTS!$H$11:$H$317,0),MATCH(AG$5,PORTS!$H$11:$N$11,0))+INDEX(variable_om_charge,MATCH(AC87,PORTS!$H$318:$H$625,0),MATCH(AG$5,PORTS!$H$318:$N$318,0)))</f>
        <v>-0</v>
      </c>
      <c r="AJ87" s="343" t="n">
        <f aca="false">+AI87+AH87</f>
        <v>0</v>
      </c>
      <c r="AK87" s="355" t="n">
        <f aca="false">+AJ87+AD87</f>
        <v>0</v>
      </c>
      <c r="AM87" s="346" t="n">
        <f aca="false">+DATE(YEAR(AM86),MONTH(AM86)+1,1)</f>
        <v>38808</v>
      </c>
      <c r="AN87" s="327" t="n">
        <f aca="false">+AP87/(1-HLOOKUP(AO$6,SHIPS,7,0)*INDEX(LADEN_VOYAGE_DAYS,MATCH(CONCATENATE(AO$4,AO$5),LADEN_VOYAGE_ROUTES,0),MATCH(AO$6,LADEN_VOYAGE_SHIPS,0)))</f>
        <v>5221704.65550959</v>
      </c>
      <c r="AO87" s="347" t="n">
        <f aca="false">+AP87-AN87</f>
        <v>-54827.8988828501</v>
      </c>
      <c r="AP87" s="348" t="n">
        <f aca="false">+IF(AND(AO$8&lt;=AM87,AO$9&gt;=AM87),+MIN($B87-SUMIF($H$17:AO$17,AP$17,$H87:AO87),((INDEX(ROUTE_PER_DAY_BY_SHIP,MATCH(CONCATENATE(AO$4,AO$5,AO$7),ROUTE_PER_DAY_ROUTES,0),MATCH(AO$6,ROUTE_PER_DAY_SHIPS,0))*(AM88-AM87))-(INDEX(ROUTE_PER_DAY_BY_SHIP,MATCH(CONCATENATE(AO$4,AO$5,AO$7),ROUTE_PER_DAY_ROUTES,0),MATCH(AO$6,ROUTE_PER_DAY_SHIPS,0))*(AM88-AM87))*HLOOKUP(AO$6,SHIPS,7,0)*INDEX(LADEN_VOYAGE_DAYS,MATCH(CONCATENATE(AO$4,AO$5,AO$7),LADEN_VOYAGE_ROUTES,0),MATCH(AO$6,LADEN_VOYAGE_SHIPS,0)))),0)</f>
        <v>5166876.75662674</v>
      </c>
      <c r="AQ87" s="349" t="n">
        <f aca="false">-(AP87)*PORTS!$I$6</f>
        <v>-129171.918915669</v>
      </c>
      <c r="AR87" s="327" t="n">
        <f aca="false">+AP87+AQ87</f>
        <v>5037704.83771107</v>
      </c>
      <c r="AS87" s="333"/>
      <c r="AT87" s="346" t="n">
        <f aca="false">+DATE(YEAR(AT86),MONTH(AT86)+1,1)</f>
        <v>38808</v>
      </c>
      <c r="AU87" s="343" t="n">
        <f aca="false">+AR87*(VLOOKUP(AT87,CURVECALC!$C$6:$J$312,4,0)+AV$5)</f>
        <v>15470791.5566107</v>
      </c>
      <c r="AV87" s="350" t="n">
        <f aca="false">-AN87*INDEX(ship_curves,MATCH(AT87,'SHIP CURVES'!$A$9:$A$316,0),MATCH(CONCATENATE(AX$4,AX$5,AX$6,AX$7),'SHIP CURVES'!$A$9:$AZ$9,0))</f>
        <v>-1712495.99405916</v>
      </c>
      <c r="AW87" s="351" t="n">
        <f aca="false">-AP87*INDEX(port_processing_fee,MATCH(AT87,PORTS!$H$626:$H$933,0),MATCH(AX$5,PORTS!$H$626:$Z$626,0))</f>
        <v>-147061.770476228</v>
      </c>
      <c r="AX87" s="352" t="n">
        <f aca="false">(((VLOOKUP(AT87,curvecalc,4,0))*IF(AN87=0,0,AR87/AN87)-INDEX(ship_curves,MATCH(AT87,'SHIP CURVES'!$A$9:$A$316,0),MATCH(CONCATENATE(AX$4,AX$5,AX$6,AX$7),'SHIP CURVES'!$A$9:$Z$9,0))-INDEX(terminal_curves,MATCH(AT87,'TERMINAL CURVES'!$A$4:$A$313,0),MATCH(AX$5,'TERMINAL CURVES'!$A$4:$N$4,0))*IF(AN87=0,0,AP87/AN87))-(AV$8)*((AV$7-$N$5)-(INDEX(ship_curves,MATCH(AT87,'SHIP CURVES'!$A$9:$A$316,0),MATCH(CONCATENATE(AX$4,AX$5,AX$6,AX$7),'SHIP CURVES'!$A$9:$Z$9,0))-INDEX(ship_curves,MATCH(AT87,'SHIP CURVES'!$A$9:$A$316,0),MATCH(CONCATENATE(AX$4,AV$6,AX$6,AX$7),'SHIP CURVES'!$A$9:$Z$9,0)))-(INDEX(terminal_curves,MATCH(AT87,'TERMINAL CURVES'!$A$4:$A$313,0),MATCH(AX$5,'TERMINAL CURVES'!$A$4:$N$4,0))-INDEX(terminal_curves,MATCH(AT87,'TERMINAL CURVES'!$A$4:$A$313,0),MATCH(AV$6,'TERMINAL CURVES'!$A$4:$N$4,0)))*IF(AN87=0,0,AP87/AN87)))*-AN87</f>
        <v>-12535727.4203928</v>
      </c>
      <c r="AY87" s="356" t="n">
        <f aca="false">SUM(AV87:AX87)</f>
        <v>-14395285.1849282</v>
      </c>
      <c r="AZ87" s="357" t="n">
        <f aca="false">(-AP87/((HLOOKUP(AX$5,port_specs,2,0)/(365.25))*(AT88-AT87)))*(INDEX(fixed_capacity_charge,MATCH(AT87,PORTS!$H$11:$H$317,0),MATCH(AX$5,PORTS!$H$11:$N$11,0))+INDEX(variable_om_charge,MATCH(AT87,PORTS!$H$318:$H$625,0),MATCH(AX$5,PORTS!$H$318:$N$318,0)))</f>
        <v>-974752.274928327</v>
      </c>
      <c r="BA87" s="343" t="n">
        <f aca="false">+AZ87+AY87</f>
        <v>-15370037.4598565</v>
      </c>
      <c r="BB87" s="355" t="n">
        <f aca="false">+BA87+AU87</f>
        <v>100754.096754225</v>
      </c>
      <c r="BC87" s="99"/>
      <c r="BD87" s="357" t="n">
        <f aca="false">+PORTS!I81+PORTS!I389</f>
        <v>974752.274928327</v>
      </c>
    </row>
    <row r="88" customFormat="false" ht="12.75" hidden="false" customHeight="false" outlineLevel="0" collapsed="false">
      <c r="A88" s="346" t="n">
        <f aca="false">+DATE(YEAR(A87),MONTH(A87)+1,1)</f>
        <v>38838</v>
      </c>
      <c r="B88" s="327" t="n">
        <f aca="false">+IF(AND($A88&gt;=$C$8,$A88&lt;=$C$9),1,0)*PORTS!$I$5/(365.25)*(A89-A88)</f>
        <v>5339105.98184763</v>
      </c>
      <c r="C88" s="328" t="n">
        <f aca="false">+B88-(SUMIF($F$17:$IV$17,$H$17,$F88:$IV88))</f>
        <v>0</v>
      </c>
      <c r="D88" s="0" t="n">
        <f aca="false">+YEAR(E88)</f>
        <v>2006</v>
      </c>
      <c r="E88" s="346" t="n">
        <f aca="false">+DATE(YEAR(E87),MONTH(E87)+1,1)</f>
        <v>38838</v>
      </c>
      <c r="F88" s="327" t="n">
        <f aca="false">+IF(AND(G$8&lt;=E88,G$9&gt;=E88),INDEX(ROUTE_PER_DAY_BY_SHIP,MATCH(CONCATENATE(G$4,G$5,G$7),ROUTE_PER_DAY_ROUTES,0),MATCH(G$6,ROUTE_PER_DAY_SHIPS,0))*(E89-E88),0)</f>
        <v>0</v>
      </c>
      <c r="G88" s="347" t="n">
        <f aca="false">-F88*HLOOKUP(G$6,SHIPS,7,0)*INDEX(LADEN_VOYAGE_DAYS,MATCH(CONCATENATE(G$4,G$5,G$7),LADEN_VOYAGE_ROUTES,0),MATCH(G$6,LADEN_VOYAGE_SHIPS,0))</f>
        <v>-0</v>
      </c>
      <c r="H88" s="348" t="n">
        <f aca="false">SUM(F88:G88)</f>
        <v>0</v>
      </c>
      <c r="I88" s="349" t="n">
        <f aca="false">-(H88)*HLOOKUP(G$5,TERMINAL_CHARGES,3,0)</f>
        <v>-0</v>
      </c>
      <c r="J88" s="327" t="n">
        <f aca="false">+H88+I88</f>
        <v>0</v>
      </c>
      <c r="K88" s="333"/>
      <c r="L88" s="346" t="n">
        <f aca="false">+DATE(YEAR(L87),MONTH(L87)+1,1)</f>
        <v>38838</v>
      </c>
      <c r="M88" s="334" t="n">
        <f aca="false">+J88*(VLOOKUP(L88,CURVECALC!$C$6:$J$312,4,0)+N$5)</f>
        <v>0</v>
      </c>
      <c r="N88" s="350" t="n">
        <f aca="false">-F88*INDEX(ship_curves,MATCH(L88,'SHIP CURVES'!$A$9:$A$316,0),MATCH(CONCATENATE(P$4,P$5,P$6,P$7),'SHIP CURVES'!$A$9:$AZ$9,0))</f>
        <v>-0</v>
      </c>
      <c r="O88" s="351" t="n">
        <f aca="false">-H88*INDEX(port_processing_fee,MATCH(L88,PORTS!$H$626:$H$933,0),MATCH(P$5,PORTS!$H$626:$Z$626,0))</f>
        <v>-0</v>
      </c>
      <c r="P88" s="352" t="n">
        <f aca="false">(((VLOOKUP(L88,curvecalc,4,0))*IF(F88=0,0,J88/F88)-INDEX(ship_curves,MATCH(L88,'SHIP CURVES'!$A$9:$A$316,0),MATCH(CONCATENATE(P$4,P$5,P$6,P$7),'SHIP CURVES'!$A$9:$Z$9,0))-INDEX(terminal_curves,MATCH(L88,'TERMINAL CURVES'!$A$4:$A$313,0),MATCH(P$5,'TERMINAL CURVES'!$A$4:$N$4,0))*IF(F88=0,0,H88/F88))-(N$8)*((N$7-$N$5)-(INDEX(ship_curves,MATCH(L88,'SHIP CURVES'!$A$9:$A$316,0),MATCH(CONCATENATE(P$4,P$5,P$6,P$7),'SHIP CURVES'!$A$9:$Z$9,0))-INDEX(ship_curves,MATCH(L88,'SHIP CURVES'!$A$9:$A$316,0),MATCH(CONCATENATE(P$4,N$6,P$6,P$7),'SHIP CURVES'!$A$9:$Z$9,0)))-(INDEX(terminal_curves,MATCH(L88,'TERMINAL CURVES'!$A$4:$A$313,0),MATCH(P$5,'TERMINAL CURVES'!$A$4:$N$4,0))-INDEX(terminal_curves,MATCH(L88,'TERMINAL CURVES'!$A$4:$A$313,0),MATCH(N$6,'TERMINAL CURVES'!$A$4:$N$4,0)))*IF(F88=0,0,H88/F88)))*-F88</f>
        <v>0</v>
      </c>
      <c r="Q88" s="353" t="n">
        <f aca="false">SUM(N88:P88)</f>
        <v>0</v>
      </c>
      <c r="R88" s="357" t="n">
        <f aca="false">(-H88/((HLOOKUP(P$5,port_specs,2,0)/(365.25))*(L89-L88)))*(INDEX(fixed_capacity_charge,MATCH(L88,PORTS!$H$11:$H$317,0),MATCH(P$5,PORTS!$H$11:$N$11,0))+INDEX(variable_om_charge,MATCH(L88,PORTS!$H$318:$H$625,0),MATCH(P$5,PORTS!$H$318:$N$318,0)))</f>
        <v>-0</v>
      </c>
      <c r="S88" s="343" t="n">
        <f aca="false">+R88+Q88</f>
        <v>0</v>
      </c>
      <c r="T88" s="355" t="n">
        <f aca="false">+S88+M88</f>
        <v>0</v>
      </c>
      <c r="V88" s="346" t="n">
        <f aca="false">+DATE(YEAR(V87),MONTH(V87)+1,1)</f>
        <v>38838</v>
      </c>
      <c r="W88" s="327" t="n">
        <f aca="false">+Y88/(1-HLOOKUP(X$6,SHIPS,7,0)*INDEX(LADEN_VOYAGE_DAYS,MATCH(CONCATENATE(X$4,X$5),LADEN_VOYAGE_ROUTES,0),MATCH(X$6,LADEN_VOYAGE_SHIPS,0)))</f>
        <v>0</v>
      </c>
      <c r="X88" s="347" t="n">
        <f aca="false">+Y88-W88</f>
        <v>0</v>
      </c>
      <c r="Y88" s="348" t="n">
        <f aca="false">+IF(AND(X$8&lt;=V88,X$9&gt;=V88),+MIN($B88-SUMIF($H$17:X$17,Y$17,$H88:X88),((INDEX(ROUTE_PER_DAY_BY_SHIP,MATCH(CONCATENATE(X$4,X$5,X$7),ROUTE_PER_DAY_ROUTES,0),MATCH(X$6,ROUTE_PER_DAY_SHIPS,0))*(V89-V88))-(INDEX(ROUTE_PER_DAY_BY_SHIP,MATCH(CONCATENATE(X$4,X$5,X$7),ROUTE_PER_DAY_ROUTES,0),MATCH(X$6,ROUTE_PER_DAY_SHIPS,0))*(V89-V88))*HLOOKUP(X$6,SHIPS,7,0)*INDEX(LADEN_VOYAGE_DAYS,MATCH(CONCATENATE(X$4,X$5,X$7),LADEN_VOYAGE_ROUTES,0),MATCH(X$6,LADEN_VOYAGE_SHIPS,0)))),0)</f>
        <v>0</v>
      </c>
      <c r="Z88" s="349" t="n">
        <f aca="false">-(Y88)*HLOOKUP(X$5,TERMINAL_CHARGES,3,0)</f>
        <v>-0</v>
      </c>
      <c r="AA88" s="327" t="n">
        <f aca="false">+Y88+Z88</f>
        <v>0</v>
      </c>
      <c r="AB88" s="333"/>
      <c r="AC88" s="346" t="n">
        <f aca="false">+DATE(YEAR(AC87),MONTH(AC87)+1,1)</f>
        <v>38838</v>
      </c>
      <c r="AD88" s="343" t="n">
        <f aca="false">+AA88*(VLOOKUP(AC88,CURVECALC!$C$6:$J$312,4,0)+AE$5)</f>
        <v>0</v>
      </c>
      <c r="AE88" s="350" t="n">
        <f aca="false">-W88*INDEX(ship_curves,MATCH(AC88,'SHIP CURVES'!$A$9:$A$316,0),MATCH(CONCATENATE(AG$4,AG$5,AG$6,AG$7),'SHIP CURVES'!$A$9:$AZ$9,0))</f>
        <v>-0</v>
      </c>
      <c r="AF88" s="351" t="n">
        <f aca="false">-Y88*INDEX(port_processing_fee,MATCH(AC88,PORTS!$H$626:$H$933,0),MATCH(AG$5,PORTS!$H$626:$Z$626,0))</f>
        <v>-0</v>
      </c>
      <c r="AG88" s="352" t="n">
        <f aca="false">(((VLOOKUP(AC88,curvecalc,4,0))*IF(W88=0,0,AA88/W88)-INDEX(ship_curves,MATCH(AC88,'SHIP CURVES'!$A$9:$A$316,0),MATCH(CONCATENATE(AG$4,AG$5,AG$6,AG$7),'SHIP CURVES'!$A$9:$Z$9,0))-INDEX(terminal_curves,MATCH(AC88,'TERMINAL CURVES'!$A$4:$A$313,0),MATCH(AG$5,'TERMINAL CURVES'!$A$4:$N$4,0))*IF(W88=0,0,Y88/W88))-(AE$8)*((AE$7-$N$5)-(INDEX(ship_curves,MATCH(AC88,'SHIP CURVES'!$A$9:$A$316,0),MATCH(CONCATENATE(AG$4,AG$5,AG$6,AG$7),'SHIP CURVES'!$A$9:$Z$9,0))-INDEX(ship_curves,MATCH(AC88,'SHIP CURVES'!$A$9:$A$316,0),MATCH(CONCATENATE(AG$4,AE$6,AG$6,AG$7),'SHIP CURVES'!$A$9:$Z$9,0)))-(INDEX(terminal_curves,MATCH(AC88,'TERMINAL CURVES'!$A$4:$A$313,0),MATCH(AG$5,'TERMINAL CURVES'!$A$4:$N$4,0))-INDEX(terminal_curves,MATCH(AC88,'TERMINAL CURVES'!$A$4:$A$313,0),MATCH(AE$6,'TERMINAL CURVES'!$A$4:$N$4,0)))*IF(W88=0,0,Y88/W88)))*-W88</f>
        <v>0</v>
      </c>
      <c r="AH88" s="356" t="n">
        <f aca="false">SUM(AE88:AG88)</f>
        <v>0</v>
      </c>
      <c r="AI88" s="357" t="n">
        <f aca="false">(-Y88/((HLOOKUP(AG$5,port_specs,2,0)/(365.25))*(AC89-AC88)))*(INDEX(fixed_capacity_charge,MATCH(AC88,PORTS!$H$11:$H$317,0),MATCH(AG$5,PORTS!$H$11:$N$11,0))+INDEX(variable_om_charge,MATCH(AC88,PORTS!$H$318:$H$625,0),MATCH(AG$5,PORTS!$H$318:$N$318,0)))</f>
        <v>-0</v>
      </c>
      <c r="AJ88" s="343" t="n">
        <f aca="false">+AI88+AH88</f>
        <v>0</v>
      </c>
      <c r="AK88" s="355" t="n">
        <f aca="false">+AJ88+AD88</f>
        <v>0</v>
      </c>
      <c r="AM88" s="346" t="n">
        <f aca="false">+DATE(YEAR(AM87),MONTH(AM87)+1,1)</f>
        <v>38838</v>
      </c>
      <c r="AN88" s="327" t="n">
        <f aca="false">+AP88/(1-HLOOKUP(AO$6,SHIPS,7,0)*INDEX(LADEN_VOYAGE_DAYS,MATCH(CONCATENATE(AO$4,AO$5),LADEN_VOYAGE_ROUTES,0),MATCH(AO$6,LADEN_VOYAGE_SHIPS,0)))</f>
        <v>5395761.47735991</v>
      </c>
      <c r="AO88" s="347" t="n">
        <f aca="false">+AP88-AN88</f>
        <v>-56655.4955122788</v>
      </c>
      <c r="AP88" s="348" t="n">
        <f aca="false">+IF(AND(AO$8&lt;=AM88,AO$9&gt;=AM88),+MIN($B88-SUMIF($H$17:AO$17,AP$17,$H88:AO88),((INDEX(ROUTE_PER_DAY_BY_SHIP,MATCH(CONCATENATE(AO$4,AO$5,AO$7),ROUTE_PER_DAY_ROUTES,0),MATCH(AO$6,ROUTE_PER_DAY_SHIPS,0))*(AM89-AM88))-(INDEX(ROUTE_PER_DAY_BY_SHIP,MATCH(CONCATENATE(AO$4,AO$5,AO$7),ROUTE_PER_DAY_ROUTES,0),MATCH(AO$6,ROUTE_PER_DAY_SHIPS,0))*(AM89-AM88))*HLOOKUP(AO$6,SHIPS,7,0)*INDEX(LADEN_VOYAGE_DAYS,MATCH(CONCATENATE(AO$4,AO$5,AO$7),LADEN_VOYAGE_ROUTES,0),MATCH(AO$6,LADEN_VOYAGE_SHIPS,0)))),0)</f>
        <v>5339105.98184763</v>
      </c>
      <c r="AQ88" s="349" t="n">
        <f aca="false">-(AP88)*PORTS!$I$6</f>
        <v>-133477.649546191</v>
      </c>
      <c r="AR88" s="327" t="n">
        <f aca="false">+AP88+AQ88</f>
        <v>5205628.33230144</v>
      </c>
      <c r="AS88" s="333"/>
      <c r="AT88" s="346" t="n">
        <f aca="false">+DATE(YEAR(AT87),MONTH(AT87)+1,1)</f>
        <v>38838</v>
      </c>
      <c r="AU88" s="343" t="n">
        <f aca="false">+AR88*(VLOOKUP(AT88,CURVECALC!$C$6:$J$312,4,0)+AV$5)</f>
        <v>15924017.0685101</v>
      </c>
      <c r="AV88" s="350" t="n">
        <f aca="false">-AN88*INDEX(ship_curves,MATCH(AT88,'SHIP CURVES'!$A$9:$A$316,0),MATCH(CONCATENATE(AX$4,AX$5,AX$6,AX$7),'SHIP CURVES'!$A$9:$AZ$9,0))</f>
        <v>-1770070.13441706</v>
      </c>
      <c r="AW88" s="351" t="n">
        <f aca="false">-AP88*INDEX(port_processing_fee,MATCH(AT88,PORTS!$H$626:$H$933,0),MATCH(AX$5,PORTS!$H$626:$Z$626,0))</f>
        <v>-152122.125147823</v>
      </c>
      <c r="AX88" s="352" t="n">
        <f aca="false">(((VLOOKUP(AT88,curvecalc,4,0))*IF(AN88=0,0,AR88/AN88)-INDEX(ship_curves,MATCH(AT88,'SHIP CURVES'!$A$9:$A$316,0),MATCH(CONCATENATE(AX$4,AX$5,AX$6,AX$7),'SHIP CURVES'!$A$9:$Z$9,0))-INDEX(terminal_curves,MATCH(AT88,'TERMINAL CURVES'!$A$4:$A$313,0),MATCH(AX$5,'TERMINAL CURVES'!$A$4:$N$4,0))*IF(AN88=0,0,AP88/AN88))-(AV$8)*((AV$7-$N$5)-(INDEX(ship_curves,MATCH(AT88,'SHIP CURVES'!$A$9:$A$316,0),MATCH(CONCATENATE(AX$4,AX$5,AX$6,AX$7),'SHIP CURVES'!$A$9:$Z$9,0))-INDEX(ship_curves,MATCH(AT88,'SHIP CURVES'!$A$9:$A$316,0),MATCH(CONCATENATE(AX$4,AV$6,AX$6,AX$7),'SHIP CURVES'!$A$9:$Z$9,0)))-(INDEX(terminal_curves,MATCH(AT88,'TERMINAL CURVES'!$A$4:$A$313,0),MATCH(AX$5,'TERMINAL CURVES'!$A$4:$N$4,0))-INDEX(terminal_curves,MATCH(AT88,'TERMINAL CURVES'!$A$4:$A$313,0),MATCH(AV$6,'TERMINAL CURVES'!$A$4:$N$4,0)))*IF(AN88=0,0,AP88/AN88)))*-AN88</f>
        <v>-12922450.0030959</v>
      </c>
      <c r="AY88" s="356" t="n">
        <f aca="false">SUM(AV88:AX88)</f>
        <v>-14844642.2626607</v>
      </c>
      <c r="AZ88" s="357" t="n">
        <f aca="false">(-AP88/((HLOOKUP(AX$5,port_specs,2,0)/(365.25))*(AT89-AT88)))*(INDEX(fixed_capacity_charge,MATCH(AT88,PORTS!$H$11:$H$317,0),MATCH(AX$5,PORTS!$H$11:$N$11,0))+INDEX(variable_om_charge,MATCH(AT88,PORTS!$H$318:$H$625,0),MATCH(AX$5,PORTS!$H$318:$N$318,0)))</f>
        <v>-975262.239203348</v>
      </c>
      <c r="BA88" s="343" t="n">
        <f aca="false">+AZ88+AY88</f>
        <v>-15819904.5018641</v>
      </c>
      <c r="BB88" s="355" t="n">
        <f aca="false">+BA88+AU88</f>
        <v>104112.56664603</v>
      </c>
      <c r="BC88" s="99"/>
      <c r="BD88" s="357" t="n">
        <f aca="false">+PORTS!I82+PORTS!I390</f>
        <v>975262.239203348</v>
      </c>
    </row>
    <row r="89" customFormat="false" ht="12.75" hidden="false" customHeight="false" outlineLevel="0" collapsed="false">
      <c r="A89" s="346" t="n">
        <f aca="false">+DATE(YEAR(A88),MONTH(A88)+1,1)</f>
        <v>38869</v>
      </c>
      <c r="B89" s="327" t="n">
        <f aca="false">+IF(AND($A89&gt;=$C$8,$A89&lt;=$C$9),1,0)*PORTS!$I$5/(365.25)*(A90-A89)</f>
        <v>5166876.75662674</v>
      </c>
      <c r="C89" s="328" t="n">
        <f aca="false">+B89-(SUMIF($F$17:$IV$17,$H$17,$F89:$IV89))</f>
        <v>0</v>
      </c>
      <c r="D89" s="0" t="n">
        <f aca="false">+YEAR(E89)</f>
        <v>2006</v>
      </c>
      <c r="E89" s="346" t="n">
        <f aca="false">+DATE(YEAR(E88),MONTH(E88)+1,1)</f>
        <v>38869</v>
      </c>
      <c r="F89" s="327" t="n">
        <f aca="false">+IF(AND(G$8&lt;=E89,G$9&gt;=E89),INDEX(ROUTE_PER_DAY_BY_SHIP,MATCH(CONCATENATE(G$4,G$5,G$7),ROUTE_PER_DAY_ROUTES,0),MATCH(G$6,ROUTE_PER_DAY_SHIPS,0))*(E90-E89),0)</f>
        <v>0</v>
      </c>
      <c r="G89" s="347" t="n">
        <f aca="false">-F89*HLOOKUP(G$6,SHIPS,7,0)*INDEX(LADEN_VOYAGE_DAYS,MATCH(CONCATENATE(G$4,G$5,G$7),LADEN_VOYAGE_ROUTES,0),MATCH(G$6,LADEN_VOYAGE_SHIPS,0))</f>
        <v>-0</v>
      </c>
      <c r="H89" s="348" t="n">
        <f aca="false">SUM(F89:G89)</f>
        <v>0</v>
      </c>
      <c r="I89" s="349" t="n">
        <f aca="false">-(H89)*HLOOKUP(G$5,TERMINAL_CHARGES,3,0)</f>
        <v>-0</v>
      </c>
      <c r="J89" s="327" t="n">
        <f aca="false">+H89+I89</f>
        <v>0</v>
      </c>
      <c r="K89" s="333"/>
      <c r="L89" s="346" t="n">
        <f aca="false">+DATE(YEAR(L88),MONTH(L88)+1,1)</f>
        <v>38869</v>
      </c>
      <c r="M89" s="334" t="n">
        <f aca="false">+J89*(VLOOKUP(L89,CURVECALC!$C$6:$J$312,4,0)+N$5)</f>
        <v>0</v>
      </c>
      <c r="N89" s="350" t="n">
        <f aca="false">-F89*INDEX(ship_curves,MATCH(L89,'SHIP CURVES'!$A$9:$A$316,0),MATCH(CONCATENATE(P$4,P$5,P$6,P$7),'SHIP CURVES'!$A$9:$AZ$9,0))</f>
        <v>-0</v>
      </c>
      <c r="O89" s="351" t="n">
        <f aca="false">-H89*INDEX(port_processing_fee,MATCH(L89,PORTS!$H$626:$H$933,0),MATCH(P$5,PORTS!$H$626:$Z$626,0))</f>
        <v>-0</v>
      </c>
      <c r="P89" s="352" t="n">
        <f aca="false">(((VLOOKUP(L89,curvecalc,4,0))*IF(F89=0,0,J89/F89)-INDEX(ship_curves,MATCH(L89,'SHIP CURVES'!$A$9:$A$316,0),MATCH(CONCATENATE(P$4,P$5,P$6,P$7),'SHIP CURVES'!$A$9:$Z$9,0))-INDEX(terminal_curves,MATCH(L89,'TERMINAL CURVES'!$A$4:$A$313,0),MATCH(P$5,'TERMINAL CURVES'!$A$4:$N$4,0))*IF(F89=0,0,H89/F89))-(N$8)*((N$7-$N$5)-(INDEX(ship_curves,MATCH(L89,'SHIP CURVES'!$A$9:$A$316,0),MATCH(CONCATENATE(P$4,P$5,P$6,P$7),'SHIP CURVES'!$A$9:$Z$9,0))-INDEX(ship_curves,MATCH(L89,'SHIP CURVES'!$A$9:$A$316,0),MATCH(CONCATENATE(P$4,N$6,P$6,P$7),'SHIP CURVES'!$A$9:$Z$9,0)))-(INDEX(terminal_curves,MATCH(L89,'TERMINAL CURVES'!$A$4:$A$313,0),MATCH(P$5,'TERMINAL CURVES'!$A$4:$N$4,0))-INDEX(terminal_curves,MATCH(L89,'TERMINAL CURVES'!$A$4:$A$313,0),MATCH(N$6,'TERMINAL CURVES'!$A$4:$N$4,0)))*IF(F89=0,0,H89/F89)))*-F89</f>
        <v>0</v>
      </c>
      <c r="Q89" s="353" t="n">
        <f aca="false">SUM(N89:P89)</f>
        <v>0</v>
      </c>
      <c r="R89" s="357" t="n">
        <f aca="false">(-H89/((HLOOKUP(P$5,port_specs,2,0)/(365.25))*(L90-L89)))*(INDEX(fixed_capacity_charge,MATCH(L89,PORTS!$H$11:$H$317,0),MATCH(P$5,PORTS!$H$11:$N$11,0))+INDEX(variable_om_charge,MATCH(L89,PORTS!$H$318:$H$625,0),MATCH(P$5,PORTS!$H$318:$N$318,0)))</f>
        <v>-0</v>
      </c>
      <c r="S89" s="343" t="n">
        <f aca="false">+R89+Q89</f>
        <v>0</v>
      </c>
      <c r="T89" s="355" t="n">
        <f aca="false">+S89+M89</f>
        <v>0</v>
      </c>
      <c r="V89" s="346" t="n">
        <f aca="false">+DATE(YEAR(V88),MONTH(V88)+1,1)</f>
        <v>38869</v>
      </c>
      <c r="W89" s="327" t="n">
        <f aca="false">+Y89/(1-HLOOKUP(X$6,SHIPS,7,0)*INDEX(LADEN_VOYAGE_DAYS,MATCH(CONCATENATE(X$4,X$5),LADEN_VOYAGE_ROUTES,0),MATCH(X$6,LADEN_VOYAGE_SHIPS,0)))</f>
        <v>0</v>
      </c>
      <c r="X89" s="347" t="n">
        <f aca="false">+Y89-W89</f>
        <v>0</v>
      </c>
      <c r="Y89" s="348" t="n">
        <f aca="false">+IF(AND(X$8&lt;=V89,X$9&gt;=V89),+MIN($B89-SUMIF($H$17:X$17,Y$17,$H89:X89),((INDEX(ROUTE_PER_DAY_BY_SHIP,MATCH(CONCATENATE(X$4,X$5,X$7),ROUTE_PER_DAY_ROUTES,0),MATCH(X$6,ROUTE_PER_DAY_SHIPS,0))*(V90-V89))-(INDEX(ROUTE_PER_DAY_BY_SHIP,MATCH(CONCATENATE(X$4,X$5,X$7),ROUTE_PER_DAY_ROUTES,0),MATCH(X$6,ROUTE_PER_DAY_SHIPS,0))*(V90-V89))*HLOOKUP(X$6,SHIPS,7,0)*INDEX(LADEN_VOYAGE_DAYS,MATCH(CONCATENATE(X$4,X$5,X$7),LADEN_VOYAGE_ROUTES,0),MATCH(X$6,LADEN_VOYAGE_SHIPS,0)))),0)</f>
        <v>0</v>
      </c>
      <c r="Z89" s="349" t="n">
        <f aca="false">-(Y89)*HLOOKUP(X$5,TERMINAL_CHARGES,3,0)</f>
        <v>-0</v>
      </c>
      <c r="AA89" s="327" t="n">
        <f aca="false">+Y89+Z89</f>
        <v>0</v>
      </c>
      <c r="AB89" s="333"/>
      <c r="AC89" s="346" t="n">
        <f aca="false">+DATE(YEAR(AC88),MONTH(AC88)+1,1)</f>
        <v>38869</v>
      </c>
      <c r="AD89" s="343" t="n">
        <f aca="false">+AA89*(VLOOKUP(AC89,CURVECALC!$C$6:$J$312,4,0)+AE$5)</f>
        <v>0</v>
      </c>
      <c r="AE89" s="350" t="n">
        <f aca="false">-W89*INDEX(ship_curves,MATCH(AC89,'SHIP CURVES'!$A$9:$A$316,0),MATCH(CONCATENATE(AG$4,AG$5,AG$6,AG$7),'SHIP CURVES'!$A$9:$AZ$9,0))</f>
        <v>-0</v>
      </c>
      <c r="AF89" s="351" t="n">
        <f aca="false">-Y89*INDEX(port_processing_fee,MATCH(AC89,PORTS!$H$626:$H$933,0),MATCH(AG$5,PORTS!$H$626:$Z$626,0))</f>
        <v>-0</v>
      </c>
      <c r="AG89" s="352" t="n">
        <f aca="false">(((VLOOKUP(AC89,curvecalc,4,0))*IF(W89=0,0,AA89/W89)-INDEX(ship_curves,MATCH(AC89,'SHIP CURVES'!$A$9:$A$316,0),MATCH(CONCATENATE(AG$4,AG$5,AG$6,AG$7),'SHIP CURVES'!$A$9:$Z$9,0))-INDEX(terminal_curves,MATCH(AC89,'TERMINAL CURVES'!$A$4:$A$313,0),MATCH(AG$5,'TERMINAL CURVES'!$A$4:$N$4,0))*IF(W89=0,0,Y89/W89))-(AE$8)*((AE$7-$N$5)-(INDEX(ship_curves,MATCH(AC89,'SHIP CURVES'!$A$9:$A$316,0),MATCH(CONCATENATE(AG$4,AG$5,AG$6,AG$7),'SHIP CURVES'!$A$9:$Z$9,0))-INDEX(ship_curves,MATCH(AC89,'SHIP CURVES'!$A$9:$A$316,0),MATCH(CONCATENATE(AG$4,AE$6,AG$6,AG$7),'SHIP CURVES'!$A$9:$Z$9,0)))-(INDEX(terminal_curves,MATCH(AC89,'TERMINAL CURVES'!$A$4:$A$313,0),MATCH(AG$5,'TERMINAL CURVES'!$A$4:$N$4,0))-INDEX(terminal_curves,MATCH(AC89,'TERMINAL CURVES'!$A$4:$A$313,0),MATCH(AE$6,'TERMINAL CURVES'!$A$4:$N$4,0)))*IF(W89=0,0,Y89/W89)))*-W89</f>
        <v>0</v>
      </c>
      <c r="AH89" s="356" t="n">
        <f aca="false">SUM(AE89:AG89)</f>
        <v>0</v>
      </c>
      <c r="AI89" s="357" t="n">
        <f aca="false">(-Y89/((HLOOKUP(AG$5,port_specs,2,0)/(365.25))*(AC90-AC89)))*(INDEX(fixed_capacity_charge,MATCH(AC89,PORTS!$H$11:$H$317,0),MATCH(AG$5,PORTS!$H$11:$N$11,0))+INDEX(variable_om_charge,MATCH(AC89,PORTS!$H$318:$H$625,0),MATCH(AG$5,PORTS!$H$318:$N$318,0)))</f>
        <v>-0</v>
      </c>
      <c r="AJ89" s="343" t="n">
        <f aca="false">+AI89+AH89</f>
        <v>0</v>
      </c>
      <c r="AK89" s="355" t="n">
        <f aca="false">+AJ89+AD89</f>
        <v>0</v>
      </c>
      <c r="AM89" s="346" t="n">
        <f aca="false">+DATE(YEAR(AM88),MONTH(AM88)+1,1)</f>
        <v>38869</v>
      </c>
      <c r="AN89" s="327" t="n">
        <f aca="false">+AP89/(1-HLOOKUP(AO$6,SHIPS,7,0)*INDEX(LADEN_VOYAGE_DAYS,MATCH(CONCATENATE(AO$4,AO$5),LADEN_VOYAGE_ROUTES,0),MATCH(AO$6,LADEN_VOYAGE_SHIPS,0)))</f>
        <v>5221704.65550959</v>
      </c>
      <c r="AO89" s="347" t="n">
        <f aca="false">+AP89-AN89</f>
        <v>-54827.8988828501</v>
      </c>
      <c r="AP89" s="348" t="n">
        <f aca="false">+IF(AND(AO$8&lt;=AM89,AO$9&gt;=AM89),+MIN($B89-SUMIF($H$17:AO$17,AP$17,$H89:AO89),((INDEX(ROUTE_PER_DAY_BY_SHIP,MATCH(CONCATENATE(AO$4,AO$5,AO$7),ROUTE_PER_DAY_ROUTES,0),MATCH(AO$6,ROUTE_PER_DAY_SHIPS,0))*(AM90-AM89))-(INDEX(ROUTE_PER_DAY_BY_SHIP,MATCH(CONCATENATE(AO$4,AO$5,AO$7),ROUTE_PER_DAY_ROUTES,0),MATCH(AO$6,ROUTE_PER_DAY_SHIPS,0))*(AM90-AM89))*HLOOKUP(AO$6,SHIPS,7,0)*INDEX(LADEN_VOYAGE_DAYS,MATCH(CONCATENATE(AO$4,AO$5,AO$7),LADEN_VOYAGE_ROUTES,0),MATCH(AO$6,LADEN_VOYAGE_SHIPS,0)))),0)</f>
        <v>5166876.75662674</v>
      </c>
      <c r="AQ89" s="349" t="n">
        <f aca="false">-(AP89)*PORTS!$I$6</f>
        <v>-129171.918915669</v>
      </c>
      <c r="AR89" s="327" t="n">
        <f aca="false">+AP89+AQ89</f>
        <v>5037704.83771107</v>
      </c>
      <c r="AS89" s="333"/>
      <c r="AT89" s="346" t="n">
        <f aca="false">+DATE(YEAR(AT88),MONTH(AT88)+1,1)</f>
        <v>38869</v>
      </c>
      <c r="AU89" s="343" t="n">
        <f aca="false">+AR89*(VLOOKUP(AT89,CURVECALC!$C$6:$J$312,4,0)+AV$5)</f>
        <v>15576583.3582026</v>
      </c>
      <c r="AV89" s="350" t="n">
        <f aca="false">-AN89*INDEX(ship_curves,MATCH(AT89,'SHIP CURVES'!$A$9:$A$316,0),MATCH(CONCATENATE(AX$4,AX$5,AX$6,AX$7),'SHIP CURVES'!$A$9:$AZ$9,0))</f>
        <v>-1713447.19138626</v>
      </c>
      <c r="AW89" s="351" t="n">
        <f aca="false">-AP89*INDEX(port_processing_fee,MATCH(AT89,PORTS!$H$626:$H$933,0),MATCH(AX$5,PORTS!$H$626:$Z$626,0))</f>
        <v>-147368.308736954</v>
      </c>
      <c r="AX89" s="352" t="n">
        <f aca="false">(((VLOOKUP(AT89,curvecalc,4,0))*IF(AN89=0,0,AR89/AN89)-INDEX(ship_curves,MATCH(AT89,'SHIP CURVES'!$A$9:$A$316,0),MATCH(CONCATENATE(AX$4,AX$5,AX$6,AX$7),'SHIP CURVES'!$A$9:$Z$9,0))-INDEX(terminal_curves,MATCH(AT89,'TERMINAL CURVES'!$A$4:$A$313,0),MATCH(AX$5,'TERMINAL CURVES'!$A$4:$N$4,0))*IF(AN89=0,0,AP89/AN89))-(AV$8)*((AV$7-$N$5)-(INDEX(ship_curves,MATCH(AT89,'SHIP CURVES'!$A$9:$A$316,0),MATCH(CONCATENATE(AX$4,AX$5,AX$6,AX$7),'SHIP CURVES'!$A$9:$Z$9,0))-INDEX(ship_curves,MATCH(AT89,'SHIP CURVES'!$A$9:$A$316,0),MATCH(CONCATENATE(AX$4,AV$6,AX$6,AX$7),'SHIP CURVES'!$A$9:$Z$9,0)))-(INDEX(terminal_curves,MATCH(AT89,'TERMINAL CURVES'!$A$4:$A$313,0),MATCH(AX$5,'TERMINAL CURVES'!$A$4:$N$4,0))-INDEX(terminal_curves,MATCH(AT89,'TERMINAL CURVES'!$A$4:$A$313,0),MATCH(AV$6,'TERMINAL CURVES'!$A$4:$N$4,0)))*IF(AN89=0,0,AP89/AN89)))*-AN89</f>
        <v>-12639241.026634</v>
      </c>
      <c r="AY89" s="356" t="n">
        <f aca="false">SUM(AV89:AX89)</f>
        <v>-14500056.5267573</v>
      </c>
      <c r="AZ89" s="357" t="n">
        <f aca="false">(-AP89/((HLOOKUP(AX$5,port_specs,2,0)/(365.25))*(AT90-AT89)))*(INDEX(fixed_capacity_charge,MATCH(AT89,PORTS!$H$11:$H$317,0),MATCH(AX$5,PORTS!$H$11:$N$11,0))+INDEX(variable_om_charge,MATCH(AT89,PORTS!$H$318:$H$625,0),MATCH(AX$5,PORTS!$H$318:$N$318,0)))</f>
        <v>-975772.734691155</v>
      </c>
      <c r="BA89" s="343" t="n">
        <f aca="false">+AZ89+AY89</f>
        <v>-15475829.2614484</v>
      </c>
      <c r="BB89" s="355" t="n">
        <f aca="false">+BA89+AU89</f>
        <v>100754.096754221</v>
      </c>
      <c r="BC89" s="99"/>
      <c r="BD89" s="357" t="n">
        <f aca="false">+PORTS!I83+PORTS!I391</f>
        <v>975772.734691155</v>
      </c>
    </row>
    <row r="90" customFormat="false" ht="12.75" hidden="false" customHeight="false" outlineLevel="0" collapsed="false">
      <c r="A90" s="346" t="n">
        <f aca="false">+DATE(YEAR(A89),MONTH(A89)+1,1)</f>
        <v>38899</v>
      </c>
      <c r="B90" s="327" t="n">
        <f aca="false">+IF(AND($A90&gt;=$C$8,$A90&lt;=$C$9),1,0)*PORTS!$I$5/(365.25)*(A91-A90)</f>
        <v>5339105.98184763</v>
      </c>
      <c r="C90" s="328" t="n">
        <f aca="false">+B90-(SUMIF($F$17:$IV$17,$H$17,$F90:$IV90))</f>
        <v>0</v>
      </c>
      <c r="D90" s="0" t="n">
        <f aca="false">+YEAR(E90)</f>
        <v>2006</v>
      </c>
      <c r="E90" s="346" t="n">
        <f aca="false">+DATE(YEAR(E89),MONTH(E89)+1,1)</f>
        <v>38899</v>
      </c>
      <c r="F90" s="327" t="n">
        <f aca="false">+IF(AND(G$8&lt;=E90,G$9&gt;=E90),INDEX(ROUTE_PER_DAY_BY_SHIP,MATCH(CONCATENATE(G$4,G$5,G$7),ROUTE_PER_DAY_ROUTES,0),MATCH(G$6,ROUTE_PER_DAY_SHIPS,0))*(E91-E90),0)</f>
        <v>0</v>
      </c>
      <c r="G90" s="347" t="n">
        <f aca="false">-F90*HLOOKUP(G$6,SHIPS,7,0)*INDEX(LADEN_VOYAGE_DAYS,MATCH(CONCATENATE(G$4,G$5,G$7),LADEN_VOYAGE_ROUTES,0),MATCH(G$6,LADEN_VOYAGE_SHIPS,0))</f>
        <v>-0</v>
      </c>
      <c r="H90" s="348" t="n">
        <f aca="false">SUM(F90:G90)</f>
        <v>0</v>
      </c>
      <c r="I90" s="349" t="n">
        <f aca="false">-(H90)*HLOOKUP(G$5,TERMINAL_CHARGES,3,0)</f>
        <v>-0</v>
      </c>
      <c r="J90" s="327" t="n">
        <f aca="false">+H90+I90</f>
        <v>0</v>
      </c>
      <c r="K90" s="333"/>
      <c r="L90" s="346" t="n">
        <f aca="false">+DATE(YEAR(L89),MONTH(L89)+1,1)</f>
        <v>38899</v>
      </c>
      <c r="M90" s="334" t="n">
        <f aca="false">+J90*(VLOOKUP(L90,CURVECALC!$C$6:$J$312,4,0)+N$5)</f>
        <v>0</v>
      </c>
      <c r="N90" s="350" t="n">
        <f aca="false">-F90*INDEX(ship_curves,MATCH(L90,'SHIP CURVES'!$A$9:$A$316,0),MATCH(CONCATENATE(P$4,P$5,P$6,P$7),'SHIP CURVES'!$A$9:$AZ$9,0))</f>
        <v>-0</v>
      </c>
      <c r="O90" s="351" t="n">
        <f aca="false">-H90*INDEX(port_processing_fee,MATCH(L90,PORTS!$H$626:$H$933,0),MATCH(P$5,PORTS!$H$626:$Z$626,0))</f>
        <v>-0</v>
      </c>
      <c r="P90" s="352" t="n">
        <f aca="false">(((VLOOKUP(L90,curvecalc,4,0))*IF(F90=0,0,J90/F90)-INDEX(ship_curves,MATCH(L90,'SHIP CURVES'!$A$9:$A$316,0),MATCH(CONCATENATE(P$4,P$5,P$6,P$7),'SHIP CURVES'!$A$9:$Z$9,0))-INDEX(terminal_curves,MATCH(L90,'TERMINAL CURVES'!$A$4:$A$313,0),MATCH(P$5,'TERMINAL CURVES'!$A$4:$N$4,0))*IF(F90=0,0,H90/F90))-(N$8)*((N$7-$N$5)-(INDEX(ship_curves,MATCH(L90,'SHIP CURVES'!$A$9:$A$316,0),MATCH(CONCATENATE(P$4,P$5,P$6,P$7),'SHIP CURVES'!$A$9:$Z$9,0))-INDEX(ship_curves,MATCH(L90,'SHIP CURVES'!$A$9:$A$316,0),MATCH(CONCATENATE(P$4,N$6,P$6,P$7),'SHIP CURVES'!$A$9:$Z$9,0)))-(INDEX(terminal_curves,MATCH(L90,'TERMINAL CURVES'!$A$4:$A$313,0),MATCH(P$5,'TERMINAL CURVES'!$A$4:$N$4,0))-INDEX(terminal_curves,MATCH(L90,'TERMINAL CURVES'!$A$4:$A$313,0),MATCH(N$6,'TERMINAL CURVES'!$A$4:$N$4,0)))*IF(F90=0,0,H90/F90)))*-F90</f>
        <v>0</v>
      </c>
      <c r="Q90" s="353" t="n">
        <f aca="false">SUM(N90:P90)</f>
        <v>0</v>
      </c>
      <c r="R90" s="357" t="n">
        <f aca="false">(-H90/((HLOOKUP(P$5,port_specs,2,0)/(365.25))*(L91-L90)))*(INDEX(fixed_capacity_charge,MATCH(L90,PORTS!$H$11:$H$317,0),MATCH(P$5,PORTS!$H$11:$N$11,0))+INDEX(variable_om_charge,MATCH(L90,PORTS!$H$318:$H$625,0),MATCH(P$5,PORTS!$H$318:$N$318,0)))</f>
        <v>-0</v>
      </c>
      <c r="S90" s="343" t="n">
        <f aca="false">+R90+Q90</f>
        <v>0</v>
      </c>
      <c r="T90" s="355" t="n">
        <f aca="false">+S90+M90</f>
        <v>0</v>
      </c>
      <c r="V90" s="346" t="n">
        <f aca="false">+DATE(YEAR(V89),MONTH(V89)+1,1)</f>
        <v>38899</v>
      </c>
      <c r="W90" s="327" t="n">
        <f aca="false">+Y90/(1-HLOOKUP(X$6,SHIPS,7,0)*INDEX(LADEN_VOYAGE_DAYS,MATCH(CONCATENATE(X$4,X$5),LADEN_VOYAGE_ROUTES,0),MATCH(X$6,LADEN_VOYAGE_SHIPS,0)))</f>
        <v>0</v>
      </c>
      <c r="X90" s="347" t="n">
        <f aca="false">+Y90-W90</f>
        <v>0</v>
      </c>
      <c r="Y90" s="348" t="n">
        <f aca="false">+IF(AND(X$8&lt;=V90,X$9&gt;=V90),+MIN($B90-SUMIF($H$17:X$17,Y$17,$H90:X90),((INDEX(ROUTE_PER_DAY_BY_SHIP,MATCH(CONCATENATE(X$4,X$5,X$7),ROUTE_PER_DAY_ROUTES,0),MATCH(X$6,ROUTE_PER_DAY_SHIPS,0))*(V91-V90))-(INDEX(ROUTE_PER_DAY_BY_SHIP,MATCH(CONCATENATE(X$4,X$5,X$7),ROUTE_PER_DAY_ROUTES,0),MATCH(X$6,ROUTE_PER_DAY_SHIPS,0))*(V91-V90))*HLOOKUP(X$6,SHIPS,7,0)*INDEX(LADEN_VOYAGE_DAYS,MATCH(CONCATENATE(X$4,X$5,X$7),LADEN_VOYAGE_ROUTES,0),MATCH(X$6,LADEN_VOYAGE_SHIPS,0)))),0)</f>
        <v>0</v>
      </c>
      <c r="Z90" s="349" t="n">
        <f aca="false">-(Y90)*HLOOKUP(X$5,TERMINAL_CHARGES,3,0)</f>
        <v>-0</v>
      </c>
      <c r="AA90" s="327" t="n">
        <f aca="false">+Y90+Z90</f>
        <v>0</v>
      </c>
      <c r="AB90" s="333"/>
      <c r="AC90" s="346" t="n">
        <f aca="false">+DATE(YEAR(AC89),MONTH(AC89)+1,1)</f>
        <v>38899</v>
      </c>
      <c r="AD90" s="343" t="n">
        <f aca="false">+AA90*(VLOOKUP(AC90,CURVECALC!$C$6:$J$312,4,0)+AE$5)</f>
        <v>0</v>
      </c>
      <c r="AE90" s="350" t="n">
        <f aca="false">-W90*INDEX(ship_curves,MATCH(AC90,'SHIP CURVES'!$A$9:$A$316,0),MATCH(CONCATENATE(AG$4,AG$5,AG$6,AG$7),'SHIP CURVES'!$A$9:$AZ$9,0))</f>
        <v>-0</v>
      </c>
      <c r="AF90" s="351" t="n">
        <f aca="false">-Y90*INDEX(port_processing_fee,MATCH(AC90,PORTS!$H$626:$H$933,0),MATCH(AG$5,PORTS!$H$626:$Z$626,0))</f>
        <v>-0</v>
      </c>
      <c r="AG90" s="352" t="n">
        <f aca="false">(((VLOOKUP(AC90,curvecalc,4,0))*IF(W90=0,0,AA90/W90)-INDEX(ship_curves,MATCH(AC90,'SHIP CURVES'!$A$9:$A$316,0),MATCH(CONCATENATE(AG$4,AG$5,AG$6,AG$7),'SHIP CURVES'!$A$9:$Z$9,0))-INDEX(terminal_curves,MATCH(AC90,'TERMINAL CURVES'!$A$4:$A$313,0),MATCH(AG$5,'TERMINAL CURVES'!$A$4:$N$4,0))*IF(W90=0,0,Y90/W90))-(AE$8)*((AE$7-$N$5)-(INDEX(ship_curves,MATCH(AC90,'SHIP CURVES'!$A$9:$A$316,0),MATCH(CONCATENATE(AG$4,AG$5,AG$6,AG$7),'SHIP CURVES'!$A$9:$Z$9,0))-INDEX(ship_curves,MATCH(AC90,'SHIP CURVES'!$A$9:$A$316,0),MATCH(CONCATENATE(AG$4,AE$6,AG$6,AG$7),'SHIP CURVES'!$A$9:$Z$9,0)))-(INDEX(terminal_curves,MATCH(AC90,'TERMINAL CURVES'!$A$4:$A$313,0),MATCH(AG$5,'TERMINAL CURVES'!$A$4:$N$4,0))-INDEX(terminal_curves,MATCH(AC90,'TERMINAL CURVES'!$A$4:$A$313,0),MATCH(AE$6,'TERMINAL CURVES'!$A$4:$N$4,0)))*IF(W90=0,0,Y90/W90)))*-W90</f>
        <v>0</v>
      </c>
      <c r="AH90" s="356" t="n">
        <f aca="false">SUM(AE90:AG90)</f>
        <v>0</v>
      </c>
      <c r="AI90" s="357" t="n">
        <f aca="false">(-Y90/((HLOOKUP(AG$5,port_specs,2,0)/(365.25))*(AC91-AC90)))*(INDEX(fixed_capacity_charge,MATCH(AC90,PORTS!$H$11:$H$317,0),MATCH(AG$5,PORTS!$H$11:$N$11,0))+INDEX(variable_om_charge,MATCH(AC90,PORTS!$H$318:$H$625,0),MATCH(AG$5,PORTS!$H$318:$N$318,0)))</f>
        <v>-0</v>
      </c>
      <c r="AJ90" s="343" t="n">
        <f aca="false">+AI90+AH90</f>
        <v>0</v>
      </c>
      <c r="AK90" s="355" t="n">
        <f aca="false">+AJ90+AD90</f>
        <v>0</v>
      </c>
      <c r="AM90" s="346" t="n">
        <f aca="false">+DATE(YEAR(AM89),MONTH(AM89)+1,1)</f>
        <v>38899</v>
      </c>
      <c r="AN90" s="327" t="n">
        <f aca="false">+AP90/(1-HLOOKUP(AO$6,SHIPS,7,0)*INDEX(LADEN_VOYAGE_DAYS,MATCH(CONCATENATE(AO$4,AO$5),LADEN_VOYAGE_ROUTES,0),MATCH(AO$6,LADEN_VOYAGE_SHIPS,0)))</f>
        <v>5395761.47735991</v>
      </c>
      <c r="AO90" s="347" t="n">
        <f aca="false">+AP90-AN90</f>
        <v>-56655.4955122788</v>
      </c>
      <c r="AP90" s="348" t="n">
        <f aca="false">+IF(AND(AO$8&lt;=AM90,AO$9&gt;=AM90),+MIN($B90-SUMIF($H$17:AO$17,AP$17,$H90:AO90),((INDEX(ROUTE_PER_DAY_BY_SHIP,MATCH(CONCATENATE(AO$4,AO$5,AO$7),ROUTE_PER_DAY_ROUTES,0),MATCH(AO$6,ROUTE_PER_DAY_SHIPS,0))*(AM91-AM90))-(INDEX(ROUTE_PER_DAY_BY_SHIP,MATCH(CONCATENATE(AO$4,AO$5,AO$7),ROUTE_PER_DAY_ROUTES,0),MATCH(AO$6,ROUTE_PER_DAY_SHIPS,0))*(AM91-AM90))*HLOOKUP(AO$6,SHIPS,7,0)*INDEX(LADEN_VOYAGE_DAYS,MATCH(CONCATENATE(AO$4,AO$5,AO$7),LADEN_VOYAGE_ROUTES,0),MATCH(AO$6,LADEN_VOYAGE_SHIPS,0)))),0)</f>
        <v>5339105.98184763</v>
      </c>
      <c r="AQ90" s="349" t="n">
        <f aca="false">-(AP90)*PORTS!$I$6</f>
        <v>-133477.649546191</v>
      </c>
      <c r="AR90" s="327" t="n">
        <f aca="false">+AP90+AQ90</f>
        <v>5205628.33230144</v>
      </c>
      <c r="AS90" s="333"/>
      <c r="AT90" s="346" t="n">
        <f aca="false">+DATE(YEAR(AT89),MONTH(AT89)+1,1)</f>
        <v>38899</v>
      </c>
      <c r="AU90" s="343" t="n">
        <f aca="false">+AR90*(VLOOKUP(AT90,CURVECALC!$C$6:$J$312,4,0)+AV$5)</f>
        <v>16095802.8034761</v>
      </c>
      <c r="AV90" s="350" t="n">
        <f aca="false">-AN90*INDEX(ship_curves,MATCH(AT90,'SHIP CURVES'!$A$9:$A$316,0),MATCH(CONCATENATE(AX$4,AX$5,AX$6,AX$7),'SHIP CURVES'!$A$9:$AZ$9,0))</f>
        <v>-1771055.0860382</v>
      </c>
      <c r="AW90" s="351" t="n">
        <f aca="false">-AP90*INDEX(port_processing_fee,MATCH(AT90,PORTS!$H$626:$H$933,0),MATCH(AX$5,PORTS!$H$626:$Z$626,0))</f>
        <v>-152439.211304951</v>
      </c>
      <c r="AX90" s="352" t="n">
        <f aca="false">(((VLOOKUP(AT90,curvecalc,4,0))*IF(AN90=0,0,AR90/AN90)-INDEX(ship_curves,MATCH(AT90,'SHIP CURVES'!$A$9:$A$316,0),MATCH(CONCATENATE(AX$4,AX$5,AX$6,AX$7),'SHIP CURVES'!$A$9:$Z$9,0))-INDEX(terminal_curves,MATCH(AT90,'TERMINAL CURVES'!$A$4:$A$313,0),MATCH(AX$5,'TERMINAL CURVES'!$A$4:$N$4,0))*IF(AN90=0,0,AP90/AN90))-(AV$8)*((AV$7-$N$5)-(INDEX(ship_curves,MATCH(AT90,'SHIP CURVES'!$A$9:$A$316,0),MATCH(CONCATENATE(AX$4,AX$5,AX$6,AX$7),'SHIP CURVES'!$A$9:$Z$9,0))-INDEX(ship_curves,MATCH(AT90,'SHIP CURVES'!$A$9:$A$316,0),MATCH(CONCATENATE(AX$4,AV$6,AX$6,AX$7),'SHIP CURVES'!$A$9:$Z$9,0)))-(INDEX(terminal_curves,MATCH(AT90,'TERMINAL CURVES'!$A$4:$A$313,0),MATCH(AX$5,'TERMINAL CURVES'!$A$4:$N$4,0))-INDEX(terminal_curves,MATCH(AT90,'TERMINAL CURVES'!$A$4:$A$313,0),MATCH(AV$6,'TERMINAL CURVES'!$A$4:$N$4,0)))*IF(AN90=0,0,AP90/AN90)))*-AN90</f>
        <v>-13091912.1775418</v>
      </c>
      <c r="AY90" s="356" t="n">
        <f aca="false">SUM(AV90:AX90)</f>
        <v>-15015406.4748849</v>
      </c>
      <c r="AZ90" s="357" t="n">
        <f aca="false">(-AP90/((HLOOKUP(AX$5,port_specs,2,0)/(365.25))*(AT91-AT90)))*(INDEX(fixed_capacity_charge,MATCH(AT90,PORTS!$H$11:$H$317,0),MATCH(AX$5,PORTS!$H$11:$N$11,0))+INDEX(variable_om_charge,MATCH(AT90,PORTS!$H$318:$H$625,0),MATCH(AX$5,PORTS!$H$318:$N$318,0)))</f>
        <v>-976283.761945096</v>
      </c>
      <c r="BA90" s="343" t="n">
        <f aca="false">+AZ90+AY90</f>
        <v>-15991690.23683</v>
      </c>
      <c r="BB90" s="355" t="n">
        <f aca="false">+BA90+AU90</f>
        <v>104112.56664603</v>
      </c>
      <c r="BC90" s="99"/>
      <c r="BD90" s="357" t="n">
        <f aca="false">+PORTS!I84+PORTS!I392</f>
        <v>976283.761945096</v>
      </c>
    </row>
    <row r="91" customFormat="false" ht="12.75" hidden="false" customHeight="false" outlineLevel="0" collapsed="false">
      <c r="A91" s="346" t="n">
        <f aca="false">+DATE(YEAR(A90),MONTH(A90)+1,1)</f>
        <v>38930</v>
      </c>
      <c r="B91" s="327" t="n">
        <f aca="false">+IF(AND($A91&gt;=$C$8,$A91&lt;=$C$9),1,0)*PORTS!$I$5/(365.25)*(A92-A91)</f>
        <v>5339105.98184763</v>
      </c>
      <c r="C91" s="328" t="n">
        <f aca="false">+B91-(SUMIF($F$17:$IV$17,$H$17,$F91:$IV91))</f>
        <v>0</v>
      </c>
      <c r="D91" s="0" t="n">
        <f aca="false">+YEAR(E91)</f>
        <v>2006</v>
      </c>
      <c r="E91" s="346" t="n">
        <f aca="false">+DATE(YEAR(E90),MONTH(E90)+1,1)</f>
        <v>38930</v>
      </c>
      <c r="F91" s="327" t="n">
        <f aca="false">+IF(AND(G$8&lt;=E91,G$9&gt;=E91),INDEX(ROUTE_PER_DAY_BY_SHIP,MATCH(CONCATENATE(G$4,G$5,G$7),ROUTE_PER_DAY_ROUTES,0),MATCH(G$6,ROUTE_PER_DAY_SHIPS,0))*(E92-E91),0)</f>
        <v>0</v>
      </c>
      <c r="G91" s="347" t="n">
        <f aca="false">-F91*HLOOKUP(G$6,SHIPS,7,0)*INDEX(LADEN_VOYAGE_DAYS,MATCH(CONCATENATE(G$4,G$5,G$7),LADEN_VOYAGE_ROUTES,0),MATCH(G$6,LADEN_VOYAGE_SHIPS,0))</f>
        <v>-0</v>
      </c>
      <c r="H91" s="348" t="n">
        <f aca="false">SUM(F91:G91)</f>
        <v>0</v>
      </c>
      <c r="I91" s="349" t="n">
        <f aca="false">-(H91)*HLOOKUP(G$5,TERMINAL_CHARGES,3,0)</f>
        <v>-0</v>
      </c>
      <c r="J91" s="327" t="n">
        <f aca="false">+H91+I91</f>
        <v>0</v>
      </c>
      <c r="K91" s="333"/>
      <c r="L91" s="346" t="n">
        <f aca="false">+DATE(YEAR(L90),MONTH(L90)+1,1)</f>
        <v>38930</v>
      </c>
      <c r="M91" s="334" t="n">
        <f aca="false">+J91*(VLOOKUP(L91,CURVECALC!$C$6:$J$312,4,0)+N$5)</f>
        <v>0</v>
      </c>
      <c r="N91" s="350" t="n">
        <f aca="false">-F91*INDEX(ship_curves,MATCH(L91,'SHIP CURVES'!$A$9:$A$316,0),MATCH(CONCATENATE(P$4,P$5,P$6,P$7),'SHIP CURVES'!$A$9:$AZ$9,0))</f>
        <v>-0</v>
      </c>
      <c r="O91" s="351" t="n">
        <f aca="false">-H91*INDEX(port_processing_fee,MATCH(L91,PORTS!$H$626:$H$933,0),MATCH(P$5,PORTS!$H$626:$Z$626,0))</f>
        <v>-0</v>
      </c>
      <c r="P91" s="352" t="n">
        <f aca="false">(((VLOOKUP(L91,curvecalc,4,0))*IF(F91=0,0,J91/F91)-INDEX(ship_curves,MATCH(L91,'SHIP CURVES'!$A$9:$A$316,0),MATCH(CONCATENATE(P$4,P$5,P$6,P$7),'SHIP CURVES'!$A$9:$Z$9,0))-INDEX(terminal_curves,MATCH(L91,'TERMINAL CURVES'!$A$4:$A$313,0),MATCH(P$5,'TERMINAL CURVES'!$A$4:$N$4,0))*IF(F91=0,0,H91/F91))-(N$8)*((N$7-$N$5)-(INDEX(ship_curves,MATCH(L91,'SHIP CURVES'!$A$9:$A$316,0),MATCH(CONCATENATE(P$4,P$5,P$6,P$7),'SHIP CURVES'!$A$9:$Z$9,0))-INDEX(ship_curves,MATCH(L91,'SHIP CURVES'!$A$9:$A$316,0),MATCH(CONCATENATE(P$4,N$6,P$6,P$7),'SHIP CURVES'!$A$9:$Z$9,0)))-(INDEX(terminal_curves,MATCH(L91,'TERMINAL CURVES'!$A$4:$A$313,0),MATCH(P$5,'TERMINAL CURVES'!$A$4:$N$4,0))-INDEX(terminal_curves,MATCH(L91,'TERMINAL CURVES'!$A$4:$A$313,0),MATCH(N$6,'TERMINAL CURVES'!$A$4:$N$4,0)))*IF(F91=0,0,H91/F91)))*-F91</f>
        <v>0</v>
      </c>
      <c r="Q91" s="353" t="n">
        <f aca="false">SUM(N91:P91)</f>
        <v>0</v>
      </c>
      <c r="R91" s="357" t="n">
        <f aca="false">(-H91/((HLOOKUP(P$5,port_specs,2,0)/(365.25))*(L92-L91)))*(INDEX(fixed_capacity_charge,MATCH(L91,PORTS!$H$11:$H$317,0),MATCH(P$5,PORTS!$H$11:$N$11,0))+INDEX(variable_om_charge,MATCH(L91,PORTS!$H$318:$H$625,0),MATCH(P$5,PORTS!$H$318:$N$318,0)))</f>
        <v>-0</v>
      </c>
      <c r="S91" s="343" t="n">
        <f aca="false">+R91+Q91</f>
        <v>0</v>
      </c>
      <c r="T91" s="355" t="n">
        <f aca="false">+S91+M91</f>
        <v>0</v>
      </c>
      <c r="V91" s="346" t="n">
        <f aca="false">+DATE(YEAR(V90),MONTH(V90)+1,1)</f>
        <v>38930</v>
      </c>
      <c r="W91" s="327" t="n">
        <f aca="false">+Y91/(1-HLOOKUP(X$6,SHIPS,7,0)*INDEX(LADEN_VOYAGE_DAYS,MATCH(CONCATENATE(X$4,X$5),LADEN_VOYAGE_ROUTES,0),MATCH(X$6,LADEN_VOYAGE_SHIPS,0)))</f>
        <v>0</v>
      </c>
      <c r="X91" s="347" t="n">
        <f aca="false">+Y91-W91</f>
        <v>0</v>
      </c>
      <c r="Y91" s="348" t="n">
        <f aca="false">+IF(AND(X$8&lt;=V91,X$9&gt;=V91),+MIN($B91-SUMIF($H$17:X$17,Y$17,$H91:X91),((INDEX(ROUTE_PER_DAY_BY_SHIP,MATCH(CONCATENATE(X$4,X$5,X$7),ROUTE_PER_DAY_ROUTES,0),MATCH(X$6,ROUTE_PER_DAY_SHIPS,0))*(V92-V91))-(INDEX(ROUTE_PER_DAY_BY_SHIP,MATCH(CONCATENATE(X$4,X$5,X$7),ROUTE_PER_DAY_ROUTES,0),MATCH(X$6,ROUTE_PER_DAY_SHIPS,0))*(V92-V91))*HLOOKUP(X$6,SHIPS,7,0)*INDEX(LADEN_VOYAGE_DAYS,MATCH(CONCATENATE(X$4,X$5,X$7),LADEN_VOYAGE_ROUTES,0),MATCH(X$6,LADEN_VOYAGE_SHIPS,0)))),0)</f>
        <v>0</v>
      </c>
      <c r="Z91" s="349" t="n">
        <f aca="false">-(Y91)*HLOOKUP(X$5,TERMINAL_CHARGES,3,0)</f>
        <v>-0</v>
      </c>
      <c r="AA91" s="327" t="n">
        <f aca="false">+Y91+Z91</f>
        <v>0</v>
      </c>
      <c r="AB91" s="333"/>
      <c r="AC91" s="346" t="n">
        <f aca="false">+DATE(YEAR(AC90),MONTH(AC90)+1,1)</f>
        <v>38930</v>
      </c>
      <c r="AD91" s="343" t="n">
        <f aca="false">+AA91*(VLOOKUP(AC91,CURVECALC!$C$6:$J$312,4,0)+AE$5)</f>
        <v>0</v>
      </c>
      <c r="AE91" s="350" t="n">
        <f aca="false">-W91*INDEX(ship_curves,MATCH(AC91,'SHIP CURVES'!$A$9:$A$316,0),MATCH(CONCATENATE(AG$4,AG$5,AG$6,AG$7),'SHIP CURVES'!$A$9:$AZ$9,0))</f>
        <v>-0</v>
      </c>
      <c r="AF91" s="351" t="n">
        <f aca="false">-Y91*INDEX(port_processing_fee,MATCH(AC91,PORTS!$H$626:$H$933,0),MATCH(AG$5,PORTS!$H$626:$Z$626,0))</f>
        <v>-0</v>
      </c>
      <c r="AG91" s="352" t="n">
        <f aca="false">(((VLOOKUP(AC91,curvecalc,4,0))*IF(W91=0,0,AA91/W91)-INDEX(ship_curves,MATCH(AC91,'SHIP CURVES'!$A$9:$A$316,0),MATCH(CONCATENATE(AG$4,AG$5,AG$6,AG$7),'SHIP CURVES'!$A$9:$Z$9,0))-INDEX(terminal_curves,MATCH(AC91,'TERMINAL CURVES'!$A$4:$A$313,0),MATCH(AG$5,'TERMINAL CURVES'!$A$4:$N$4,0))*IF(W91=0,0,Y91/W91))-(AE$8)*((AE$7-$N$5)-(INDEX(ship_curves,MATCH(AC91,'SHIP CURVES'!$A$9:$A$316,0),MATCH(CONCATENATE(AG$4,AG$5,AG$6,AG$7),'SHIP CURVES'!$A$9:$Z$9,0))-INDEX(ship_curves,MATCH(AC91,'SHIP CURVES'!$A$9:$A$316,0),MATCH(CONCATENATE(AG$4,AE$6,AG$6,AG$7),'SHIP CURVES'!$A$9:$Z$9,0)))-(INDEX(terminal_curves,MATCH(AC91,'TERMINAL CURVES'!$A$4:$A$313,0),MATCH(AG$5,'TERMINAL CURVES'!$A$4:$N$4,0))-INDEX(terminal_curves,MATCH(AC91,'TERMINAL CURVES'!$A$4:$A$313,0),MATCH(AE$6,'TERMINAL CURVES'!$A$4:$N$4,0)))*IF(W91=0,0,Y91/W91)))*-W91</f>
        <v>0</v>
      </c>
      <c r="AH91" s="356" t="n">
        <f aca="false">SUM(AE91:AG91)</f>
        <v>0</v>
      </c>
      <c r="AI91" s="357" t="n">
        <f aca="false">(-Y91/((HLOOKUP(AG$5,port_specs,2,0)/(365.25))*(AC92-AC91)))*(INDEX(fixed_capacity_charge,MATCH(AC91,PORTS!$H$11:$H$317,0),MATCH(AG$5,PORTS!$H$11:$N$11,0))+INDEX(variable_om_charge,MATCH(AC91,PORTS!$H$318:$H$625,0),MATCH(AG$5,PORTS!$H$318:$N$318,0)))</f>
        <v>-0</v>
      </c>
      <c r="AJ91" s="343" t="n">
        <f aca="false">+AI91+AH91</f>
        <v>0</v>
      </c>
      <c r="AK91" s="355" t="n">
        <f aca="false">+AJ91+AD91</f>
        <v>0</v>
      </c>
      <c r="AM91" s="346" t="n">
        <f aca="false">+DATE(YEAR(AM90),MONTH(AM90)+1,1)</f>
        <v>38930</v>
      </c>
      <c r="AN91" s="327" t="n">
        <f aca="false">+AP91/(1-HLOOKUP(AO$6,SHIPS,7,0)*INDEX(LADEN_VOYAGE_DAYS,MATCH(CONCATENATE(AO$4,AO$5),LADEN_VOYAGE_ROUTES,0),MATCH(AO$6,LADEN_VOYAGE_SHIPS,0)))</f>
        <v>5395761.47735991</v>
      </c>
      <c r="AO91" s="347" t="n">
        <f aca="false">+AP91-AN91</f>
        <v>-56655.4955122788</v>
      </c>
      <c r="AP91" s="348" t="n">
        <f aca="false">+IF(AND(AO$8&lt;=AM91,AO$9&gt;=AM91),+MIN($B91-SUMIF($H$17:AO$17,AP$17,$H91:AO91),((INDEX(ROUTE_PER_DAY_BY_SHIP,MATCH(CONCATENATE(AO$4,AO$5,AO$7),ROUTE_PER_DAY_ROUTES,0),MATCH(AO$6,ROUTE_PER_DAY_SHIPS,0))*(AM92-AM91))-(INDEX(ROUTE_PER_DAY_BY_SHIP,MATCH(CONCATENATE(AO$4,AO$5,AO$7),ROUTE_PER_DAY_ROUTES,0),MATCH(AO$6,ROUTE_PER_DAY_SHIPS,0))*(AM92-AM91))*HLOOKUP(AO$6,SHIPS,7,0)*INDEX(LADEN_VOYAGE_DAYS,MATCH(CONCATENATE(AO$4,AO$5,AO$7),LADEN_VOYAGE_ROUTES,0),MATCH(AO$6,LADEN_VOYAGE_SHIPS,0)))),0)</f>
        <v>5339105.98184763</v>
      </c>
      <c r="AQ91" s="349" t="n">
        <f aca="false">-(AP91)*PORTS!$I$6</f>
        <v>-133477.649546191</v>
      </c>
      <c r="AR91" s="327" t="n">
        <f aca="false">+AP91+AQ91</f>
        <v>5205628.33230144</v>
      </c>
      <c r="AS91" s="333"/>
      <c r="AT91" s="346" t="n">
        <f aca="false">+DATE(YEAR(AT90),MONTH(AT90)+1,1)</f>
        <v>38930</v>
      </c>
      <c r="AU91" s="343" t="n">
        <f aca="false">+AR91*(VLOOKUP(AT91,CURVECALC!$C$6:$J$312,4,0)+AV$5)</f>
        <v>16408140.5034141</v>
      </c>
      <c r="AV91" s="350" t="n">
        <f aca="false">-AN91*INDEX(ship_curves,MATCH(AT91,'SHIP CURVES'!$A$9:$A$316,0),MATCH(CONCATENATE(AX$4,AX$5,AX$6,AX$7),'SHIP CURVES'!$A$9:$AZ$9,0))</f>
        <v>-1771549.1013695</v>
      </c>
      <c r="AW91" s="351" t="n">
        <f aca="false">-AP91*INDEX(port_processing_fee,MATCH(AT91,PORTS!$H$626:$H$933,0),MATCH(AX$5,PORTS!$H$626:$Z$626,0))</f>
        <v>-152598.002150061</v>
      </c>
      <c r="AX91" s="352" t="n">
        <f aca="false">(((VLOOKUP(AT91,curvecalc,4,0))*IF(AN91=0,0,AR91/AN91)-INDEX(ship_curves,MATCH(AT91,'SHIP CURVES'!$A$9:$A$316,0),MATCH(CONCATENATE(AX$4,AX$5,AX$6,AX$7),'SHIP CURVES'!$A$9:$Z$9,0))-INDEX(terminal_curves,MATCH(AT91,'TERMINAL CURVES'!$A$4:$A$313,0),MATCH(AX$5,'TERMINAL CURVES'!$A$4:$N$4,0))*IF(AN91=0,0,AP91/AN91))-(AV$8)*((AV$7-$N$5)-(INDEX(ship_curves,MATCH(AT91,'SHIP CURVES'!$A$9:$A$316,0),MATCH(CONCATENATE(AX$4,AX$5,AX$6,AX$7),'SHIP CURVES'!$A$9:$Z$9,0))-INDEX(ship_curves,MATCH(AT91,'SHIP CURVES'!$A$9:$A$316,0),MATCH(CONCATENATE(AX$4,AV$6,AX$6,AX$7),'SHIP CURVES'!$A$9:$Z$9,0)))-(INDEX(terminal_curves,MATCH(AT91,'TERMINAL CURVES'!$A$4:$A$313,0),MATCH(AX$5,'TERMINAL CURVES'!$A$4:$N$4,0))-INDEX(terminal_curves,MATCH(AT91,'TERMINAL CURVES'!$A$4:$A$313,0),MATCH(AV$6,'TERMINAL CURVES'!$A$4:$N$4,0)))*IF(AN91=0,0,AP91/AN91)))*-AN91</f>
        <v>-13403085.5117295</v>
      </c>
      <c r="AY91" s="356" t="n">
        <f aca="false">SUM(AV91:AX91)</f>
        <v>-15327232.615249</v>
      </c>
      <c r="AZ91" s="357" t="n">
        <f aca="false">(-AP91/((HLOOKUP(AX$5,port_specs,2,0)/(365.25))*(AT92-AT91)))*(INDEX(fixed_capacity_charge,MATCH(AT91,PORTS!$H$11:$H$317,0),MATCH(AX$5,PORTS!$H$11:$N$11,0))+INDEX(variable_om_charge,MATCH(AT91,PORTS!$H$318:$H$625,0),MATCH(AX$5,PORTS!$H$318:$N$318,0)))</f>
        <v>-976795.321519092</v>
      </c>
      <c r="BA91" s="343" t="n">
        <f aca="false">+AZ91+AY91</f>
        <v>-16304027.9367681</v>
      </c>
      <c r="BB91" s="355" t="n">
        <f aca="false">+BA91+AU91</f>
        <v>104112.566646032</v>
      </c>
      <c r="BC91" s="99"/>
      <c r="BD91" s="357" t="n">
        <f aca="false">+PORTS!I85+PORTS!I393</f>
        <v>976795.321519092</v>
      </c>
    </row>
    <row r="92" customFormat="false" ht="12.75" hidden="false" customHeight="false" outlineLevel="0" collapsed="false">
      <c r="A92" s="346" t="n">
        <f aca="false">+DATE(YEAR(A91),MONTH(A91)+1,1)</f>
        <v>38961</v>
      </c>
      <c r="B92" s="327" t="n">
        <f aca="false">+IF(AND($A92&gt;=$C$8,$A92&lt;=$C$9),1,0)*PORTS!$I$5/(365.25)*(A93-A92)</f>
        <v>5166876.75662674</v>
      </c>
      <c r="C92" s="328" t="n">
        <f aca="false">+B92-(SUMIF($F$17:$IV$17,$H$17,$F92:$IV92))</f>
        <v>0</v>
      </c>
      <c r="D92" s="0" t="n">
        <f aca="false">+YEAR(E92)</f>
        <v>2006</v>
      </c>
      <c r="E92" s="346" t="n">
        <f aca="false">+DATE(YEAR(E91),MONTH(E91)+1,1)</f>
        <v>38961</v>
      </c>
      <c r="F92" s="327" t="n">
        <f aca="false">+IF(AND(G$8&lt;=E92,G$9&gt;=E92),INDEX(ROUTE_PER_DAY_BY_SHIP,MATCH(CONCATENATE(G$4,G$5,G$7),ROUTE_PER_DAY_ROUTES,0),MATCH(G$6,ROUTE_PER_DAY_SHIPS,0))*(E93-E92),0)</f>
        <v>0</v>
      </c>
      <c r="G92" s="347" t="n">
        <f aca="false">-F92*HLOOKUP(G$6,SHIPS,7,0)*INDEX(LADEN_VOYAGE_DAYS,MATCH(CONCATENATE(G$4,G$5,G$7),LADEN_VOYAGE_ROUTES,0),MATCH(G$6,LADEN_VOYAGE_SHIPS,0))</f>
        <v>-0</v>
      </c>
      <c r="H92" s="348" t="n">
        <f aca="false">SUM(F92:G92)</f>
        <v>0</v>
      </c>
      <c r="I92" s="349" t="n">
        <f aca="false">-(H92)*HLOOKUP(G$5,TERMINAL_CHARGES,3,0)</f>
        <v>-0</v>
      </c>
      <c r="J92" s="327" t="n">
        <f aca="false">+H92+I92</f>
        <v>0</v>
      </c>
      <c r="K92" s="333"/>
      <c r="L92" s="346" t="n">
        <f aca="false">+DATE(YEAR(L91),MONTH(L91)+1,1)</f>
        <v>38961</v>
      </c>
      <c r="M92" s="334" t="n">
        <f aca="false">+J92*(VLOOKUP(L92,CURVECALC!$C$6:$J$312,4,0)+N$5)</f>
        <v>0</v>
      </c>
      <c r="N92" s="350" t="n">
        <f aca="false">-F92*INDEX(ship_curves,MATCH(L92,'SHIP CURVES'!$A$9:$A$316,0),MATCH(CONCATENATE(P$4,P$5,P$6,P$7),'SHIP CURVES'!$A$9:$AZ$9,0))</f>
        <v>-0</v>
      </c>
      <c r="O92" s="351" t="n">
        <f aca="false">-H92*INDEX(port_processing_fee,MATCH(L92,PORTS!$H$626:$H$933,0),MATCH(P$5,PORTS!$H$626:$Z$626,0))</f>
        <v>-0</v>
      </c>
      <c r="P92" s="352" t="n">
        <f aca="false">(((VLOOKUP(L92,curvecalc,4,0))*IF(F92=0,0,J92/F92)-INDEX(ship_curves,MATCH(L92,'SHIP CURVES'!$A$9:$A$316,0),MATCH(CONCATENATE(P$4,P$5,P$6,P$7),'SHIP CURVES'!$A$9:$Z$9,0))-INDEX(terminal_curves,MATCH(L92,'TERMINAL CURVES'!$A$4:$A$313,0),MATCH(P$5,'TERMINAL CURVES'!$A$4:$N$4,0))*IF(F92=0,0,H92/F92))-(N$8)*((N$7-$N$5)-(INDEX(ship_curves,MATCH(L92,'SHIP CURVES'!$A$9:$A$316,0),MATCH(CONCATENATE(P$4,P$5,P$6,P$7),'SHIP CURVES'!$A$9:$Z$9,0))-INDEX(ship_curves,MATCH(L92,'SHIP CURVES'!$A$9:$A$316,0),MATCH(CONCATENATE(P$4,N$6,P$6,P$7),'SHIP CURVES'!$A$9:$Z$9,0)))-(INDEX(terminal_curves,MATCH(L92,'TERMINAL CURVES'!$A$4:$A$313,0),MATCH(P$5,'TERMINAL CURVES'!$A$4:$N$4,0))-INDEX(terminal_curves,MATCH(L92,'TERMINAL CURVES'!$A$4:$A$313,0),MATCH(N$6,'TERMINAL CURVES'!$A$4:$N$4,0)))*IF(F92=0,0,H92/F92)))*-F92</f>
        <v>0</v>
      </c>
      <c r="Q92" s="353" t="n">
        <f aca="false">SUM(N92:P92)</f>
        <v>0</v>
      </c>
      <c r="R92" s="357" t="n">
        <f aca="false">(-H92/((HLOOKUP(P$5,port_specs,2,0)/(365.25))*(L93-L92)))*(INDEX(fixed_capacity_charge,MATCH(L92,PORTS!$H$11:$H$317,0),MATCH(P$5,PORTS!$H$11:$N$11,0))+INDEX(variable_om_charge,MATCH(L92,PORTS!$H$318:$H$625,0),MATCH(P$5,PORTS!$H$318:$N$318,0)))</f>
        <v>-0</v>
      </c>
      <c r="S92" s="343" t="n">
        <f aca="false">+R92+Q92</f>
        <v>0</v>
      </c>
      <c r="T92" s="355" t="n">
        <f aca="false">+S92+M92</f>
        <v>0</v>
      </c>
      <c r="V92" s="346" t="n">
        <f aca="false">+DATE(YEAR(V91),MONTH(V91)+1,1)</f>
        <v>38961</v>
      </c>
      <c r="W92" s="327" t="n">
        <f aca="false">+Y92/(1-HLOOKUP(X$6,SHIPS,7,0)*INDEX(LADEN_VOYAGE_DAYS,MATCH(CONCATENATE(X$4,X$5),LADEN_VOYAGE_ROUTES,0),MATCH(X$6,LADEN_VOYAGE_SHIPS,0)))</f>
        <v>0</v>
      </c>
      <c r="X92" s="347" t="n">
        <f aca="false">+Y92-W92</f>
        <v>0</v>
      </c>
      <c r="Y92" s="348" t="n">
        <f aca="false">+IF(AND(X$8&lt;=V92,X$9&gt;=V92),+MIN($B92-SUMIF($H$17:X$17,Y$17,$H92:X92),((INDEX(ROUTE_PER_DAY_BY_SHIP,MATCH(CONCATENATE(X$4,X$5,X$7),ROUTE_PER_DAY_ROUTES,0),MATCH(X$6,ROUTE_PER_DAY_SHIPS,0))*(V93-V92))-(INDEX(ROUTE_PER_DAY_BY_SHIP,MATCH(CONCATENATE(X$4,X$5,X$7),ROUTE_PER_DAY_ROUTES,0),MATCH(X$6,ROUTE_PER_DAY_SHIPS,0))*(V93-V92))*HLOOKUP(X$6,SHIPS,7,0)*INDEX(LADEN_VOYAGE_DAYS,MATCH(CONCATENATE(X$4,X$5,X$7),LADEN_VOYAGE_ROUTES,0),MATCH(X$6,LADEN_VOYAGE_SHIPS,0)))),0)</f>
        <v>0</v>
      </c>
      <c r="Z92" s="349" t="n">
        <f aca="false">-(Y92)*HLOOKUP(X$5,TERMINAL_CHARGES,3,0)</f>
        <v>-0</v>
      </c>
      <c r="AA92" s="327" t="n">
        <f aca="false">+Y92+Z92</f>
        <v>0</v>
      </c>
      <c r="AB92" s="333"/>
      <c r="AC92" s="346" t="n">
        <f aca="false">+DATE(YEAR(AC91),MONTH(AC91)+1,1)</f>
        <v>38961</v>
      </c>
      <c r="AD92" s="343" t="n">
        <f aca="false">+AA92*(VLOOKUP(AC92,CURVECALC!$C$6:$J$312,4,0)+AE$5)</f>
        <v>0</v>
      </c>
      <c r="AE92" s="350" t="n">
        <f aca="false">-W92*INDEX(ship_curves,MATCH(AC92,'SHIP CURVES'!$A$9:$A$316,0),MATCH(CONCATENATE(AG$4,AG$5,AG$6,AG$7),'SHIP CURVES'!$A$9:$AZ$9,0))</f>
        <v>-0</v>
      </c>
      <c r="AF92" s="351" t="n">
        <f aca="false">-Y92*INDEX(port_processing_fee,MATCH(AC92,PORTS!$H$626:$H$933,0),MATCH(AG$5,PORTS!$H$626:$Z$626,0))</f>
        <v>-0</v>
      </c>
      <c r="AG92" s="352" t="n">
        <f aca="false">(((VLOOKUP(AC92,curvecalc,4,0))*IF(W92=0,0,AA92/W92)-INDEX(ship_curves,MATCH(AC92,'SHIP CURVES'!$A$9:$A$316,0),MATCH(CONCATENATE(AG$4,AG$5,AG$6,AG$7),'SHIP CURVES'!$A$9:$Z$9,0))-INDEX(terminal_curves,MATCH(AC92,'TERMINAL CURVES'!$A$4:$A$313,0),MATCH(AG$5,'TERMINAL CURVES'!$A$4:$N$4,0))*IF(W92=0,0,Y92/W92))-(AE$8)*((AE$7-$N$5)-(INDEX(ship_curves,MATCH(AC92,'SHIP CURVES'!$A$9:$A$316,0),MATCH(CONCATENATE(AG$4,AG$5,AG$6,AG$7),'SHIP CURVES'!$A$9:$Z$9,0))-INDEX(ship_curves,MATCH(AC92,'SHIP CURVES'!$A$9:$A$316,0),MATCH(CONCATENATE(AG$4,AE$6,AG$6,AG$7),'SHIP CURVES'!$A$9:$Z$9,0)))-(INDEX(terminal_curves,MATCH(AC92,'TERMINAL CURVES'!$A$4:$A$313,0),MATCH(AG$5,'TERMINAL CURVES'!$A$4:$N$4,0))-INDEX(terminal_curves,MATCH(AC92,'TERMINAL CURVES'!$A$4:$A$313,0),MATCH(AE$6,'TERMINAL CURVES'!$A$4:$N$4,0)))*IF(W92=0,0,Y92/W92)))*-W92</f>
        <v>0</v>
      </c>
      <c r="AH92" s="356" t="n">
        <f aca="false">SUM(AE92:AG92)</f>
        <v>0</v>
      </c>
      <c r="AI92" s="357" t="n">
        <f aca="false">(-Y92/((HLOOKUP(AG$5,port_specs,2,0)/(365.25))*(AC93-AC92)))*(INDEX(fixed_capacity_charge,MATCH(AC92,PORTS!$H$11:$H$317,0),MATCH(AG$5,PORTS!$H$11:$N$11,0))+INDEX(variable_om_charge,MATCH(AC92,PORTS!$H$318:$H$625,0),MATCH(AG$5,PORTS!$H$318:$N$318,0)))</f>
        <v>-0</v>
      </c>
      <c r="AJ92" s="343" t="n">
        <f aca="false">+AI92+AH92</f>
        <v>0</v>
      </c>
      <c r="AK92" s="355" t="n">
        <f aca="false">+AJ92+AD92</f>
        <v>0</v>
      </c>
      <c r="AM92" s="346" t="n">
        <f aca="false">+DATE(YEAR(AM91),MONTH(AM91)+1,1)</f>
        <v>38961</v>
      </c>
      <c r="AN92" s="327" t="n">
        <f aca="false">+AP92/(1-HLOOKUP(AO$6,SHIPS,7,0)*INDEX(LADEN_VOYAGE_DAYS,MATCH(CONCATENATE(AO$4,AO$5),LADEN_VOYAGE_ROUTES,0),MATCH(AO$6,LADEN_VOYAGE_SHIPS,0)))</f>
        <v>5221704.65550959</v>
      </c>
      <c r="AO92" s="347" t="n">
        <f aca="false">+AP92-AN92</f>
        <v>-54827.8988828501</v>
      </c>
      <c r="AP92" s="348" t="n">
        <f aca="false">+IF(AND(AO$8&lt;=AM92,AO$9&gt;=AM92),+MIN($B92-SUMIF($H$17:AO$17,AP$17,$H92:AO92),((INDEX(ROUTE_PER_DAY_BY_SHIP,MATCH(CONCATENATE(AO$4,AO$5,AO$7),ROUTE_PER_DAY_ROUTES,0),MATCH(AO$6,ROUTE_PER_DAY_SHIPS,0))*(AM93-AM92))-(INDEX(ROUTE_PER_DAY_BY_SHIP,MATCH(CONCATENATE(AO$4,AO$5,AO$7),ROUTE_PER_DAY_ROUTES,0),MATCH(AO$6,ROUTE_PER_DAY_SHIPS,0))*(AM93-AM92))*HLOOKUP(AO$6,SHIPS,7,0)*INDEX(LADEN_VOYAGE_DAYS,MATCH(CONCATENATE(AO$4,AO$5,AO$7),LADEN_VOYAGE_ROUTES,0),MATCH(AO$6,LADEN_VOYAGE_SHIPS,0)))),0)</f>
        <v>5166876.75662674</v>
      </c>
      <c r="AQ92" s="349" t="n">
        <f aca="false">-(AP92)*PORTS!$I$6</f>
        <v>-129171.918915669</v>
      </c>
      <c r="AR92" s="327" t="n">
        <f aca="false">+AP92+AQ92</f>
        <v>5037704.83771107</v>
      </c>
      <c r="AS92" s="333"/>
      <c r="AT92" s="346" t="n">
        <f aca="false">+DATE(YEAR(AT91),MONTH(AT91)+1,1)</f>
        <v>38961</v>
      </c>
      <c r="AU92" s="343" t="n">
        <f aca="false">+AR92*(VLOOKUP(AT92,CURVECALC!$C$6:$J$312,4,0)+AV$5)</f>
        <v>15813355.4855751</v>
      </c>
      <c r="AV92" s="350" t="n">
        <f aca="false">-AN92*INDEX(ship_curves,MATCH(AT92,'SHIP CURVES'!$A$9:$A$316,0),MATCH(CONCATENATE(AX$4,AX$5,AX$6,AX$7),'SHIP CURVES'!$A$9:$AZ$9,0))</f>
        <v>-1714881.43151555</v>
      </c>
      <c r="AW92" s="351" t="n">
        <f aca="false">-AP92*INDEX(port_processing_fee,MATCH(AT92,PORTS!$H$626:$H$933,0),MATCH(AX$5,PORTS!$H$626:$Z$626,0))</f>
        <v>-147829.314582871</v>
      </c>
      <c r="AX92" s="352" t="n">
        <f aca="false">(((VLOOKUP(AT92,curvecalc,4,0))*IF(AN92=0,0,AR92/AN92)-INDEX(ship_curves,MATCH(AT92,'SHIP CURVES'!$A$9:$A$316,0),MATCH(CONCATENATE(AX$4,AX$5,AX$6,AX$7),'SHIP CURVES'!$A$9:$Z$9,0))-INDEX(terminal_curves,MATCH(AT92,'TERMINAL CURVES'!$A$4:$A$313,0),MATCH(AX$5,'TERMINAL CURVES'!$A$4:$N$4,0))*IF(AN92=0,0,AP92/AN92))-(AV$8)*((AV$7-$N$5)-(INDEX(ship_curves,MATCH(AT92,'SHIP CURVES'!$A$9:$A$316,0),MATCH(CONCATENATE(AX$4,AX$5,AX$6,AX$7),'SHIP CURVES'!$A$9:$Z$9,0))-INDEX(ship_curves,MATCH(AT92,'SHIP CURVES'!$A$9:$A$316,0),MATCH(CONCATENATE(AX$4,AV$6,AX$6,AX$7),'SHIP CURVES'!$A$9:$Z$9,0)))-(INDEX(terminal_curves,MATCH(AT92,'TERMINAL CURVES'!$A$4:$A$313,0),MATCH(AX$5,'TERMINAL CURVES'!$A$4:$N$4,0))-INDEX(terminal_curves,MATCH(AT92,'TERMINAL CURVES'!$A$4:$A$313,0),MATCH(AV$6,'TERMINAL CURVES'!$A$4:$N$4,0)))*IF(AN92=0,0,AP92/AN92)))*-AN92</f>
        <v>-12872583.2287548</v>
      </c>
      <c r="AY92" s="356" t="n">
        <f aca="false">SUM(AV92:AX92)</f>
        <v>-14735293.9748532</v>
      </c>
      <c r="AZ92" s="357" t="n">
        <f aca="false">(-AP92/((HLOOKUP(AX$5,port_specs,2,0)/(365.25))*(AT93-AT92)))*(INDEX(fixed_capacity_charge,MATCH(AT92,PORTS!$H$11:$H$317,0),MATCH(AX$5,PORTS!$H$11:$N$11,0))+INDEX(variable_om_charge,MATCH(AT92,PORTS!$H$318:$H$625,0),MATCH(AX$5,PORTS!$H$318:$N$318,0)))</f>
        <v>-977307.413967645</v>
      </c>
      <c r="BA92" s="343" t="n">
        <f aca="false">+AZ92+AY92</f>
        <v>-15712601.3888208</v>
      </c>
      <c r="BB92" s="355" t="n">
        <f aca="false">+BA92+AU92</f>
        <v>100754.096754225</v>
      </c>
      <c r="BC92" s="99"/>
      <c r="BD92" s="357" t="n">
        <f aca="false">+PORTS!I86+PORTS!I394</f>
        <v>977307.413967645</v>
      </c>
    </row>
    <row r="93" customFormat="false" ht="12.75" hidden="false" customHeight="false" outlineLevel="0" collapsed="false">
      <c r="A93" s="346" t="n">
        <f aca="false">+DATE(YEAR(A92),MONTH(A92)+1,1)</f>
        <v>38991</v>
      </c>
      <c r="B93" s="327" t="n">
        <f aca="false">+IF(AND($A93&gt;=$C$8,$A93&lt;=$C$9),1,0)*PORTS!$I$5/(365.25)*(A94-A93)</f>
        <v>5339105.98184763</v>
      </c>
      <c r="C93" s="328" t="n">
        <f aca="false">+B93-(SUMIF($F$17:$IV$17,$H$17,$F93:$IV93))</f>
        <v>0</v>
      </c>
      <c r="D93" s="0" t="n">
        <f aca="false">+YEAR(E93)</f>
        <v>2006</v>
      </c>
      <c r="E93" s="346" t="n">
        <f aca="false">+DATE(YEAR(E92),MONTH(E92)+1,1)</f>
        <v>38991</v>
      </c>
      <c r="F93" s="327" t="n">
        <f aca="false">+IF(AND(G$8&lt;=E93,G$9&gt;=E93),INDEX(ROUTE_PER_DAY_BY_SHIP,MATCH(CONCATENATE(G$4,G$5,G$7),ROUTE_PER_DAY_ROUTES,0),MATCH(G$6,ROUTE_PER_DAY_SHIPS,0))*(E94-E93),0)</f>
        <v>0</v>
      </c>
      <c r="G93" s="347" t="n">
        <f aca="false">-F93*HLOOKUP(G$6,SHIPS,7,0)*INDEX(LADEN_VOYAGE_DAYS,MATCH(CONCATENATE(G$4,G$5,G$7),LADEN_VOYAGE_ROUTES,0),MATCH(G$6,LADEN_VOYAGE_SHIPS,0))</f>
        <v>-0</v>
      </c>
      <c r="H93" s="348" t="n">
        <f aca="false">SUM(F93:G93)</f>
        <v>0</v>
      </c>
      <c r="I93" s="349" t="n">
        <f aca="false">-(H93)*HLOOKUP(G$5,TERMINAL_CHARGES,3,0)</f>
        <v>-0</v>
      </c>
      <c r="J93" s="327" t="n">
        <f aca="false">+H93+I93</f>
        <v>0</v>
      </c>
      <c r="K93" s="333"/>
      <c r="L93" s="346" t="n">
        <f aca="false">+DATE(YEAR(L92),MONTH(L92)+1,1)</f>
        <v>38991</v>
      </c>
      <c r="M93" s="334" t="n">
        <f aca="false">+J93*(VLOOKUP(L93,CURVECALC!$C$6:$J$312,4,0)+N$5)</f>
        <v>0</v>
      </c>
      <c r="N93" s="350" t="n">
        <f aca="false">-F93*INDEX(ship_curves,MATCH(L93,'SHIP CURVES'!$A$9:$A$316,0),MATCH(CONCATENATE(P$4,P$5,P$6,P$7),'SHIP CURVES'!$A$9:$AZ$9,0))</f>
        <v>-0</v>
      </c>
      <c r="O93" s="351" t="n">
        <f aca="false">-H93*INDEX(port_processing_fee,MATCH(L93,PORTS!$H$626:$H$933,0),MATCH(P$5,PORTS!$H$626:$Z$626,0))</f>
        <v>-0</v>
      </c>
      <c r="P93" s="352" t="n">
        <f aca="false">(((VLOOKUP(L93,curvecalc,4,0))*IF(F93=0,0,J93/F93)-INDEX(ship_curves,MATCH(L93,'SHIP CURVES'!$A$9:$A$316,0),MATCH(CONCATENATE(P$4,P$5,P$6,P$7),'SHIP CURVES'!$A$9:$Z$9,0))-INDEX(terminal_curves,MATCH(L93,'TERMINAL CURVES'!$A$4:$A$313,0),MATCH(P$5,'TERMINAL CURVES'!$A$4:$N$4,0))*IF(F93=0,0,H93/F93))-(N$8)*((N$7-$N$5)-(INDEX(ship_curves,MATCH(L93,'SHIP CURVES'!$A$9:$A$316,0),MATCH(CONCATENATE(P$4,P$5,P$6,P$7),'SHIP CURVES'!$A$9:$Z$9,0))-INDEX(ship_curves,MATCH(L93,'SHIP CURVES'!$A$9:$A$316,0),MATCH(CONCATENATE(P$4,N$6,P$6,P$7),'SHIP CURVES'!$A$9:$Z$9,0)))-(INDEX(terminal_curves,MATCH(L93,'TERMINAL CURVES'!$A$4:$A$313,0),MATCH(P$5,'TERMINAL CURVES'!$A$4:$N$4,0))-INDEX(terminal_curves,MATCH(L93,'TERMINAL CURVES'!$A$4:$A$313,0),MATCH(N$6,'TERMINAL CURVES'!$A$4:$N$4,0)))*IF(F93=0,0,H93/F93)))*-F93</f>
        <v>0</v>
      </c>
      <c r="Q93" s="353" t="n">
        <f aca="false">SUM(N93:P93)</f>
        <v>0</v>
      </c>
      <c r="R93" s="357" t="n">
        <f aca="false">(-H93/((HLOOKUP(P$5,port_specs,2,0)/(365.25))*(L94-L93)))*(INDEX(fixed_capacity_charge,MATCH(L93,PORTS!$H$11:$H$317,0),MATCH(P$5,PORTS!$H$11:$N$11,0))+INDEX(variable_om_charge,MATCH(L93,PORTS!$H$318:$H$625,0),MATCH(P$5,PORTS!$H$318:$N$318,0)))</f>
        <v>-0</v>
      </c>
      <c r="S93" s="343" t="n">
        <f aca="false">+R93+Q93</f>
        <v>0</v>
      </c>
      <c r="T93" s="355" t="n">
        <f aca="false">+S93+M93</f>
        <v>0</v>
      </c>
      <c r="V93" s="346" t="n">
        <f aca="false">+DATE(YEAR(V92),MONTH(V92)+1,1)</f>
        <v>38991</v>
      </c>
      <c r="W93" s="327" t="n">
        <f aca="false">+Y93/(1-HLOOKUP(X$6,SHIPS,7,0)*INDEX(LADEN_VOYAGE_DAYS,MATCH(CONCATENATE(X$4,X$5),LADEN_VOYAGE_ROUTES,0),MATCH(X$6,LADEN_VOYAGE_SHIPS,0)))</f>
        <v>0</v>
      </c>
      <c r="X93" s="347" t="n">
        <f aca="false">+Y93-W93</f>
        <v>0</v>
      </c>
      <c r="Y93" s="348" t="n">
        <f aca="false">+IF(AND(X$8&lt;=V93,X$9&gt;=V93),+MIN($B93-SUMIF($H$17:X$17,Y$17,$H93:X93),((INDEX(ROUTE_PER_DAY_BY_SHIP,MATCH(CONCATENATE(X$4,X$5,X$7),ROUTE_PER_DAY_ROUTES,0),MATCH(X$6,ROUTE_PER_DAY_SHIPS,0))*(V94-V93))-(INDEX(ROUTE_PER_DAY_BY_SHIP,MATCH(CONCATENATE(X$4,X$5,X$7),ROUTE_PER_DAY_ROUTES,0),MATCH(X$6,ROUTE_PER_DAY_SHIPS,0))*(V94-V93))*HLOOKUP(X$6,SHIPS,7,0)*INDEX(LADEN_VOYAGE_DAYS,MATCH(CONCATENATE(X$4,X$5,X$7),LADEN_VOYAGE_ROUTES,0),MATCH(X$6,LADEN_VOYAGE_SHIPS,0)))),0)</f>
        <v>0</v>
      </c>
      <c r="Z93" s="349" t="n">
        <f aca="false">-(Y93)*HLOOKUP(X$5,TERMINAL_CHARGES,3,0)</f>
        <v>-0</v>
      </c>
      <c r="AA93" s="327" t="n">
        <f aca="false">+Y93+Z93</f>
        <v>0</v>
      </c>
      <c r="AB93" s="333"/>
      <c r="AC93" s="346" t="n">
        <f aca="false">+DATE(YEAR(AC92),MONTH(AC92)+1,1)</f>
        <v>38991</v>
      </c>
      <c r="AD93" s="343" t="n">
        <f aca="false">+AA93*(VLOOKUP(AC93,CURVECALC!$C$6:$J$312,4,0)+AE$5)</f>
        <v>0</v>
      </c>
      <c r="AE93" s="350" t="n">
        <f aca="false">-W93*INDEX(ship_curves,MATCH(AC93,'SHIP CURVES'!$A$9:$A$316,0),MATCH(CONCATENATE(AG$4,AG$5,AG$6,AG$7),'SHIP CURVES'!$A$9:$AZ$9,0))</f>
        <v>-0</v>
      </c>
      <c r="AF93" s="351" t="n">
        <f aca="false">-Y93*INDEX(port_processing_fee,MATCH(AC93,PORTS!$H$626:$H$933,0),MATCH(AG$5,PORTS!$H$626:$Z$626,0))</f>
        <v>-0</v>
      </c>
      <c r="AG93" s="352" t="n">
        <f aca="false">(((VLOOKUP(AC93,curvecalc,4,0))*IF(W93=0,0,AA93/W93)-INDEX(ship_curves,MATCH(AC93,'SHIP CURVES'!$A$9:$A$316,0),MATCH(CONCATENATE(AG$4,AG$5,AG$6,AG$7),'SHIP CURVES'!$A$9:$Z$9,0))-INDEX(terminal_curves,MATCH(AC93,'TERMINAL CURVES'!$A$4:$A$313,0),MATCH(AG$5,'TERMINAL CURVES'!$A$4:$N$4,0))*IF(W93=0,0,Y93/W93))-(AE$8)*((AE$7-$N$5)-(INDEX(ship_curves,MATCH(AC93,'SHIP CURVES'!$A$9:$A$316,0),MATCH(CONCATENATE(AG$4,AG$5,AG$6,AG$7),'SHIP CURVES'!$A$9:$Z$9,0))-INDEX(ship_curves,MATCH(AC93,'SHIP CURVES'!$A$9:$A$316,0),MATCH(CONCATENATE(AG$4,AE$6,AG$6,AG$7),'SHIP CURVES'!$A$9:$Z$9,0)))-(INDEX(terminal_curves,MATCH(AC93,'TERMINAL CURVES'!$A$4:$A$313,0),MATCH(AG$5,'TERMINAL CURVES'!$A$4:$N$4,0))-INDEX(terminal_curves,MATCH(AC93,'TERMINAL CURVES'!$A$4:$A$313,0),MATCH(AE$6,'TERMINAL CURVES'!$A$4:$N$4,0)))*IF(W93=0,0,Y93/W93)))*-W93</f>
        <v>0</v>
      </c>
      <c r="AH93" s="356" t="n">
        <f aca="false">SUM(AE93:AG93)</f>
        <v>0</v>
      </c>
      <c r="AI93" s="357" t="n">
        <f aca="false">(-Y93/((HLOOKUP(AG$5,port_specs,2,0)/(365.25))*(AC94-AC93)))*(INDEX(fixed_capacity_charge,MATCH(AC93,PORTS!$H$11:$H$317,0),MATCH(AG$5,PORTS!$H$11:$N$11,0))+INDEX(variable_om_charge,MATCH(AC93,PORTS!$H$318:$H$625,0),MATCH(AG$5,PORTS!$H$318:$N$318,0)))</f>
        <v>-0</v>
      </c>
      <c r="AJ93" s="343" t="n">
        <f aca="false">+AI93+AH93</f>
        <v>0</v>
      </c>
      <c r="AK93" s="355" t="n">
        <f aca="false">+AJ93+AD93</f>
        <v>0</v>
      </c>
      <c r="AM93" s="346" t="n">
        <f aca="false">+DATE(YEAR(AM92),MONTH(AM92)+1,1)</f>
        <v>38991</v>
      </c>
      <c r="AN93" s="327" t="n">
        <f aca="false">+AP93/(1-HLOOKUP(AO$6,SHIPS,7,0)*INDEX(LADEN_VOYAGE_DAYS,MATCH(CONCATENATE(AO$4,AO$5),LADEN_VOYAGE_ROUTES,0),MATCH(AO$6,LADEN_VOYAGE_SHIPS,0)))</f>
        <v>5395761.47735991</v>
      </c>
      <c r="AO93" s="347" t="n">
        <f aca="false">+AP93-AN93</f>
        <v>-56655.4955122788</v>
      </c>
      <c r="AP93" s="348" t="n">
        <f aca="false">+IF(AND(AO$8&lt;=AM93,AO$9&gt;=AM93),+MIN($B93-SUMIF($H$17:AO$17,AP$17,$H93:AO93),((INDEX(ROUTE_PER_DAY_BY_SHIP,MATCH(CONCATENATE(AO$4,AO$5,AO$7),ROUTE_PER_DAY_ROUTES,0),MATCH(AO$6,ROUTE_PER_DAY_SHIPS,0))*(AM94-AM93))-(INDEX(ROUTE_PER_DAY_BY_SHIP,MATCH(CONCATENATE(AO$4,AO$5,AO$7),ROUTE_PER_DAY_ROUTES,0),MATCH(AO$6,ROUTE_PER_DAY_SHIPS,0))*(AM94-AM93))*HLOOKUP(AO$6,SHIPS,7,0)*INDEX(LADEN_VOYAGE_DAYS,MATCH(CONCATENATE(AO$4,AO$5,AO$7),LADEN_VOYAGE_ROUTES,0),MATCH(AO$6,LADEN_VOYAGE_SHIPS,0)))),0)</f>
        <v>5339105.98184763</v>
      </c>
      <c r="AQ93" s="349" t="n">
        <f aca="false">-(AP93)*PORTS!$I$6</f>
        <v>-133477.649546191</v>
      </c>
      <c r="AR93" s="327" t="n">
        <f aca="false">+AP93+AQ93</f>
        <v>5205628.33230144</v>
      </c>
      <c r="AS93" s="333"/>
      <c r="AT93" s="346" t="n">
        <f aca="false">+DATE(YEAR(AT92),MONTH(AT92)+1,1)</f>
        <v>38991</v>
      </c>
      <c r="AU93" s="343" t="n">
        <f aca="false">+AR93*(VLOOKUP(AT93,CURVECALC!$C$6:$J$312,4,0)+AV$5)</f>
        <v>16428963.0167434</v>
      </c>
      <c r="AV93" s="350" t="n">
        <f aca="false">-AN93*INDEX(ship_curves,MATCH(AT93,'SHIP CURVES'!$A$9:$A$316,0),MATCH(CONCATENATE(AX$4,AX$5,AX$6,AX$7),'SHIP CURVES'!$A$9:$AZ$9,0))</f>
        <v>-1772540.22177207</v>
      </c>
      <c r="AW93" s="351" t="n">
        <f aca="false">-AP93*INDEX(port_processing_fee,MATCH(AT93,PORTS!$H$626:$H$933,0),MATCH(AX$5,PORTS!$H$626:$Z$626,0))</f>
        <v>-152916.080233969</v>
      </c>
      <c r="AX93" s="352" t="n">
        <f aca="false">(((VLOOKUP(AT93,curvecalc,4,0))*IF(AN93=0,0,AR93/AN93)-INDEX(ship_curves,MATCH(AT93,'SHIP CURVES'!$A$9:$A$316,0),MATCH(CONCATENATE(AX$4,AX$5,AX$6,AX$7),'SHIP CURVES'!$A$9:$Z$9,0))-INDEX(terminal_curves,MATCH(AT93,'TERMINAL CURVES'!$A$4:$A$313,0),MATCH(AX$5,'TERMINAL CURVES'!$A$4:$N$4,0))*IF(AN93=0,0,AP93/AN93))-(AV$8)*((AV$7-$N$5)-(INDEX(ship_curves,MATCH(AT93,'SHIP CURVES'!$A$9:$A$316,0),MATCH(CONCATENATE(AX$4,AX$5,AX$6,AX$7),'SHIP CURVES'!$A$9:$Z$9,0))-INDEX(ship_curves,MATCH(AT93,'SHIP CURVES'!$A$9:$A$316,0),MATCH(CONCATENATE(AX$4,AV$6,AX$6,AX$7),'SHIP CURVES'!$A$9:$Z$9,0)))-(INDEX(terminal_curves,MATCH(AT93,'TERMINAL CURVES'!$A$4:$A$313,0),MATCH(AX$5,'TERMINAL CURVES'!$A$4:$N$4,0))-INDEX(terminal_curves,MATCH(AT93,'TERMINAL CURVES'!$A$4:$A$313,0),MATCH(AV$6,'TERMINAL CURVES'!$A$4:$N$4,0)))*IF(AN93=0,0,AP93/AN93)))*-AN93</f>
        <v>-13421574.1082455</v>
      </c>
      <c r="AY93" s="356" t="n">
        <f aca="false">SUM(AV93:AX93)</f>
        <v>-15347030.4102515</v>
      </c>
      <c r="AZ93" s="357" t="n">
        <f aca="false">(-AP93/((HLOOKUP(AX$5,port_specs,2,0)/(365.25))*(AT94-AT93)))*(INDEX(fixed_capacity_charge,MATCH(AT93,PORTS!$H$11:$H$317,0),MATCH(AX$5,PORTS!$H$11:$N$11,0))+INDEX(variable_om_charge,MATCH(AT93,PORTS!$H$318:$H$625,0),MATCH(AX$5,PORTS!$H$318:$N$318,0)))</f>
        <v>-977820.039845832</v>
      </c>
      <c r="BA93" s="343" t="n">
        <f aca="false">+AZ93+AY93</f>
        <v>-16324850.4500973</v>
      </c>
      <c r="BB93" s="355" t="n">
        <f aca="false">+BA93+AU93</f>
        <v>104112.566646028</v>
      </c>
      <c r="BC93" s="99"/>
      <c r="BD93" s="357" t="n">
        <f aca="false">+PORTS!I87+PORTS!I395</f>
        <v>977820.039845832</v>
      </c>
    </row>
    <row r="94" customFormat="false" ht="12.75" hidden="false" customHeight="false" outlineLevel="0" collapsed="false">
      <c r="A94" s="346" t="n">
        <f aca="false">+DATE(YEAR(A93),MONTH(A93)+1,1)</f>
        <v>39022</v>
      </c>
      <c r="B94" s="327" t="n">
        <f aca="false">+IF(AND($A94&gt;=$C$8,$A94&lt;=$C$9),1,0)*PORTS!$I$5/(365.25)*(A95-A94)</f>
        <v>5166876.75662674</v>
      </c>
      <c r="C94" s="328" t="n">
        <f aca="false">+B94-(SUMIF($F$17:$IV$17,$H$17,$F94:$IV94))</f>
        <v>0</v>
      </c>
      <c r="D94" s="0" t="n">
        <f aca="false">+YEAR(E94)</f>
        <v>2006</v>
      </c>
      <c r="E94" s="346" t="n">
        <f aca="false">+DATE(YEAR(E93),MONTH(E93)+1,1)</f>
        <v>39022</v>
      </c>
      <c r="F94" s="327" t="n">
        <f aca="false">+IF(AND(G$8&lt;=E94,G$9&gt;=E94),INDEX(ROUTE_PER_DAY_BY_SHIP,MATCH(CONCATENATE(G$4,G$5,G$7),ROUTE_PER_DAY_ROUTES,0),MATCH(G$6,ROUTE_PER_DAY_SHIPS,0))*(E95-E94),0)</f>
        <v>0</v>
      </c>
      <c r="G94" s="347" t="n">
        <f aca="false">-F94*HLOOKUP(G$6,SHIPS,7,0)*INDEX(LADEN_VOYAGE_DAYS,MATCH(CONCATENATE(G$4,G$5,G$7),LADEN_VOYAGE_ROUTES,0),MATCH(G$6,LADEN_VOYAGE_SHIPS,0))</f>
        <v>-0</v>
      </c>
      <c r="H94" s="348" t="n">
        <f aca="false">SUM(F94:G94)</f>
        <v>0</v>
      </c>
      <c r="I94" s="349" t="n">
        <f aca="false">-(H94)*HLOOKUP(G$5,TERMINAL_CHARGES,3,0)</f>
        <v>-0</v>
      </c>
      <c r="J94" s="327" t="n">
        <f aca="false">+H94+I94</f>
        <v>0</v>
      </c>
      <c r="K94" s="333"/>
      <c r="L94" s="346" t="n">
        <f aca="false">+DATE(YEAR(L93),MONTH(L93)+1,1)</f>
        <v>39022</v>
      </c>
      <c r="M94" s="334" t="n">
        <f aca="false">+J94*(VLOOKUP(L94,CURVECALC!$C$6:$J$312,4,0)+N$5)</f>
        <v>0</v>
      </c>
      <c r="N94" s="350" t="n">
        <f aca="false">-F94*INDEX(ship_curves,MATCH(L94,'SHIP CURVES'!$A$9:$A$316,0),MATCH(CONCATENATE(P$4,P$5,P$6,P$7),'SHIP CURVES'!$A$9:$AZ$9,0))</f>
        <v>-0</v>
      </c>
      <c r="O94" s="351" t="n">
        <f aca="false">-H94*INDEX(port_processing_fee,MATCH(L94,PORTS!$H$626:$H$933,0),MATCH(P$5,PORTS!$H$626:$Z$626,0))</f>
        <v>-0</v>
      </c>
      <c r="P94" s="352" t="n">
        <f aca="false">(((VLOOKUP(L94,curvecalc,4,0))*IF(F94=0,0,J94/F94)-INDEX(ship_curves,MATCH(L94,'SHIP CURVES'!$A$9:$A$316,0),MATCH(CONCATENATE(P$4,P$5,P$6,P$7),'SHIP CURVES'!$A$9:$Z$9,0))-INDEX(terminal_curves,MATCH(L94,'TERMINAL CURVES'!$A$4:$A$313,0),MATCH(P$5,'TERMINAL CURVES'!$A$4:$N$4,0))*IF(F94=0,0,H94/F94))-(N$8)*((N$7-$N$5)-(INDEX(ship_curves,MATCH(L94,'SHIP CURVES'!$A$9:$A$316,0),MATCH(CONCATENATE(P$4,P$5,P$6,P$7),'SHIP CURVES'!$A$9:$Z$9,0))-INDEX(ship_curves,MATCH(L94,'SHIP CURVES'!$A$9:$A$316,0),MATCH(CONCATENATE(P$4,N$6,P$6,P$7),'SHIP CURVES'!$A$9:$Z$9,0)))-(INDEX(terminal_curves,MATCH(L94,'TERMINAL CURVES'!$A$4:$A$313,0),MATCH(P$5,'TERMINAL CURVES'!$A$4:$N$4,0))-INDEX(terminal_curves,MATCH(L94,'TERMINAL CURVES'!$A$4:$A$313,0),MATCH(N$6,'TERMINAL CURVES'!$A$4:$N$4,0)))*IF(F94=0,0,H94/F94)))*-F94</f>
        <v>0</v>
      </c>
      <c r="Q94" s="353" t="n">
        <f aca="false">SUM(N94:P94)</f>
        <v>0</v>
      </c>
      <c r="R94" s="357" t="n">
        <f aca="false">(-H94/((HLOOKUP(P$5,port_specs,2,0)/(365.25))*(L95-L94)))*(INDEX(fixed_capacity_charge,MATCH(L94,PORTS!$H$11:$H$317,0),MATCH(P$5,PORTS!$H$11:$N$11,0))+INDEX(variable_om_charge,MATCH(L94,PORTS!$H$318:$H$625,0),MATCH(P$5,PORTS!$H$318:$N$318,0)))</f>
        <v>-0</v>
      </c>
      <c r="S94" s="343" t="n">
        <f aca="false">+R94+Q94</f>
        <v>0</v>
      </c>
      <c r="T94" s="355" t="n">
        <f aca="false">+S94+M94</f>
        <v>0</v>
      </c>
      <c r="V94" s="346" t="n">
        <f aca="false">+DATE(YEAR(V93),MONTH(V93)+1,1)</f>
        <v>39022</v>
      </c>
      <c r="W94" s="327" t="n">
        <f aca="false">+Y94/(1-HLOOKUP(X$6,SHIPS,7,0)*INDEX(LADEN_VOYAGE_DAYS,MATCH(CONCATENATE(X$4,X$5),LADEN_VOYAGE_ROUTES,0),MATCH(X$6,LADEN_VOYAGE_SHIPS,0)))</f>
        <v>0</v>
      </c>
      <c r="X94" s="347" t="n">
        <f aca="false">+Y94-W94</f>
        <v>0</v>
      </c>
      <c r="Y94" s="348" t="n">
        <f aca="false">+IF(AND(X$8&lt;=V94,X$9&gt;=V94),+MIN($B94-SUMIF($H$17:X$17,Y$17,$H94:X94),((INDEX(ROUTE_PER_DAY_BY_SHIP,MATCH(CONCATENATE(X$4,X$5,X$7),ROUTE_PER_DAY_ROUTES,0),MATCH(X$6,ROUTE_PER_DAY_SHIPS,0))*(V95-V94))-(INDEX(ROUTE_PER_DAY_BY_SHIP,MATCH(CONCATENATE(X$4,X$5,X$7),ROUTE_PER_DAY_ROUTES,0),MATCH(X$6,ROUTE_PER_DAY_SHIPS,0))*(V95-V94))*HLOOKUP(X$6,SHIPS,7,0)*INDEX(LADEN_VOYAGE_DAYS,MATCH(CONCATENATE(X$4,X$5,X$7),LADEN_VOYAGE_ROUTES,0),MATCH(X$6,LADEN_VOYAGE_SHIPS,0)))),0)</f>
        <v>0</v>
      </c>
      <c r="Z94" s="349" t="n">
        <f aca="false">-(Y94)*HLOOKUP(X$5,TERMINAL_CHARGES,3,0)</f>
        <v>-0</v>
      </c>
      <c r="AA94" s="327" t="n">
        <f aca="false">+Y94+Z94</f>
        <v>0</v>
      </c>
      <c r="AB94" s="333"/>
      <c r="AC94" s="346" t="n">
        <f aca="false">+DATE(YEAR(AC93),MONTH(AC93)+1,1)</f>
        <v>39022</v>
      </c>
      <c r="AD94" s="343" t="n">
        <f aca="false">+AA94*(VLOOKUP(AC94,CURVECALC!$C$6:$J$312,4,0)+AE$5)</f>
        <v>0</v>
      </c>
      <c r="AE94" s="350" t="n">
        <f aca="false">-W94*INDEX(ship_curves,MATCH(AC94,'SHIP CURVES'!$A$9:$A$316,0),MATCH(CONCATENATE(AG$4,AG$5,AG$6,AG$7),'SHIP CURVES'!$A$9:$AZ$9,0))</f>
        <v>-0</v>
      </c>
      <c r="AF94" s="351" t="n">
        <f aca="false">-Y94*INDEX(port_processing_fee,MATCH(AC94,PORTS!$H$626:$H$933,0),MATCH(AG$5,PORTS!$H$626:$Z$626,0))</f>
        <v>-0</v>
      </c>
      <c r="AG94" s="352" t="n">
        <f aca="false">(((VLOOKUP(AC94,curvecalc,4,0))*IF(W94=0,0,AA94/W94)-INDEX(ship_curves,MATCH(AC94,'SHIP CURVES'!$A$9:$A$316,0),MATCH(CONCATENATE(AG$4,AG$5,AG$6,AG$7),'SHIP CURVES'!$A$9:$Z$9,0))-INDEX(terminal_curves,MATCH(AC94,'TERMINAL CURVES'!$A$4:$A$313,0),MATCH(AG$5,'TERMINAL CURVES'!$A$4:$N$4,0))*IF(W94=0,0,Y94/W94))-(AE$8)*((AE$7-$N$5)-(INDEX(ship_curves,MATCH(AC94,'SHIP CURVES'!$A$9:$A$316,0),MATCH(CONCATENATE(AG$4,AG$5,AG$6,AG$7),'SHIP CURVES'!$A$9:$Z$9,0))-INDEX(ship_curves,MATCH(AC94,'SHIP CURVES'!$A$9:$A$316,0),MATCH(CONCATENATE(AG$4,AE$6,AG$6,AG$7),'SHIP CURVES'!$A$9:$Z$9,0)))-(INDEX(terminal_curves,MATCH(AC94,'TERMINAL CURVES'!$A$4:$A$313,0),MATCH(AG$5,'TERMINAL CURVES'!$A$4:$N$4,0))-INDEX(terminal_curves,MATCH(AC94,'TERMINAL CURVES'!$A$4:$A$313,0),MATCH(AE$6,'TERMINAL CURVES'!$A$4:$N$4,0)))*IF(W94=0,0,Y94/W94)))*-W94</f>
        <v>0</v>
      </c>
      <c r="AH94" s="356" t="n">
        <f aca="false">SUM(AE94:AG94)</f>
        <v>0</v>
      </c>
      <c r="AI94" s="357" t="n">
        <f aca="false">(-Y94/((HLOOKUP(AG$5,port_specs,2,0)/(365.25))*(AC95-AC94)))*(INDEX(fixed_capacity_charge,MATCH(AC94,PORTS!$H$11:$H$317,0),MATCH(AG$5,PORTS!$H$11:$N$11,0))+INDEX(variable_om_charge,MATCH(AC94,PORTS!$H$318:$H$625,0),MATCH(AG$5,PORTS!$H$318:$N$318,0)))</f>
        <v>-0</v>
      </c>
      <c r="AJ94" s="343" t="n">
        <f aca="false">+AI94+AH94</f>
        <v>0</v>
      </c>
      <c r="AK94" s="355" t="n">
        <f aca="false">+AJ94+AD94</f>
        <v>0</v>
      </c>
      <c r="AM94" s="346" t="n">
        <f aca="false">+DATE(YEAR(AM93),MONTH(AM93)+1,1)</f>
        <v>39022</v>
      </c>
      <c r="AN94" s="327" t="n">
        <f aca="false">+AP94/(1-HLOOKUP(AO$6,SHIPS,7,0)*INDEX(LADEN_VOYAGE_DAYS,MATCH(CONCATENATE(AO$4,AO$5),LADEN_VOYAGE_ROUTES,0),MATCH(AO$6,LADEN_VOYAGE_SHIPS,0)))</f>
        <v>5221704.65550959</v>
      </c>
      <c r="AO94" s="347" t="n">
        <f aca="false">+AP94-AN94</f>
        <v>-54827.8988828501</v>
      </c>
      <c r="AP94" s="348" t="n">
        <f aca="false">+IF(AND(AO$8&lt;=AM94,AO$9&gt;=AM94),+MIN($B94-SUMIF($H$17:AO$17,AP$17,$H94:AO94),((INDEX(ROUTE_PER_DAY_BY_SHIP,MATCH(CONCATENATE(AO$4,AO$5,AO$7),ROUTE_PER_DAY_ROUTES,0),MATCH(AO$6,ROUTE_PER_DAY_SHIPS,0))*(AM95-AM94))-(INDEX(ROUTE_PER_DAY_BY_SHIP,MATCH(CONCATENATE(AO$4,AO$5,AO$7),ROUTE_PER_DAY_ROUTES,0),MATCH(AO$6,ROUTE_PER_DAY_SHIPS,0))*(AM95-AM94))*HLOOKUP(AO$6,SHIPS,7,0)*INDEX(LADEN_VOYAGE_DAYS,MATCH(CONCATENATE(AO$4,AO$5,AO$7),LADEN_VOYAGE_ROUTES,0),MATCH(AO$6,LADEN_VOYAGE_SHIPS,0)))),0)</f>
        <v>5166876.75662674</v>
      </c>
      <c r="AQ94" s="349" t="n">
        <f aca="false">-(AP94)*PORTS!$I$6</f>
        <v>-129171.918915669</v>
      </c>
      <c r="AR94" s="327" t="n">
        <f aca="false">+AP94+AQ94</f>
        <v>5037704.83771107</v>
      </c>
      <c r="AS94" s="333"/>
      <c r="AT94" s="346" t="n">
        <f aca="false">+DATE(YEAR(AT93),MONTH(AT93)+1,1)</f>
        <v>39022</v>
      </c>
      <c r="AU94" s="343" t="n">
        <f aca="false">+AR94*(VLOOKUP(AT94,CURVECALC!$C$6:$J$312,4,0)+AV$5)</f>
        <v>16372540.722561</v>
      </c>
      <c r="AV94" s="350" t="n">
        <f aca="false">-AN94*INDEX(ship_curves,MATCH(AT94,'SHIP CURVES'!$A$9:$A$316,0),MATCH(CONCATENATE(AX$4,AX$5,AX$6,AX$7),'SHIP CURVES'!$A$9:$AZ$9,0))</f>
        <v>-1715842.57851885</v>
      </c>
      <c r="AW94" s="351" t="n">
        <f aca="false">-AP94*INDEX(port_processing_fee,MATCH(AT94,PORTS!$H$626:$H$933,0),MATCH(AX$5,PORTS!$H$626:$Z$626,0))</f>
        <v>-148137.452726658</v>
      </c>
      <c r="AX94" s="352" t="n">
        <f aca="false">(((VLOOKUP(AT94,curvecalc,4,0))*IF(AN94=0,0,AR94/AN94)-INDEX(ship_curves,MATCH(AT94,'SHIP CURVES'!$A$9:$A$316,0),MATCH(CONCATENATE(AX$4,AX$5,AX$6,AX$7),'SHIP CURVES'!$A$9:$Z$9,0))-INDEX(terminal_curves,MATCH(AT94,'TERMINAL CURVES'!$A$4:$A$313,0),MATCH(AX$5,'TERMINAL CURVES'!$A$4:$N$4,0))*IF(AN94=0,0,AP94/AN94))-(AV$8)*((AV$7-$N$5)-(INDEX(ship_curves,MATCH(AT94,'SHIP CURVES'!$A$9:$A$316,0),MATCH(CONCATENATE(AX$4,AX$5,AX$6,AX$7),'SHIP CURVES'!$A$9:$Z$9,0))-INDEX(ship_curves,MATCH(AT94,'SHIP CURVES'!$A$9:$A$316,0),MATCH(CONCATENATE(AX$4,AV$6,AX$6,AX$7),'SHIP CURVES'!$A$9:$Z$9,0)))-(INDEX(terminal_curves,MATCH(AT94,'TERMINAL CURVES'!$A$4:$A$313,0),MATCH(AX$5,'TERMINAL CURVES'!$A$4:$N$4,0))-INDEX(terminal_curves,MATCH(AT94,'TERMINAL CURVES'!$A$4:$A$313,0),MATCH(AV$6,'TERMINAL CURVES'!$A$4:$N$4,0)))*IF(AN94=0,0,AP94/AN94)))*-AN94</f>
        <v>-13429473.3948519</v>
      </c>
      <c r="AY94" s="356" t="n">
        <f aca="false">SUM(AV94:AX94)</f>
        <v>-15293453.4260975</v>
      </c>
      <c r="AZ94" s="357" t="n">
        <f aca="false">(-AP94/((HLOOKUP(AX$5,port_specs,2,0)/(365.25))*(AT95-AT94)))*(INDEX(fixed_capacity_charge,MATCH(AT94,PORTS!$H$11:$H$317,0),MATCH(AX$5,PORTS!$H$11:$N$11,0))+INDEX(variable_om_charge,MATCH(AT94,PORTS!$H$318:$H$625,0),MATCH(AX$5,PORTS!$H$318:$N$318,0)))</f>
        <v>-978333.199709309</v>
      </c>
      <c r="BA94" s="343" t="n">
        <f aca="false">+AZ94+AY94</f>
        <v>-16271786.6258068</v>
      </c>
      <c r="BB94" s="355" t="n">
        <f aca="false">+BA94+AU94</f>
        <v>100754.096754223</v>
      </c>
      <c r="BC94" s="99"/>
      <c r="BD94" s="357" t="n">
        <f aca="false">+PORTS!I88+PORTS!I396</f>
        <v>978333.199709309</v>
      </c>
    </row>
    <row r="95" customFormat="false" ht="12.75" hidden="false" customHeight="false" outlineLevel="0" collapsed="false">
      <c r="A95" s="346" t="n">
        <f aca="false">+DATE(YEAR(A94),MONTH(A94)+1,1)</f>
        <v>39052</v>
      </c>
      <c r="B95" s="327" t="n">
        <f aca="false">+IF(AND($A95&gt;=$C$8,$A95&lt;=$C$9),1,0)*PORTS!$I$5/(365.25)*(A96-A95)</f>
        <v>5339105.98184763</v>
      </c>
      <c r="C95" s="328" t="n">
        <f aca="false">+B95-(SUMIF($F$17:$IV$17,$H$17,$F95:$IV95))</f>
        <v>0</v>
      </c>
      <c r="D95" s="0" t="n">
        <f aca="false">+YEAR(E95)</f>
        <v>2006</v>
      </c>
      <c r="E95" s="346" t="n">
        <f aca="false">+DATE(YEAR(E94),MONTH(E94)+1,1)</f>
        <v>39052</v>
      </c>
      <c r="F95" s="327" t="n">
        <f aca="false">+IF(AND(G$8&lt;=E95,G$9&gt;=E95),INDEX(ROUTE_PER_DAY_BY_SHIP,MATCH(CONCATENATE(G$4,G$5,G$7),ROUTE_PER_DAY_ROUTES,0),MATCH(G$6,ROUTE_PER_DAY_SHIPS,0))*(E96-E95),0)</f>
        <v>0</v>
      </c>
      <c r="G95" s="347" t="n">
        <f aca="false">-F95*HLOOKUP(G$6,SHIPS,7,0)*INDEX(LADEN_VOYAGE_DAYS,MATCH(CONCATENATE(G$4,G$5,G$7),LADEN_VOYAGE_ROUTES,0),MATCH(G$6,LADEN_VOYAGE_SHIPS,0))</f>
        <v>-0</v>
      </c>
      <c r="H95" s="348" t="n">
        <f aca="false">SUM(F95:G95)</f>
        <v>0</v>
      </c>
      <c r="I95" s="349" t="n">
        <f aca="false">-(H95)*HLOOKUP(G$5,TERMINAL_CHARGES,3,0)</f>
        <v>-0</v>
      </c>
      <c r="J95" s="327" t="n">
        <f aca="false">+H95+I95</f>
        <v>0</v>
      </c>
      <c r="K95" s="333"/>
      <c r="L95" s="346" t="n">
        <f aca="false">+DATE(YEAR(L94),MONTH(L94)+1,1)</f>
        <v>39052</v>
      </c>
      <c r="M95" s="334" t="n">
        <f aca="false">+J95*(VLOOKUP(L95,CURVECALC!$C$6:$J$312,4,0)+N$5)</f>
        <v>0</v>
      </c>
      <c r="N95" s="350" t="n">
        <f aca="false">-F95*INDEX(ship_curves,MATCH(L95,'SHIP CURVES'!$A$9:$A$316,0),MATCH(CONCATENATE(P$4,P$5,P$6,P$7),'SHIP CURVES'!$A$9:$AZ$9,0))</f>
        <v>-0</v>
      </c>
      <c r="O95" s="351" t="n">
        <f aca="false">-H95*INDEX(port_processing_fee,MATCH(L95,PORTS!$H$626:$H$933,0),MATCH(P$5,PORTS!$H$626:$Z$626,0))</f>
        <v>-0</v>
      </c>
      <c r="P95" s="352" t="n">
        <f aca="false">(((VLOOKUP(L95,curvecalc,4,0))*IF(F95=0,0,J95/F95)-INDEX(ship_curves,MATCH(L95,'SHIP CURVES'!$A$9:$A$316,0),MATCH(CONCATENATE(P$4,P$5,P$6,P$7),'SHIP CURVES'!$A$9:$Z$9,0))-INDEX(terminal_curves,MATCH(L95,'TERMINAL CURVES'!$A$4:$A$313,0),MATCH(P$5,'TERMINAL CURVES'!$A$4:$N$4,0))*IF(F95=0,0,H95/F95))-(N$8)*((N$7-$N$5)-(INDEX(ship_curves,MATCH(L95,'SHIP CURVES'!$A$9:$A$316,0),MATCH(CONCATENATE(P$4,P$5,P$6,P$7),'SHIP CURVES'!$A$9:$Z$9,0))-INDEX(ship_curves,MATCH(L95,'SHIP CURVES'!$A$9:$A$316,0),MATCH(CONCATENATE(P$4,N$6,P$6,P$7),'SHIP CURVES'!$A$9:$Z$9,0)))-(INDEX(terminal_curves,MATCH(L95,'TERMINAL CURVES'!$A$4:$A$313,0),MATCH(P$5,'TERMINAL CURVES'!$A$4:$N$4,0))-INDEX(terminal_curves,MATCH(L95,'TERMINAL CURVES'!$A$4:$A$313,0),MATCH(N$6,'TERMINAL CURVES'!$A$4:$N$4,0)))*IF(F95=0,0,H95/F95)))*-F95</f>
        <v>0</v>
      </c>
      <c r="Q95" s="353" t="n">
        <f aca="false">SUM(N95:P95)</f>
        <v>0</v>
      </c>
      <c r="R95" s="357" t="n">
        <f aca="false">(-H95/((HLOOKUP(P$5,port_specs,2,0)/(365.25))*(L96-L95)))*(INDEX(fixed_capacity_charge,MATCH(L95,PORTS!$H$11:$H$317,0),MATCH(P$5,PORTS!$H$11:$N$11,0))+INDEX(variable_om_charge,MATCH(L95,PORTS!$H$318:$H$625,0),MATCH(P$5,PORTS!$H$318:$N$318,0)))</f>
        <v>-0</v>
      </c>
      <c r="S95" s="343" t="n">
        <f aca="false">+R95+Q95</f>
        <v>0</v>
      </c>
      <c r="T95" s="355" t="n">
        <f aca="false">+S95+M95</f>
        <v>0</v>
      </c>
      <c r="V95" s="346" t="n">
        <f aca="false">+DATE(YEAR(V94),MONTH(V94)+1,1)</f>
        <v>39052</v>
      </c>
      <c r="W95" s="327" t="n">
        <f aca="false">+Y95/(1-HLOOKUP(X$6,SHIPS,7,0)*INDEX(LADEN_VOYAGE_DAYS,MATCH(CONCATENATE(X$4,X$5),LADEN_VOYAGE_ROUTES,0),MATCH(X$6,LADEN_VOYAGE_SHIPS,0)))</f>
        <v>0</v>
      </c>
      <c r="X95" s="347" t="n">
        <f aca="false">+Y95-W95</f>
        <v>0</v>
      </c>
      <c r="Y95" s="348" t="n">
        <f aca="false">+IF(AND(X$8&lt;=V95,X$9&gt;=V95),+MIN($B95-SUMIF($H$17:X$17,Y$17,$H95:X95),((INDEX(ROUTE_PER_DAY_BY_SHIP,MATCH(CONCATENATE(X$4,X$5,X$7),ROUTE_PER_DAY_ROUTES,0),MATCH(X$6,ROUTE_PER_DAY_SHIPS,0))*(V96-V95))-(INDEX(ROUTE_PER_DAY_BY_SHIP,MATCH(CONCATENATE(X$4,X$5,X$7),ROUTE_PER_DAY_ROUTES,0),MATCH(X$6,ROUTE_PER_DAY_SHIPS,0))*(V96-V95))*HLOOKUP(X$6,SHIPS,7,0)*INDEX(LADEN_VOYAGE_DAYS,MATCH(CONCATENATE(X$4,X$5,X$7),LADEN_VOYAGE_ROUTES,0),MATCH(X$6,LADEN_VOYAGE_SHIPS,0)))),0)</f>
        <v>0</v>
      </c>
      <c r="Z95" s="349" t="n">
        <f aca="false">-(Y95)*HLOOKUP(X$5,TERMINAL_CHARGES,3,0)</f>
        <v>-0</v>
      </c>
      <c r="AA95" s="327" t="n">
        <f aca="false">+Y95+Z95</f>
        <v>0</v>
      </c>
      <c r="AB95" s="333"/>
      <c r="AC95" s="346" t="n">
        <f aca="false">+DATE(YEAR(AC94),MONTH(AC94)+1,1)</f>
        <v>39052</v>
      </c>
      <c r="AD95" s="343" t="n">
        <f aca="false">+AA95*(VLOOKUP(AC95,CURVECALC!$C$6:$J$312,4,0)+AE$5)</f>
        <v>0</v>
      </c>
      <c r="AE95" s="350" t="n">
        <f aca="false">-W95*INDEX(ship_curves,MATCH(AC95,'SHIP CURVES'!$A$9:$A$316,0),MATCH(CONCATENATE(AG$4,AG$5,AG$6,AG$7),'SHIP CURVES'!$A$9:$AZ$9,0))</f>
        <v>-0</v>
      </c>
      <c r="AF95" s="351" t="n">
        <f aca="false">-Y95*INDEX(port_processing_fee,MATCH(AC95,PORTS!$H$626:$H$933,0),MATCH(AG$5,PORTS!$H$626:$Z$626,0))</f>
        <v>-0</v>
      </c>
      <c r="AG95" s="352" t="n">
        <f aca="false">(((VLOOKUP(AC95,curvecalc,4,0))*IF(W95=0,0,AA95/W95)-INDEX(ship_curves,MATCH(AC95,'SHIP CURVES'!$A$9:$A$316,0),MATCH(CONCATENATE(AG$4,AG$5,AG$6,AG$7),'SHIP CURVES'!$A$9:$Z$9,0))-INDEX(terminal_curves,MATCH(AC95,'TERMINAL CURVES'!$A$4:$A$313,0),MATCH(AG$5,'TERMINAL CURVES'!$A$4:$N$4,0))*IF(W95=0,0,Y95/W95))-(AE$8)*((AE$7-$N$5)-(INDEX(ship_curves,MATCH(AC95,'SHIP CURVES'!$A$9:$A$316,0),MATCH(CONCATENATE(AG$4,AG$5,AG$6,AG$7),'SHIP CURVES'!$A$9:$Z$9,0))-INDEX(ship_curves,MATCH(AC95,'SHIP CURVES'!$A$9:$A$316,0),MATCH(CONCATENATE(AG$4,AE$6,AG$6,AG$7),'SHIP CURVES'!$A$9:$Z$9,0)))-(INDEX(terminal_curves,MATCH(AC95,'TERMINAL CURVES'!$A$4:$A$313,0),MATCH(AG$5,'TERMINAL CURVES'!$A$4:$N$4,0))-INDEX(terminal_curves,MATCH(AC95,'TERMINAL CURVES'!$A$4:$A$313,0),MATCH(AE$6,'TERMINAL CURVES'!$A$4:$N$4,0)))*IF(W95=0,0,Y95/W95)))*-W95</f>
        <v>0</v>
      </c>
      <c r="AH95" s="356" t="n">
        <f aca="false">SUM(AE95:AG95)</f>
        <v>0</v>
      </c>
      <c r="AI95" s="357" t="n">
        <f aca="false">(-Y95/((HLOOKUP(AG$5,port_specs,2,0)/(365.25))*(AC96-AC95)))*(INDEX(fixed_capacity_charge,MATCH(AC95,PORTS!$H$11:$H$317,0),MATCH(AG$5,PORTS!$H$11:$N$11,0))+INDEX(variable_om_charge,MATCH(AC95,PORTS!$H$318:$H$625,0),MATCH(AG$5,PORTS!$H$318:$N$318,0)))</f>
        <v>-0</v>
      </c>
      <c r="AJ95" s="343" t="n">
        <f aca="false">+AI95+AH95</f>
        <v>0</v>
      </c>
      <c r="AK95" s="355" t="n">
        <f aca="false">+AJ95+AD95</f>
        <v>0</v>
      </c>
      <c r="AM95" s="346" t="n">
        <f aca="false">+DATE(YEAR(AM94),MONTH(AM94)+1,1)</f>
        <v>39052</v>
      </c>
      <c r="AN95" s="327" t="n">
        <f aca="false">+AP95/(1-HLOOKUP(AO$6,SHIPS,7,0)*INDEX(LADEN_VOYAGE_DAYS,MATCH(CONCATENATE(AO$4,AO$5),LADEN_VOYAGE_ROUTES,0),MATCH(AO$6,LADEN_VOYAGE_SHIPS,0)))</f>
        <v>5395761.47735991</v>
      </c>
      <c r="AO95" s="347" t="n">
        <f aca="false">+AP95-AN95</f>
        <v>-56655.4955122788</v>
      </c>
      <c r="AP95" s="348" t="n">
        <f aca="false">+IF(AND(AO$8&lt;=AM95,AO$9&gt;=AM95),+MIN($B95-SUMIF($H$17:AO$17,AP$17,$H95:AO95),((INDEX(ROUTE_PER_DAY_BY_SHIP,MATCH(CONCATENATE(AO$4,AO$5,AO$7),ROUTE_PER_DAY_ROUTES,0),MATCH(AO$6,ROUTE_PER_DAY_SHIPS,0))*(AM96-AM95))-(INDEX(ROUTE_PER_DAY_BY_SHIP,MATCH(CONCATENATE(AO$4,AO$5,AO$7),ROUTE_PER_DAY_ROUTES,0),MATCH(AO$6,ROUTE_PER_DAY_SHIPS,0))*(AM96-AM95))*HLOOKUP(AO$6,SHIPS,7,0)*INDEX(LADEN_VOYAGE_DAYS,MATCH(CONCATENATE(AO$4,AO$5,AO$7),LADEN_VOYAGE_ROUTES,0),MATCH(AO$6,LADEN_VOYAGE_SHIPS,0)))),0)</f>
        <v>5339105.98184763</v>
      </c>
      <c r="AQ95" s="349" t="n">
        <f aca="false">-(AP95)*PORTS!$I$6</f>
        <v>-133477.649546191</v>
      </c>
      <c r="AR95" s="327" t="n">
        <f aca="false">+AP95+AQ95</f>
        <v>5205628.33230144</v>
      </c>
      <c r="AS95" s="333"/>
      <c r="AT95" s="346" t="n">
        <f aca="false">+DATE(YEAR(AT94),MONTH(AT94)+1,1)</f>
        <v>39052</v>
      </c>
      <c r="AU95" s="343" t="n">
        <f aca="false">+AR95*(VLOOKUP(AT95,CURVECALC!$C$6:$J$312,4,0)+AV$5)</f>
        <v>17418032.3998806</v>
      </c>
      <c r="AV95" s="350" t="n">
        <f aca="false">-AN95*INDEX(ship_curves,MATCH(AT95,'SHIP CURVES'!$A$9:$A$316,0),MATCH(CONCATENATE(AX$4,AX$5,AX$6,AX$7),'SHIP CURVES'!$A$9:$AZ$9,0))</f>
        <v>-1773535.47614473</v>
      </c>
      <c r="AW95" s="351" t="n">
        <f aca="false">-AP95*INDEX(port_processing_fee,MATCH(AT95,PORTS!$H$626:$H$933,0),MATCH(AX$5,PORTS!$H$626:$Z$626,0))</f>
        <v>-153234.82132569</v>
      </c>
      <c r="AX95" s="352" t="n">
        <f aca="false">(((VLOOKUP(AT95,curvecalc,4,0))*IF(AN95=0,0,AR95/AN95)-INDEX(ship_curves,MATCH(AT95,'SHIP CURVES'!$A$9:$A$316,0),MATCH(CONCATENATE(AX$4,AX$5,AX$6,AX$7),'SHIP CURVES'!$A$9:$Z$9,0))-INDEX(terminal_curves,MATCH(AT95,'TERMINAL CURVES'!$A$4:$A$313,0),MATCH(AX$5,'TERMINAL CURVES'!$A$4:$N$4,0))*IF(AN95=0,0,AP95/AN95))-(AV$8)*((AV$7-$N$5)-(INDEX(ship_curves,MATCH(AT95,'SHIP CURVES'!$A$9:$A$316,0),MATCH(CONCATENATE(AX$4,AX$5,AX$6,AX$7),'SHIP CURVES'!$A$9:$Z$9,0))-INDEX(ship_curves,MATCH(AT95,'SHIP CURVES'!$A$9:$A$316,0),MATCH(CONCATENATE(AX$4,AV$6,AX$6,AX$7),'SHIP CURVES'!$A$9:$Z$9,0)))-(INDEX(terminal_curves,MATCH(AT95,'TERMINAL CURVES'!$A$4:$A$313,0),MATCH(AX$5,'TERMINAL CURVES'!$A$4:$N$4,0))-INDEX(terminal_curves,MATCH(AT95,'TERMINAL CURVES'!$A$4:$A$313,0),MATCH(AV$6,'TERMINAL CURVES'!$A$4:$N$4,0)))*IF(AN95=0,0,AP95/AN95)))*-AN95</f>
        <v>-14408302.6416499</v>
      </c>
      <c r="AY95" s="356" t="n">
        <f aca="false">SUM(AV95:AX95)</f>
        <v>-16335072.9391203</v>
      </c>
      <c r="AZ95" s="357" t="n">
        <f aca="false">(-AP95/((HLOOKUP(AX$5,port_specs,2,0)/(365.25))*(AT96-AT95)))*(INDEX(fixed_capacity_charge,MATCH(AT95,PORTS!$H$11:$H$317,0),MATCH(AX$5,PORTS!$H$11:$N$11,0))+INDEX(variable_om_charge,MATCH(AT95,PORTS!$H$318:$H$625,0),MATCH(AX$5,PORTS!$H$318:$N$318,0)))</f>
        <v>-978846.89411431</v>
      </c>
      <c r="BA95" s="343" t="n">
        <f aca="false">+AZ95+AY95</f>
        <v>-17313919.8332346</v>
      </c>
      <c r="BB95" s="355" t="n">
        <f aca="false">+BA95+AU95</f>
        <v>104112.566646028</v>
      </c>
      <c r="BC95" s="99"/>
      <c r="BD95" s="357" t="n">
        <f aca="false">+PORTS!I89+PORTS!I397</f>
        <v>978846.89411431</v>
      </c>
    </row>
    <row r="96" customFormat="false" ht="12.75" hidden="false" customHeight="false" outlineLevel="0" collapsed="false">
      <c r="A96" s="346" t="n">
        <f aca="false">+DATE(YEAR(A95),MONTH(A95)+1,1)</f>
        <v>39083</v>
      </c>
      <c r="B96" s="327" t="n">
        <f aca="false">+IF(AND($A96&gt;=$C$8,$A96&lt;=$C$9),1,0)*PORTS!$I$5/(365.25)*(A97-A96)</f>
        <v>5339105.98184763</v>
      </c>
      <c r="C96" s="328" t="n">
        <f aca="false">+B96-(SUMIF($F$17:$IV$17,$H$17,$F96:$IV96))</f>
        <v>0</v>
      </c>
      <c r="D96" s="0" t="n">
        <f aca="false">+YEAR(E96)</f>
        <v>2007</v>
      </c>
      <c r="E96" s="346" t="n">
        <f aca="false">+DATE(YEAR(E95),MONTH(E95)+1,1)</f>
        <v>39083</v>
      </c>
      <c r="F96" s="327" t="n">
        <f aca="false">+IF(AND(G$8&lt;=E96,G$9&gt;=E96),INDEX(ROUTE_PER_DAY_BY_SHIP,MATCH(CONCATENATE(G$4,G$5,G$7),ROUTE_PER_DAY_ROUTES,0),MATCH(G$6,ROUTE_PER_DAY_SHIPS,0))*(E97-E96),0)</f>
        <v>0</v>
      </c>
      <c r="G96" s="347" t="n">
        <f aca="false">-F96*HLOOKUP(G$6,SHIPS,7,0)*INDEX(LADEN_VOYAGE_DAYS,MATCH(CONCATENATE(G$4,G$5,G$7),LADEN_VOYAGE_ROUTES,0),MATCH(G$6,LADEN_VOYAGE_SHIPS,0))</f>
        <v>-0</v>
      </c>
      <c r="H96" s="348" t="n">
        <f aca="false">SUM(F96:G96)</f>
        <v>0</v>
      </c>
      <c r="I96" s="349" t="n">
        <f aca="false">-(H96)*HLOOKUP(G$5,TERMINAL_CHARGES,3,0)</f>
        <v>-0</v>
      </c>
      <c r="J96" s="327" t="n">
        <f aca="false">+H96+I96</f>
        <v>0</v>
      </c>
      <c r="K96" s="333"/>
      <c r="L96" s="346" t="n">
        <f aca="false">+DATE(YEAR(L95),MONTH(L95)+1,1)</f>
        <v>39083</v>
      </c>
      <c r="M96" s="334" t="n">
        <f aca="false">+J96*(VLOOKUP(L96,CURVECALC!$C$6:$J$312,4,0)+N$5)</f>
        <v>0</v>
      </c>
      <c r="N96" s="350" t="n">
        <f aca="false">-F96*INDEX(ship_curves,MATCH(L96,'SHIP CURVES'!$A$9:$A$316,0),MATCH(CONCATENATE(P$4,P$5,P$6,P$7),'SHIP CURVES'!$A$9:$AZ$9,0))</f>
        <v>-0</v>
      </c>
      <c r="O96" s="351" t="n">
        <f aca="false">-H96*INDEX(port_processing_fee,MATCH(L96,PORTS!$H$626:$H$933,0),MATCH(P$5,PORTS!$H$626:$Z$626,0))</f>
        <v>-0</v>
      </c>
      <c r="P96" s="352" t="n">
        <f aca="false">(((VLOOKUP(L96,curvecalc,4,0))*IF(F96=0,0,J96/F96)-INDEX(ship_curves,MATCH(L96,'SHIP CURVES'!$A$9:$A$316,0),MATCH(CONCATENATE(P$4,P$5,P$6,P$7),'SHIP CURVES'!$A$9:$Z$9,0))-INDEX(terminal_curves,MATCH(L96,'TERMINAL CURVES'!$A$4:$A$313,0),MATCH(P$5,'TERMINAL CURVES'!$A$4:$N$4,0))*IF(F96=0,0,H96/F96))-(N$8)*((N$7-$N$5)-(INDEX(ship_curves,MATCH(L96,'SHIP CURVES'!$A$9:$A$316,0),MATCH(CONCATENATE(P$4,P$5,P$6,P$7),'SHIP CURVES'!$A$9:$Z$9,0))-INDEX(ship_curves,MATCH(L96,'SHIP CURVES'!$A$9:$A$316,0),MATCH(CONCATENATE(P$4,N$6,P$6,P$7),'SHIP CURVES'!$A$9:$Z$9,0)))-(INDEX(terminal_curves,MATCH(L96,'TERMINAL CURVES'!$A$4:$A$313,0),MATCH(P$5,'TERMINAL CURVES'!$A$4:$N$4,0))-INDEX(terminal_curves,MATCH(L96,'TERMINAL CURVES'!$A$4:$A$313,0),MATCH(N$6,'TERMINAL CURVES'!$A$4:$N$4,0)))*IF(F96=0,0,H96/F96)))*-F96</f>
        <v>0</v>
      </c>
      <c r="Q96" s="353" t="n">
        <f aca="false">SUM(N96:P96)</f>
        <v>0</v>
      </c>
      <c r="R96" s="357" t="n">
        <f aca="false">(-H96/((HLOOKUP(P$5,port_specs,2,0)/(365.25))*(L97-L96)))*(INDEX(fixed_capacity_charge,MATCH(L96,PORTS!$H$11:$H$317,0),MATCH(P$5,PORTS!$H$11:$N$11,0))+INDEX(variable_om_charge,MATCH(L96,PORTS!$H$318:$H$625,0),MATCH(P$5,PORTS!$H$318:$N$318,0)))</f>
        <v>-0</v>
      </c>
      <c r="S96" s="343" t="n">
        <f aca="false">+R96+Q96</f>
        <v>0</v>
      </c>
      <c r="T96" s="355" t="n">
        <f aca="false">+S96+M96</f>
        <v>0</v>
      </c>
      <c r="V96" s="346" t="n">
        <f aca="false">+DATE(YEAR(V95),MONTH(V95)+1,1)</f>
        <v>39083</v>
      </c>
      <c r="W96" s="327" t="n">
        <f aca="false">+Y96/(1-HLOOKUP(X$6,SHIPS,7,0)*INDEX(LADEN_VOYAGE_DAYS,MATCH(CONCATENATE(X$4,X$5),LADEN_VOYAGE_ROUTES,0),MATCH(X$6,LADEN_VOYAGE_SHIPS,0)))</f>
        <v>0</v>
      </c>
      <c r="X96" s="347" t="n">
        <f aca="false">+Y96-W96</f>
        <v>0</v>
      </c>
      <c r="Y96" s="348" t="n">
        <f aca="false">+IF(AND(X$8&lt;=V96,X$9&gt;=V96),+MIN($B96-SUMIF($H$17:X$17,Y$17,$H96:X96),((INDEX(ROUTE_PER_DAY_BY_SHIP,MATCH(CONCATENATE(X$4,X$5,X$7),ROUTE_PER_DAY_ROUTES,0),MATCH(X$6,ROUTE_PER_DAY_SHIPS,0))*(V97-V96))-(INDEX(ROUTE_PER_DAY_BY_SHIP,MATCH(CONCATENATE(X$4,X$5,X$7),ROUTE_PER_DAY_ROUTES,0),MATCH(X$6,ROUTE_PER_DAY_SHIPS,0))*(V97-V96))*HLOOKUP(X$6,SHIPS,7,0)*INDEX(LADEN_VOYAGE_DAYS,MATCH(CONCATENATE(X$4,X$5,X$7),LADEN_VOYAGE_ROUTES,0),MATCH(X$6,LADEN_VOYAGE_SHIPS,0)))),0)</f>
        <v>0</v>
      </c>
      <c r="Z96" s="349" t="n">
        <f aca="false">-(Y96)*HLOOKUP(X$5,TERMINAL_CHARGES,3,0)</f>
        <v>-0</v>
      </c>
      <c r="AA96" s="327" t="n">
        <f aca="false">+Y96+Z96</f>
        <v>0</v>
      </c>
      <c r="AB96" s="333"/>
      <c r="AC96" s="346" t="n">
        <f aca="false">+DATE(YEAR(AC95),MONTH(AC95)+1,1)</f>
        <v>39083</v>
      </c>
      <c r="AD96" s="343" t="n">
        <f aca="false">+AA96*(VLOOKUP(AC96,CURVECALC!$C$6:$J$312,4,0)+AE$5)</f>
        <v>0</v>
      </c>
      <c r="AE96" s="350" t="n">
        <f aca="false">-W96*INDEX(ship_curves,MATCH(AC96,'SHIP CURVES'!$A$9:$A$316,0),MATCH(CONCATENATE(AG$4,AG$5,AG$6,AG$7),'SHIP CURVES'!$A$9:$AZ$9,0))</f>
        <v>-0</v>
      </c>
      <c r="AF96" s="351" t="n">
        <f aca="false">-Y96*INDEX(port_processing_fee,MATCH(AC96,PORTS!$H$626:$H$933,0),MATCH(AG$5,PORTS!$H$626:$Z$626,0))</f>
        <v>-0</v>
      </c>
      <c r="AG96" s="352" t="n">
        <f aca="false">(((VLOOKUP(AC96,curvecalc,4,0))*IF(W96=0,0,AA96/W96)-INDEX(ship_curves,MATCH(AC96,'SHIP CURVES'!$A$9:$A$316,0),MATCH(CONCATENATE(AG$4,AG$5,AG$6,AG$7),'SHIP CURVES'!$A$9:$Z$9,0))-INDEX(terminal_curves,MATCH(AC96,'TERMINAL CURVES'!$A$4:$A$313,0),MATCH(AG$5,'TERMINAL CURVES'!$A$4:$N$4,0))*IF(W96=0,0,Y96/W96))-(AE$8)*((AE$7-$N$5)-(INDEX(ship_curves,MATCH(AC96,'SHIP CURVES'!$A$9:$A$316,0),MATCH(CONCATENATE(AG$4,AG$5,AG$6,AG$7),'SHIP CURVES'!$A$9:$Z$9,0))-INDEX(ship_curves,MATCH(AC96,'SHIP CURVES'!$A$9:$A$316,0),MATCH(CONCATENATE(AG$4,AE$6,AG$6,AG$7),'SHIP CURVES'!$A$9:$Z$9,0)))-(INDEX(terminal_curves,MATCH(AC96,'TERMINAL CURVES'!$A$4:$A$313,0),MATCH(AG$5,'TERMINAL CURVES'!$A$4:$N$4,0))-INDEX(terminal_curves,MATCH(AC96,'TERMINAL CURVES'!$A$4:$A$313,0),MATCH(AE$6,'TERMINAL CURVES'!$A$4:$N$4,0)))*IF(W96=0,0,Y96/W96)))*-W96</f>
        <v>0</v>
      </c>
      <c r="AH96" s="356" t="n">
        <f aca="false">SUM(AE96:AG96)</f>
        <v>0</v>
      </c>
      <c r="AI96" s="357" t="n">
        <f aca="false">(-Y96/((HLOOKUP(AG$5,port_specs,2,0)/(365.25))*(AC97-AC96)))*(INDEX(fixed_capacity_charge,MATCH(AC96,PORTS!$H$11:$H$317,0),MATCH(AG$5,PORTS!$H$11:$N$11,0))+INDEX(variable_om_charge,MATCH(AC96,PORTS!$H$318:$H$625,0),MATCH(AG$5,PORTS!$H$318:$N$318,0)))</f>
        <v>-0</v>
      </c>
      <c r="AJ96" s="343" t="n">
        <f aca="false">+AI96+AH96</f>
        <v>0</v>
      </c>
      <c r="AK96" s="355" t="n">
        <f aca="false">+AJ96+AD96</f>
        <v>0</v>
      </c>
      <c r="AM96" s="346" t="n">
        <f aca="false">+DATE(YEAR(AM95),MONTH(AM95)+1,1)</f>
        <v>39083</v>
      </c>
      <c r="AN96" s="327" t="n">
        <f aca="false">+AP96/(1-HLOOKUP(AO$6,SHIPS,7,0)*INDEX(LADEN_VOYAGE_DAYS,MATCH(CONCATENATE(AO$4,AO$5),LADEN_VOYAGE_ROUTES,0),MATCH(AO$6,LADEN_VOYAGE_SHIPS,0)))</f>
        <v>5395761.47735991</v>
      </c>
      <c r="AO96" s="347" t="n">
        <f aca="false">+AP96-AN96</f>
        <v>-56655.4955122788</v>
      </c>
      <c r="AP96" s="348" t="n">
        <f aca="false">+IF(AND(AO$8&lt;=AM96,AO$9&gt;=AM96),+MIN($B96-SUMIF($H$17:AO$17,AP$17,$H96:AO96),((INDEX(ROUTE_PER_DAY_BY_SHIP,MATCH(CONCATENATE(AO$4,AO$5,AO$7),ROUTE_PER_DAY_ROUTES,0),MATCH(AO$6,ROUTE_PER_DAY_SHIPS,0))*(AM97-AM96))-(INDEX(ROUTE_PER_DAY_BY_SHIP,MATCH(CONCATENATE(AO$4,AO$5,AO$7),ROUTE_PER_DAY_ROUTES,0),MATCH(AO$6,ROUTE_PER_DAY_SHIPS,0))*(AM97-AM96))*HLOOKUP(AO$6,SHIPS,7,0)*INDEX(LADEN_VOYAGE_DAYS,MATCH(CONCATENATE(AO$4,AO$5,AO$7),LADEN_VOYAGE_ROUTES,0),MATCH(AO$6,LADEN_VOYAGE_SHIPS,0)))),0)</f>
        <v>5339105.98184763</v>
      </c>
      <c r="AQ96" s="349" t="n">
        <f aca="false">-(AP96)*PORTS!$I$6</f>
        <v>-133477.649546191</v>
      </c>
      <c r="AR96" s="327" t="n">
        <f aca="false">+AP96+AQ96</f>
        <v>5205628.33230144</v>
      </c>
      <c r="AS96" s="333"/>
      <c r="AT96" s="346" t="n">
        <f aca="false">+DATE(YEAR(AT95),MONTH(AT95)+1,1)</f>
        <v>39083</v>
      </c>
      <c r="AU96" s="343" t="n">
        <f aca="false">+AR96*(VLOOKUP(AT96,CURVECALC!$C$6:$J$312,4,0)+AV$5)</f>
        <v>18131203.4814059</v>
      </c>
      <c r="AV96" s="350" t="n">
        <f aca="false">-AN96*INDEX(ship_curves,MATCH(AT96,'SHIP CURVES'!$A$9:$A$316,0),MATCH(CONCATENATE(AX$4,AX$5,AX$6,AX$7),'SHIP CURVES'!$A$9:$AZ$9,0))</f>
        <v>-1774034.65895542</v>
      </c>
      <c r="AW96" s="351" t="n">
        <f aca="false">-AP96*INDEX(port_processing_fee,MATCH(AT96,PORTS!$H$626:$H$933,0),MATCH(AX$5,PORTS!$H$626:$Z$626,0))</f>
        <v>-153394.440931237</v>
      </c>
      <c r="AX96" s="352" t="n">
        <f aca="false">(((VLOOKUP(AT96,curvecalc,4,0))*IF(AN96=0,0,AR96/AN96)-INDEX(ship_curves,MATCH(AT96,'SHIP CURVES'!$A$9:$A$316,0),MATCH(CONCATENATE(AX$4,AX$5,AX$6,AX$7),'SHIP CURVES'!$A$9:$Z$9,0))-INDEX(terminal_curves,MATCH(AT96,'TERMINAL CURVES'!$A$4:$A$313,0),MATCH(AX$5,'TERMINAL CURVES'!$A$4:$N$4,0))*IF(AN96=0,0,AP96/AN96))-(AV$8)*((AV$7-$N$5)-(INDEX(ship_curves,MATCH(AT96,'SHIP CURVES'!$A$9:$A$316,0),MATCH(CONCATENATE(AX$4,AX$5,AX$6,AX$7),'SHIP CURVES'!$A$9:$Z$9,0))-INDEX(ship_curves,MATCH(AT96,'SHIP CURVES'!$A$9:$A$316,0),MATCH(CONCATENATE(AX$4,AV$6,AX$6,AX$7),'SHIP CURVES'!$A$9:$Z$9,0)))-(INDEX(terminal_curves,MATCH(AT96,'TERMINAL CURVES'!$A$4:$A$313,0),MATCH(AX$5,'TERMINAL CURVES'!$A$4:$N$4,0))-INDEX(terminal_curves,MATCH(AT96,'TERMINAL CURVES'!$A$4:$A$313,0),MATCH(AV$6,'TERMINAL CURVES'!$A$4:$N$4,0)))*IF(AN96=0,0,AP96/AN96)))*-AN96</f>
        <v>-15120300.6912556</v>
      </c>
      <c r="AY96" s="356" t="n">
        <f aca="false">SUM(AV96:AX96)</f>
        <v>-17047729.7911422</v>
      </c>
      <c r="AZ96" s="357" t="n">
        <f aca="false">(-AP96/((HLOOKUP(AX$5,port_specs,2,0)/(365.25))*(AT97-AT96)))*(INDEX(fixed_capacity_charge,MATCH(AT96,PORTS!$H$11:$H$317,0),MATCH(AX$5,PORTS!$H$11:$N$11,0))+INDEX(variable_om_charge,MATCH(AT96,PORTS!$H$318:$H$625,0),MATCH(AX$5,PORTS!$H$318:$N$318,0)))</f>
        <v>-979361.123617649</v>
      </c>
      <c r="BA96" s="343" t="n">
        <f aca="false">+AZ96+AY96</f>
        <v>-18027090.9147599</v>
      </c>
      <c r="BB96" s="355" t="n">
        <f aca="false">+BA96+AU96</f>
        <v>104112.566646032</v>
      </c>
      <c r="BC96" s="99"/>
      <c r="BD96" s="357" t="n">
        <f aca="false">+PORTS!I90+PORTS!I398</f>
        <v>979361.123617649</v>
      </c>
    </row>
    <row r="97" customFormat="false" ht="12.75" hidden="false" customHeight="false" outlineLevel="0" collapsed="false">
      <c r="A97" s="346" t="n">
        <f aca="false">+DATE(YEAR(A96),MONTH(A96)+1,1)</f>
        <v>39114</v>
      </c>
      <c r="B97" s="327" t="n">
        <f aca="false">+IF(AND($A97&gt;=$C$8,$A97&lt;=$C$9),1,0)*PORTS!$I$5/(365.25)*(A98-A97)</f>
        <v>4822418.30618496</v>
      </c>
      <c r="C97" s="328" t="n">
        <f aca="false">+B97-(SUMIF($F$17:$IV$17,$H$17,$F97:$IV97))</f>
        <v>0</v>
      </c>
      <c r="D97" s="0" t="n">
        <f aca="false">+YEAR(E97)</f>
        <v>2007</v>
      </c>
      <c r="E97" s="346" t="n">
        <f aca="false">+DATE(YEAR(E96),MONTH(E96)+1,1)</f>
        <v>39114</v>
      </c>
      <c r="F97" s="327" t="n">
        <f aca="false">+IF(AND(G$8&lt;=E97,G$9&gt;=E97),INDEX(ROUTE_PER_DAY_BY_SHIP,MATCH(CONCATENATE(G$4,G$5,G$7),ROUTE_PER_DAY_ROUTES,0),MATCH(G$6,ROUTE_PER_DAY_SHIPS,0))*(E98-E97),0)</f>
        <v>0</v>
      </c>
      <c r="G97" s="347" t="n">
        <f aca="false">-F97*HLOOKUP(G$6,SHIPS,7,0)*INDEX(LADEN_VOYAGE_DAYS,MATCH(CONCATENATE(G$4,G$5,G$7),LADEN_VOYAGE_ROUTES,0),MATCH(G$6,LADEN_VOYAGE_SHIPS,0))</f>
        <v>-0</v>
      </c>
      <c r="H97" s="348" t="n">
        <f aca="false">SUM(F97:G97)</f>
        <v>0</v>
      </c>
      <c r="I97" s="349" t="n">
        <f aca="false">-(H97)*HLOOKUP(G$5,TERMINAL_CHARGES,3,0)</f>
        <v>-0</v>
      </c>
      <c r="J97" s="327" t="n">
        <f aca="false">+H97+I97</f>
        <v>0</v>
      </c>
      <c r="K97" s="333"/>
      <c r="L97" s="346" t="n">
        <f aca="false">+DATE(YEAR(L96),MONTH(L96)+1,1)</f>
        <v>39114</v>
      </c>
      <c r="M97" s="334" t="n">
        <f aca="false">+J97*(VLOOKUP(L97,CURVECALC!$C$6:$J$312,4,0)+N$5)</f>
        <v>0</v>
      </c>
      <c r="N97" s="350" t="n">
        <f aca="false">-F97*INDEX(ship_curves,MATCH(L97,'SHIP CURVES'!$A$9:$A$316,0),MATCH(CONCATENATE(P$4,P$5,P$6,P$7),'SHIP CURVES'!$A$9:$AZ$9,0))</f>
        <v>-0</v>
      </c>
      <c r="O97" s="351" t="n">
        <f aca="false">-H97*INDEX(port_processing_fee,MATCH(L97,PORTS!$H$626:$H$933,0),MATCH(P$5,PORTS!$H$626:$Z$626,0))</f>
        <v>-0</v>
      </c>
      <c r="P97" s="352" t="n">
        <f aca="false">(((VLOOKUP(L97,curvecalc,4,0))*IF(F97=0,0,J97/F97)-INDEX(ship_curves,MATCH(L97,'SHIP CURVES'!$A$9:$A$316,0),MATCH(CONCATENATE(P$4,P$5,P$6,P$7),'SHIP CURVES'!$A$9:$Z$9,0))-INDEX(terminal_curves,MATCH(L97,'TERMINAL CURVES'!$A$4:$A$313,0),MATCH(P$5,'TERMINAL CURVES'!$A$4:$N$4,0))*IF(F97=0,0,H97/F97))-(N$8)*((N$7-$N$5)-(INDEX(ship_curves,MATCH(L97,'SHIP CURVES'!$A$9:$A$316,0),MATCH(CONCATENATE(P$4,P$5,P$6,P$7),'SHIP CURVES'!$A$9:$Z$9,0))-INDEX(ship_curves,MATCH(L97,'SHIP CURVES'!$A$9:$A$316,0),MATCH(CONCATENATE(P$4,N$6,P$6,P$7),'SHIP CURVES'!$A$9:$Z$9,0)))-(INDEX(terminal_curves,MATCH(L97,'TERMINAL CURVES'!$A$4:$A$313,0),MATCH(P$5,'TERMINAL CURVES'!$A$4:$N$4,0))-INDEX(terminal_curves,MATCH(L97,'TERMINAL CURVES'!$A$4:$A$313,0),MATCH(N$6,'TERMINAL CURVES'!$A$4:$N$4,0)))*IF(F97=0,0,H97/F97)))*-F97</f>
        <v>0</v>
      </c>
      <c r="Q97" s="353" t="n">
        <f aca="false">SUM(N97:P97)</f>
        <v>0</v>
      </c>
      <c r="R97" s="357" t="n">
        <f aca="false">(-H97/((HLOOKUP(P$5,port_specs,2,0)/(365.25))*(L98-L97)))*(INDEX(fixed_capacity_charge,MATCH(L97,PORTS!$H$11:$H$317,0),MATCH(P$5,PORTS!$H$11:$N$11,0))+INDEX(variable_om_charge,MATCH(L97,PORTS!$H$318:$H$625,0),MATCH(P$5,PORTS!$H$318:$N$318,0)))</f>
        <v>-0</v>
      </c>
      <c r="S97" s="343" t="n">
        <f aca="false">+R97+Q97</f>
        <v>0</v>
      </c>
      <c r="T97" s="355" t="n">
        <f aca="false">+S97+M97</f>
        <v>0</v>
      </c>
      <c r="V97" s="346" t="n">
        <f aca="false">+DATE(YEAR(V96),MONTH(V96)+1,1)</f>
        <v>39114</v>
      </c>
      <c r="W97" s="327" t="n">
        <f aca="false">+Y97/(1-HLOOKUP(X$6,SHIPS,7,0)*INDEX(LADEN_VOYAGE_DAYS,MATCH(CONCATENATE(X$4,X$5),LADEN_VOYAGE_ROUTES,0),MATCH(X$6,LADEN_VOYAGE_SHIPS,0)))</f>
        <v>0</v>
      </c>
      <c r="X97" s="347" t="n">
        <f aca="false">+Y97-W97</f>
        <v>0</v>
      </c>
      <c r="Y97" s="348" t="n">
        <f aca="false">+IF(AND(X$8&lt;=V97,X$9&gt;=V97),+MIN($B97-SUMIF($H$17:X$17,Y$17,$H97:X97),((INDEX(ROUTE_PER_DAY_BY_SHIP,MATCH(CONCATENATE(X$4,X$5,X$7),ROUTE_PER_DAY_ROUTES,0),MATCH(X$6,ROUTE_PER_DAY_SHIPS,0))*(V98-V97))-(INDEX(ROUTE_PER_DAY_BY_SHIP,MATCH(CONCATENATE(X$4,X$5,X$7),ROUTE_PER_DAY_ROUTES,0),MATCH(X$6,ROUTE_PER_DAY_SHIPS,0))*(V98-V97))*HLOOKUP(X$6,SHIPS,7,0)*INDEX(LADEN_VOYAGE_DAYS,MATCH(CONCATENATE(X$4,X$5,X$7),LADEN_VOYAGE_ROUTES,0),MATCH(X$6,LADEN_VOYAGE_SHIPS,0)))),0)</f>
        <v>0</v>
      </c>
      <c r="Z97" s="349" t="n">
        <f aca="false">-(Y97)*HLOOKUP(X$5,TERMINAL_CHARGES,3,0)</f>
        <v>-0</v>
      </c>
      <c r="AA97" s="327" t="n">
        <f aca="false">+Y97+Z97</f>
        <v>0</v>
      </c>
      <c r="AB97" s="333"/>
      <c r="AC97" s="346" t="n">
        <f aca="false">+DATE(YEAR(AC96),MONTH(AC96)+1,1)</f>
        <v>39114</v>
      </c>
      <c r="AD97" s="343" t="n">
        <f aca="false">+AA97*(VLOOKUP(AC97,CURVECALC!$C$6:$J$312,4,0)+AE$5)</f>
        <v>0</v>
      </c>
      <c r="AE97" s="350" t="n">
        <f aca="false">-W97*INDEX(ship_curves,MATCH(AC97,'SHIP CURVES'!$A$9:$A$316,0),MATCH(CONCATENATE(AG$4,AG$5,AG$6,AG$7),'SHIP CURVES'!$A$9:$AZ$9,0))</f>
        <v>-0</v>
      </c>
      <c r="AF97" s="351" t="n">
        <f aca="false">-Y97*INDEX(port_processing_fee,MATCH(AC97,PORTS!$H$626:$H$933,0),MATCH(AG$5,PORTS!$H$626:$Z$626,0))</f>
        <v>-0</v>
      </c>
      <c r="AG97" s="352" t="n">
        <f aca="false">(((VLOOKUP(AC97,curvecalc,4,0))*IF(W97=0,0,AA97/W97)-INDEX(ship_curves,MATCH(AC97,'SHIP CURVES'!$A$9:$A$316,0),MATCH(CONCATENATE(AG$4,AG$5,AG$6,AG$7),'SHIP CURVES'!$A$9:$Z$9,0))-INDEX(terminal_curves,MATCH(AC97,'TERMINAL CURVES'!$A$4:$A$313,0),MATCH(AG$5,'TERMINAL CURVES'!$A$4:$N$4,0))*IF(W97=0,0,Y97/W97))-(AE$8)*((AE$7-$N$5)-(INDEX(ship_curves,MATCH(AC97,'SHIP CURVES'!$A$9:$A$316,0),MATCH(CONCATENATE(AG$4,AG$5,AG$6,AG$7),'SHIP CURVES'!$A$9:$Z$9,0))-INDEX(ship_curves,MATCH(AC97,'SHIP CURVES'!$A$9:$A$316,0),MATCH(CONCATENATE(AG$4,AE$6,AG$6,AG$7),'SHIP CURVES'!$A$9:$Z$9,0)))-(INDEX(terminal_curves,MATCH(AC97,'TERMINAL CURVES'!$A$4:$A$313,0),MATCH(AG$5,'TERMINAL CURVES'!$A$4:$N$4,0))-INDEX(terminal_curves,MATCH(AC97,'TERMINAL CURVES'!$A$4:$A$313,0),MATCH(AE$6,'TERMINAL CURVES'!$A$4:$N$4,0)))*IF(W97=0,0,Y97/W97)))*-W97</f>
        <v>0</v>
      </c>
      <c r="AH97" s="356" t="n">
        <f aca="false">SUM(AE97:AG97)</f>
        <v>0</v>
      </c>
      <c r="AI97" s="357" t="n">
        <f aca="false">(-Y97/((HLOOKUP(AG$5,port_specs,2,0)/(365.25))*(AC98-AC97)))*(INDEX(fixed_capacity_charge,MATCH(AC97,PORTS!$H$11:$H$317,0),MATCH(AG$5,PORTS!$H$11:$N$11,0))+INDEX(variable_om_charge,MATCH(AC97,PORTS!$H$318:$H$625,0),MATCH(AG$5,PORTS!$H$318:$N$318,0)))</f>
        <v>-0</v>
      </c>
      <c r="AJ97" s="343" t="n">
        <f aca="false">+AI97+AH97</f>
        <v>0</v>
      </c>
      <c r="AK97" s="355" t="n">
        <f aca="false">+AJ97+AD97</f>
        <v>0</v>
      </c>
      <c r="AM97" s="346" t="n">
        <f aca="false">+DATE(YEAR(AM96),MONTH(AM96)+1,1)</f>
        <v>39114</v>
      </c>
      <c r="AN97" s="327" t="n">
        <f aca="false">+AP97/(1-HLOOKUP(AO$6,SHIPS,7,0)*INDEX(LADEN_VOYAGE_DAYS,MATCH(CONCATENATE(AO$4,AO$5),LADEN_VOYAGE_ROUTES,0),MATCH(AO$6,LADEN_VOYAGE_SHIPS,0)))</f>
        <v>4873591.01180895</v>
      </c>
      <c r="AO97" s="347" t="n">
        <f aca="false">+AP97-AN97</f>
        <v>-51172.7056239937</v>
      </c>
      <c r="AP97" s="348" t="n">
        <f aca="false">+IF(AND(AO$8&lt;=AM97,AO$9&gt;=AM97),+MIN($B97-SUMIF($H$17:AO$17,AP$17,$H97:AO97),((INDEX(ROUTE_PER_DAY_BY_SHIP,MATCH(CONCATENATE(AO$4,AO$5,AO$7),ROUTE_PER_DAY_ROUTES,0),MATCH(AO$6,ROUTE_PER_DAY_SHIPS,0))*(AM98-AM97))-(INDEX(ROUTE_PER_DAY_BY_SHIP,MATCH(CONCATENATE(AO$4,AO$5,AO$7),ROUTE_PER_DAY_ROUTES,0),MATCH(AO$6,ROUTE_PER_DAY_SHIPS,0))*(AM98-AM97))*HLOOKUP(AO$6,SHIPS,7,0)*INDEX(LADEN_VOYAGE_DAYS,MATCH(CONCATENATE(AO$4,AO$5,AO$7),LADEN_VOYAGE_ROUTES,0),MATCH(AO$6,LADEN_VOYAGE_SHIPS,0)))),0)</f>
        <v>4822418.30618496</v>
      </c>
      <c r="AQ97" s="349" t="n">
        <f aca="false">-(AP97)*PORTS!$I$6</f>
        <v>-120560.457654624</v>
      </c>
      <c r="AR97" s="327" t="n">
        <f aca="false">+AP97+AQ97</f>
        <v>4701857.84853034</v>
      </c>
      <c r="AS97" s="333"/>
      <c r="AT97" s="346" t="n">
        <f aca="false">+DATE(YEAR(AT96),MONTH(AT96)+1,1)</f>
        <v>39114</v>
      </c>
      <c r="AU97" s="343" t="n">
        <f aca="false">+AR97*(VLOOKUP(AT97,CURVECALC!$C$6:$J$312,4,0)+AV$5)</f>
        <v>15840559.0916987</v>
      </c>
      <c r="AV97" s="350" t="n">
        <f aca="false">-AN97*INDEX(ship_curves,MATCH(AT97,'SHIP CURVES'!$A$9:$A$316,0),MATCH(CONCATENATE(AX$4,AX$5,AX$6,AX$7),'SHIP CURVES'!$A$9:$AZ$9,0))</f>
        <v>-1602805.69962736</v>
      </c>
      <c r="AW97" s="351" t="n">
        <f aca="false">-AP97*INDEX(port_processing_fee,MATCH(AT97,PORTS!$H$626:$H$933,0),MATCH(AX$5,PORTS!$H$626:$Z$626,0))</f>
        <v>-138694.140341994</v>
      </c>
      <c r="AX97" s="352" t="n">
        <f aca="false">(((VLOOKUP(AT97,curvecalc,4,0))*IF(AN97=0,0,AR97/AN97)-INDEX(ship_curves,MATCH(AT97,'SHIP CURVES'!$A$9:$A$316,0),MATCH(CONCATENATE(AX$4,AX$5,AX$6,AX$7),'SHIP CURVES'!$A$9:$Z$9,0))-INDEX(terminal_curves,MATCH(AT97,'TERMINAL CURVES'!$A$4:$A$313,0),MATCH(AX$5,'TERMINAL CURVES'!$A$4:$N$4,0))*IF(AN97=0,0,AP97/AN97))-(AV$8)*((AV$7-$N$5)-(INDEX(ship_curves,MATCH(AT97,'SHIP CURVES'!$A$9:$A$316,0),MATCH(CONCATENATE(AX$4,AX$5,AX$6,AX$7),'SHIP CURVES'!$A$9:$Z$9,0))-INDEX(ship_curves,MATCH(AT97,'SHIP CURVES'!$A$9:$A$316,0),MATCH(CONCATENATE(AX$4,AV$6,AX$6,AX$7),'SHIP CURVES'!$A$9:$Z$9,0)))-(INDEX(terminal_curves,MATCH(AT97,'TERMINAL CURVES'!$A$4:$A$313,0),MATCH(AX$5,'TERMINAL CURVES'!$A$4:$N$4,0))-INDEX(terminal_curves,MATCH(AT97,'TERMINAL CURVES'!$A$4:$A$313,0),MATCH(AV$6,'TERMINAL CURVES'!$A$4:$N$4,0)))*IF(AN97=0,0,AP97/AN97)))*-AN97</f>
        <v>-13025146.205982</v>
      </c>
      <c r="AY97" s="356" t="n">
        <f aca="false">SUM(AV97:AX97)</f>
        <v>-14766646.0459514</v>
      </c>
      <c r="AZ97" s="357" t="n">
        <f aca="false">(-AP97/((HLOOKUP(AX$5,port_specs,2,0)/(365.25))*(AT98-AT97)))*(INDEX(fixed_capacity_charge,MATCH(AT97,PORTS!$H$11:$H$317,0),MATCH(AX$5,PORTS!$H$11:$N$11,0))+INDEX(variable_om_charge,MATCH(AT97,PORTS!$H$318:$H$625,0),MATCH(AX$5,PORTS!$H$318:$N$318,0)))</f>
        <v>-979875.888776721</v>
      </c>
      <c r="BA97" s="343" t="n">
        <f aca="false">+AZ97+AY97</f>
        <v>-15746521.9347281</v>
      </c>
      <c r="BB97" s="355" t="n">
        <f aca="false">+BA97+AU97</f>
        <v>94037.1569706053</v>
      </c>
      <c r="BC97" s="99"/>
      <c r="BD97" s="357" t="n">
        <f aca="false">+PORTS!I91+PORTS!I399</f>
        <v>979875.888776721</v>
      </c>
    </row>
    <row r="98" customFormat="false" ht="12.75" hidden="false" customHeight="false" outlineLevel="0" collapsed="false">
      <c r="A98" s="346" t="n">
        <f aca="false">+DATE(YEAR(A97),MONTH(A97)+1,1)</f>
        <v>39142</v>
      </c>
      <c r="B98" s="327" t="n">
        <f aca="false">+IF(AND($A98&gt;=$C$8,$A98&lt;=$C$9),1,0)*PORTS!$I$5/(365.25)*(A99-A98)</f>
        <v>5339105.98184763</v>
      </c>
      <c r="C98" s="328" t="n">
        <f aca="false">+B98-(SUMIF($F$17:$IV$17,$H$17,$F98:$IV98))</f>
        <v>0</v>
      </c>
      <c r="D98" s="0" t="n">
        <f aca="false">+YEAR(E98)</f>
        <v>2007</v>
      </c>
      <c r="E98" s="346" t="n">
        <f aca="false">+DATE(YEAR(E97),MONTH(E97)+1,1)</f>
        <v>39142</v>
      </c>
      <c r="F98" s="327" t="n">
        <f aca="false">+IF(AND(G$8&lt;=E98,G$9&gt;=E98),INDEX(ROUTE_PER_DAY_BY_SHIP,MATCH(CONCATENATE(G$4,G$5,G$7),ROUTE_PER_DAY_ROUTES,0),MATCH(G$6,ROUTE_PER_DAY_SHIPS,0))*(E99-E98),0)</f>
        <v>0</v>
      </c>
      <c r="G98" s="347" t="n">
        <f aca="false">-F98*HLOOKUP(G$6,SHIPS,7,0)*INDEX(LADEN_VOYAGE_DAYS,MATCH(CONCATENATE(G$4,G$5,G$7),LADEN_VOYAGE_ROUTES,0),MATCH(G$6,LADEN_VOYAGE_SHIPS,0))</f>
        <v>-0</v>
      </c>
      <c r="H98" s="348" t="n">
        <f aca="false">SUM(F98:G98)</f>
        <v>0</v>
      </c>
      <c r="I98" s="349" t="n">
        <f aca="false">-(H98)*HLOOKUP(G$5,TERMINAL_CHARGES,3,0)</f>
        <v>-0</v>
      </c>
      <c r="J98" s="327" t="n">
        <f aca="false">+H98+I98</f>
        <v>0</v>
      </c>
      <c r="K98" s="333"/>
      <c r="L98" s="346" t="n">
        <f aca="false">+DATE(YEAR(L97),MONTH(L97)+1,1)</f>
        <v>39142</v>
      </c>
      <c r="M98" s="334" t="n">
        <f aca="false">+J98*(VLOOKUP(L98,CURVECALC!$C$6:$J$312,4,0)+N$5)</f>
        <v>0</v>
      </c>
      <c r="N98" s="350" t="n">
        <f aca="false">-F98*INDEX(ship_curves,MATCH(L98,'SHIP CURVES'!$A$9:$A$316,0),MATCH(CONCATENATE(P$4,P$5,P$6,P$7),'SHIP CURVES'!$A$9:$AZ$9,0))</f>
        <v>-0</v>
      </c>
      <c r="O98" s="351" t="n">
        <f aca="false">-H98*INDEX(port_processing_fee,MATCH(L98,PORTS!$H$626:$H$933,0),MATCH(P$5,PORTS!$H$626:$Z$626,0))</f>
        <v>-0</v>
      </c>
      <c r="P98" s="352" t="n">
        <f aca="false">(((VLOOKUP(L98,curvecalc,4,0))*IF(F98=0,0,J98/F98)-INDEX(ship_curves,MATCH(L98,'SHIP CURVES'!$A$9:$A$316,0),MATCH(CONCATENATE(P$4,P$5,P$6,P$7),'SHIP CURVES'!$A$9:$Z$9,0))-INDEX(terminal_curves,MATCH(L98,'TERMINAL CURVES'!$A$4:$A$313,0),MATCH(P$5,'TERMINAL CURVES'!$A$4:$N$4,0))*IF(F98=0,0,H98/F98))-(N$8)*((N$7-$N$5)-(INDEX(ship_curves,MATCH(L98,'SHIP CURVES'!$A$9:$A$316,0),MATCH(CONCATENATE(P$4,P$5,P$6,P$7),'SHIP CURVES'!$A$9:$Z$9,0))-INDEX(ship_curves,MATCH(L98,'SHIP CURVES'!$A$9:$A$316,0),MATCH(CONCATENATE(P$4,N$6,P$6,P$7),'SHIP CURVES'!$A$9:$Z$9,0)))-(INDEX(terminal_curves,MATCH(L98,'TERMINAL CURVES'!$A$4:$A$313,0),MATCH(P$5,'TERMINAL CURVES'!$A$4:$N$4,0))-INDEX(terminal_curves,MATCH(L98,'TERMINAL CURVES'!$A$4:$A$313,0),MATCH(N$6,'TERMINAL CURVES'!$A$4:$N$4,0)))*IF(F98=0,0,H98/F98)))*-F98</f>
        <v>0</v>
      </c>
      <c r="Q98" s="353" t="n">
        <f aca="false">SUM(N98:P98)</f>
        <v>0</v>
      </c>
      <c r="R98" s="357" t="n">
        <f aca="false">(-H98/((HLOOKUP(P$5,port_specs,2,0)/(365.25))*(L99-L98)))*(INDEX(fixed_capacity_charge,MATCH(L98,PORTS!$H$11:$H$317,0),MATCH(P$5,PORTS!$H$11:$N$11,0))+INDEX(variable_om_charge,MATCH(L98,PORTS!$H$318:$H$625,0),MATCH(P$5,PORTS!$H$318:$N$318,0)))</f>
        <v>-0</v>
      </c>
      <c r="S98" s="343" t="n">
        <f aca="false">+R98+Q98</f>
        <v>0</v>
      </c>
      <c r="T98" s="355" t="n">
        <f aca="false">+S98+M98</f>
        <v>0</v>
      </c>
      <c r="V98" s="346" t="n">
        <f aca="false">+DATE(YEAR(V97),MONTH(V97)+1,1)</f>
        <v>39142</v>
      </c>
      <c r="W98" s="327" t="n">
        <f aca="false">+Y98/(1-HLOOKUP(X$6,SHIPS,7,0)*INDEX(LADEN_VOYAGE_DAYS,MATCH(CONCATENATE(X$4,X$5),LADEN_VOYAGE_ROUTES,0),MATCH(X$6,LADEN_VOYAGE_SHIPS,0)))</f>
        <v>0</v>
      </c>
      <c r="X98" s="347" t="n">
        <f aca="false">+Y98-W98</f>
        <v>0</v>
      </c>
      <c r="Y98" s="348" t="n">
        <f aca="false">+IF(AND(X$8&lt;=V98,X$9&gt;=V98),+MIN($B98-SUMIF($H$17:X$17,Y$17,$H98:X98),((INDEX(ROUTE_PER_DAY_BY_SHIP,MATCH(CONCATENATE(X$4,X$5,X$7),ROUTE_PER_DAY_ROUTES,0),MATCH(X$6,ROUTE_PER_DAY_SHIPS,0))*(V99-V98))-(INDEX(ROUTE_PER_DAY_BY_SHIP,MATCH(CONCATENATE(X$4,X$5,X$7),ROUTE_PER_DAY_ROUTES,0),MATCH(X$6,ROUTE_PER_DAY_SHIPS,0))*(V99-V98))*HLOOKUP(X$6,SHIPS,7,0)*INDEX(LADEN_VOYAGE_DAYS,MATCH(CONCATENATE(X$4,X$5,X$7),LADEN_VOYAGE_ROUTES,0),MATCH(X$6,LADEN_VOYAGE_SHIPS,0)))),0)</f>
        <v>0</v>
      </c>
      <c r="Z98" s="349" t="n">
        <f aca="false">-(Y98)*HLOOKUP(X$5,TERMINAL_CHARGES,3,0)</f>
        <v>-0</v>
      </c>
      <c r="AA98" s="327" t="n">
        <f aca="false">+Y98+Z98</f>
        <v>0</v>
      </c>
      <c r="AB98" s="333"/>
      <c r="AC98" s="346" t="n">
        <f aca="false">+DATE(YEAR(AC97),MONTH(AC97)+1,1)</f>
        <v>39142</v>
      </c>
      <c r="AD98" s="343" t="n">
        <f aca="false">+AA98*(VLOOKUP(AC98,CURVECALC!$C$6:$J$312,4,0)+AE$5)</f>
        <v>0</v>
      </c>
      <c r="AE98" s="350" t="n">
        <f aca="false">-W98*INDEX(ship_curves,MATCH(AC98,'SHIP CURVES'!$A$9:$A$316,0),MATCH(CONCATENATE(AG$4,AG$5,AG$6,AG$7),'SHIP CURVES'!$A$9:$AZ$9,0))</f>
        <v>-0</v>
      </c>
      <c r="AF98" s="351" t="n">
        <f aca="false">-Y98*INDEX(port_processing_fee,MATCH(AC98,PORTS!$H$626:$H$933,0),MATCH(AG$5,PORTS!$H$626:$Z$626,0))</f>
        <v>-0</v>
      </c>
      <c r="AG98" s="352" t="n">
        <f aca="false">(((VLOOKUP(AC98,curvecalc,4,0))*IF(W98=0,0,AA98/W98)-INDEX(ship_curves,MATCH(AC98,'SHIP CURVES'!$A$9:$A$316,0),MATCH(CONCATENATE(AG$4,AG$5,AG$6,AG$7),'SHIP CURVES'!$A$9:$Z$9,0))-INDEX(terminal_curves,MATCH(AC98,'TERMINAL CURVES'!$A$4:$A$313,0),MATCH(AG$5,'TERMINAL CURVES'!$A$4:$N$4,0))*IF(W98=0,0,Y98/W98))-(AE$8)*((AE$7-$N$5)-(INDEX(ship_curves,MATCH(AC98,'SHIP CURVES'!$A$9:$A$316,0),MATCH(CONCATENATE(AG$4,AG$5,AG$6,AG$7),'SHIP CURVES'!$A$9:$Z$9,0))-INDEX(ship_curves,MATCH(AC98,'SHIP CURVES'!$A$9:$A$316,0),MATCH(CONCATENATE(AG$4,AE$6,AG$6,AG$7),'SHIP CURVES'!$A$9:$Z$9,0)))-(INDEX(terminal_curves,MATCH(AC98,'TERMINAL CURVES'!$A$4:$A$313,0),MATCH(AG$5,'TERMINAL CURVES'!$A$4:$N$4,0))-INDEX(terminal_curves,MATCH(AC98,'TERMINAL CURVES'!$A$4:$A$313,0),MATCH(AE$6,'TERMINAL CURVES'!$A$4:$N$4,0)))*IF(W98=0,0,Y98/W98)))*-W98</f>
        <v>0</v>
      </c>
      <c r="AH98" s="356" t="n">
        <f aca="false">SUM(AE98:AG98)</f>
        <v>0</v>
      </c>
      <c r="AI98" s="357" t="n">
        <f aca="false">(-Y98/((HLOOKUP(AG$5,port_specs,2,0)/(365.25))*(AC99-AC98)))*(INDEX(fixed_capacity_charge,MATCH(AC98,PORTS!$H$11:$H$317,0),MATCH(AG$5,PORTS!$H$11:$N$11,0))+INDEX(variable_om_charge,MATCH(AC98,PORTS!$H$318:$H$625,0),MATCH(AG$5,PORTS!$H$318:$N$318,0)))</f>
        <v>-0</v>
      </c>
      <c r="AJ98" s="343" t="n">
        <f aca="false">+AI98+AH98</f>
        <v>0</v>
      </c>
      <c r="AK98" s="355" t="n">
        <f aca="false">+AJ98+AD98</f>
        <v>0</v>
      </c>
      <c r="AM98" s="346" t="n">
        <f aca="false">+DATE(YEAR(AM97),MONTH(AM97)+1,1)</f>
        <v>39142</v>
      </c>
      <c r="AN98" s="327" t="n">
        <f aca="false">+AP98/(1-HLOOKUP(AO$6,SHIPS,7,0)*INDEX(LADEN_VOYAGE_DAYS,MATCH(CONCATENATE(AO$4,AO$5),LADEN_VOYAGE_ROUTES,0),MATCH(AO$6,LADEN_VOYAGE_SHIPS,0)))</f>
        <v>5395761.47735991</v>
      </c>
      <c r="AO98" s="347" t="n">
        <f aca="false">+AP98-AN98</f>
        <v>-56655.4955122788</v>
      </c>
      <c r="AP98" s="348" t="n">
        <f aca="false">+IF(AND(AO$8&lt;=AM98,AO$9&gt;=AM98),+MIN($B98-SUMIF($H$17:AO$17,AP$17,$H98:AO98),((INDEX(ROUTE_PER_DAY_BY_SHIP,MATCH(CONCATENATE(AO$4,AO$5,AO$7),ROUTE_PER_DAY_ROUTES,0),MATCH(AO$6,ROUTE_PER_DAY_SHIPS,0))*(AM99-AM98))-(INDEX(ROUTE_PER_DAY_BY_SHIP,MATCH(CONCATENATE(AO$4,AO$5,AO$7),ROUTE_PER_DAY_ROUTES,0),MATCH(AO$6,ROUTE_PER_DAY_SHIPS,0))*(AM99-AM98))*HLOOKUP(AO$6,SHIPS,7,0)*INDEX(LADEN_VOYAGE_DAYS,MATCH(CONCATENATE(AO$4,AO$5,AO$7),LADEN_VOYAGE_ROUTES,0),MATCH(AO$6,LADEN_VOYAGE_SHIPS,0)))),0)</f>
        <v>5339105.98184763</v>
      </c>
      <c r="AQ98" s="349" t="n">
        <f aca="false">-(AP98)*PORTS!$I$6</f>
        <v>-133477.649546191</v>
      </c>
      <c r="AR98" s="327" t="n">
        <f aca="false">+AP98+AQ98</f>
        <v>5205628.33230144</v>
      </c>
      <c r="AS98" s="333"/>
      <c r="AT98" s="346" t="n">
        <f aca="false">+DATE(YEAR(AT97),MONTH(AT97)+1,1)</f>
        <v>39142</v>
      </c>
      <c r="AU98" s="343" t="n">
        <f aca="false">+AR98*(VLOOKUP(AT98,CURVECALC!$C$6:$J$312,4,0)+AV$5)</f>
        <v>16871441.424989</v>
      </c>
      <c r="AV98" s="350" t="n">
        <f aca="false">-AN98*INDEX(ship_curves,MATCH(AT98,'SHIP CURVES'!$A$9:$A$316,0),MATCH(CONCATENATE(AX$4,AX$5,AX$6,AX$7),'SHIP CURVES'!$A$9:$AZ$9,0))</f>
        <v>-1775036.14663594</v>
      </c>
      <c r="AW98" s="351" t="n">
        <f aca="false">-AP98*INDEX(port_processing_fee,MATCH(AT98,PORTS!$H$626:$H$933,0),MATCH(AX$5,PORTS!$H$626:$Z$626,0))</f>
        <v>-153714.179126798</v>
      </c>
      <c r="AX98" s="352" t="n">
        <f aca="false">(((VLOOKUP(AT98,curvecalc,4,0))*IF(AN98=0,0,AR98/AN98)-INDEX(ship_curves,MATCH(AT98,'SHIP CURVES'!$A$9:$A$316,0),MATCH(CONCATENATE(AX$4,AX$5,AX$6,AX$7),'SHIP CURVES'!$A$9:$Z$9,0))-INDEX(terminal_curves,MATCH(AT98,'TERMINAL CURVES'!$A$4:$A$313,0),MATCH(AX$5,'TERMINAL CURVES'!$A$4:$N$4,0))*IF(AN98=0,0,AP98/AN98))-(AV$8)*((AV$7-$N$5)-(INDEX(ship_curves,MATCH(AT98,'SHIP CURVES'!$A$9:$A$316,0),MATCH(CONCATENATE(AX$4,AX$5,AX$6,AX$7),'SHIP CURVES'!$A$9:$Z$9,0))-INDEX(ship_curves,MATCH(AT98,'SHIP CURVES'!$A$9:$A$316,0),MATCH(CONCATENATE(AX$4,AV$6,AX$6,AX$7),'SHIP CURVES'!$A$9:$Z$9,0)))-(INDEX(terminal_curves,MATCH(AT98,'TERMINAL CURVES'!$A$4:$A$313,0),MATCH(AX$5,'TERMINAL CURVES'!$A$4:$N$4,0))-INDEX(terminal_curves,MATCH(AT98,'TERMINAL CURVES'!$A$4:$A$313,0),MATCH(AV$6,'TERMINAL CURVES'!$A$4:$N$4,0)))*IF(AN98=0,0,AP98/AN98)))*-AN98</f>
        <v>-13858187.3424307</v>
      </c>
      <c r="AY98" s="356" t="n">
        <f aca="false">SUM(AV98:AX98)</f>
        <v>-15786937.6681934</v>
      </c>
      <c r="AZ98" s="357" t="n">
        <f aca="false">(-AP98/((HLOOKUP(AX$5,port_specs,2,0)/(365.25))*(AT99-AT98)))*(INDEX(fixed_capacity_charge,MATCH(AT98,PORTS!$H$11:$H$317,0),MATCH(AX$5,PORTS!$H$11:$N$11,0))+INDEX(variable_om_charge,MATCH(AT98,PORTS!$H$318:$H$625,0),MATCH(AX$5,PORTS!$H$318:$N$318,0)))</f>
        <v>-980391.190149501</v>
      </c>
      <c r="BA98" s="343" t="n">
        <f aca="false">+AZ98+AY98</f>
        <v>-16767328.8583429</v>
      </c>
      <c r="BB98" s="355" t="n">
        <f aca="false">+BA98+AU98</f>
        <v>104112.566646026</v>
      </c>
      <c r="BC98" s="99"/>
      <c r="BD98" s="357" t="n">
        <f aca="false">+PORTS!I92+PORTS!I400</f>
        <v>980391.190149501</v>
      </c>
    </row>
    <row r="99" customFormat="false" ht="12.75" hidden="false" customHeight="false" outlineLevel="0" collapsed="false">
      <c r="A99" s="346" t="n">
        <f aca="false">+DATE(YEAR(A98),MONTH(A98)+1,1)</f>
        <v>39173</v>
      </c>
      <c r="B99" s="327" t="n">
        <f aca="false">+IF(AND($A99&gt;=$C$8,$A99&lt;=$C$9),1,0)*PORTS!$I$5/(365.25)*(A100-A99)</f>
        <v>5166876.75662674</v>
      </c>
      <c r="C99" s="328" t="n">
        <f aca="false">+B99-(SUMIF($F$17:$IV$17,$H$17,$F99:$IV99))</f>
        <v>0</v>
      </c>
      <c r="D99" s="0" t="n">
        <f aca="false">+YEAR(E99)</f>
        <v>2007</v>
      </c>
      <c r="E99" s="346" t="n">
        <f aca="false">+DATE(YEAR(E98),MONTH(E98)+1,1)</f>
        <v>39173</v>
      </c>
      <c r="F99" s="327" t="n">
        <f aca="false">+IF(AND(G$8&lt;=E99,G$9&gt;=E99),INDEX(ROUTE_PER_DAY_BY_SHIP,MATCH(CONCATENATE(G$4,G$5,G$7),ROUTE_PER_DAY_ROUTES,0),MATCH(G$6,ROUTE_PER_DAY_SHIPS,0))*(E100-E99),0)</f>
        <v>0</v>
      </c>
      <c r="G99" s="347" t="n">
        <f aca="false">-F99*HLOOKUP(G$6,SHIPS,7,0)*INDEX(LADEN_VOYAGE_DAYS,MATCH(CONCATENATE(G$4,G$5,G$7),LADEN_VOYAGE_ROUTES,0),MATCH(G$6,LADEN_VOYAGE_SHIPS,0))</f>
        <v>-0</v>
      </c>
      <c r="H99" s="348" t="n">
        <f aca="false">SUM(F99:G99)</f>
        <v>0</v>
      </c>
      <c r="I99" s="349" t="n">
        <f aca="false">-(H99)*HLOOKUP(G$5,TERMINAL_CHARGES,3,0)</f>
        <v>-0</v>
      </c>
      <c r="J99" s="327" t="n">
        <f aca="false">+H99+I99</f>
        <v>0</v>
      </c>
      <c r="K99" s="333"/>
      <c r="L99" s="346" t="n">
        <f aca="false">+DATE(YEAR(L98),MONTH(L98)+1,1)</f>
        <v>39173</v>
      </c>
      <c r="M99" s="334" t="n">
        <f aca="false">+J99*(VLOOKUP(L99,CURVECALC!$C$6:$J$312,4,0)+N$5)</f>
        <v>0</v>
      </c>
      <c r="N99" s="350" t="n">
        <f aca="false">-F99*INDEX(ship_curves,MATCH(L99,'SHIP CURVES'!$A$9:$A$316,0),MATCH(CONCATENATE(P$4,P$5,P$6,P$7),'SHIP CURVES'!$A$9:$AZ$9,0))</f>
        <v>-0</v>
      </c>
      <c r="O99" s="351" t="n">
        <f aca="false">-H99*INDEX(port_processing_fee,MATCH(L99,PORTS!$H$626:$H$933,0),MATCH(P$5,PORTS!$H$626:$Z$626,0))</f>
        <v>-0</v>
      </c>
      <c r="P99" s="352" t="n">
        <f aca="false">(((VLOOKUP(L99,curvecalc,4,0))*IF(F99=0,0,J99/F99)-INDEX(ship_curves,MATCH(L99,'SHIP CURVES'!$A$9:$A$316,0),MATCH(CONCATENATE(P$4,P$5,P$6,P$7),'SHIP CURVES'!$A$9:$Z$9,0))-INDEX(terminal_curves,MATCH(L99,'TERMINAL CURVES'!$A$4:$A$313,0),MATCH(P$5,'TERMINAL CURVES'!$A$4:$N$4,0))*IF(F99=0,0,H99/F99))-(N$8)*((N$7-$N$5)-(INDEX(ship_curves,MATCH(L99,'SHIP CURVES'!$A$9:$A$316,0),MATCH(CONCATENATE(P$4,P$5,P$6,P$7),'SHIP CURVES'!$A$9:$Z$9,0))-INDEX(ship_curves,MATCH(L99,'SHIP CURVES'!$A$9:$A$316,0),MATCH(CONCATENATE(P$4,N$6,P$6,P$7),'SHIP CURVES'!$A$9:$Z$9,0)))-(INDEX(terminal_curves,MATCH(L99,'TERMINAL CURVES'!$A$4:$A$313,0),MATCH(P$5,'TERMINAL CURVES'!$A$4:$N$4,0))-INDEX(terminal_curves,MATCH(L99,'TERMINAL CURVES'!$A$4:$A$313,0),MATCH(N$6,'TERMINAL CURVES'!$A$4:$N$4,0)))*IF(F99=0,0,H99/F99)))*-F99</f>
        <v>0</v>
      </c>
      <c r="Q99" s="353" t="n">
        <f aca="false">SUM(N99:P99)</f>
        <v>0</v>
      </c>
      <c r="R99" s="357" t="n">
        <f aca="false">(-H99/((HLOOKUP(P$5,port_specs,2,0)/(365.25))*(L100-L99)))*(INDEX(fixed_capacity_charge,MATCH(L99,PORTS!$H$11:$H$317,0),MATCH(P$5,PORTS!$H$11:$N$11,0))+INDEX(variable_om_charge,MATCH(L99,PORTS!$H$318:$H$625,0),MATCH(P$5,PORTS!$H$318:$N$318,0)))</f>
        <v>-0</v>
      </c>
      <c r="S99" s="343" t="n">
        <f aca="false">+R99+Q99</f>
        <v>0</v>
      </c>
      <c r="T99" s="355" t="n">
        <f aca="false">+S99+M99</f>
        <v>0</v>
      </c>
      <c r="V99" s="346" t="n">
        <f aca="false">+DATE(YEAR(V98),MONTH(V98)+1,1)</f>
        <v>39173</v>
      </c>
      <c r="W99" s="327" t="n">
        <f aca="false">+Y99/(1-HLOOKUP(X$6,SHIPS,7,0)*INDEX(LADEN_VOYAGE_DAYS,MATCH(CONCATENATE(X$4,X$5),LADEN_VOYAGE_ROUTES,0),MATCH(X$6,LADEN_VOYAGE_SHIPS,0)))</f>
        <v>0</v>
      </c>
      <c r="X99" s="347" t="n">
        <f aca="false">+Y99-W99</f>
        <v>0</v>
      </c>
      <c r="Y99" s="348" t="n">
        <f aca="false">+IF(AND(X$8&lt;=V99,X$9&gt;=V99),+MIN($B99-SUMIF($H$17:X$17,Y$17,$H99:X99),((INDEX(ROUTE_PER_DAY_BY_SHIP,MATCH(CONCATENATE(X$4,X$5,X$7),ROUTE_PER_DAY_ROUTES,0),MATCH(X$6,ROUTE_PER_DAY_SHIPS,0))*(V100-V99))-(INDEX(ROUTE_PER_DAY_BY_SHIP,MATCH(CONCATENATE(X$4,X$5,X$7),ROUTE_PER_DAY_ROUTES,0),MATCH(X$6,ROUTE_PER_DAY_SHIPS,0))*(V100-V99))*HLOOKUP(X$6,SHIPS,7,0)*INDEX(LADEN_VOYAGE_DAYS,MATCH(CONCATENATE(X$4,X$5,X$7),LADEN_VOYAGE_ROUTES,0),MATCH(X$6,LADEN_VOYAGE_SHIPS,0)))),0)</f>
        <v>0</v>
      </c>
      <c r="Z99" s="349" t="n">
        <f aca="false">-(Y99)*HLOOKUP(X$5,TERMINAL_CHARGES,3,0)</f>
        <v>-0</v>
      </c>
      <c r="AA99" s="327" t="n">
        <f aca="false">+Y99+Z99</f>
        <v>0</v>
      </c>
      <c r="AB99" s="333"/>
      <c r="AC99" s="346" t="n">
        <f aca="false">+DATE(YEAR(AC98),MONTH(AC98)+1,1)</f>
        <v>39173</v>
      </c>
      <c r="AD99" s="343" t="n">
        <f aca="false">+AA99*(VLOOKUP(AC99,CURVECALC!$C$6:$J$312,4,0)+AE$5)</f>
        <v>0</v>
      </c>
      <c r="AE99" s="350" t="n">
        <f aca="false">-W99*INDEX(ship_curves,MATCH(AC99,'SHIP CURVES'!$A$9:$A$316,0),MATCH(CONCATENATE(AG$4,AG$5,AG$6,AG$7),'SHIP CURVES'!$A$9:$AZ$9,0))</f>
        <v>-0</v>
      </c>
      <c r="AF99" s="351" t="n">
        <f aca="false">-Y99*INDEX(port_processing_fee,MATCH(AC99,PORTS!$H$626:$H$933,0),MATCH(AG$5,PORTS!$H$626:$Z$626,0))</f>
        <v>-0</v>
      </c>
      <c r="AG99" s="352" t="n">
        <f aca="false">(((VLOOKUP(AC99,curvecalc,4,0))*IF(W99=0,0,AA99/W99)-INDEX(ship_curves,MATCH(AC99,'SHIP CURVES'!$A$9:$A$316,0),MATCH(CONCATENATE(AG$4,AG$5,AG$6,AG$7),'SHIP CURVES'!$A$9:$Z$9,0))-INDEX(terminal_curves,MATCH(AC99,'TERMINAL CURVES'!$A$4:$A$313,0),MATCH(AG$5,'TERMINAL CURVES'!$A$4:$N$4,0))*IF(W99=0,0,Y99/W99))-(AE$8)*((AE$7-$N$5)-(INDEX(ship_curves,MATCH(AC99,'SHIP CURVES'!$A$9:$A$316,0),MATCH(CONCATENATE(AG$4,AG$5,AG$6,AG$7),'SHIP CURVES'!$A$9:$Z$9,0))-INDEX(ship_curves,MATCH(AC99,'SHIP CURVES'!$A$9:$A$316,0),MATCH(CONCATENATE(AG$4,AE$6,AG$6,AG$7),'SHIP CURVES'!$A$9:$Z$9,0)))-(INDEX(terminal_curves,MATCH(AC99,'TERMINAL CURVES'!$A$4:$A$313,0),MATCH(AG$5,'TERMINAL CURVES'!$A$4:$N$4,0))-INDEX(terminal_curves,MATCH(AC99,'TERMINAL CURVES'!$A$4:$A$313,0),MATCH(AE$6,'TERMINAL CURVES'!$A$4:$N$4,0)))*IF(W99=0,0,Y99/W99)))*-W99</f>
        <v>0</v>
      </c>
      <c r="AH99" s="356" t="n">
        <f aca="false">SUM(AE99:AG99)</f>
        <v>0</v>
      </c>
      <c r="AI99" s="357" t="n">
        <f aca="false">(-Y99/((HLOOKUP(AG$5,port_specs,2,0)/(365.25))*(AC100-AC99)))*(INDEX(fixed_capacity_charge,MATCH(AC99,PORTS!$H$11:$H$317,0),MATCH(AG$5,PORTS!$H$11:$N$11,0))+INDEX(variable_om_charge,MATCH(AC99,PORTS!$H$318:$H$625,0),MATCH(AG$5,PORTS!$H$318:$N$318,0)))</f>
        <v>-0</v>
      </c>
      <c r="AJ99" s="343" t="n">
        <f aca="false">+AI99+AH99</f>
        <v>0</v>
      </c>
      <c r="AK99" s="355" t="n">
        <f aca="false">+AJ99+AD99</f>
        <v>0</v>
      </c>
      <c r="AM99" s="346" t="n">
        <f aca="false">+DATE(YEAR(AM98),MONTH(AM98)+1,1)</f>
        <v>39173</v>
      </c>
      <c r="AN99" s="327" t="n">
        <f aca="false">+AP99/(1-HLOOKUP(AO$6,SHIPS,7,0)*INDEX(LADEN_VOYAGE_DAYS,MATCH(CONCATENATE(AO$4,AO$5),LADEN_VOYAGE_ROUTES,0),MATCH(AO$6,LADEN_VOYAGE_SHIPS,0)))</f>
        <v>5221704.65550959</v>
      </c>
      <c r="AO99" s="347" t="n">
        <f aca="false">+AP99-AN99</f>
        <v>-54827.8988828501</v>
      </c>
      <c r="AP99" s="348" t="n">
        <f aca="false">+IF(AND(AO$8&lt;=AM99,AO$9&gt;=AM99),+MIN($B99-SUMIF($H$17:AO$17,AP$17,$H99:AO99),((INDEX(ROUTE_PER_DAY_BY_SHIP,MATCH(CONCATENATE(AO$4,AO$5,AO$7),ROUTE_PER_DAY_ROUTES,0),MATCH(AO$6,ROUTE_PER_DAY_SHIPS,0))*(AM100-AM99))-(INDEX(ROUTE_PER_DAY_BY_SHIP,MATCH(CONCATENATE(AO$4,AO$5,AO$7),ROUTE_PER_DAY_ROUTES,0),MATCH(AO$6,ROUTE_PER_DAY_SHIPS,0))*(AM100-AM99))*HLOOKUP(AO$6,SHIPS,7,0)*INDEX(LADEN_VOYAGE_DAYS,MATCH(CONCATENATE(AO$4,AO$5,AO$7),LADEN_VOYAGE_ROUTES,0),MATCH(AO$6,LADEN_VOYAGE_SHIPS,0)))),0)</f>
        <v>5166876.75662674</v>
      </c>
      <c r="AQ99" s="349" t="n">
        <f aca="false">-(AP99)*PORTS!$I$6</f>
        <v>-129171.918915669</v>
      </c>
      <c r="AR99" s="327" t="n">
        <f aca="false">+AP99+AQ99</f>
        <v>5037704.83771107</v>
      </c>
      <c r="AS99" s="333"/>
      <c r="AT99" s="346" t="n">
        <f aca="false">+DATE(YEAR(AT98),MONTH(AT98)+1,1)</f>
        <v>39173</v>
      </c>
      <c r="AU99" s="343" t="n">
        <f aca="false">+AR99*(VLOOKUP(AT99,CURVECALC!$C$6:$J$312,4,0)+AV$5)</f>
        <v>15682375.1597946</v>
      </c>
      <c r="AV99" s="350" t="n">
        <f aca="false">-AN99*INDEX(ship_curves,MATCH(AT99,'SHIP CURVES'!$A$9:$A$316,0),MATCH(CONCATENATE(AX$4,AX$5,AX$6,AX$7),'SHIP CURVES'!$A$9:$AZ$9,0))</f>
        <v>-1718263.02178402</v>
      </c>
      <c r="AW99" s="351" t="n">
        <f aca="false">-AP99*INDEX(port_processing_fee,MATCH(AT99,PORTS!$H$626:$H$933,0),MATCH(AX$5,PORTS!$H$626:$Z$626,0))</f>
        <v>-148910.611029086</v>
      </c>
      <c r="AX99" s="352" t="n">
        <f aca="false">(((VLOOKUP(AT99,curvecalc,4,0))*IF(AN99=0,0,AR99/AN99)-INDEX(ship_curves,MATCH(AT99,'SHIP CURVES'!$A$9:$A$316,0),MATCH(CONCATENATE(AX$4,AX$5,AX$6,AX$7),'SHIP CURVES'!$A$9:$Z$9,0))-INDEX(terminal_curves,MATCH(AT99,'TERMINAL CURVES'!$A$4:$A$313,0),MATCH(AX$5,'TERMINAL CURVES'!$A$4:$N$4,0))*IF(AN99=0,0,AP99/AN99))-(AV$8)*((AV$7-$N$5)-(INDEX(ship_curves,MATCH(AT99,'SHIP CURVES'!$A$9:$A$316,0),MATCH(CONCATENATE(AX$4,AX$5,AX$6,AX$7),'SHIP CURVES'!$A$9:$Z$9,0))-INDEX(ship_curves,MATCH(AT99,'SHIP CURVES'!$A$9:$A$316,0),MATCH(CONCATENATE(AX$4,AV$6,AX$6,AX$7),'SHIP CURVES'!$A$9:$Z$9,0)))-(INDEX(terminal_curves,MATCH(AT99,'TERMINAL CURVES'!$A$4:$A$313,0),MATCH(AX$5,'TERMINAL CURVES'!$A$4:$N$4,0))-INDEX(terminal_curves,MATCH(AT99,'TERMINAL CURVES'!$A$4:$A$313,0),MATCH(AV$6,'TERMINAL CURVES'!$A$4:$N$4,0)))*IF(AN99=0,0,AP99/AN99)))*-AN99</f>
        <v>-12733540.4019327</v>
      </c>
      <c r="AY99" s="356" t="n">
        <f aca="false">SUM(AV99:AX99)</f>
        <v>-14600714.0347458</v>
      </c>
      <c r="AZ99" s="357" t="n">
        <f aca="false">(-AP99/((HLOOKUP(AX$5,port_specs,2,0)/(365.25))*(AT100-AT99)))*(INDEX(fixed_capacity_charge,MATCH(AT99,PORTS!$H$11:$H$317,0),MATCH(AX$5,PORTS!$H$11:$N$11,0))+INDEX(variable_om_charge,MATCH(AT99,PORTS!$H$318:$H$625,0),MATCH(AX$5,PORTS!$H$318:$N$318,0)))</f>
        <v>-980907.028294544</v>
      </c>
      <c r="BA99" s="343" t="n">
        <f aca="false">+AZ99+AY99</f>
        <v>-15581621.0630403</v>
      </c>
      <c r="BB99" s="355" t="n">
        <f aca="false">+BA99+AU99</f>
        <v>100754.096754223</v>
      </c>
      <c r="BC99" s="99"/>
      <c r="BD99" s="357" t="n">
        <f aca="false">+PORTS!I93+PORTS!I401</f>
        <v>980907.028294544</v>
      </c>
    </row>
    <row r="100" customFormat="false" ht="12.75" hidden="false" customHeight="false" outlineLevel="0" collapsed="false">
      <c r="A100" s="346" t="n">
        <f aca="false">+DATE(YEAR(A99),MONTH(A99)+1,1)</f>
        <v>39203</v>
      </c>
      <c r="B100" s="327" t="n">
        <f aca="false">+IF(AND($A100&gt;=$C$8,$A100&lt;=$C$9),1,0)*PORTS!$I$5/(365.25)*(A101-A100)</f>
        <v>5339105.98184763</v>
      </c>
      <c r="C100" s="328" t="n">
        <f aca="false">+B100-(SUMIF($F$17:$IV$17,$H$17,$F100:$IV100))</f>
        <v>0</v>
      </c>
      <c r="D100" s="0" t="n">
        <f aca="false">+YEAR(E100)</f>
        <v>2007</v>
      </c>
      <c r="E100" s="346" t="n">
        <f aca="false">+DATE(YEAR(E99),MONTH(E99)+1,1)</f>
        <v>39203</v>
      </c>
      <c r="F100" s="327" t="n">
        <f aca="false">+IF(AND(G$8&lt;=E100,G$9&gt;=E100),INDEX(ROUTE_PER_DAY_BY_SHIP,MATCH(CONCATENATE(G$4,G$5,G$7),ROUTE_PER_DAY_ROUTES,0),MATCH(G$6,ROUTE_PER_DAY_SHIPS,0))*(E101-E100),0)</f>
        <v>0</v>
      </c>
      <c r="G100" s="347" t="n">
        <f aca="false">-F100*HLOOKUP(G$6,SHIPS,7,0)*INDEX(LADEN_VOYAGE_DAYS,MATCH(CONCATENATE(G$4,G$5,G$7),LADEN_VOYAGE_ROUTES,0),MATCH(G$6,LADEN_VOYAGE_SHIPS,0))</f>
        <v>-0</v>
      </c>
      <c r="H100" s="348" t="n">
        <f aca="false">SUM(F100:G100)</f>
        <v>0</v>
      </c>
      <c r="I100" s="349" t="n">
        <f aca="false">-(H100)*HLOOKUP(G$5,TERMINAL_CHARGES,3,0)</f>
        <v>-0</v>
      </c>
      <c r="J100" s="327" t="n">
        <f aca="false">+H100+I100</f>
        <v>0</v>
      </c>
      <c r="K100" s="333"/>
      <c r="L100" s="346" t="n">
        <f aca="false">+DATE(YEAR(L99),MONTH(L99)+1,1)</f>
        <v>39203</v>
      </c>
      <c r="M100" s="334" t="n">
        <f aca="false">+J100*(VLOOKUP(L100,CURVECALC!$C$6:$J$312,4,0)+N$5)</f>
        <v>0</v>
      </c>
      <c r="N100" s="350" t="n">
        <f aca="false">-F100*INDEX(ship_curves,MATCH(L100,'SHIP CURVES'!$A$9:$A$316,0),MATCH(CONCATENATE(P$4,P$5,P$6,P$7),'SHIP CURVES'!$A$9:$AZ$9,0))</f>
        <v>-0</v>
      </c>
      <c r="O100" s="351" t="n">
        <f aca="false">-H100*INDEX(port_processing_fee,MATCH(L100,PORTS!$H$626:$H$933,0),MATCH(P$5,PORTS!$H$626:$Z$626,0))</f>
        <v>-0</v>
      </c>
      <c r="P100" s="352" t="n">
        <f aca="false">(((VLOOKUP(L100,curvecalc,4,0))*IF(F100=0,0,J100/F100)-INDEX(ship_curves,MATCH(L100,'SHIP CURVES'!$A$9:$A$316,0),MATCH(CONCATENATE(P$4,P$5,P$6,P$7),'SHIP CURVES'!$A$9:$Z$9,0))-INDEX(terminal_curves,MATCH(L100,'TERMINAL CURVES'!$A$4:$A$313,0),MATCH(P$5,'TERMINAL CURVES'!$A$4:$N$4,0))*IF(F100=0,0,H100/F100))-(N$8)*((N$7-$N$5)-(INDEX(ship_curves,MATCH(L100,'SHIP CURVES'!$A$9:$A$316,0),MATCH(CONCATENATE(P$4,P$5,P$6,P$7),'SHIP CURVES'!$A$9:$Z$9,0))-INDEX(ship_curves,MATCH(L100,'SHIP CURVES'!$A$9:$A$316,0),MATCH(CONCATENATE(P$4,N$6,P$6,P$7),'SHIP CURVES'!$A$9:$Z$9,0)))-(INDEX(terminal_curves,MATCH(L100,'TERMINAL CURVES'!$A$4:$A$313,0),MATCH(P$5,'TERMINAL CURVES'!$A$4:$N$4,0))-INDEX(terminal_curves,MATCH(L100,'TERMINAL CURVES'!$A$4:$A$313,0),MATCH(N$6,'TERMINAL CURVES'!$A$4:$N$4,0)))*IF(F100=0,0,H100/F100)))*-F100</f>
        <v>0</v>
      </c>
      <c r="Q100" s="353" t="n">
        <f aca="false">SUM(N100:P100)</f>
        <v>0</v>
      </c>
      <c r="R100" s="357" t="n">
        <f aca="false">(-H100/((HLOOKUP(P$5,port_specs,2,0)/(365.25))*(L101-L100)))*(INDEX(fixed_capacity_charge,MATCH(L100,PORTS!$H$11:$H$317,0),MATCH(P$5,PORTS!$H$11:$N$11,0))+INDEX(variable_om_charge,MATCH(L100,PORTS!$H$318:$H$625,0),MATCH(P$5,PORTS!$H$318:$N$318,0)))</f>
        <v>-0</v>
      </c>
      <c r="S100" s="343" t="n">
        <f aca="false">+R100+Q100</f>
        <v>0</v>
      </c>
      <c r="T100" s="355" t="n">
        <f aca="false">+S100+M100</f>
        <v>0</v>
      </c>
      <c r="V100" s="346" t="n">
        <f aca="false">+DATE(YEAR(V99),MONTH(V99)+1,1)</f>
        <v>39203</v>
      </c>
      <c r="W100" s="327" t="n">
        <f aca="false">+Y100/(1-HLOOKUP(X$6,SHIPS,7,0)*INDEX(LADEN_VOYAGE_DAYS,MATCH(CONCATENATE(X$4,X$5),LADEN_VOYAGE_ROUTES,0),MATCH(X$6,LADEN_VOYAGE_SHIPS,0)))</f>
        <v>0</v>
      </c>
      <c r="X100" s="347" t="n">
        <f aca="false">+Y100-W100</f>
        <v>0</v>
      </c>
      <c r="Y100" s="348" t="n">
        <f aca="false">+IF(AND(X$8&lt;=V100,X$9&gt;=V100),+MIN($B100-SUMIF($H$17:X$17,Y$17,$H100:X100),((INDEX(ROUTE_PER_DAY_BY_SHIP,MATCH(CONCATENATE(X$4,X$5,X$7),ROUTE_PER_DAY_ROUTES,0),MATCH(X$6,ROUTE_PER_DAY_SHIPS,0))*(V101-V100))-(INDEX(ROUTE_PER_DAY_BY_SHIP,MATCH(CONCATENATE(X$4,X$5,X$7),ROUTE_PER_DAY_ROUTES,0),MATCH(X$6,ROUTE_PER_DAY_SHIPS,0))*(V101-V100))*HLOOKUP(X$6,SHIPS,7,0)*INDEX(LADEN_VOYAGE_DAYS,MATCH(CONCATENATE(X$4,X$5,X$7),LADEN_VOYAGE_ROUTES,0),MATCH(X$6,LADEN_VOYAGE_SHIPS,0)))),0)</f>
        <v>0</v>
      </c>
      <c r="Z100" s="349" t="n">
        <f aca="false">-(Y100)*HLOOKUP(X$5,TERMINAL_CHARGES,3,0)</f>
        <v>-0</v>
      </c>
      <c r="AA100" s="327" t="n">
        <f aca="false">+Y100+Z100</f>
        <v>0</v>
      </c>
      <c r="AB100" s="333"/>
      <c r="AC100" s="346" t="n">
        <f aca="false">+DATE(YEAR(AC99),MONTH(AC99)+1,1)</f>
        <v>39203</v>
      </c>
      <c r="AD100" s="343" t="n">
        <f aca="false">+AA100*(VLOOKUP(AC100,CURVECALC!$C$6:$J$312,4,0)+AE$5)</f>
        <v>0</v>
      </c>
      <c r="AE100" s="350" t="n">
        <f aca="false">-W100*INDEX(ship_curves,MATCH(AC100,'SHIP CURVES'!$A$9:$A$316,0),MATCH(CONCATENATE(AG$4,AG$5,AG$6,AG$7),'SHIP CURVES'!$A$9:$AZ$9,0))</f>
        <v>-0</v>
      </c>
      <c r="AF100" s="351" t="n">
        <f aca="false">-Y100*INDEX(port_processing_fee,MATCH(AC100,PORTS!$H$626:$H$933,0),MATCH(AG$5,PORTS!$H$626:$Z$626,0))</f>
        <v>-0</v>
      </c>
      <c r="AG100" s="352" t="n">
        <f aca="false">(((VLOOKUP(AC100,curvecalc,4,0))*IF(W100=0,0,AA100/W100)-INDEX(ship_curves,MATCH(AC100,'SHIP CURVES'!$A$9:$A$316,0),MATCH(CONCATENATE(AG$4,AG$5,AG$6,AG$7),'SHIP CURVES'!$A$9:$Z$9,0))-INDEX(terminal_curves,MATCH(AC100,'TERMINAL CURVES'!$A$4:$A$313,0),MATCH(AG$5,'TERMINAL CURVES'!$A$4:$N$4,0))*IF(W100=0,0,Y100/W100))-(AE$8)*((AE$7-$N$5)-(INDEX(ship_curves,MATCH(AC100,'SHIP CURVES'!$A$9:$A$316,0),MATCH(CONCATENATE(AG$4,AG$5,AG$6,AG$7),'SHIP CURVES'!$A$9:$Z$9,0))-INDEX(ship_curves,MATCH(AC100,'SHIP CURVES'!$A$9:$A$316,0),MATCH(CONCATENATE(AG$4,AE$6,AG$6,AG$7),'SHIP CURVES'!$A$9:$Z$9,0)))-(INDEX(terminal_curves,MATCH(AC100,'TERMINAL CURVES'!$A$4:$A$313,0),MATCH(AG$5,'TERMINAL CURVES'!$A$4:$N$4,0))-INDEX(terminal_curves,MATCH(AC100,'TERMINAL CURVES'!$A$4:$A$313,0),MATCH(AE$6,'TERMINAL CURVES'!$A$4:$N$4,0)))*IF(W100=0,0,Y100/W100)))*-W100</f>
        <v>0</v>
      </c>
      <c r="AH100" s="356" t="n">
        <f aca="false">SUM(AE100:AG100)</f>
        <v>0</v>
      </c>
      <c r="AI100" s="357" t="n">
        <f aca="false">(-Y100/((HLOOKUP(AG$5,port_specs,2,0)/(365.25))*(AC101-AC100)))*(INDEX(fixed_capacity_charge,MATCH(AC100,PORTS!$H$11:$H$317,0),MATCH(AG$5,PORTS!$H$11:$N$11,0))+INDEX(variable_om_charge,MATCH(AC100,PORTS!$H$318:$H$625,0),MATCH(AG$5,PORTS!$H$318:$N$318,0)))</f>
        <v>-0</v>
      </c>
      <c r="AJ100" s="343" t="n">
        <f aca="false">+AI100+AH100</f>
        <v>0</v>
      </c>
      <c r="AK100" s="355" t="n">
        <f aca="false">+AJ100+AD100</f>
        <v>0</v>
      </c>
      <c r="AM100" s="346" t="n">
        <f aca="false">+DATE(YEAR(AM99),MONTH(AM99)+1,1)</f>
        <v>39203</v>
      </c>
      <c r="AN100" s="327" t="n">
        <f aca="false">+AP100/(1-HLOOKUP(AO$6,SHIPS,7,0)*INDEX(LADEN_VOYAGE_DAYS,MATCH(CONCATENATE(AO$4,AO$5),LADEN_VOYAGE_ROUTES,0),MATCH(AO$6,LADEN_VOYAGE_SHIPS,0)))</f>
        <v>5395761.47735991</v>
      </c>
      <c r="AO100" s="347" t="n">
        <f aca="false">+AP100-AN100</f>
        <v>-56655.4955122788</v>
      </c>
      <c r="AP100" s="348" t="n">
        <f aca="false">+IF(AND(AO$8&lt;=AM100,AO$9&gt;=AM100),+MIN($B100-SUMIF($H$17:AO$17,AP$17,$H100:AO100),((INDEX(ROUTE_PER_DAY_BY_SHIP,MATCH(CONCATENATE(AO$4,AO$5,AO$7),ROUTE_PER_DAY_ROUTES,0),MATCH(AO$6,ROUTE_PER_DAY_SHIPS,0))*(AM101-AM100))-(INDEX(ROUTE_PER_DAY_BY_SHIP,MATCH(CONCATENATE(AO$4,AO$5,AO$7),ROUTE_PER_DAY_ROUTES,0),MATCH(AO$6,ROUTE_PER_DAY_SHIPS,0))*(AM101-AM100))*HLOOKUP(AO$6,SHIPS,7,0)*INDEX(LADEN_VOYAGE_DAYS,MATCH(CONCATENATE(AO$4,AO$5,AO$7),LADEN_VOYAGE_ROUTES,0),MATCH(AO$6,LADEN_VOYAGE_SHIPS,0)))),0)</f>
        <v>5339105.98184763</v>
      </c>
      <c r="AQ100" s="349" t="n">
        <f aca="false">-(AP100)*PORTS!$I$6</f>
        <v>-133477.649546191</v>
      </c>
      <c r="AR100" s="327" t="n">
        <f aca="false">+AP100+AQ100</f>
        <v>5205628.33230144</v>
      </c>
      <c r="AS100" s="333"/>
      <c r="AT100" s="346" t="n">
        <f aca="false">+DATE(YEAR(AT99),MONTH(AT99)+1,1)</f>
        <v>39203</v>
      </c>
      <c r="AU100" s="343" t="n">
        <f aca="false">+AR100*(VLOOKUP(AT100,CURVECALC!$C$6:$J$312,4,0)+AV$5)</f>
        <v>16147859.0867991</v>
      </c>
      <c r="AV100" s="350" t="n">
        <f aca="false">-AN100*INDEX(ship_curves,MATCH(AT100,'SHIP CURVES'!$A$9:$A$316,0),MATCH(CONCATENATE(AX$4,AX$5,AX$6,AX$7),'SHIP CURVES'!$A$9:$AZ$9,0))</f>
        <v>-1776041.81152854</v>
      </c>
      <c r="AW100" s="351" t="n">
        <f aca="false">-AP100*INDEX(port_processing_fee,MATCH(AT100,PORTS!$H$626:$H$933,0),MATCH(AX$5,PORTS!$H$626:$Z$626,0))</f>
        <v>-154034.583790538</v>
      </c>
      <c r="AX100" s="352" t="n">
        <f aca="false">(((VLOOKUP(AT100,curvecalc,4,0))*IF(AN100=0,0,AR100/AN100)-INDEX(ship_curves,MATCH(AT100,'SHIP CURVES'!$A$9:$A$316,0),MATCH(CONCATENATE(AX$4,AX$5,AX$6,AX$7),'SHIP CURVES'!$A$9:$Z$9,0))-INDEX(terminal_curves,MATCH(AT100,'TERMINAL CURVES'!$A$4:$A$313,0),MATCH(AX$5,'TERMINAL CURVES'!$A$4:$N$4,0))*IF(AN100=0,0,AP100/AN100))-(AV$8)*((AV$7-$N$5)-(INDEX(ship_curves,MATCH(AT100,'SHIP CURVES'!$A$9:$A$316,0),MATCH(CONCATENATE(AX$4,AX$5,AX$6,AX$7),'SHIP CURVES'!$A$9:$Z$9,0))-INDEX(ship_curves,MATCH(AT100,'SHIP CURVES'!$A$9:$A$316,0),MATCH(CONCATENATE(AX$4,AV$6,AX$6,AX$7),'SHIP CURVES'!$A$9:$Z$9,0)))-(INDEX(terminal_curves,MATCH(AT100,'TERMINAL CURVES'!$A$4:$A$313,0),MATCH(AX$5,'TERMINAL CURVES'!$A$4:$N$4,0))-INDEX(terminal_curves,MATCH(AT100,'TERMINAL CURVES'!$A$4:$A$313,0),MATCH(AV$6,'TERMINAL CURVES'!$A$4:$N$4,0)))*IF(AN100=0,0,AP100/AN100)))*-AN100</f>
        <v>-13132246.721063</v>
      </c>
      <c r="AY100" s="356" t="n">
        <f aca="false">SUM(AV100:AX100)</f>
        <v>-15062323.1163821</v>
      </c>
      <c r="AZ100" s="357" t="n">
        <f aca="false">(-AP100/((HLOOKUP(AX$5,port_specs,2,0)/(365.25))*(AT101-AT100)))*(INDEX(fixed_capacity_charge,MATCH(AT100,PORTS!$H$11:$H$317,0),MATCH(AX$5,PORTS!$H$11:$N$11,0))+INDEX(variable_om_charge,MATCH(AT100,PORTS!$H$318:$H$625,0),MATCH(AX$5,PORTS!$H$318:$N$318,0)))</f>
        <v>-981423.403770988</v>
      </c>
      <c r="BA100" s="343" t="n">
        <f aca="false">+AZ100+AY100</f>
        <v>-16043746.520153</v>
      </c>
      <c r="BB100" s="355" t="n">
        <f aca="false">+BA100+AU100</f>
        <v>104112.56664603</v>
      </c>
      <c r="BC100" s="99"/>
      <c r="BD100" s="357" t="n">
        <f aca="false">+PORTS!I94+PORTS!I402</f>
        <v>981423.403770988</v>
      </c>
    </row>
    <row r="101" customFormat="false" ht="12.75" hidden="false" customHeight="false" outlineLevel="0" collapsed="false">
      <c r="A101" s="346" t="n">
        <f aca="false">+DATE(YEAR(A100),MONTH(A100)+1,1)</f>
        <v>39234</v>
      </c>
      <c r="B101" s="327" t="n">
        <f aca="false">+IF(AND($A101&gt;=$C$8,$A101&lt;=$C$9),1,0)*PORTS!$I$5/(365.25)*(A102-A101)</f>
        <v>5166876.75662674</v>
      </c>
      <c r="C101" s="328" t="n">
        <f aca="false">+B101-(SUMIF($F$17:$IV$17,$H$17,$F101:$IV101))</f>
        <v>0</v>
      </c>
      <c r="D101" s="0" t="n">
        <f aca="false">+YEAR(E101)</f>
        <v>2007</v>
      </c>
      <c r="E101" s="346" t="n">
        <f aca="false">+DATE(YEAR(E100),MONTH(E100)+1,1)</f>
        <v>39234</v>
      </c>
      <c r="F101" s="327" t="n">
        <f aca="false">+IF(AND(G$8&lt;=E101,G$9&gt;=E101),INDEX(ROUTE_PER_DAY_BY_SHIP,MATCH(CONCATENATE(G$4,G$5,G$7),ROUTE_PER_DAY_ROUTES,0),MATCH(G$6,ROUTE_PER_DAY_SHIPS,0))*(E102-E101),0)</f>
        <v>0</v>
      </c>
      <c r="G101" s="347" t="n">
        <f aca="false">-F101*HLOOKUP(G$6,SHIPS,7,0)*INDEX(LADEN_VOYAGE_DAYS,MATCH(CONCATENATE(G$4,G$5,G$7),LADEN_VOYAGE_ROUTES,0),MATCH(G$6,LADEN_VOYAGE_SHIPS,0))</f>
        <v>-0</v>
      </c>
      <c r="H101" s="348" t="n">
        <f aca="false">SUM(F101:G101)</f>
        <v>0</v>
      </c>
      <c r="I101" s="349" t="n">
        <f aca="false">-(H101)*HLOOKUP(G$5,TERMINAL_CHARGES,3,0)</f>
        <v>-0</v>
      </c>
      <c r="J101" s="327" t="n">
        <f aca="false">+H101+I101</f>
        <v>0</v>
      </c>
      <c r="K101" s="333"/>
      <c r="L101" s="346" t="n">
        <f aca="false">+DATE(YEAR(L100),MONTH(L100)+1,1)</f>
        <v>39234</v>
      </c>
      <c r="M101" s="334" t="n">
        <f aca="false">+J101*(VLOOKUP(L101,CURVECALC!$C$6:$J$312,4,0)+N$5)</f>
        <v>0</v>
      </c>
      <c r="N101" s="350" t="n">
        <f aca="false">-F101*INDEX(ship_curves,MATCH(L101,'SHIP CURVES'!$A$9:$A$316,0),MATCH(CONCATENATE(P$4,P$5,P$6,P$7),'SHIP CURVES'!$A$9:$AZ$9,0))</f>
        <v>-0</v>
      </c>
      <c r="O101" s="351" t="n">
        <f aca="false">-H101*INDEX(port_processing_fee,MATCH(L101,PORTS!$H$626:$H$933,0),MATCH(P$5,PORTS!$H$626:$Z$626,0))</f>
        <v>-0</v>
      </c>
      <c r="P101" s="352" t="n">
        <f aca="false">(((VLOOKUP(L101,curvecalc,4,0))*IF(F101=0,0,J101/F101)-INDEX(ship_curves,MATCH(L101,'SHIP CURVES'!$A$9:$A$316,0),MATCH(CONCATENATE(P$4,P$5,P$6,P$7),'SHIP CURVES'!$A$9:$Z$9,0))-INDEX(terminal_curves,MATCH(L101,'TERMINAL CURVES'!$A$4:$A$313,0),MATCH(P$5,'TERMINAL CURVES'!$A$4:$N$4,0))*IF(F101=0,0,H101/F101))-(N$8)*((N$7-$N$5)-(INDEX(ship_curves,MATCH(L101,'SHIP CURVES'!$A$9:$A$316,0),MATCH(CONCATENATE(P$4,P$5,P$6,P$7),'SHIP CURVES'!$A$9:$Z$9,0))-INDEX(ship_curves,MATCH(L101,'SHIP CURVES'!$A$9:$A$316,0),MATCH(CONCATENATE(P$4,N$6,P$6,P$7),'SHIP CURVES'!$A$9:$Z$9,0)))-(INDEX(terminal_curves,MATCH(L101,'TERMINAL CURVES'!$A$4:$A$313,0),MATCH(P$5,'TERMINAL CURVES'!$A$4:$N$4,0))-INDEX(terminal_curves,MATCH(L101,'TERMINAL CURVES'!$A$4:$A$313,0),MATCH(N$6,'TERMINAL CURVES'!$A$4:$N$4,0)))*IF(F101=0,0,H101/F101)))*-F101</f>
        <v>0</v>
      </c>
      <c r="Q101" s="353" t="n">
        <f aca="false">SUM(N101:P101)</f>
        <v>0</v>
      </c>
      <c r="R101" s="357" t="n">
        <f aca="false">(-H101/((HLOOKUP(P$5,port_specs,2,0)/(365.25))*(L102-L101)))*(INDEX(fixed_capacity_charge,MATCH(L101,PORTS!$H$11:$H$317,0),MATCH(P$5,PORTS!$H$11:$N$11,0))+INDEX(variable_om_charge,MATCH(L101,PORTS!$H$318:$H$625,0),MATCH(P$5,PORTS!$H$318:$N$318,0)))</f>
        <v>-0</v>
      </c>
      <c r="S101" s="343" t="n">
        <f aca="false">+R101+Q101</f>
        <v>0</v>
      </c>
      <c r="T101" s="355" t="n">
        <f aca="false">+S101+M101</f>
        <v>0</v>
      </c>
      <c r="V101" s="346" t="n">
        <f aca="false">+DATE(YEAR(V100),MONTH(V100)+1,1)</f>
        <v>39234</v>
      </c>
      <c r="W101" s="327" t="n">
        <f aca="false">+Y101/(1-HLOOKUP(X$6,SHIPS,7,0)*INDEX(LADEN_VOYAGE_DAYS,MATCH(CONCATENATE(X$4,X$5),LADEN_VOYAGE_ROUTES,0),MATCH(X$6,LADEN_VOYAGE_SHIPS,0)))</f>
        <v>0</v>
      </c>
      <c r="X101" s="347" t="n">
        <f aca="false">+Y101-W101</f>
        <v>0</v>
      </c>
      <c r="Y101" s="348" t="n">
        <f aca="false">+IF(AND(X$8&lt;=V101,X$9&gt;=V101),+MIN($B101-SUMIF($H$17:X$17,Y$17,$H101:X101),((INDEX(ROUTE_PER_DAY_BY_SHIP,MATCH(CONCATENATE(X$4,X$5,X$7),ROUTE_PER_DAY_ROUTES,0),MATCH(X$6,ROUTE_PER_DAY_SHIPS,0))*(V102-V101))-(INDEX(ROUTE_PER_DAY_BY_SHIP,MATCH(CONCATENATE(X$4,X$5,X$7),ROUTE_PER_DAY_ROUTES,0),MATCH(X$6,ROUTE_PER_DAY_SHIPS,0))*(V102-V101))*HLOOKUP(X$6,SHIPS,7,0)*INDEX(LADEN_VOYAGE_DAYS,MATCH(CONCATENATE(X$4,X$5,X$7),LADEN_VOYAGE_ROUTES,0),MATCH(X$6,LADEN_VOYAGE_SHIPS,0)))),0)</f>
        <v>0</v>
      </c>
      <c r="Z101" s="349" t="n">
        <f aca="false">-(Y101)*HLOOKUP(X$5,TERMINAL_CHARGES,3,0)</f>
        <v>-0</v>
      </c>
      <c r="AA101" s="327" t="n">
        <f aca="false">+Y101+Z101</f>
        <v>0</v>
      </c>
      <c r="AB101" s="333"/>
      <c r="AC101" s="346" t="n">
        <f aca="false">+DATE(YEAR(AC100),MONTH(AC100)+1,1)</f>
        <v>39234</v>
      </c>
      <c r="AD101" s="343" t="n">
        <f aca="false">+AA101*(VLOOKUP(AC101,CURVECALC!$C$6:$J$312,4,0)+AE$5)</f>
        <v>0</v>
      </c>
      <c r="AE101" s="350" t="n">
        <f aca="false">-W101*INDEX(ship_curves,MATCH(AC101,'SHIP CURVES'!$A$9:$A$316,0),MATCH(CONCATENATE(AG$4,AG$5,AG$6,AG$7),'SHIP CURVES'!$A$9:$AZ$9,0))</f>
        <v>-0</v>
      </c>
      <c r="AF101" s="351" t="n">
        <f aca="false">-Y101*INDEX(port_processing_fee,MATCH(AC101,PORTS!$H$626:$H$933,0),MATCH(AG$5,PORTS!$H$626:$Z$626,0))</f>
        <v>-0</v>
      </c>
      <c r="AG101" s="352" t="n">
        <f aca="false">(((VLOOKUP(AC101,curvecalc,4,0))*IF(W101=0,0,AA101/W101)-INDEX(ship_curves,MATCH(AC101,'SHIP CURVES'!$A$9:$A$316,0),MATCH(CONCATENATE(AG$4,AG$5,AG$6,AG$7),'SHIP CURVES'!$A$9:$Z$9,0))-INDEX(terminal_curves,MATCH(AC101,'TERMINAL CURVES'!$A$4:$A$313,0),MATCH(AG$5,'TERMINAL CURVES'!$A$4:$N$4,0))*IF(W101=0,0,Y101/W101))-(AE$8)*((AE$7-$N$5)-(INDEX(ship_curves,MATCH(AC101,'SHIP CURVES'!$A$9:$A$316,0),MATCH(CONCATENATE(AG$4,AG$5,AG$6,AG$7),'SHIP CURVES'!$A$9:$Z$9,0))-INDEX(ship_curves,MATCH(AC101,'SHIP CURVES'!$A$9:$A$316,0),MATCH(CONCATENATE(AG$4,AE$6,AG$6,AG$7),'SHIP CURVES'!$A$9:$Z$9,0)))-(INDEX(terminal_curves,MATCH(AC101,'TERMINAL CURVES'!$A$4:$A$313,0),MATCH(AG$5,'TERMINAL CURVES'!$A$4:$N$4,0))-INDEX(terminal_curves,MATCH(AC101,'TERMINAL CURVES'!$A$4:$A$313,0),MATCH(AE$6,'TERMINAL CURVES'!$A$4:$N$4,0)))*IF(W101=0,0,Y101/W101)))*-W101</f>
        <v>0</v>
      </c>
      <c r="AH101" s="356" t="n">
        <f aca="false">SUM(AE101:AG101)</f>
        <v>0</v>
      </c>
      <c r="AI101" s="357" t="n">
        <f aca="false">(-Y101/((HLOOKUP(AG$5,port_specs,2,0)/(365.25))*(AC102-AC101)))*(INDEX(fixed_capacity_charge,MATCH(AC101,PORTS!$H$11:$H$317,0),MATCH(AG$5,PORTS!$H$11:$N$11,0))+INDEX(variable_om_charge,MATCH(AC101,PORTS!$H$318:$H$625,0),MATCH(AG$5,PORTS!$H$318:$N$318,0)))</f>
        <v>-0</v>
      </c>
      <c r="AJ101" s="343" t="n">
        <f aca="false">+AI101+AH101</f>
        <v>0</v>
      </c>
      <c r="AK101" s="355" t="n">
        <f aca="false">+AJ101+AD101</f>
        <v>0</v>
      </c>
      <c r="AM101" s="346" t="n">
        <f aca="false">+DATE(YEAR(AM100),MONTH(AM100)+1,1)</f>
        <v>39234</v>
      </c>
      <c r="AN101" s="327" t="n">
        <f aca="false">+AP101/(1-HLOOKUP(AO$6,SHIPS,7,0)*INDEX(LADEN_VOYAGE_DAYS,MATCH(CONCATENATE(AO$4,AO$5),LADEN_VOYAGE_ROUTES,0),MATCH(AO$6,LADEN_VOYAGE_SHIPS,0)))</f>
        <v>5221704.65550959</v>
      </c>
      <c r="AO101" s="347" t="n">
        <f aca="false">+AP101-AN101</f>
        <v>-54827.8988828501</v>
      </c>
      <c r="AP101" s="348" t="n">
        <f aca="false">+IF(AND(AO$8&lt;=AM101,AO$9&gt;=AM101),+MIN($B101-SUMIF($H$17:AO$17,AP$17,$H101:AO101),((INDEX(ROUTE_PER_DAY_BY_SHIP,MATCH(CONCATENATE(AO$4,AO$5,AO$7),ROUTE_PER_DAY_ROUTES,0),MATCH(AO$6,ROUTE_PER_DAY_SHIPS,0))*(AM102-AM101))-(INDEX(ROUTE_PER_DAY_BY_SHIP,MATCH(CONCATENATE(AO$4,AO$5,AO$7),ROUTE_PER_DAY_ROUTES,0),MATCH(AO$6,ROUTE_PER_DAY_SHIPS,0))*(AM102-AM101))*HLOOKUP(AO$6,SHIPS,7,0)*INDEX(LADEN_VOYAGE_DAYS,MATCH(CONCATENATE(AO$4,AO$5,AO$7),LADEN_VOYAGE_ROUTES,0),MATCH(AO$6,LADEN_VOYAGE_SHIPS,0)))),0)</f>
        <v>5166876.75662674</v>
      </c>
      <c r="AQ101" s="349" t="n">
        <f aca="false">-(AP101)*PORTS!$I$6</f>
        <v>-129171.918915669</v>
      </c>
      <c r="AR101" s="327" t="n">
        <f aca="false">+AP101+AQ101</f>
        <v>5037704.83771107</v>
      </c>
      <c r="AS101" s="333"/>
      <c r="AT101" s="346" t="n">
        <f aca="false">+DATE(YEAR(AT100),MONTH(AT100)+1,1)</f>
        <v>39234</v>
      </c>
      <c r="AU101" s="343" t="n">
        <f aca="false">+AR101*(VLOOKUP(AT101,CURVECALC!$C$6:$J$312,4,0)+AV$5)</f>
        <v>15798242.3710619</v>
      </c>
      <c r="AV101" s="350" t="n">
        <f aca="false">-AN101*INDEX(ship_curves,MATCH(AT101,'SHIP CURVES'!$A$9:$A$316,0),MATCH(CONCATENATE(AX$4,AX$5,AX$6,AX$7),'SHIP CURVES'!$A$9:$AZ$9,0))</f>
        <v>-1719238.27342381</v>
      </c>
      <c r="AW101" s="351" t="n">
        <f aca="false">-AP101*INDEX(port_processing_fee,MATCH(AT101,PORTS!$H$626:$H$933,0),MATCH(AX$5,PORTS!$H$626:$Z$626,0))</f>
        <v>-149221.003047083</v>
      </c>
      <c r="AX101" s="352" t="n">
        <f aca="false">(((VLOOKUP(AT101,curvecalc,4,0))*IF(AN101=0,0,AR101/AN101)-INDEX(ship_curves,MATCH(AT101,'SHIP CURVES'!$A$9:$A$316,0),MATCH(CONCATENATE(AX$4,AX$5,AX$6,AX$7),'SHIP CURVES'!$A$9:$Z$9,0))-INDEX(terminal_curves,MATCH(AT101,'TERMINAL CURVES'!$A$4:$A$313,0),MATCH(AX$5,'TERMINAL CURVES'!$A$4:$N$4,0))*IF(AN101=0,0,AP101/AN101))-(AV$8)*((AV$7-$N$5)-(INDEX(ship_curves,MATCH(AT101,'SHIP CURVES'!$A$9:$A$316,0),MATCH(CONCATENATE(AX$4,AX$5,AX$6,AX$7),'SHIP CURVES'!$A$9:$Z$9,0))-INDEX(ship_curves,MATCH(AT101,'SHIP CURVES'!$A$9:$A$316,0),MATCH(CONCATENATE(AX$4,AV$6,AX$6,AX$7),'SHIP CURVES'!$A$9:$Z$9,0)))-(INDEX(terminal_curves,MATCH(AT101,'TERMINAL CURVES'!$A$4:$A$313,0),MATCH(AX$5,'TERMINAL CURVES'!$A$4:$N$4,0))-INDEX(terminal_curves,MATCH(AT101,'TERMINAL CURVES'!$A$4:$A$313,0),MATCH(AV$6,'TERMINAL CURVES'!$A$4:$N$4,0)))*IF(AN101=0,0,AP101/AN101)))*-AN101</f>
        <v>-12847088.6806983</v>
      </c>
      <c r="AY101" s="356" t="n">
        <f aca="false">SUM(AV101:AX101)</f>
        <v>-14715547.9571692</v>
      </c>
      <c r="AZ101" s="357" t="n">
        <f aca="false">(-AP101/((HLOOKUP(AX$5,port_specs,2,0)/(365.25))*(AT102-AT101)))*(INDEX(fixed_capacity_charge,MATCH(AT101,PORTS!$H$11:$H$317,0),MATCH(AX$5,PORTS!$H$11:$N$11,0))+INDEX(variable_om_charge,MATCH(AT101,PORTS!$H$318:$H$625,0),MATCH(AX$5,PORTS!$H$318:$N$318,0)))</f>
        <v>-981940.317138553</v>
      </c>
      <c r="BA101" s="343" t="n">
        <f aca="false">+AZ101+AY101</f>
        <v>-15697488.2743077</v>
      </c>
      <c r="BB101" s="355" t="n">
        <f aca="false">+BA101+AU101</f>
        <v>100754.096754221</v>
      </c>
      <c r="BC101" s="99"/>
      <c r="BD101" s="357" t="n">
        <f aca="false">+PORTS!I95+PORTS!I403</f>
        <v>981940.317138553</v>
      </c>
    </row>
    <row r="102" customFormat="false" ht="12.75" hidden="false" customHeight="false" outlineLevel="0" collapsed="false">
      <c r="A102" s="346" t="n">
        <f aca="false">+DATE(YEAR(A101),MONTH(A101)+1,1)</f>
        <v>39264</v>
      </c>
      <c r="B102" s="327" t="n">
        <f aca="false">+IF(AND($A102&gt;=$C$8,$A102&lt;=$C$9),1,0)*PORTS!$I$5/(365.25)*(A103-A102)</f>
        <v>5339105.98184763</v>
      </c>
      <c r="C102" s="328" t="n">
        <f aca="false">+B102-(SUMIF($F$17:$IV$17,$H$17,$F102:$IV102))</f>
        <v>0</v>
      </c>
      <c r="D102" s="0" t="n">
        <f aca="false">+YEAR(E102)</f>
        <v>2007</v>
      </c>
      <c r="E102" s="346" t="n">
        <f aca="false">+DATE(YEAR(E101),MONTH(E101)+1,1)</f>
        <v>39264</v>
      </c>
      <c r="F102" s="327" t="n">
        <f aca="false">+IF(AND(G$8&lt;=E102,G$9&gt;=E102),INDEX(ROUTE_PER_DAY_BY_SHIP,MATCH(CONCATENATE(G$4,G$5,G$7),ROUTE_PER_DAY_ROUTES,0),MATCH(G$6,ROUTE_PER_DAY_SHIPS,0))*(E103-E102),0)</f>
        <v>0</v>
      </c>
      <c r="G102" s="347" t="n">
        <f aca="false">-F102*HLOOKUP(G$6,SHIPS,7,0)*INDEX(LADEN_VOYAGE_DAYS,MATCH(CONCATENATE(G$4,G$5,G$7),LADEN_VOYAGE_ROUTES,0),MATCH(G$6,LADEN_VOYAGE_SHIPS,0))</f>
        <v>-0</v>
      </c>
      <c r="H102" s="348" t="n">
        <f aca="false">SUM(F102:G102)</f>
        <v>0</v>
      </c>
      <c r="I102" s="349" t="n">
        <f aca="false">-(H102)*HLOOKUP(G$5,TERMINAL_CHARGES,3,0)</f>
        <v>-0</v>
      </c>
      <c r="J102" s="327" t="n">
        <f aca="false">+H102+I102</f>
        <v>0</v>
      </c>
      <c r="K102" s="333"/>
      <c r="L102" s="346" t="n">
        <f aca="false">+DATE(YEAR(L101),MONTH(L101)+1,1)</f>
        <v>39264</v>
      </c>
      <c r="M102" s="334" t="n">
        <f aca="false">+J102*(VLOOKUP(L102,CURVECALC!$C$6:$J$312,4,0)+N$5)</f>
        <v>0</v>
      </c>
      <c r="N102" s="350" t="n">
        <f aca="false">-F102*INDEX(ship_curves,MATCH(L102,'SHIP CURVES'!$A$9:$A$316,0),MATCH(CONCATENATE(P$4,P$5,P$6,P$7),'SHIP CURVES'!$A$9:$AZ$9,0))</f>
        <v>-0</v>
      </c>
      <c r="O102" s="351" t="n">
        <f aca="false">-H102*INDEX(port_processing_fee,MATCH(L102,PORTS!$H$626:$H$933,0),MATCH(P$5,PORTS!$H$626:$Z$626,0))</f>
        <v>-0</v>
      </c>
      <c r="P102" s="352" t="n">
        <f aca="false">(((VLOOKUP(L102,curvecalc,4,0))*IF(F102=0,0,J102/F102)-INDEX(ship_curves,MATCH(L102,'SHIP CURVES'!$A$9:$A$316,0),MATCH(CONCATENATE(P$4,P$5,P$6,P$7),'SHIP CURVES'!$A$9:$Z$9,0))-INDEX(terminal_curves,MATCH(L102,'TERMINAL CURVES'!$A$4:$A$313,0),MATCH(P$5,'TERMINAL CURVES'!$A$4:$N$4,0))*IF(F102=0,0,H102/F102))-(N$8)*((N$7-$N$5)-(INDEX(ship_curves,MATCH(L102,'SHIP CURVES'!$A$9:$A$316,0),MATCH(CONCATENATE(P$4,P$5,P$6,P$7),'SHIP CURVES'!$A$9:$Z$9,0))-INDEX(ship_curves,MATCH(L102,'SHIP CURVES'!$A$9:$A$316,0),MATCH(CONCATENATE(P$4,N$6,P$6,P$7),'SHIP CURVES'!$A$9:$Z$9,0)))-(INDEX(terminal_curves,MATCH(L102,'TERMINAL CURVES'!$A$4:$A$313,0),MATCH(P$5,'TERMINAL CURVES'!$A$4:$N$4,0))-INDEX(terminal_curves,MATCH(L102,'TERMINAL CURVES'!$A$4:$A$313,0),MATCH(N$6,'TERMINAL CURVES'!$A$4:$N$4,0)))*IF(F102=0,0,H102/F102)))*-F102</f>
        <v>0</v>
      </c>
      <c r="Q102" s="353" t="n">
        <f aca="false">SUM(N102:P102)</f>
        <v>0</v>
      </c>
      <c r="R102" s="357" t="n">
        <f aca="false">(-H102/((HLOOKUP(P$5,port_specs,2,0)/(365.25))*(L103-L102)))*(INDEX(fixed_capacity_charge,MATCH(L102,PORTS!$H$11:$H$317,0),MATCH(P$5,PORTS!$H$11:$N$11,0))+INDEX(variable_om_charge,MATCH(L102,PORTS!$H$318:$H$625,0),MATCH(P$5,PORTS!$H$318:$N$318,0)))</f>
        <v>-0</v>
      </c>
      <c r="S102" s="343" t="n">
        <f aca="false">+R102+Q102</f>
        <v>0</v>
      </c>
      <c r="T102" s="355" t="n">
        <f aca="false">+S102+M102</f>
        <v>0</v>
      </c>
      <c r="V102" s="346" t="n">
        <f aca="false">+DATE(YEAR(V101),MONTH(V101)+1,1)</f>
        <v>39264</v>
      </c>
      <c r="W102" s="327" t="n">
        <f aca="false">+Y102/(1-HLOOKUP(X$6,SHIPS,7,0)*INDEX(LADEN_VOYAGE_DAYS,MATCH(CONCATENATE(X$4,X$5),LADEN_VOYAGE_ROUTES,0),MATCH(X$6,LADEN_VOYAGE_SHIPS,0)))</f>
        <v>0</v>
      </c>
      <c r="X102" s="347" t="n">
        <f aca="false">+Y102-W102</f>
        <v>0</v>
      </c>
      <c r="Y102" s="348" t="n">
        <f aca="false">+IF(AND(X$8&lt;=V102,X$9&gt;=V102),+MIN($B102-SUMIF($H$17:X$17,Y$17,$H102:X102),((INDEX(ROUTE_PER_DAY_BY_SHIP,MATCH(CONCATENATE(X$4,X$5,X$7),ROUTE_PER_DAY_ROUTES,0),MATCH(X$6,ROUTE_PER_DAY_SHIPS,0))*(V103-V102))-(INDEX(ROUTE_PER_DAY_BY_SHIP,MATCH(CONCATENATE(X$4,X$5,X$7),ROUTE_PER_DAY_ROUTES,0),MATCH(X$6,ROUTE_PER_DAY_SHIPS,0))*(V103-V102))*HLOOKUP(X$6,SHIPS,7,0)*INDEX(LADEN_VOYAGE_DAYS,MATCH(CONCATENATE(X$4,X$5,X$7),LADEN_VOYAGE_ROUTES,0),MATCH(X$6,LADEN_VOYAGE_SHIPS,0)))),0)</f>
        <v>0</v>
      </c>
      <c r="Z102" s="349" t="n">
        <f aca="false">-(Y102)*HLOOKUP(X$5,TERMINAL_CHARGES,3,0)</f>
        <v>-0</v>
      </c>
      <c r="AA102" s="327" t="n">
        <f aca="false">+Y102+Z102</f>
        <v>0</v>
      </c>
      <c r="AB102" s="333"/>
      <c r="AC102" s="346" t="n">
        <f aca="false">+DATE(YEAR(AC101),MONTH(AC101)+1,1)</f>
        <v>39264</v>
      </c>
      <c r="AD102" s="343" t="n">
        <f aca="false">+AA102*(VLOOKUP(AC102,CURVECALC!$C$6:$J$312,4,0)+AE$5)</f>
        <v>0</v>
      </c>
      <c r="AE102" s="350" t="n">
        <f aca="false">-W102*INDEX(ship_curves,MATCH(AC102,'SHIP CURVES'!$A$9:$A$316,0),MATCH(CONCATENATE(AG$4,AG$5,AG$6,AG$7),'SHIP CURVES'!$A$9:$AZ$9,0))</f>
        <v>-0</v>
      </c>
      <c r="AF102" s="351" t="n">
        <f aca="false">-Y102*INDEX(port_processing_fee,MATCH(AC102,PORTS!$H$626:$H$933,0),MATCH(AG$5,PORTS!$H$626:$Z$626,0))</f>
        <v>-0</v>
      </c>
      <c r="AG102" s="352" t="n">
        <f aca="false">(((VLOOKUP(AC102,curvecalc,4,0))*IF(W102=0,0,AA102/W102)-INDEX(ship_curves,MATCH(AC102,'SHIP CURVES'!$A$9:$A$316,0),MATCH(CONCATENATE(AG$4,AG$5,AG$6,AG$7),'SHIP CURVES'!$A$9:$Z$9,0))-INDEX(terminal_curves,MATCH(AC102,'TERMINAL CURVES'!$A$4:$A$313,0),MATCH(AG$5,'TERMINAL CURVES'!$A$4:$N$4,0))*IF(W102=0,0,Y102/W102))-(AE$8)*((AE$7-$N$5)-(INDEX(ship_curves,MATCH(AC102,'SHIP CURVES'!$A$9:$A$316,0),MATCH(CONCATENATE(AG$4,AG$5,AG$6,AG$7),'SHIP CURVES'!$A$9:$Z$9,0))-INDEX(ship_curves,MATCH(AC102,'SHIP CURVES'!$A$9:$A$316,0),MATCH(CONCATENATE(AG$4,AE$6,AG$6,AG$7),'SHIP CURVES'!$A$9:$Z$9,0)))-(INDEX(terminal_curves,MATCH(AC102,'TERMINAL CURVES'!$A$4:$A$313,0),MATCH(AG$5,'TERMINAL CURVES'!$A$4:$N$4,0))-INDEX(terminal_curves,MATCH(AC102,'TERMINAL CURVES'!$A$4:$A$313,0),MATCH(AE$6,'TERMINAL CURVES'!$A$4:$N$4,0)))*IF(W102=0,0,Y102/W102)))*-W102</f>
        <v>0</v>
      </c>
      <c r="AH102" s="356" t="n">
        <f aca="false">SUM(AE102:AG102)</f>
        <v>0</v>
      </c>
      <c r="AI102" s="357" t="n">
        <f aca="false">(-Y102/((HLOOKUP(AG$5,port_specs,2,0)/(365.25))*(AC103-AC102)))*(INDEX(fixed_capacity_charge,MATCH(AC102,PORTS!$H$11:$H$317,0),MATCH(AG$5,PORTS!$H$11:$N$11,0))+INDEX(variable_om_charge,MATCH(AC102,PORTS!$H$318:$H$625,0),MATCH(AG$5,PORTS!$H$318:$N$318,0)))</f>
        <v>-0</v>
      </c>
      <c r="AJ102" s="343" t="n">
        <f aca="false">+AI102+AH102</f>
        <v>0</v>
      </c>
      <c r="AK102" s="355" t="n">
        <f aca="false">+AJ102+AD102</f>
        <v>0</v>
      </c>
      <c r="AM102" s="346" t="n">
        <f aca="false">+DATE(YEAR(AM101),MONTH(AM101)+1,1)</f>
        <v>39264</v>
      </c>
      <c r="AN102" s="327" t="n">
        <f aca="false">+AP102/(1-HLOOKUP(AO$6,SHIPS,7,0)*INDEX(LADEN_VOYAGE_DAYS,MATCH(CONCATENATE(AO$4,AO$5),LADEN_VOYAGE_ROUTES,0),MATCH(AO$6,LADEN_VOYAGE_SHIPS,0)))</f>
        <v>5395761.47735991</v>
      </c>
      <c r="AO102" s="347" t="n">
        <f aca="false">+AP102-AN102</f>
        <v>-56655.4955122788</v>
      </c>
      <c r="AP102" s="348" t="n">
        <f aca="false">+IF(AND(AO$8&lt;=AM102,AO$9&gt;=AM102),+MIN($B102-SUMIF($H$17:AO$17,AP$17,$H102:AO102),((INDEX(ROUTE_PER_DAY_BY_SHIP,MATCH(CONCATENATE(AO$4,AO$5,AO$7),ROUTE_PER_DAY_ROUTES,0),MATCH(AO$6,ROUTE_PER_DAY_SHIPS,0))*(AM103-AM102))-(INDEX(ROUTE_PER_DAY_BY_SHIP,MATCH(CONCATENATE(AO$4,AO$5,AO$7),ROUTE_PER_DAY_ROUTES,0),MATCH(AO$6,ROUTE_PER_DAY_SHIPS,0))*(AM103-AM102))*HLOOKUP(AO$6,SHIPS,7,0)*INDEX(LADEN_VOYAGE_DAYS,MATCH(CONCATENATE(AO$4,AO$5,AO$7),LADEN_VOYAGE_ROUTES,0),MATCH(AO$6,LADEN_VOYAGE_SHIPS,0)))),0)</f>
        <v>5339105.98184763</v>
      </c>
      <c r="AQ102" s="349" t="n">
        <f aca="false">-(AP102)*PORTS!$I$6</f>
        <v>-133477.649546191</v>
      </c>
      <c r="AR102" s="327" t="n">
        <f aca="false">+AP102+AQ102</f>
        <v>5205628.33230144</v>
      </c>
      <c r="AS102" s="333"/>
      <c r="AT102" s="346" t="n">
        <f aca="false">+DATE(YEAR(AT101),MONTH(AT101)+1,1)</f>
        <v>39264</v>
      </c>
      <c r="AU102" s="343" t="n">
        <f aca="false">+AR102*(VLOOKUP(AT102,CURVECALC!$C$6:$J$312,4,0)+AV$5)</f>
        <v>16324850.4500973</v>
      </c>
      <c r="AV102" s="350" t="n">
        <f aca="false">-AN102*INDEX(ship_curves,MATCH(AT102,'SHIP CURVES'!$A$9:$A$316,0),MATCH(CONCATENATE(AX$4,AX$5,AX$6,AX$7),'SHIP CURVES'!$A$9:$AZ$9,0))</f>
        <v>-1777051.67105639</v>
      </c>
      <c r="AW102" s="351" t="n">
        <f aca="false">-AP102*INDEX(port_processing_fee,MATCH(AT102,PORTS!$H$626:$H$933,0),MATCH(AX$5,PORTS!$H$626:$Z$626,0))</f>
        <v>-154355.656311655</v>
      </c>
      <c r="AX102" s="352" t="n">
        <f aca="false">(((VLOOKUP(AT102,curvecalc,4,0))*IF(AN102=0,0,AR102/AN102)-INDEX(ship_curves,MATCH(AT102,'SHIP CURVES'!$A$9:$A$316,0),MATCH(CONCATENATE(AX$4,AX$5,AX$6,AX$7),'SHIP CURVES'!$A$9:$Z$9,0))-INDEX(terminal_curves,MATCH(AT102,'TERMINAL CURVES'!$A$4:$A$313,0),MATCH(AX$5,'TERMINAL CURVES'!$A$4:$N$4,0))*IF(AN102=0,0,AP102/AN102))-(AV$8)*((AV$7-$N$5)-(INDEX(ship_curves,MATCH(AT102,'SHIP CURVES'!$A$9:$A$316,0),MATCH(CONCATENATE(AX$4,AX$5,AX$6,AX$7),'SHIP CURVES'!$A$9:$Z$9,0))-INDEX(ship_curves,MATCH(AT102,'SHIP CURVES'!$A$9:$A$316,0),MATCH(CONCATENATE(AX$4,AV$6,AX$6,AX$7),'SHIP CURVES'!$A$9:$Z$9,0)))-(INDEX(terminal_curves,MATCH(AT102,'TERMINAL CURVES'!$A$4:$A$313,0),MATCH(AX$5,'TERMINAL CURVES'!$A$4:$N$4,0))-INDEX(terminal_curves,MATCH(AT102,'TERMINAL CURVES'!$A$4:$A$313,0),MATCH(AV$6,'TERMINAL CURVES'!$A$4:$N$4,0)))*IF(AN102=0,0,AP102/AN102)))*-AN102</f>
        <v>-13306872.7871257</v>
      </c>
      <c r="AY102" s="356" t="n">
        <f aca="false">SUM(AV102:AX102)</f>
        <v>-15238280.1144938</v>
      </c>
      <c r="AZ102" s="357" t="n">
        <f aca="false">(-AP102/((HLOOKUP(AX$5,port_specs,2,0)/(365.25))*(AT103-AT102)))*(INDEX(fixed_capacity_charge,MATCH(AT102,PORTS!$H$11:$H$317,0),MATCH(AX$5,PORTS!$H$11:$N$11,0))+INDEX(variable_om_charge,MATCH(AT102,PORTS!$H$318:$H$625,0),MATCH(AX$5,PORTS!$H$318:$N$318,0)))</f>
        <v>-982457.768957543</v>
      </c>
      <c r="BA102" s="343" t="n">
        <f aca="false">+AZ102+AY102</f>
        <v>-16220737.8834513</v>
      </c>
      <c r="BB102" s="355" t="n">
        <f aca="false">+BA102+AU102</f>
        <v>104112.56664603</v>
      </c>
      <c r="BC102" s="99"/>
      <c r="BD102" s="357" t="n">
        <f aca="false">+PORTS!I96+PORTS!I404</f>
        <v>982457.768957543</v>
      </c>
    </row>
    <row r="103" customFormat="false" ht="12.75" hidden="false" customHeight="false" outlineLevel="0" collapsed="false">
      <c r="A103" s="346" t="n">
        <f aca="false">+DATE(YEAR(A102),MONTH(A102)+1,1)</f>
        <v>39295</v>
      </c>
      <c r="B103" s="327" t="n">
        <f aca="false">+IF(AND($A103&gt;=$C$8,$A103&lt;=$C$9),1,0)*PORTS!$I$5/(365.25)*(A104-A103)</f>
        <v>5339105.98184763</v>
      </c>
      <c r="C103" s="328" t="n">
        <f aca="false">+B103-(SUMIF($F$17:$IV$17,$H$17,$F103:$IV103))</f>
        <v>0</v>
      </c>
      <c r="D103" s="0" t="n">
        <f aca="false">+YEAR(E103)</f>
        <v>2007</v>
      </c>
      <c r="E103" s="346" t="n">
        <f aca="false">+DATE(YEAR(E102),MONTH(E102)+1,1)</f>
        <v>39295</v>
      </c>
      <c r="F103" s="327" t="n">
        <f aca="false">+IF(AND(G$8&lt;=E103,G$9&gt;=E103),INDEX(ROUTE_PER_DAY_BY_SHIP,MATCH(CONCATENATE(G$4,G$5,G$7),ROUTE_PER_DAY_ROUTES,0),MATCH(G$6,ROUTE_PER_DAY_SHIPS,0))*(E104-E103),0)</f>
        <v>0</v>
      </c>
      <c r="G103" s="347" t="n">
        <f aca="false">-F103*HLOOKUP(G$6,SHIPS,7,0)*INDEX(LADEN_VOYAGE_DAYS,MATCH(CONCATENATE(G$4,G$5,G$7),LADEN_VOYAGE_ROUTES,0),MATCH(G$6,LADEN_VOYAGE_SHIPS,0))</f>
        <v>-0</v>
      </c>
      <c r="H103" s="348" t="n">
        <f aca="false">SUM(F103:G103)</f>
        <v>0</v>
      </c>
      <c r="I103" s="349" t="n">
        <f aca="false">-(H103)*HLOOKUP(G$5,TERMINAL_CHARGES,3,0)</f>
        <v>-0</v>
      </c>
      <c r="J103" s="327" t="n">
        <f aca="false">+H103+I103</f>
        <v>0</v>
      </c>
      <c r="K103" s="333"/>
      <c r="L103" s="346" t="n">
        <f aca="false">+DATE(YEAR(L102),MONTH(L102)+1,1)</f>
        <v>39295</v>
      </c>
      <c r="M103" s="334" t="n">
        <f aca="false">+J103*(VLOOKUP(L103,CURVECALC!$C$6:$J$312,4,0)+N$5)</f>
        <v>0</v>
      </c>
      <c r="N103" s="350" t="n">
        <f aca="false">-F103*INDEX(ship_curves,MATCH(L103,'SHIP CURVES'!$A$9:$A$316,0),MATCH(CONCATENATE(P$4,P$5,P$6,P$7),'SHIP CURVES'!$A$9:$AZ$9,0))</f>
        <v>-0</v>
      </c>
      <c r="O103" s="351" t="n">
        <f aca="false">-H103*INDEX(port_processing_fee,MATCH(L103,PORTS!$H$626:$H$933,0),MATCH(P$5,PORTS!$H$626:$Z$626,0))</f>
        <v>-0</v>
      </c>
      <c r="P103" s="352" t="n">
        <f aca="false">(((VLOOKUP(L103,curvecalc,4,0))*IF(F103=0,0,J103/F103)-INDEX(ship_curves,MATCH(L103,'SHIP CURVES'!$A$9:$A$316,0),MATCH(CONCATENATE(P$4,P$5,P$6,P$7),'SHIP CURVES'!$A$9:$Z$9,0))-INDEX(terminal_curves,MATCH(L103,'TERMINAL CURVES'!$A$4:$A$313,0),MATCH(P$5,'TERMINAL CURVES'!$A$4:$N$4,0))*IF(F103=0,0,H103/F103))-(N$8)*((N$7-$N$5)-(INDEX(ship_curves,MATCH(L103,'SHIP CURVES'!$A$9:$A$316,0),MATCH(CONCATENATE(P$4,P$5,P$6,P$7),'SHIP CURVES'!$A$9:$Z$9,0))-INDEX(ship_curves,MATCH(L103,'SHIP CURVES'!$A$9:$A$316,0),MATCH(CONCATENATE(P$4,N$6,P$6,P$7),'SHIP CURVES'!$A$9:$Z$9,0)))-(INDEX(terminal_curves,MATCH(L103,'TERMINAL CURVES'!$A$4:$A$313,0),MATCH(P$5,'TERMINAL CURVES'!$A$4:$N$4,0))-INDEX(terminal_curves,MATCH(L103,'TERMINAL CURVES'!$A$4:$A$313,0),MATCH(N$6,'TERMINAL CURVES'!$A$4:$N$4,0)))*IF(F103=0,0,H103/F103)))*-F103</f>
        <v>0</v>
      </c>
      <c r="Q103" s="353" t="n">
        <f aca="false">SUM(N103:P103)</f>
        <v>0</v>
      </c>
      <c r="R103" s="357" t="n">
        <f aca="false">(-H103/((HLOOKUP(P$5,port_specs,2,0)/(365.25))*(L104-L103)))*(INDEX(fixed_capacity_charge,MATCH(L103,PORTS!$H$11:$H$317,0),MATCH(P$5,PORTS!$H$11:$N$11,0))+INDEX(variable_om_charge,MATCH(L103,PORTS!$H$318:$H$625,0),MATCH(P$5,PORTS!$H$318:$N$318,0)))</f>
        <v>-0</v>
      </c>
      <c r="S103" s="343" t="n">
        <f aca="false">+R103+Q103</f>
        <v>0</v>
      </c>
      <c r="T103" s="355" t="n">
        <f aca="false">+S103+M103</f>
        <v>0</v>
      </c>
      <c r="V103" s="346" t="n">
        <f aca="false">+DATE(YEAR(V102),MONTH(V102)+1,1)</f>
        <v>39295</v>
      </c>
      <c r="W103" s="327" t="n">
        <f aca="false">+Y103/(1-HLOOKUP(X$6,SHIPS,7,0)*INDEX(LADEN_VOYAGE_DAYS,MATCH(CONCATENATE(X$4,X$5),LADEN_VOYAGE_ROUTES,0),MATCH(X$6,LADEN_VOYAGE_SHIPS,0)))</f>
        <v>0</v>
      </c>
      <c r="X103" s="347" t="n">
        <f aca="false">+Y103-W103</f>
        <v>0</v>
      </c>
      <c r="Y103" s="348" t="n">
        <f aca="false">+IF(AND(X$8&lt;=V103,X$9&gt;=V103),+MIN($B103-SUMIF($H$17:X$17,Y$17,$H103:X103),((INDEX(ROUTE_PER_DAY_BY_SHIP,MATCH(CONCATENATE(X$4,X$5,X$7),ROUTE_PER_DAY_ROUTES,0),MATCH(X$6,ROUTE_PER_DAY_SHIPS,0))*(V104-V103))-(INDEX(ROUTE_PER_DAY_BY_SHIP,MATCH(CONCATENATE(X$4,X$5,X$7),ROUTE_PER_DAY_ROUTES,0),MATCH(X$6,ROUTE_PER_DAY_SHIPS,0))*(V104-V103))*HLOOKUP(X$6,SHIPS,7,0)*INDEX(LADEN_VOYAGE_DAYS,MATCH(CONCATENATE(X$4,X$5,X$7),LADEN_VOYAGE_ROUTES,0),MATCH(X$6,LADEN_VOYAGE_SHIPS,0)))),0)</f>
        <v>0</v>
      </c>
      <c r="Z103" s="349" t="n">
        <f aca="false">-(Y103)*HLOOKUP(X$5,TERMINAL_CHARGES,3,0)</f>
        <v>-0</v>
      </c>
      <c r="AA103" s="327" t="n">
        <f aca="false">+Y103+Z103</f>
        <v>0</v>
      </c>
      <c r="AB103" s="333"/>
      <c r="AC103" s="346" t="n">
        <f aca="false">+DATE(YEAR(AC102),MONTH(AC102)+1,1)</f>
        <v>39295</v>
      </c>
      <c r="AD103" s="343" t="n">
        <f aca="false">+AA103*(VLOOKUP(AC103,CURVECALC!$C$6:$J$312,4,0)+AE$5)</f>
        <v>0</v>
      </c>
      <c r="AE103" s="350" t="n">
        <f aca="false">-W103*INDEX(ship_curves,MATCH(AC103,'SHIP CURVES'!$A$9:$A$316,0),MATCH(CONCATENATE(AG$4,AG$5,AG$6,AG$7),'SHIP CURVES'!$A$9:$AZ$9,0))</f>
        <v>-0</v>
      </c>
      <c r="AF103" s="351" t="n">
        <f aca="false">-Y103*INDEX(port_processing_fee,MATCH(AC103,PORTS!$H$626:$H$933,0),MATCH(AG$5,PORTS!$H$626:$Z$626,0))</f>
        <v>-0</v>
      </c>
      <c r="AG103" s="352" t="n">
        <f aca="false">(((VLOOKUP(AC103,curvecalc,4,0))*IF(W103=0,0,AA103/W103)-INDEX(ship_curves,MATCH(AC103,'SHIP CURVES'!$A$9:$A$316,0),MATCH(CONCATENATE(AG$4,AG$5,AG$6,AG$7),'SHIP CURVES'!$A$9:$Z$9,0))-INDEX(terminal_curves,MATCH(AC103,'TERMINAL CURVES'!$A$4:$A$313,0),MATCH(AG$5,'TERMINAL CURVES'!$A$4:$N$4,0))*IF(W103=0,0,Y103/W103))-(AE$8)*((AE$7-$N$5)-(INDEX(ship_curves,MATCH(AC103,'SHIP CURVES'!$A$9:$A$316,0),MATCH(CONCATENATE(AG$4,AG$5,AG$6,AG$7),'SHIP CURVES'!$A$9:$Z$9,0))-INDEX(ship_curves,MATCH(AC103,'SHIP CURVES'!$A$9:$A$316,0),MATCH(CONCATENATE(AG$4,AE$6,AG$6,AG$7),'SHIP CURVES'!$A$9:$Z$9,0)))-(INDEX(terminal_curves,MATCH(AC103,'TERMINAL CURVES'!$A$4:$A$313,0),MATCH(AG$5,'TERMINAL CURVES'!$A$4:$N$4,0))-INDEX(terminal_curves,MATCH(AC103,'TERMINAL CURVES'!$A$4:$A$313,0),MATCH(AE$6,'TERMINAL CURVES'!$A$4:$N$4,0)))*IF(W103=0,0,Y103/W103)))*-W103</f>
        <v>0</v>
      </c>
      <c r="AH103" s="356" t="n">
        <f aca="false">SUM(AE103:AG103)</f>
        <v>0</v>
      </c>
      <c r="AI103" s="357" t="n">
        <f aca="false">(-Y103/((HLOOKUP(AG$5,port_specs,2,0)/(365.25))*(AC104-AC103)))*(INDEX(fixed_capacity_charge,MATCH(AC103,PORTS!$H$11:$H$317,0),MATCH(AG$5,PORTS!$H$11:$N$11,0))+INDEX(variable_om_charge,MATCH(AC103,PORTS!$H$318:$H$625,0),MATCH(AG$5,PORTS!$H$318:$N$318,0)))</f>
        <v>-0</v>
      </c>
      <c r="AJ103" s="343" t="n">
        <f aca="false">+AI103+AH103</f>
        <v>0</v>
      </c>
      <c r="AK103" s="355" t="n">
        <f aca="false">+AJ103+AD103</f>
        <v>0</v>
      </c>
      <c r="AM103" s="346" t="n">
        <f aca="false">+DATE(YEAR(AM102),MONTH(AM102)+1,1)</f>
        <v>39295</v>
      </c>
      <c r="AN103" s="327" t="n">
        <f aca="false">+AP103/(1-HLOOKUP(AO$6,SHIPS,7,0)*INDEX(LADEN_VOYAGE_DAYS,MATCH(CONCATENATE(AO$4,AO$5),LADEN_VOYAGE_ROUTES,0),MATCH(AO$6,LADEN_VOYAGE_SHIPS,0)))</f>
        <v>5395761.47735991</v>
      </c>
      <c r="AO103" s="347" t="n">
        <f aca="false">+AP103-AN103</f>
        <v>-56655.4955122788</v>
      </c>
      <c r="AP103" s="348" t="n">
        <f aca="false">+IF(AND(AO$8&lt;=AM103,AO$9&gt;=AM103),+MIN($B103-SUMIF($H$17:AO$17,AP$17,$H103:AO103),((INDEX(ROUTE_PER_DAY_BY_SHIP,MATCH(CONCATENATE(AO$4,AO$5,AO$7),ROUTE_PER_DAY_ROUTES,0),MATCH(AO$6,ROUTE_PER_DAY_SHIPS,0))*(AM104-AM103))-(INDEX(ROUTE_PER_DAY_BY_SHIP,MATCH(CONCATENATE(AO$4,AO$5,AO$7),ROUTE_PER_DAY_ROUTES,0),MATCH(AO$6,ROUTE_PER_DAY_SHIPS,0))*(AM104-AM103))*HLOOKUP(AO$6,SHIPS,7,0)*INDEX(LADEN_VOYAGE_DAYS,MATCH(CONCATENATE(AO$4,AO$5,AO$7),LADEN_VOYAGE_ROUTES,0),MATCH(AO$6,LADEN_VOYAGE_SHIPS,0)))),0)</f>
        <v>5339105.98184763</v>
      </c>
      <c r="AQ103" s="349" t="n">
        <f aca="false">-(AP103)*PORTS!$I$6</f>
        <v>-133477.649546191</v>
      </c>
      <c r="AR103" s="327" t="n">
        <f aca="false">+AP103+AQ103</f>
        <v>5205628.33230144</v>
      </c>
      <c r="AS103" s="333"/>
      <c r="AT103" s="346" t="n">
        <f aca="false">+DATE(YEAR(AT102),MONTH(AT102)+1,1)</f>
        <v>39295</v>
      </c>
      <c r="AU103" s="343" t="n">
        <f aca="false">+AR103*(VLOOKUP(AT103,CURVECALC!$C$6:$J$312,4,0)+AV$5)</f>
        <v>16637188.1500354</v>
      </c>
      <c r="AV103" s="350" t="n">
        <f aca="false">-AN103*INDEX(ship_curves,MATCH(AT103,'SHIP CURVES'!$A$9:$A$316,0),MATCH(CONCATENATE(AX$4,AX$5,AX$6,AX$7),'SHIP CURVES'!$A$9:$AZ$9,0))</f>
        <v>-1777558.17927314</v>
      </c>
      <c r="AW103" s="351" t="n">
        <f aca="false">-AP103*INDEX(port_processing_fee,MATCH(AT103,PORTS!$H$626:$H$933,0),MATCH(AX$5,PORTS!$H$626:$Z$626,0))</f>
        <v>-154516.443453646</v>
      </c>
      <c r="AX103" s="352" t="n">
        <f aca="false">(((VLOOKUP(AT103,curvecalc,4,0))*IF(AN103=0,0,AR103/AN103)-INDEX(ship_curves,MATCH(AT103,'SHIP CURVES'!$A$9:$A$316,0),MATCH(CONCATENATE(AX$4,AX$5,AX$6,AX$7),'SHIP CURVES'!$A$9:$Z$9,0))-INDEX(terminal_curves,MATCH(AT103,'TERMINAL CURVES'!$A$4:$A$313,0),MATCH(AX$5,'TERMINAL CURVES'!$A$4:$N$4,0))*IF(AN103=0,0,AP103/AN103))-(AV$8)*((AV$7-$N$5)-(INDEX(ship_curves,MATCH(AT103,'SHIP CURVES'!$A$9:$A$316,0),MATCH(CONCATENATE(AX$4,AX$5,AX$6,AX$7),'SHIP CURVES'!$A$9:$Z$9,0))-INDEX(ship_curves,MATCH(AT103,'SHIP CURVES'!$A$9:$A$316,0),MATCH(CONCATENATE(AX$4,AV$6,AX$6,AX$7),'SHIP CURVES'!$A$9:$Z$9,0)))-(INDEX(terminal_curves,MATCH(AT103,'TERMINAL CURVES'!$A$4:$A$313,0),MATCH(AX$5,'TERMINAL CURVES'!$A$4:$N$4,0))-INDEX(terminal_curves,MATCH(AT103,'TERMINAL CURVES'!$A$4:$A$313,0),MATCH(AV$6,'TERMINAL CURVES'!$A$4:$N$4,0)))*IF(AN103=0,0,AP103/AN103)))*-AN103</f>
        <v>-13618025.2008738</v>
      </c>
      <c r="AY103" s="356" t="n">
        <f aca="false">SUM(AV103:AX103)</f>
        <v>-15550099.8236005</v>
      </c>
      <c r="AZ103" s="357" t="n">
        <f aca="false">(-AP103/((HLOOKUP(AX$5,port_specs,2,0)/(365.25))*(AT104-AT103)))*(INDEX(fixed_capacity_charge,MATCH(AT103,PORTS!$H$11:$H$317,0),MATCH(AX$5,PORTS!$H$11:$N$11,0))+INDEX(variable_om_charge,MATCH(AT103,PORTS!$H$318:$H$625,0),MATCH(AX$5,PORTS!$H$318:$N$318,0)))</f>
        <v>-982975.759788844</v>
      </c>
      <c r="BA103" s="343" t="n">
        <f aca="false">+AZ103+AY103</f>
        <v>-16533075.5833894</v>
      </c>
      <c r="BB103" s="355" t="n">
        <f aca="false">+BA103+AU103</f>
        <v>104112.566646032</v>
      </c>
      <c r="BC103" s="99"/>
      <c r="BD103" s="357" t="n">
        <f aca="false">+PORTS!I97+PORTS!I405</f>
        <v>982975.759788844</v>
      </c>
    </row>
    <row r="104" customFormat="false" ht="12.75" hidden="false" customHeight="false" outlineLevel="0" collapsed="false">
      <c r="A104" s="346" t="n">
        <f aca="false">+DATE(YEAR(A103),MONTH(A103)+1,1)</f>
        <v>39326</v>
      </c>
      <c r="B104" s="327" t="n">
        <f aca="false">+IF(AND($A104&gt;=$C$8,$A104&lt;=$C$9),1,0)*PORTS!$I$5/(365.25)*(A105-A104)</f>
        <v>5166876.75662674</v>
      </c>
      <c r="C104" s="328" t="n">
        <f aca="false">+B104-(SUMIF($F$17:$IV$17,$H$17,$F104:$IV104))</f>
        <v>0</v>
      </c>
      <c r="D104" s="0" t="n">
        <f aca="false">+YEAR(E104)</f>
        <v>2007</v>
      </c>
      <c r="E104" s="346" t="n">
        <f aca="false">+DATE(YEAR(E103),MONTH(E103)+1,1)</f>
        <v>39326</v>
      </c>
      <c r="F104" s="327" t="n">
        <f aca="false">+IF(AND(G$8&lt;=E104,G$9&gt;=E104),INDEX(ROUTE_PER_DAY_BY_SHIP,MATCH(CONCATENATE(G$4,G$5,G$7),ROUTE_PER_DAY_ROUTES,0),MATCH(G$6,ROUTE_PER_DAY_SHIPS,0))*(E105-E104),0)</f>
        <v>0</v>
      </c>
      <c r="G104" s="347" t="n">
        <f aca="false">-F104*HLOOKUP(G$6,SHIPS,7,0)*INDEX(LADEN_VOYAGE_DAYS,MATCH(CONCATENATE(G$4,G$5,G$7),LADEN_VOYAGE_ROUTES,0),MATCH(G$6,LADEN_VOYAGE_SHIPS,0))</f>
        <v>-0</v>
      </c>
      <c r="H104" s="348" t="n">
        <f aca="false">SUM(F104:G104)</f>
        <v>0</v>
      </c>
      <c r="I104" s="349" t="n">
        <f aca="false">-(H104)*HLOOKUP(G$5,TERMINAL_CHARGES,3,0)</f>
        <v>-0</v>
      </c>
      <c r="J104" s="327" t="n">
        <f aca="false">+H104+I104</f>
        <v>0</v>
      </c>
      <c r="K104" s="333"/>
      <c r="L104" s="346" t="n">
        <f aca="false">+DATE(YEAR(L103),MONTH(L103)+1,1)</f>
        <v>39326</v>
      </c>
      <c r="M104" s="334" t="n">
        <f aca="false">+J104*(VLOOKUP(L104,CURVECALC!$C$6:$J$312,4,0)+N$5)</f>
        <v>0</v>
      </c>
      <c r="N104" s="350" t="n">
        <f aca="false">-F104*INDEX(ship_curves,MATCH(L104,'SHIP CURVES'!$A$9:$A$316,0),MATCH(CONCATENATE(P$4,P$5,P$6,P$7),'SHIP CURVES'!$A$9:$AZ$9,0))</f>
        <v>-0</v>
      </c>
      <c r="O104" s="351" t="n">
        <f aca="false">-H104*INDEX(port_processing_fee,MATCH(L104,PORTS!$H$626:$H$933,0),MATCH(P$5,PORTS!$H$626:$Z$626,0))</f>
        <v>-0</v>
      </c>
      <c r="P104" s="352" t="n">
        <f aca="false">(((VLOOKUP(L104,curvecalc,4,0))*IF(F104=0,0,J104/F104)-INDEX(ship_curves,MATCH(L104,'SHIP CURVES'!$A$9:$A$316,0),MATCH(CONCATENATE(P$4,P$5,P$6,P$7),'SHIP CURVES'!$A$9:$Z$9,0))-INDEX(terminal_curves,MATCH(L104,'TERMINAL CURVES'!$A$4:$A$313,0),MATCH(P$5,'TERMINAL CURVES'!$A$4:$N$4,0))*IF(F104=0,0,H104/F104))-(N$8)*((N$7-$N$5)-(INDEX(ship_curves,MATCH(L104,'SHIP CURVES'!$A$9:$A$316,0),MATCH(CONCATENATE(P$4,P$5,P$6,P$7),'SHIP CURVES'!$A$9:$Z$9,0))-INDEX(ship_curves,MATCH(L104,'SHIP CURVES'!$A$9:$A$316,0),MATCH(CONCATENATE(P$4,N$6,P$6,P$7),'SHIP CURVES'!$A$9:$Z$9,0)))-(INDEX(terminal_curves,MATCH(L104,'TERMINAL CURVES'!$A$4:$A$313,0),MATCH(P$5,'TERMINAL CURVES'!$A$4:$N$4,0))-INDEX(terminal_curves,MATCH(L104,'TERMINAL CURVES'!$A$4:$A$313,0),MATCH(N$6,'TERMINAL CURVES'!$A$4:$N$4,0)))*IF(F104=0,0,H104/F104)))*-F104</f>
        <v>0</v>
      </c>
      <c r="Q104" s="353" t="n">
        <f aca="false">SUM(N104:P104)</f>
        <v>0</v>
      </c>
      <c r="R104" s="357" t="n">
        <f aca="false">(-H104/((HLOOKUP(P$5,port_specs,2,0)/(365.25))*(L105-L104)))*(INDEX(fixed_capacity_charge,MATCH(L104,PORTS!$H$11:$H$317,0),MATCH(P$5,PORTS!$H$11:$N$11,0))+INDEX(variable_om_charge,MATCH(L104,PORTS!$H$318:$H$625,0),MATCH(P$5,PORTS!$H$318:$N$318,0)))</f>
        <v>-0</v>
      </c>
      <c r="S104" s="343" t="n">
        <f aca="false">+R104+Q104</f>
        <v>0</v>
      </c>
      <c r="T104" s="355" t="n">
        <f aca="false">+S104+M104</f>
        <v>0</v>
      </c>
      <c r="V104" s="346" t="n">
        <f aca="false">+DATE(YEAR(V103),MONTH(V103)+1,1)</f>
        <v>39326</v>
      </c>
      <c r="W104" s="327" t="n">
        <f aca="false">+Y104/(1-HLOOKUP(X$6,SHIPS,7,0)*INDEX(LADEN_VOYAGE_DAYS,MATCH(CONCATENATE(X$4,X$5),LADEN_VOYAGE_ROUTES,0),MATCH(X$6,LADEN_VOYAGE_SHIPS,0)))</f>
        <v>0</v>
      </c>
      <c r="X104" s="347" t="n">
        <f aca="false">+Y104-W104</f>
        <v>0</v>
      </c>
      <c r="Y104" s="348" t="n">
        <f aca="false">+IF(AND(X$8&lt;=V104,X$9&gt;=V104),+MIN($B104-SUMIF($H$17:X$17,Y$17,$H104:X104),((INDEX(ROUTE_PER_DAY_BY_SHIP,MATCH(CONCATENATE(X$4,X$5,X$7),ROUTE_PER_DAY_ROUTES,0),MATCH(X$6,ROUTE_PER_DAY_SHIPS,0))*(V105-V104))-(INDEX(ROUTE_PER_DAY_BY_SHIP,MATCH(CONCATENATE(X$4,X$5,X$7),ROUTE_PER_DAY_ROUTES,0),MATCH(X$6,ROUTE_PER_DAY_SHIPS,0))*(V105-V104))*HLOOKUP(X$6,SHIPS,7,0)*INDEX(LADEN_VOYAGE_DAYS,MATCH(CONCATENATE(X$4,X$5,X$7),LADEN_VOYAGE_ROUTES,0),MATCH(X$6,LADEN_VOYAGE_SHIPS,0)))),0)</f>
        <v>0</v>
      </c>
      <c r="Z104" s="349" t="n">
        <f aca="false">-(Y104)*HLOOKUP(X$5,TERMINAL_CHARGES,3,0)</f>
        <v>-0</v>
      </c>
      <c r="AA104" s="327" t="n">
        <f aca="false">+Y104+Z104</f>
        <v>0</v>
      </c>
      <c r="AB104" s="333"/>
      <c r="AC104" s="346" t="n">
        <f aca="false">+DATE(YEAR(AC103),MONTH(AC103)+1,1)</f>
        <v>39326</v>
      </c>
      <c r="AD104" s="343" t="n">
        <f aca="false">+AA104*(VLOOKUP(AC104,CURVECALC!$C$6:$J$312,4,0)+AE$5)</f>
        <v>0</v>
      </c>
      <c r="AE104" s="350" t="n">
        <f aca="false">-W104*INDEX(ship_curves,MATCH(AC104,'SHIP CURVES'!$A$9:$A$316,0),MATCH(CONCATENATE(AG$4,AG$5,AG$6,AG$7),'SHIP CURVES'!$A$9:$AZ$9,0))</f>
        <v>-0</v>
      </c>
      <c r="AF104" s="351" t="n">
        <f aca="false">-Y104*INDEX(port_processing_fee,MATCH(AC104,PORTS!$H$626:$H$933,0),MATCH(AG$5,PORTS!$H$626:$Z$626,0))</f>
        <v>-0</v>
      </c>
      <c r="AG104" s="352" t="n">
        <f aca="false">(((VLOOKUP(AC104,curvecalc,4,0))*IF(W104=0,0,AA104/W104)-INDEX(ship_curves,MATCH(AC104,'SHIP CURVES'!$A$9:$A$316,0),MATCH(CONCATENATE(AG$4,AG$5,AG$6,AG$7),'SHIP CURVES'!$A$9:$Z$9,0))-INDEX(terminal_curves,MATCH(AC104,'TERMINAL CURVES'!$A$4:$A$313,0),MATCH(AG$5,'TERMINAL CURVES'!$A$4:$N$4,0))*IF(W104=0,0,Y104/W104))-(AE$8)*((AE$7-$N$5)-(INDEX(ship_curves,MATCH(AC104,'SHIP CURVES'!$A$9:$A$316,0),MATCH(CONCATENATE(AG$4,AG$5,AG$6,AG$7),'SHIP CURVES'!$A$9:$Z$9,0))-INDEX(ship_curves,MATCH(AC104,'SHIP CURVES'!$A$9:$A$316,0),MATCH(CONCATENATE(AG$4,AE$6,AG$6,AG$7),'SHIP CURVES'!$A$9:$Z$9,0)))-(INDEX(terminal_curves,MATCH(AC104,'TERMINAL CURVES'!$A$4:$A$313,0),MATCH(AG$5,'TERMINAL CURVES'!$A$4:$N$4,0))-INDEX(terminal_curves,MATCH(AC104,'TERMINAL CURVES'!$A$4:$A$313,0),MATCH(AE$6,'TERMINAL CURVES'!$A$4:$N$4,0)))*IF(W104=0,0,Y104/W104)))*-W104</f>
        <v>0</v>
      </c>
      <c r="AH104" s="356" t="n">
        <f aca="false">SUM(AE104:AG104)</f>
        <v>0</v>
      </c>
      <c r="AI104" s="357" t="n">
        <f aca="false">(-Y104/((HLOOKUP(AG$5,port_specs,2,0)/(365.25))*(AC105-AC104)))*(INDEX(fixed_capacity_charge,MATCH(AC104,PORTS!$H$11:$H$317,0),MATCH(AG$5,PORTS!$H$11:$N$11,0))+INDEX(variable_om_charge,MATCH(AC104,PORTS!$H$318:$H$625,0),MATCH(AG$5,PORTS!$H$318:$N$318,0)))</f>
        <v>-0</v>
      </c>
      <c r="AJ104" s="343" t="n">
        <f aca="false">+AI104+AH104</f>
        <v>0</v>
      </c>
      <c r="AK104" s="355" t="n">
        <f aca="false">+AJ104+AD104</f>
        <v>0</v>
      </c>
      <c r="AM104" s="346" t="n">
        <f aca="false">+DATE(YEAR(AM103),MONTH(AM103)+1,1)</f>
        <v>39326</v>
      </c>
      <c r="AN104" s="327" t="n">
        <f aca="false">+AP104/(1-HLOOKUP(AO$6,SHIPS,7,0)*INDEX(LADEN_VOYAGE_DAYS,MATCH(CONCATENATE(AO$4,AO$5),LADEN_VOYAGE_ROUTES,0),MATCH(AO$6,LADEN_VOYAGE_SHIPS,0)))</f>
        <v>5221704.65550959</v>
      </c>
      <c r="AO104" s="347" t="n">
        <f aca="false">+AP104-AN104</f>
        <v>-54827.8988828501</v>
      </c>
      <c r="AP104" s="348" t="n">
        <f aca="false">+IF(AND(AO$8&lt;=AM104,AO$9&gt;=AM104),+MIN($B104-SUMIF($H$17:AO$17,AP$17,$H104:AO104),((INDEX(ROUTE_PER_DAY_BY_SHIP,MATCH(CONCATENATE(AO$4,AO$5,AO$7),ROUTE_PER_DAY_ROUTES,0),MATCH(AO$6,ROUTE_PER_DAY_SHIPS,0))*(AM105-AM104))-(INDEX(ROUTE_PER_DAY_BY_SHIP,MATCH(CONCATENATE(AO$4,AO$5,AO$7),ROUTE_PER_DAY_ROUTES,0),MATCH(AO$6,ROUTE_PER_DAY_SHIPS,0))*(AM105-AM104))*HLOOKUP(AO$6,SHIPS,7,0)*INDEX(LADEN_VOYAGE_DAYS,MATCH(CONCATENATE(AO$4,AO$5,AO$7),LADEN_VOYAGE_ROUTES,0),MATCH(AO$6,LADEN_VOYAGE_SHIPS,0)))),0)</f>
        <v>5166876.75662674</v>
      </c>
      <c r="AQ104" s="349" t="n">
        <f aca="false">-(AP104)*PORTS!$I$6</f>
        <v>-129171.918915669</v>
      </c>
      <c r="AR104" s="327" t="n">
        <f aca="false">+AP104+AQ104</f>
        <v>5037704.83771107</v>
      </c>
      <c r="AS104" s="333"/>
      <c r="AT104" s="346" t="n">
        <f aca="false">+DATE(YEAR(AT103),MONTH(AT103)+1,1)</f>
        <v>39326</v>
      </c>
      <c r="AU104" s="343" t="n">
        <f aca="false">+AR104*(VLOOKUP(AT104,CURVECALC!$C$6:$J$312,4,0)+AV$5)</f>
        <v>16029976.7935966</v>
      </c>
      <c r="AV104" s="350" t="n">
        <f aca="false">-AN104*INDEX(ship_curves,MATCH(AT104,'SHIP CURVES'!$A$9:$A$316,0),MATCH(CONCATENATE(AX$4,AX$5,AX$6,AX$7),'SHIP CURVES'!$A$9:$AZ$9,0))</f>
        <v>-1720708.78327291</v>
      </c>
      <c r="AW104" s="351" t="n">
        <f aca="false">-AP104*INDEX(port_processing_fee,MATCH(AT104,PORTS!$H$626:$H$933,0),MATCH(AX$5,PORTS!$H$626:$Z$626,0))</f>
        <v>-149687.80459572</v>
      </c>
      <c r="AX104" s="352" t="n">
        <f aca="false">(((VLOOKUP(AT104,curvecalc,4,0))*IF(AN104=0,0,AR104/AN104)-INDEX(ship_curves,MATCH(AT104,'SHIP CURVES'!$A$9:$A$316,0),MATCH(CONCATENATE(AX$4,AX$5,AX$6,AX$7),'SHIP CURVES'!$A$9:$Z$9,0))-INDEX(terminal_curves,MATCH(AT104,'TERMINAL CURVES'!$A$4:$A$313,0),MATCH(AX$5,'TERMINAL CURVES'!$A$4:$N$4,0))*IF(AN104=0,0,AP104/AN104))-(AV$8)*((AV$7-$N$5)-(INDEX(ship_curves,MATCH(AT104,'SHIP CURVES'!$A$9:$A$316,0),MATCH(CONCATENATE(AX$4,AX$5,AX$6,AX$7),'SHIP CURVES'!$A$9:$Z$9,0))-INDEX(ship_curves,MATCH(AT104,'SHIP CURVES'!$A$9:$A$316,0),MATCH(CONCATENATE(AX$4,AV$6,AX$6,AX$7),'SHIP CURVES'!$A$9:$Z$9,0)))-(INDEX(terminal_curves,MATCH(AT104,'TERMINAL CURVES'!$A$4:$A$313,0),MATCH(AX$5,'TERMINAL CURVES'!$A$4:$N$4,0))-INDEX(terminal_curves,MATCH(AT104,'TERMINAL CURVES'!$A$4:$A$313,0),MATCH(AV$6,'TERMINAL CURVES'!$A$4:$N$4,0)))*IF(AN104=0,0,AP104/AN104)))*-AN104</f>
        <v>-13075331.8187799</v>
      </c>
      <c r="AY104" s="356" t="n">
        <f aca="false">SUM(AV104:AX104)</f>
        <v>-14945728.4066485</v>
      </c>
      <c r="AZ104" s="357" t="n">
        <f aca="false">(-AP104/((HLOOKUP(AX$5,port_specs,2,0)/(365.25))*(AT105-AT104)))*(INDEX(fixed_capacity_charge,MATCH(AT104,PORTS!$H$11:$H$317,0),MATCH(AX$5,PORTS!$H$11:$N$11,0))+INDEX(variable_om_charge,MATCH(AT104,PORTS!$H$318:$H$625,0),MATCH(AX$5,PORTS!$H$318:$N$318,0)))</f>
        <v>-983494.290193928</v>
      </c>
      <c r="BA104" s="343" t="n">
        <f aca="false">+AZ104+AY104</f>
        <v>-15929222.6968424</v>
      </c>
      <c r="BB104" s="355" t="n">
        <f aca="false">+BA104+AU104</f>
        <v>100754.096754221</v>
      </c>
      <c r="BC104" s="99"/>
      <c r="BD104" s="357" t="n">
        <f aca="false">+PORTS!I98+PORTS!I406</f>
        <v>983494.290193928</v>
      </c>
    </row>
    <row r="105" customFormat="false" ht="12.75" hidden="false" customHeight="false" outlineLevel="0" collapsed="false">
      <c r="A105" s="346" t="n">
        <f aca="false">+DATE(YEAR(A104),MONTH(A104)+1,1)</f>
        <v>39356</v>
      </c>
      <c r="B105" s="327" t="n">
        <f aca="false">+IF(AND($A105&gt;=$C$8,$A105&lt;=$C$9),1,0)*PORTS!$I$5/(365.25)*(A106-A105)</f>
        <v>5339105.98184763</v>
      </c>
      <c r="C105" s="328" t="n">
        <f aca="false">+B105-(SUMIF($F$17:$IV$17,$H$17,$F105:$IV105))</f>
        <v>0</v>
      </c>
      <c r="D105" s="0" t="n">
        <f aca="false">+YEAR(E105)</f>
        <v>2007</v>
      </c>
      <c r="E105" s="346" t="n">
        <f aca="false">+DATE(YEAR(E104),MONTH(E104)+1,1)</f>
        <v>39356</v>
      </c>
      <c r="F105" s="327" t="n">
        <f aca="false">+IF(AND(G$8&lt;=E105,G$9&gt;=E105),INDEX(ROUTE_PER_DAY_BY_SHIP,MATCH(CONCATENATE(G$4,G$5,G$7),ROUTE_PER_DAY_ROUTES,0),MATCH(G$6,ROUTE_PER_DAY_SHIPS,0))*(E106-E105),0)</f>
        <v>0</v>
      </c>
      <c r="G105" s="347" t="n">
        <f aca="false">-F105*HLOOKUP(G$6,SHIPS,7,0)*INDEX(LADEN_VOYAGE_DAYS,MATCH(CONCATENATE(G$4,G$5,G$7),LADEN_VOYAGE_ROUTES,0),MATCH(G$6,LADEN_VOYAGE_SHIPS,0))</f>
        <v>-0</v>
      </c>
      <c r="H105" s="348" t="n">
        <f aca="false">SUM(F105:G105)</f>
        <v>0</v>
      </c>
      <c r="I105" s="349" t="n">
        <f aca="false">-(H105)*HLOOKUP(G$5,TERMINAL_CHARGES,3,0)</f>
        <v>-0</v>
      </c>
      <c r="J105" s="327" t="n">
        <f aca="false">+H105+I105</f>
        <v>0</v>
      </c>
      <c r="K105" s="333"/>
      <c r="L105" s="346" t="n">
        <f aca="false">+DATE(YEAR(L104),MONTH(L104)+1,1)</f>
        <v>39356</v>
      </c>
      <c r="M105" s="334" t="n">
        <f aca="false">+J105*(VLOOKUP(L105,CURVECALC!$C$6:$J$312,4,0)+N$5)</f>
        <v>0</v>
      </c>
      <c r="N105" s="350" t="n">
        <f aca="false">-F105*INDEX(ship_curves,MATCH(L105,'SHIP CURVES'!$A$9:$A$316,0),MATCH(CONCATENATE(P$4,P$5,P$6,P$7),'SHIP CURVES'!$A$9:$AZ$9,0))</f>
        <v>-0</v>
      </c>
      <c r="O105" s="351" t="n">
        <f aca="false">-H105*INDEX(port_processing_fee,MATCH(L105,PORTS!$H$626:$H$933,0),MATCH(P$5,PORTS!$H$626:$Z$626,0))</f>
        <v>-0</v>
      </c>
      <c r="P105" s="352" t="n">
        <f aca="false">(((VLOOKUP(L105,curvecalc,4,0))*IF(F105=0,0,J105/F105)-INDEX(ship_curves,MATCH(L105,'SHIP CURVES'!$A$9:$A$316,0),MATCH(CONCATENATE(P$4,P$5,P$6,P$7),'SHIP CURVES'!$A$9:$Z$9,0))-INDEX(terminal_curves,MATCH(L105,'TERMINAL CURVES'!$A$4:$A$313,0),MATCH(P$5,'TERMINAL CURVES'!$A$4:$N$4,0))*IF(F105=0,0,H105/F105))-(N$8)*((N$7-$N$5)-(INDEX(ship_curves,MATCH(L105,'SHIP CURVES'!$A$9:$A$316,0),MATCH(CONCATENATE(P$4,P$5,P$6,P$7),'SHIP CURVES'!$A$9:$Z$9,0))-INDEX(ship_curves,MATCH(L105,'SHIP CURVES'!$A$9:$A$316,0),MATCH(CONCATENATE(P$4,N$6,P$6,P$7),'SHIP CURVES'!$A$9:$Z$9,0)))-(INDEX(terminal_curves,MATCH(L105,'TERMINAL CURVES'!$A$4:$A$313,0),MATCH(P$5,'TERMINAL CURVES'!$A$4:$N$4,0))-INDEX(terminal_curves,MATCH(L105,'TERMINAL CURVES'!$A$4:$A$313,0),MATCH(N$6,'TERMINAL CURVES'!$A$4:$N$4,0)))*IF(F105=0,0,H105/F105)))*-F105</f>
        <v>0</v>
      </c>
      <c r="Q105" s="353" t="n">
        <f aca="false">SUM(N105:P105)</f>
        <v>0</v>
      </c>
      <c r="R105" s="357" t="n">
        <f aca="false">(-H105/((HLOOKUP(P$5,port_specs,2,0)/(365.25))*(L106-L105)))*(INDEX(fixed_capacity_charge,MATCH(L105,PORTS!$H$11:$H$317,0),MATCH(P$5,PORTS!$H$11:$N$11,0))+INDEX(variable_om_charge,MATCH(L105,PORTS!$H$318:$H$625,0),MATCH(P$5,PORTS!$H$318:$N$318,0)))</f>
        <v>-0</v>
      </c>
      <c r="S105" s="343" t="n">
        <f aca="false">+R105+Q105</f>
        <v>0</v>
      </c>
      <c r="T105" s="355" t="n">
        <f aca="false">+S105+M105</f>
        <v>0</v>
      </c>
      <c r="V105" s="346" t="n">
        <f aca="false">+DATE(YEAR(V104),MONTH(V104)+1,1)</f>
        <v>39356</v>
      </c>
      <c r="W105" s="327" t="n">
        <f aca="false">+Y105/(1-HLOOKUP(X$6,SHIPS,7,0)*INDEX(LADEN_VOYAGE_DAYS,MATCH(CONCATENATE(X$4,X$5),LADEN_VOYAGE_ROUTES,0),MATCH(X$6,LADEN_VOYAGE_SHIPS,0)))</f>
        <v>0</v>
      </c>
      <c r="X105" s="347" t="n">
        <f aca="false">+Y105-W105</f>
        <v>0</v>
      </c>
      <c r="Y105" s="348" t="n">
        <f aca="false">+IF(AND(X$8&lt;=V105,X$9&gt;=V105),+MIN($B105-SUMIF($H$17:X$17,Y$17,$H105:X105),((INDEX(ROUTE_PER_DAY_BY_SHIP,MATCH(CONCATENATE(X$4,X$5,X$7),ROUTE_PER_DAY_ROUTES,0),MATCH(X$6,ROUTE_PER_DAY_SHIPS,0))*(V106-V105))-(INDEX(ROUTE_PER_DAY_BY_SHIP,MATCH(CONCATENATE(X$4,X$5,X$7),ROUTE_PER_DAY_ROUTES,0),MATCH(X$6,ROUTE_PER_DAY_SHIPS,0))*(V106-V105))*HLOOKUP(X$6,SHIPS,7,0)*INDEX(LADEN_VOYAGE_DAYS,MATCH(CONCATENATE(X$4,X$5,X$7),LADEN_VOYAGE_ROUTES,0),MATCH(X$6,LADEN_VOYAGE_SHIPS,0)))),0)</f>
        <v>0</v>
      </c>
      <c r="Z105" s="349" t="n">
        <f aca="false">-(Y105)*HLOOKUP(X$5,TERMINAL_CHARGES,3,0)</f>
        <v>-0</v>
      </c>
      <c r="AA105" s="327" t="n">
        <f aca="false">+Y105+Z105</f>
        <v>0</v>
      </c>
      <c r="AB105" s="333"/>
      <c r="AC105" s="346" t="n">
        <f aca="false">+DATE(YEAR(AC104),MONTH(AC104)+1,1)</f>
        <v>39356</v>
      </c>
      <c r="AD105" s="343" t="n">
        <f aca="false">+AA105*(VLOOKUP(AC105,CURVECALC!$C$6:$J$312,4,0)+AE$5)</f>
        <v>0</v>
      </c>
      <c r="AE105" s="350" t="n">
        <f aca="false">-W105*INDEX(ship_curves,MATCH(AC105,'SHIP CURVES'!$A$9:$A$316,0),MATCH(CONCATENATE(AG$4,AG$5,AG$6,AG$7),'SHIP CURVES'!$A$9:$AZ$9,0))</f>
        <v>-0</v>
      </c>
      <c r="AF105" s="351" t="n">
        <f aca="false">-Y105*INDEX(port_processing_fee,MATCH(AC105,PORTS!$H$626:$H$933,0),MATCH(AG$5,PORTS!$H$626:$Z$626,0))</f>
        <v>-0</v>
      </c>
      <c r="AG105" s="352" t="n">
        <f aca="false">(((VLOOKUP(AC105,curvecalc,4,0))*IF(W105=0,0,AA105/W105)-INDEX(ship_curves,MATCH(AC105,'SHIP CURVES'!$A$9:$A$316,0),MATCH(CONCATENATE(AG$4,AG$5,AG$6,AG$7),'SHIP CURVES'!$A$9:$Z$9,0))-INDEX(terminal_curves,MATCH(AC105,'TERMINAL CURVES'!$A$4:$A$313,0),MATCH(AG$5,'TERMINAL CURVES'!$A$4:$N$4,0))*IF(W105=0,0,Y105/W105))-(AE$8)*((AE$7-$N$5)-(INDEX(ship_curves,MATCH(AC105,'SHIP CURVES'!$A$9:$A$316,0),MATCH(CONCATENATE(AG$4,AG$5,AG$6,AG$7),'SHIP CURVES'!$A$9:$Z$9,0))-INDEX(ship_curves,MATCH(AC105,'SHIP CURVES'!$A$9:$A$316,0),MATCH(CONCATENATE(AG$4,AE$6,AG$6,AG$7),'SHIP CURVES'!$A$9:$Z$9,0)))-(INDEX(terminal_curves,MATCH(AC105,'TERMINAL CURVES'!$A$4:$A$313,0),MATCH(AG$5,'TERMINAL CURVES'!$A$4:$N$4,0))-INDEX(terminal_curves,MATCH(AC105,'TERMINAL CURVES'!$A$4:$A$313,0),MATCH(AE$6,'TERMINAL CURVES'!$A$4:$N$4,0)))*IF(W105=0,0,Y105/W105)))*-W105</f>
        <v>0</v>
      </c>
      <c r="AH105" s="356" t="n">
        <f aca="false">SUM(AE105:AG105)</f>
        <v>0</v>
      </c>
      <c r="AI105" s="357" t="n">
        <f aca="false">(-Y105/((HLOOKUP(AG$5,port_specs,2,0)/(365.25))*(AC106-AC105)))*(INDEX(fixed_capacity_charge,MATCH(AC105,PORTS!$H$11:$H$317,0),MATCH(AG$5,PORTS!$H$11:$N$11,0))+INDEX(variable_om_charge,MATCH(AC105,PORTS!$H$318:$H$625,0),MATCH(AG$5,PORTS!$H$318:$N$318,0)))</f>
        <v>-0</v>
      </c>
      <c r="AJ105" s="343" t="n">
        <f aca="false">+AI105+AH105</f>
        <v>0</v>
      </c>
      <c r="AK105" s="355" t="n">
        <f aca="false">+AJ105+AD105</f>
        <v>0</v>
      </c>
      <c r="AM105" s="346" t="n">
        <f aca="false">+DATE(YEAR(AM104),MONTH(AM104)+1,1)</f>
        <v>39356</v>
      </c>
      <c r="AN105" s="327" t="n">
        <f aca="false">+AP105/(1-HLOOKUP(AO$6,SHIPS,7,0)*INDEX(LADEN_VOYAGE_DAYS,MATCH(CONCATENATE(AO$4,AO$5),LADEN_VOYAGE_ROUTES,0),MATCH(AO$6,LADEN_VOYAGE_SHIPS,0)))</f>
        <v>5395761.47735991</v>
      </c>
      <c r="AO105" s="347" t="n">
        <f aca="false">+AP105-AN105</f>
        <v>-56655.4955122788</v>
      </c>
      <c r="AP105" s="348" t="n">
        <f aca="false">+IF(AND(AO$8&lt;=AM105,AO$9&gt;=AM105),+MIN($B105-SUMIF($H$17:AO$17,AP$17,$H105:AO105),((INDEX(ROUTE_PER_DAY_BY_SHIP,MATCH(CONCATENATE(AO$4,AO$5,AO$7),ROUTE_PER_DAY_ROUTES,0),MATCH(AO$6,ROUTE_PER_DAY_SHIPS,0))*(AM106-AM105))-(INDEX(ROUTE_PER_DAY_BY_SHIP,MATCH(CONCATENATE(AO$4,AO$5,AO$7),ROUTE_PER_DAY_ROUTES,0),MATCH(AO$6,ROUTE_PER_DAY_SHIPS,0))*(AM106-AM105))*HLOOKUP(AO$6,SHIPS,7,0)*INDEX(LADEN_VOYAGE_DAYS,MATCH(CONCATENATE(AO$4,AO$5,AO$7),LADEN_VOYAGE_ROUTES,0),MATCH(AO$6,LADEN_VOYAGE_SHIPS,0)))),0)</f>
        <v>5339105.98184763</v>
      </c>
      <c r="AQ105" s="349" t="n">
        <f aca="false">-(AP105)*PORTS!$I$6</f>
        <v>-133477.649546191</v>
      </c>
      <c r="AR105" s="327" t="n">
        <f aca="false">+AP105+AQ105</f>
        <v>5205628.33230144</v>
      </c>
      <c r="AS105" s="333"/>
      <c r="AT105" s="346" t="n">
        <f aca="false">+DATE(YEAR(AT104),MONTH(AT104)+1,1)</f>
        <v>39356</v>
      </c>
      <c r="AU105" s="343" t="n">
        <f aca="false">+AR105*(VLOOKUP(AT105,CURVECALC!$C$6:$J$312,4,0)+AV$5)</f>
        <v>16647599.4067</v>
      </c>
      <c r="AV105" s="350" t="n">
        <f aca="false">-AN105*INDEX(ship_curves,MATCH(AT105,'SHIP CURVES'!$A$9:$A$316,0),MATCH(CONCATENATE(AX$4,AX$5,AX$6,AX$7),'SHIP CURVES'!$A$9:$AZ$9,0))</f>
        <v>-1778574.36358138</v>
      </c>
      <c r="AW105" s="351" t="n">
        <f aca="false">-AP105*INDEX(port_processing_fee,MATCH(AT105,PORTS!$H$626:$H$933,0),MATCH(AX$5,PORTS!$H$626:$Z$626,0))</f>
        <v>-154838.520371913</v>
      </c>
      <c r="AX105" s="352" t="n">
        <f aca="false">(((VLOOKUP(AT105,curvecalc,4,0))*IF(AN105=0,0,AR105/AN105)-INDEX(ship_curves,MATCH(AT105,'SHIP CURVES'!$A$9:$A$316,0),MATCH(CONCATENATE(AX$4,AX$5,AX$6,AX$7),'SHIP CURVES'!$A$9:$Z$9,0))-INDEX(terminal_curves,MATCH(AT105,'TERMINAL CURVES'!$A$4:$A$313,0),MATCH(AX$5,'TERMINAL CURVES'!$A$4:$N$4,0))*IF(AN105=0,0,AP105/AN105))-(AV$8)*((AV$7-$N$5)-(INDEX(ship_curves,MATCH(AT105,'SHIP CURVES'!$A$9:$A$316,0),MATCH(CONCATENATE(AX$4,AX$5,AX$6,AX$7),'SHIP CURVES'!$A$9:$Z$9,0))-INDEX(ship_curves,MATCH(AT105,'SHIP CURVES'!$A$9:$A$316,0),MATCH(CONCATENATE(AX$4,AV$6,AX$6,AX$7),'SHIP CURVES'!$A$9:$Z$9,0)))-(INDEX(terminal_curves,MATCH(AT105,'TERMINAL CURVES'!$A$4:$A$313,0),MATCH(AX$5,'TERMINAL CURVES'!$A$4:$N$4,0))-INDEX(terminal_curves,MATCH(AT105,'TERMINAL CURVES'!$A$4:$A$313,0),MATCH(AV$6,'TERMINAL CURVES'!$A$4:$N$4,0)))*IF(AN105=0,0,AP105/AN105)))*-AN105</f>
        <v>-13626060.5953658</v>
      </c>
      <c r="AY105" s="356" t="n">
        <f aca="false">SUM(AV105:AX105)</f>
        <v>-15559473.4793191</v>
      </c>
      <c r="AZ105" s="357" t="n">
        <f aca="false">(-AP105/((HLOOKUP(AX$5,port_specs,2,0)/(365.25))*(AT106-AT105)))*(INDEX(fixed_capacity_charge,MATCH(AT105,PORTS!$H$11:$H$317,0),MATCH(AX$5,PORTS!$H$11:$N$11,0))+INDEX(variable_om_charge,MATCH(AT105,PORTS!$H$318:$H$625,0),MATCH(AX$5,PORTS!$H$318:$N$318,0)))</f>
        <v>-984013.36073485</v>
      </c>
      <c r="BA105" s="343" t="n">
        <f aca="false">+AZ105+AY105</f>
        <v>-16543486.840054</v>
      </c>
      <c r="BB105" s="355" t="n">
        <f aca="false">+BA105+AU105</f>
        <v>104112.566646032</v>
      </c>
      <c r="BC105" s="99"/>
      <c r="BD105" s="357" t="n">
        <f aca="false">+PORTS!I99+PORTS!I407</f>
        <v>984013.36073485</v>
      </c>
    </row>
    <row r="106" customFormat="false" ht="12.75" hidden="false" customHeight="false" outlineLevel="0" collapsed="false">
      <c r="A106" s="346" t="n">
        <f aca="false">+DATE(YEAR(A105),MONTH(A105)+1,1)</f>
        <v>39387</v>
      </c>
      <c r="B106" s="327" t="n">
        <f aca="false">+IF(AND($A106&gt;=$C$8,$A106&lt;=$C$9),1,0)*PORTS!$I$5/(365.25)*(A107-A106)</f>
        <v>5166876.75662674</v>
      </c>
      <c r="C106" s="328" t="n">
        <f aca="false">+B106-(SUMIF($F$17:$IV$17,$H$17,$F106:$IV106))</f>
        <v>0</v>
      </c>
      <c r="D106" s="0" t="n">
        <f aca="false">+YEAR(E106)</f>
        <v>2007</v>
      </c>
      <c r="E106" s="346" t="n">
        <f aca="false">+DATE(YEAR(E105),MONTH(E105)+1,1)</f>
        <v>39387</v>
      </c>
      <c r="F106" s="327" t="n">
        <f aca="false">+IF(AND(G$8&lt;=E106,G$9&gt;=E106),INDEX(ROUTE_PER_DAY_BY_SHIP,MATCH(CONCATENATE(G$4,G$5,G$7),ROUTE_PER_DAY_ROUTES,0),MATCH(G$6,ROUTE_PER_DAY_SHIPS,0))*(E107-E106),0)</f>
        <v>0</v>
      </c>
      <c r="G106" s="347" t="n">
        <f aca="false">-F106*HLOOKUP(G$6,SHIPS,7,0)*INDEX(LADEN_VOYAGE_DAYS,MATCH(CONCATENATE(G$4,G$5,G$7),LADEN_VOYAGE_ROUTES,0),MATCH(G$6,LADEN_VOYAGE_SHIPS,0))</f>
        <v>-0</v>
      </c>
      <c r="H106" s="348" t="n">
        <f aca="false">SUM(F106:G106)</f>
        <v>0</v>
      </c>
      <c r="I106" s="349" t="n">
        <f aca="false">-(H106)*HLOOKUP(G$5,TERMINAL_CHARGES,3,0)</f>
        <v>-0</v>
      </c>
      <c r="J106" s="327" t="n">
        <f aca="false">+H106+I106</f>
        <v>0</v>
      </c>
      <c r="K106" s="333"/>
      <c r="L106" s="346" t="n">
        <f aca="false">+DATE(YEAR(L105),MONTH(L105)+1,1)</f>
        <v>39387</v>
      </c>
      <c r="M106" s="334" t="n">
        <f aca="false">+J106*(VLOOKUP(L106,CURVECALC!$C$6:$J$312,4,0)+N$5)</f>
        <v>0</v>
      </c>
      <c r="N106" s="350" t="n">
        <f aca="false">-F106*INDEX(ship_curves,MATCH(L106,'SHIP CURVES'!$A$9:$A$316,0),MATCH(CONCATENATE(P$4,P$5,P$6,P$7),'SHIP CURVES'!$A$9:$AZ$9,0))</f>
        <v>-0</v>
      </c>
      <c r="O106" s="351" t="n">
        <f aca="false">-H106*INDEX(port_processing_fee,MATCH(L106,PORTS!$H$626:$H$933,0),MATCH(P$5,PORTS!$H$626:$Z$626,0))</f>
        <v>-0</v>
      </c>
      <c r="P106" s="352" t="n">
        <f aca="false">(((VLOOKUP(L106,curvecalc,4,0))*IF(F106=0,0,J106/F106)-INDEX(ship_curves,MATCH(L106,'SHIP CURVES'!$A$9:$A$316,0),MATCH(CONCATENATE(P$4,P$5,P$6,P$7),'SHIP CURVES'!$A$9:$Z$9,0))-INDEX(terminal_curves,MATCH(L106,'TERMINAL CURVES'!$A$4:$A$313,0),MATCH(P$5,'TERMINAL CURVES'!$A$4:$N$4,0))*IF(F106=0,0,H106/F106))-(N$8)*((N$7-$N$5)-(INDEX(ship_curves,MATCH(L106,'SHIP CURVES'!$A$9:$A$316,0),MATCH(CONCATENATE(P$4,P$5,P$6,P$7),'SHIP CURVES'!$A$9:$Z$9,0))-INDEX(ship_curves,MATCH(L106,'SHIP CURVES'!$A$9:$A$316,0),MATCH(CONCATENATE(P$4,N$6,P$6,P$7),'SHIP CURVES'!$A$9:$Z$9,0)))-(INDEX(terminal_curves,MATCH(L106,'TERMINAL CURVES'!$A$4:$A$313,0),MATCH(P$5,'TERMINAL CURVES'!$A$4:$N$4,0))-INDEX(terminal_curves,MATCH(L106,'TERMINAL CURVES'!$A$4:$A$313,0),MATCH(N$6,'TERMINAL CURVES'!$A$4:$N$4,0)))*IF(F106=0,0,H106/F106)))*-F106</f>
        <v>0</v>
      </c>
      <c r="Q106" s="353" t="n">
        <f aca="false">SUM(N106:P106)</f>
        <v>0</v>
      </c>
      <c r="R106" s="357" t="n">
        <f aca="false">(-H106/((HLOOKUP(P$5,port_specs,2,0)/(365.25))*(L107-L106)))*(INDEX(fixed_capacity_charge,MATCH(L106,PORTS!$H$11:$H$317,0),MATCH(P$5,PORTS!$H$11:$N$11,0))+INDEX(variable_om_charge,MATCH(L106,PORTS!$H$318:$H$625,0),MATCH(P$5,PORTS!$H$318:$N$318,0)))</f>
        <v>-0</v>
      </c>
      <c r="S106" s="343" t="n">
        <f aca="false">+R106+Q106</f>
        <v>0</v>
      </c>
      <c r="T106" s="355" t="n">
        <f aca="false">+S106+M106</f>
        <v>0</v>
      </c>
      <c r="V106" s="346" t="n">
        <f aca="false">+DATE(YEAR(V105),MONTH(V105)+1,1)</f>
        <v>39387</v>
      </c>
      <c r="W106" s="327" t="n">
        <f aca="false">+Y106/(1-HLOOKUP(X$6,SHIPS,7,0)*INDEX(LADEN_VOYAGE_DAYS,MATCH(CONCATENATE(X$4,X$5),LADEN_VOYAGE_ROUTES,0),MATCH(X$6,LADEN_VOYAGE_SHIPS,0)))</f>
        <v>0</v>
      </c>
      <c r="X106" s="347" t="n">
        <f aca="false">+Y106-W106</f>
        <v>0</v>
      </c>
      <c r="Y106" s="348" t="n">
        <f aca="false">+IF(AND(X$8&lt;=V106,X$9&gt;=V106),+MIN($B106-SUMIF($H$17:X$17,Y$17,$H106:X106),((INDEX(ROUTE_PER_DAY_BY_SHIP,MATCH(CONCATENATE(X$4,X$5,X$7),ROUTE_PER_DAY_ROUTES,0),MATCH(X$6,ROUTE_PER_DAY_SHIPS,0))*(V107-V106))-(INDEX(ROUTE_PER_DAY_BY_SHIP,MATCH(CONCATENATE(X$4,X$5,X$7),ROUTE_PER_DAY_ROUTES,0),MATCH(X$6,ROUTE_PER_DAY_SHIPS,0))*(V107-V106))*HLOOKUP(X$6,SHIPS,7,0)*INDEX(LADEN_VOYAGE_DAYS,MATCH(CONCATENATE(X$4,X$5,X$7),LADEN_VOYAGE_ROUTES,0),MATCH(X$6,LADEN_VOYAGE_SHIPS,0)))),0)</f>
        <v>0</v>
      </c>
      <c r="Z106" s="349" t="n">
        <f aca="false">-(Y106)*HLOOKUP(X$5,TERMINAL_CHARGES,3,0)</f>
        <v>-0</v>
      </c>
      <c r="AA106" s="327" t="n">
        <f aca="false">+Y106+Z106</f>
        <v>0</v>
      </c>
      <c r="AB106" s="333"/>
      <c r="AC106" s="346" t="n">
        <f aca="false">+DATE(YEAR(AC105),MONTH(AC105)+1,1)</f>
        <v>39387</v>
      </c>
      <c r="AD106" s="343" t="n">
        <f aca="false">+AA106*(VLOOKUP(AC106,CURVECALC!$C$6:$J$312,4,0)+AE$5)</f>
        <v>0</v>
      </c>
      <c r="AE106" s="350" t="n">
        <f aca="false">-W106*INDEX(ship_curves,MATCH(AC106,'SHIP CURVES'!$A$9:$A$316,0),MATCH(CONCATENATE(AG$4,AG$5,AG$6,AG$7),'SHIP CURVES'!$A$9:$AZ$9,0))</f>
        <v>-0</v>
      </c>
      <c r="AF106" s="351" t="n">
        <f aca="false">-Y106*INDEX(port_processing_fee,MATCH(AC106,PORTS!$H$626:$H$933,0),MATCH(AG$5,PORTS!$H$626:$Z$626,0))</f>
        <v>-0</v>
      </c>
      <c r="AG106" s="352" t="n">
        <f aca="false">(((VLOOKUP(AC106,curvecalc,4,0))*IF(W106=0,0,AA106/W106)-INDEX(ship_curves,MATCH(AC106,'SHIP CURVES'!$A$9:$A$316,0),MATCH(CONCATENATE(AG$4,AG$5,AG$6,AG$7),'SHIP CURVES'!$A$9:$Z$9,0))-INDEX(terminal_curves,MATCH(AC106,'TERMINAL CURVES'!$A$4:$A$313,0),MATCH(AG$5,'TERMINAL CURVES'!$A$4:$N$4,0))*IF(W106=0,0,Y106/W106))-(AE$8)*((AE$7-$N$5)-(INDEX(ship_curves,MATCH(AC106,'SHIP CURVES'!$A$9:$A$316,0),MATCH(CONCATENATE(AG$4,AG$5,AG$6,AG$7),'SHIP CURVES'!$A$9:$Z$9,0))-INDEX(ship_curves,MATCH(AC106,'SHIP CURVES'!$A$9:$A$316,0),MATCH(CONCATENATE(AG$4,AE$6,AG$6,AG$7),'SHIP CURVES'!$A$9:$Z$9,0)))-(INDEX(terminal_curves,MATCH(AC106,'TERMINAL CURVES'!$A$4:$A$313,0),MATCH(AG$5,'TERMINAL CURVES'!$A$4:$N$4,0))-INDEX(terminal_curves,MATCH(AC106,'TERMINAL CURVES'!$A$4:$A$313,0),MATCH(AE$6,'TERMINAL CURVES'!$A$4:$N$4,0)))*IF(W106=0,0,Y106/W106)))*-W106</f>
        <v>0</v>
      </c>
      <c r="AH106" s="356" t="n">
        <f aca="false">SUM(AE106:AG106)</f>
        <v>0</v>
      </c>
      <c r="AI106" s="357" t="n">
        <f aca="false">(-Y106/((HLOOKUP(AG$5,port_specs,2,0)/(365.25))*(AC107-AC106)))*(INDEX(fixed_capacity_charge,MATCH(AC106,PORTS!$H$11:$H$317,0),MATCH(AG$5,PORTS!$H$11:$N$11,0))+INDEX(variable_om_charge,MATCH(AC106,PORTS!$H$318:$H$625,0),MATCH(AG$5,PORTS!$H$318:$N$318,0)))</f>
        <v>-0</v>
      </c>
      <c r="AJ106" s="343" t="n">
        <f aca="false">+AI106+AH106</f>
        <v>0</v>
      </c>
      <c r="AK106" s="355" t="n">
        <f aca="false">+AJ106+AD106</f>
        <v>0</v>
      </c>
      <c r="AM106" s="346" t="n">
        <f aca="false">+DATE(YEAR(AM105),MONTH(AM105)+1,1)</f>
        <v>39387</v>
      </c>
      <c r="AN106" s="327" t="n">
        <f aca="false">+AP106/(1-HLOOKUP(AO$6,SHIPS,7,0)*INDEX(LADEN_VOYAGE_DAYS,MATCH(CONCATENATE(AO$4,AO$5),LADEN_VOYAGE_ROUTES,0),MATCH(AO$6,LADEN_VOYAGE_SHIPS,0)))</f>
        <v>5221704.65550959</v>
      </c>
      <c r="AO106" s="347" t="n">
        <f aca="false">+AP106-AN106</f>
        <v>-54827.8988828501</v>
      </c>
      <c r="AP106" s="348" t="n">
        <f aca="false">+IF(AND(AO$8&lt;=AM106,AO$9&gt;=AM106),+MIN($B106-SUMIF($H$17:AO$17,AP$17,$H106:AO106),((INDEX(ROUTE_PER_DAY_BY_SHIP,MATCH(CONCATENATE(AO$4,AO$5,AO$7),ROUTE_PER_DAY_ROUTES,0),MATCH(AO$6,ROUTE_PER_DAY_SHIPS,0))*(AM107-AM106))-(INDEX(ROUTE_PER_DAY_BY_SHIP,MATCH(CONCATENATE(AO$4,AO$5,AO$7),ROUTE_PER_DAY_ROUTES,0),MATCH(AO$6,ROUTE_PER_DAY_SHIPS,0))*(AM107-AM106))*HLOOKUP(AO$6,SHIPS,7,0)*INDEX(LADEN_VOYAGE_DAYS,MATCH(CONCATENATE(AO$4,AO$5,AO$7),LADEN_VOYAGE_ROUTES,0),MATCH(AO$6,LADEN_VOYAGE_SHIPS,0)))),0)</f>
        <v>5166876.75662674</v>
      </c>
      <c r="AQ106" s="349" t="n">
        <f aca="false">-(AP106)*PORTS!$I$6</f>
        <v>-129171.918915669</v>
      </c>
      <c r="AR106" s="327" t="n">
        <f aca="false">+AP106+AQ106</f>
        <v>5037704.83771107</v>
      </c>
      <c r="AS106" s="333"/>
      <c r="AT106" s="346" t="n">
        <f aca="false">+DATE(YEAR(AT105),MONTH(AT105)+1,1)</f>
        <v>39387</v>
      </c>
      <c r="AU106" s="343" t="n">
        <f aca="false">+AR106*(VLOOKUP(AT106,CURVECALC!$C$6:$J$312,4,0)+AV$5)</f>
        <v>16558935.8015563</v>
      </c>
      <c r="AV106" s="350" t="n">
        <f aca="false">-AN106*INDEX(ship_curves,MATCH(AT106,'SHIP CURVES'!$A$9:$A$316,0),MATCH(CONCATENATE(AX$4,AX$5,AX$6,AX$7),'SHIP CURVES'!$A$9:$AZ$9,0))</f>
        <v>-1721694.23620086</v>
      </c>
      <c r="AW106" s="351" t="n">
        <f aca="false">-AP106*INDEX(port_processing_fee,MATCH(AT106,PORTS!$H$626:$H$933,0),MATCH(AX$5,PORTS!$H$626:$Z$626,0))</f>
        <v>-149999.81661029</v>
      </c>
      <c r="AX106" s="352" t="n">
        <f aca="false">(((VLOOKUP(AT106,curvecalc,4,0))*IF(AN106=0,0,AR106/AN106)-INDEX(ship_curves,MATCH(AT106,'SHIP CURVES'!$A$9:$A$316,0),MATCH(CONCATENATE(AX$4,AX$5,AX$6,AX$7),'SHIP CURVES'!$A$9:$Z$9,0))-INDEX(terminal_curves,MATCH(AT106,'TERMINAL CURVES'!$A$4:$A$313,0),MATCH(AX$5,'TERMINAL CURVES'!$A$4:$N$4,0))*IF(AN106=0,0,AP106/AN106))-(AV$8)*((AV$7-$N$5)-(INDEX(ship_curves,MATCH(AT106,'SHIP CURVES'!$A$9:$A$316,0),MATCH(CONCATENATE(AX$4,AX$5,AX$6,AX$7),'SHIP CURVES'!$A$9:$Z$9,0))-INDEX(ship_curves,MATCH(AT106,'SHIP CURVES'!$A$9:$A$316,0),MATCH(CONCATENATE(AX$4,AV$6,AX$6,AX$7),'SHIP CURVES'!$A$9:$Z$9,0)))-(INDEX(terminal_curves,MATCH(AT106,'TERMINAL CURVES'!$A$4:$A$313,0),MATCH(AX$5,'TERMINAL CURVES'!$A$4:$N$4,0))-INDEX(terminal_curves,MATCH(AT106,'TERMINAL CURVES'!$A$4:$A$313,0),MATCH(AV$6,'TERMINAL CURVES'!$A$4:$N$4,0)))*IF(AN106=0,0,AP106/AN106)))*-AN106</f>
        <v>-13601954.6800167</v>
      </c>
      <c r="AY106" s="356" t="n">
        <f aca="false">SUM(AV106:AX106)</f>
        <v>-15473648.7328278</v>
      </c>
      <c r="AZ106" s="357" t="n">
        <f aca="false">(-AP106/((HLOOKUP(AX$5,port_specs,2,0)/(365.25))*(AT107-AT106)))*(INDEX(fixed_capacity_charge,MATCH(AT106,PORTS!$H$11:$H$317,0),MATCH(AX$5,PORTS!$H$11:$N$11,0))+INDEX(variable_om_charge,MATCH(AT106,PORTS!$H$318:$H$625,0),MATCH(AX$5,PORTS!$H$318:$N$318,0)))</f>
        <v>-984532.971974253</v>
      </c>
      <c r="BA106" s="343" t="n">
        <f aca="false">+AZ106+AY106</f>
        <v>-16458181.7048021</v>
      </c>
      <c r="BB106" s="355" t="n">
        <f aca="false">+BA106+AU106</f>
        <v>100754.096754221</v>
      </c>
      <c r="BC106" s="99"/>
      <c r="BD106" s="357" t="n">
        <f aca="false">+PORTS!I100+PORTS!I408</f>
        <v>984532.971974253</v>
      </c>
    </row>
    <row r="107" customFormat="false" ht="12.75" hidden="false" customHeight="false" outlineLevel="0" collapsed="false">
      <c r="A107" s="346" t="n">
        <f aca="false">+DATE(YEAR(A106),MONTH(A106)+1,1)</f>
        <v>39417</v>
      </c>
      <c r="B107" s="327" t="n">
        <f aca="false">+IF(AND($A107&gt;=$C$8,$A107&lt;=$C$9),1,0)*PORTS!$I$5/(365.25)*(A108-A107)</f>
        <v>5339105.98184763</v>
      </c>
      <c r="C107" s="328" t="n">
        <f aca="false">+B107-(SUMIF($F$17:$IV$17,$H$17,$F107:$IV107))</f>
        <v>0</v>
      </c>
      <c r="D107" s="0" t="n">
        <f aca="false">+YEAR(E107)</f>
        <v>2007</v>
      </c>
      <c r="E107" s="346" t="n">
        <f aca="false">+DATE(YEAR(E106),MONTH(E106)+1,1)</f>
        <v>39417</v>
      </c>
      <c r="F107" s="327" t="n">
        <f aca="false">+IF(AND(G$8&lt;=E107,G$9&gt;=E107),INDEX(ROUTE_PER_DAY_BY_SHIP,MATCH(CONCATENATE(G$4,G$5,G$7),ROUTE_PER_DAY_ROUTES,0),MATCH(G$6,ROUTE_PER_DAY_SHIPS,0))*(E108-E107),0)</f>
        <v>0</v>
      </c>
      <c r="G107" s="347" t="n">
        <f aca="false">-F107*HLOOKUP(G$6,SHIPS,7,0)*INDEX(LADEN_VOYAGE_DAYS,MATCH(CONCATENATE(G$4,G$5,G$7),LADEN_VOYAGE_ROUTES,0),MATCH(G$6,LADEN_VOYAGE_SHIPS,0))</f>
        <v>-0</v>
      </c>
      <c r="H107" s="348" t="n">
        <f aca="false">SUM(F107:G107)</f>
        <v>0</v>
      </c>
      <c r="I107" s="349" t="n">
        <f aca="false">-(H107)*HLOOKUP(G$5,TERMINAL_CHARGES,3,0)</f>
        <v>-0</v>
      </c>
      <c r="J107" s="327" t="n">
        <f aca="false">+H107+I107</f>
        <v>0</v>
      </c>
      <c r="K107" s="333"/>
      <c r="L107" s="346" t="n">
        <f aca="false">+DATE(YEAR(L106),MONTH(L106)+1,1)</f>
        <v>39417</v>
      </c>
      <c r="M107" s="334" t="n">
        <f aca="false">+J107*(VLOOKUP(L107,CURVECALC!$C$6:$J$312,4,0)+N$5)</f>
        <v>0</v>
      </c>
      <c r="N107" s="350" t="n">
        <f aca="false">-F107*INDEX(ship_curves,MATCH(L107,'SHIP CURVES'!$A$9:$A$316,0),MATCH(CONCATENATE(P$4,P$5,P$6,P$7),'SHIP CURVES'!$A$9:$AZ$9,0))</f>
        <v>-0</v>
      </c>
      <c r="O107" s="351" t="n">
        <f aca="false">-H107*INDEX(port_processing_fee,MATCH(L107,PORTS!$H$626:$H$933,0),MATCH(P$5,PORTS!$H$626:$Z$626,0))</f>
        <v>-0</v>
      </c>
      <c r="P107" s="352" t="n">
        <f aca="false">(((VLOOKUP(L107,curvecalc,4,0))*IF(F107=0,0,J107/F107)-INDEX(ship_curves,MATCH(L107,'SHIP CURVES'!$A$9:$A$316,0),MATCH(CONCATENATE(P$4,P$5,P$6,P$7),'SHIP CURVES'!$A$9:$Z$9,0))-INDEX(terminal_curves,MATCH(L107,'TERMINAL CURVES'!$A$4:$A$313,0),MATCH(P$5,'TERMINAL CURVES'!$A$4:$N$4,0))*IF(F107=0,0,H107/F107))-(N$8)*((N$7-$N$5)-(INDEX(ship_curves,MATCH(L107,'SHIP CURVES'!$A$9:$A$316,0),MATCH(CONCATENATE(P$4,P$5,P$6,P$7),'SHIP CURVES'!$A$9:$Z$9,0))-INDEX(ship_curves,MATCH(L107,'SHIP CURVES'!$A$9:$A$316,0),MATCH(CONCATENATE(P$4,N$6,P$6,P$7),'SHIP CURVES'!$A$9:$Z$9,0)))-(INDEX(terminal_curves,MATCH(L107,'TERMINAL CURVES'!$A$4:$A$313,0),MATCH(P$5,'TERMINAL CURVES'!$A$4:$N$4,0))-INDEX(terminal_curves,MATCH(L107,'TERMINAL CURVES'!$A$4:$A$313,0),MATCH(N$6,'TERMINAL CURVES'!$A$4:$N$4,0)))*IF(F107=0,0,H107/F107)))*-F107</f>
        <v>0</v>
      </c>
      <c r="Q107" s="353" t="n">
        <f aca="false">SUM(N107:P107)</f>
        <v>0</v>
      </c>
      <c r="R107" s="357" t="n">
        <f aca="false">(-H107/((HLOOKUP(P$5,port_specs,2,0)/(365.25))*(L108-L107)))*(INDEX(fixed_capacity_charge,MATCH(L107,PORTS!$H$11:$H$317,0),MATCH(P$5,PORTS!$H$11:$N$11,0))+INDEX(variable_om_charge,MATCH(L107,PORTS!$H$318:$H$625,0),MATCH(P$5,PORTS!$H$318:$N$318,0)))</f>
        <v>-0</v>
      </c>
      <c r="S107" s="343" t="n">
        <f aca="false">+R107+Q107</f>
        <v>0</v>
      </c>
      <c r="T107" s="355" t="n">
        <f aca="false">+S107+M107</f>
        <v>0</v>
      </c>
      <c r="V107" s="346" t="n">
        <f aca="false">+DATE(YEAR(V106),MONTH(V106)+1,1)</f>
        <v>39417</v>
      </c>
      <c r="W107" s="327" t="n">
        <f aca="false">+Y107/(1-HLOOKUP(X$6,SHIPS,7,0)*INDEX(LADEN_VOYAGE_DAYS,MATCH(CONCATENATE(X$4,X$5),LADEN_VOYAGE_ROUTES,0),MATCH(X$6,LADEN_VOYAGE_SHIPS,0)))</f>
        <v>0</v>
      </c>
      <c r="X107" s="347" t="n">
        <f aca="false">+Y107-W107</f>
        <v>0</v>
      </c>
      <c r="Y107" s="348" t="n">
        <f aca="false">+IF(AND(X$8&lt;=V107,X$9&gt;=V107),+MIN($B107-SUMIF($H$17:X$17,Y$17,$H107:X107),((INDEX(ROUTE_PER_DAY_BY_SHIP,MATCH(CONCATENATE(X$4,X$5,X$7),ROUTE_PER_DAY_ROUTES,0),MATCH(X$6,ROUTE_PER_DAY_SHIPS,0))*(V108-V107))-(INDEX(ROUTE_PER_DAY_BY_SHIP,MATCH(CONCATENATE(X$4,X$5,X$7),ROUTE_PER_DAY_ROUTES,0),MATCH(X$6,ROUTE_PER_DAY_SHIPS,0))*(V108-V107))*HLOOKUP(X$6,SHIPS,7,0)*INDEX(LADEN_VOYAGE_DAYS,MATCH(CONCATENATE(X$4,X$5,X$7),LADEN_VOYAGE_ROUTES,0),MATCH(X$6,LADEN_VOYAGE_SHIPS,0)))),0)</f>
        <v>0</v>
      </c>
      <c r="Z107" s="349" t="n">
        <f aca="false">-(Y107)*HLOOKUP(X$5,TERMINAL_CHARGES,3,0)</f>
        <v>-0</v>
      </c>
      <c r="AA107" s="327" t="n">
        <f aca="false">+Y107+Z107</f>
        <v>0</v>
      </c>
      <c r="AB107" s="333"/>
      <c r="AC107" s="346" t="n">
        <f aca="false">+DATE(YEAR(AC106),MONTH(AC106)+1,1)</f>
        <v>39417</v>
      </c>
      <c r="AD107" s="343" t="n">
        <f aca="false">+AA107*(VLOOKUP(AC107,CURVECALC!$C$6:$J$312,4,0)+AE$5)</f>
        <v>0</v>
      </c>
      <c r="AE107" s="350" t="n">
        <f aca="false">-W107*INDEX(ship_curves,MATCH(AC107,'SHIP CURVES'!$A$9:$A$316,0),MATCH(CONCATENATE(AG$4,AG$5,AG$6,AG$7),'SHIP CURVES'!$A$9:$AZ$9,0))</f>
        <v>-0</v>
      </c>
      <c r="AF107" s="351" t="n">
        <f aca="false">-Y107*INDEX(port_processing_fee,MATCH(AC107,PORTS!$H$626:$H$933,0),MATCH(AG$5,PORTS!$H$626:$Z$626,0))</f>
        <v>-0</v>
      </c>
      <c r="AG107" s="352" t="n">
        <f aca="false">(((VLOOKUP(AC107,curvecalc,4,0))*IF(W107=0,0,AA107/W107)-INDEX(ship_curves,MATCH(AC107,'SHIP CURVES'!$A$9:$A$316,0),MATCH(CONCATENATE(AG$4,AG$5,AG$6,AG$7),'SHIP CURVES'!$A$9:$Z$9,0))-INDEX(terminal_curves,MATCH(AC107,'TERMINAL CURVES'!$A$4:$A$313,0),MATCH(AG$5,'TERMINAL CURVES'!$A$4:$N$4,0))*IF(W107=0,0,Y107/W107))-(AE$8)*((AE$7-$N$5)-(INDEX(ship_curves,MATCH(AC107,'SHIP CURVES'!$A$9:$A$316,0),MATCH(CONCATENATE(AG$4,AG$5,AG$6,AG$7),'SHIP CURVES'!$A$9:$Z$9,0))-INDEX(ship_curves,MATCH(AC107,'SHIP CURVES'!$A$9:$A$316,0),MATCH(CONCATENATE(AG$4,AE$6,AG$6,AG$7),'SHIP CURVES'!$A$9:$Z$9,0)))-(INDEX(terminal_curves,MATCH(AC107,'TERMINAL CURVES'!$A$4:$A$313,0),MATCH(AG$5,'TERMINAL CURVES'!$A$4:$N$4,0))-INDEX(terminal_curves,MATCH(AC107,'TERMINAL CURVES'!$A$4:$A$313,0),MATCH(AE$6,'TERMINAL CURVES'!$A$4:$N$4,0)))*IF(W107=0,0,Y107/W107)))*-W107</f>
        <v>0</v>
      </c>
      <c r="AH107" s="356" t="n">
        <f aca="false">SUM(AE107:AG107)</f>
        <v>0</v>
      </c>
      <c r="AI107" s="357" t="n">
        <f aca="false">(-Y107/((HLOOKUP(AG$5,port_specs,2,0)/(365.25))*(AC108-AC107)))*(INDEX(fixed_capacity_charge,MATCH(AC107,PORTS!$H$11:$H$317,0),MATCH(AG$5,PORTS!$H$11:$N$11,0))+INDEX(variable_om_charge,MATCH(AC107,PORTS!$H$318:$H$625,0),MATCH(AG$5,PORTS!$H$318:$N$318,0)))</f>
        <v>-0</v>
      </c>
      <c r="AJ107" s="343" t="n">
        <f aca="false">+AI107+AH107</f>
        <v>0</v>
      </c>
      <c r="AK107" s="355" t="n">
        <f aca="false">+AJ107+AD107</f>
        <v>0</v>
      </c>
      <c r="AM107" s="346" t="n">
        <f aca="false">+DATE(YEAR(AM106),MONTH(AM106)+1,1)</f>
        <v>39417</v>
      </c>
      <c r="AN107" s="327" t="n">
        <f aca="false">+AP107/(1-HLOOKUP(AO$6,SHIPS,7,0)*INDEX(LADEN_VOYAGE_DAYS,MATCH(CONCATENATE(AO$4,AO$5),LADEN_VOYAGE_ROUTES,0),MATCH(AO$6,LADEN_VOYAGE_SHIPS,0)))</f>
        <v>5395761.47735991</v>
      </c>
      <c r="AO107" s="347" t="n">
        <f aca="false">+AP107-AN107</f>
        <v>-56655.4955122788</v>
      </c>
      <c r="AP107" s="348" t="n">
        <f aca="false">+IF(AND(AO$8&lt;=AM107,AO$9&gt;=AM107),+MIN($B107-SUMIF($H$17:AO$17,AP$17,$H107:AO107),((INDEX(ROUTE_PER_DAY_BY_SHIP,MATCH(CONCATENATE(AO$4,AO$5,AO$7),ROUTE_PER_DAY_ROUTES,0),MATCH(AO$6,ROUTE_PER_DAY_SHIPS,0))*(AM108-AM107))-(INDEX(ROUTE_PER_DAY_BY_SHIP,MATCH(CONCATENATE(AO$4,AO$5,AO$7),ROUTE_PER_DAY_ROUTES,0),MATCH(AO$6,ROUTE_PER_DAY_SHIPS,0))*(AM108-AM107))*HLOOKUP(AO$6,SHIPS,7,0)*INDEX(LADEN_VOYAGE_DAYS,MATCH(CONCATENATE(AO$4,AO$5,AO$7),LADEN_VOYAGE_ROUTES,0),MATCH(AO$6,LADEN_VOYAGE_SHIPS,0)))),0)</f>
        <v>5339105.98184763</v>
      </c>
      <c r="AQ107" s="349" t="n">
        <f aca="false">-(AP107)*PORTS!$I$6</f>
        <v>-133477.649546191</v>
      </c>
      <c r="AR107" s="327" t="n">
        <f aca="false">+AP107+AQ107</f>
        <v>5205628.33230144</v>
      </c>
      <c r="AS107" s="333"/>
      <c r="AT107" s="346" t="n">
        <f aca="false">+DATE(YEAR(AT106),MONTH(AT106)+1,1)</f>
        <v>39417</v>
      </c>
      <c r="AU107" s="343" t="n">
        <f aca="false">+AR107*(VLOOKUP(AT107,CURVECALC!$C$6:$J$312,4,0)+AV$5)</f>
        <v>17595023.7631789</v>
      </c>
      <c r="AV107" s="350" t="n">
        <f aca="false">-AN107*INDEX(ship_curves,MATCH(AT107,'SHIP CURVES'!$A$9:$A$316,0),MATCH(CONCATENATE(AX$4,AX$5,AX$6,AX$7),'SHIP CURVES'!$A$9:$AZ$9,0))</f>
        <v>-1779594.78640143</v>
      </c>
      <c r="AW107" s="351" t="n">
        <f aca="false">-AP107*INDEX(port_processing_fee,MATCH(AT107,PORTS!$H$626:$H$933,0),MATCH(AX$5,PORTS!$H$626:$Z$626,0))</f>
        <v>-155161.268633235</v>
      </c>
      <c r="AX107" s="352" t="n">
        <f aca="false">(((VLOOKUP(AT107,curvecalc,4,0))*IF(AN107=0,0,AR107/AN107)-INDEX(ship_curves,MATCH(AT107,'SHIP CURVES'!$A$9:$A$316,0),MATCH(CONCATENATE(AX$4,AX$5,AX$6,AX$7),'SHIP CURVES'!$A$9:$Z$9,0))-INDEX(terminal_curves,MATCH(AT107,'TERMINAL CURVES'!$A$4:$A$313,0),MATCH(AX$5,'TERMINAL CURVES'!$A$4:$N$4,0))*IF(AN107=0,0,AP107/AN107))-(AV$8)*((AV$7-$N$5)-(INDEX(ship_curves,MATCH(AT107,'SHIP CURVES'!$A$9:$A$316,0),MATCH(CONCATENATE(AX$4,AX$5,AX$6,AX$7),'SHIP CURVES'!$A$9:$Z$9,0))-INDEX(ship_curves,MATCH(AT107,'SHIP CURVES'!$A$9:$A$316,0),MATCH(CONCATENATE(AX$4,AV$6,AX$6,AX$7),'SHIP CURVES'!$A$9:$Z$9,0)))-(INDEX(terminal_curves,MATCH(AT107,'TERMINAL CURVES'!$A$4:$A$313,0),MATCH(AX$5,'TERMINAL CURVES'!$A$4:$N$4,0))-INDEX(terminal_curves,MATCH(AT107,'TERMINAL CURVES'!$A$4:$A$313,0),MATCH(AV$6,'TERMINAL CURVES'!$A$4:$N$4,0)))*IF(AN107=0,0,AP107/AN107)))*-AN107</f>
        <v>-14571102.0170228</v>
      </c>
      <c r="AY107" s="356" t="n">
        <f aca="false">SUM(AV107:AX107)</f>
        <v>-16505858.0720575</v>
      </c>
      <c r="AZ107" s="357" t="n">
        <f aca="false">(-AP107/((HLOOKUP(AX$5,port_specs,2,0)/(365.25))*(AT108-AT107)))*(INDEX(fixed_capacity_charge,MATCH(AT107,PORTS!$H$11:$H$317,0),MATCH(AX$5,PORTS!$H$11:$N$11,0))+INDEX(variable_om_charge,MATCH(AT107,PORTS!$H$318:$H$625,0),MATCH(AX$5,PORTS!$H$318:$N$318,0)))</f>
        <v>-985053.124475363</v>
      </c>
      <c r="BA107" s="343" t="n">
        <f aca="false">+AZ107+AY107</f>
        <v>-17490911.1965328</v>
      </c>
      <c r="BB107" s="355" t="n">
        <f aca="false">+BA107+AU107</f>
        <v>104112.566646028</v>
      </c>
      <c r="BC107" s="99"/>
      <c r="BD107" s="357" t="n">
        <f aca="false">+PORTS!I101+PORTS!I409</f>
        <v>985053.124475363</v>
      </c>
    </row>
    <row r="108" customFormat="false" ht="12.75" hidden="false" customHeight="false" outlineLevel="0" collapsed="false">
      <c r="A108" s="346" t="n">
        <f aca="false">+DATE(YEAR(A107),MONTH(A107)+1,1)</f>
        <v>39448</v>
      </c>
      <c r="B108" s="327" t="n">
        <f aca="false">+IF(AND($A108&gt;=$C$8,$A108&lt;=$C$9),1,0)*PORTS!$I$5/(365.25)*(A109-A108)</f>
        <v>5339105.98184763</v>
      </c>
      <c r="C108" s="328" t="n">
        <f aca="false">+B108-(SUMIF($F$17:$IV$17,$H$17,$F108:$IV108))</f>
        <v>0</v>
      </c>
      <c r="D108" s="0" t="n">
        <f aca="false">+YEAR(E108)</f>
        <v>2008</v>
      </c>
      <c r="E108" s="346" t="n">
        <f aca="false">+DATE(YEAR(E107),MONTH(E107)+1,1)</f>
        <v>39448</v>
      </c>
      <c r="F108" s="327" t="n">
        <f aca="false">+IF(AND(G$8&lt;=E108,G$9&gt;=E108),INDEX(ROUTE_PER_DAY_BY_SHIP,MATCH(CONCATENATE(G$4,G$5,G$7),ROUTE_PER_DAY_ROUTES,0),MATCH(G$6,ROUTE_PER_DAY_SHIPS,0))*(E109-E108),0)</f>
        <v>0</v>
      </c>
      <c r="G108" s="347" t="n">
        <f aca="false">-F108*HLOOKUP(G$6,SHIPS,7,0)*INDEX(LADEN_VOYAGE_DAYS,MATCH(CONCATENATE(G$4,G$5,G$7),LADEN_VOYAGE_ROUTES,0),MATCH(G$6,LADEN_VOYAGE_SHIPS,0))</f>
        <v>-0</v>
      </c>
      <c r="H108" s="348" t="n">
        <f aca="false">SUM(F108:G108)</f>
        <v>0</v>
      </c>
      <c r="I108" s="349" t="n">
        <f aca="false">-(H108)*HLOOKUP(G$5,TERMINAL_CHARGES,3,0)</f>
        <v>-0</v>
      </c>
      <c r="J108" s="327" t="n">
        <f aca="false">+H108+I108</f>
        <v>0</v>
      </c>
      <c r="K108" s="333"/>
      <c r="L108" s="346" t="n">
        <f aca="false">+DATE(YEAR(L107),MONTH(L107)+1,1)</f>
        <v>39448</v>
      </c>
      <c r="M108" s="334" t="n">
        <f aca="false">+J108*(VLOOKUP(L108,CURVECALC!$C$6:$J$312,4,0)+N$5)</f>
        <v>0</v>
      </c>
      <c r="N108" s="350" t="n">
        <f aca="false">-F108*INDEX(ship_curves,MATCH(L108,'SHIP CURVES'!$A$9:$A$316,0),MATCH(CONCATENATE(P$4,P$5,P$6,P$7),'SHIP CURVES'!$A$9:$AZ$9,0))</f>
        <v>-0</v>
      </c>
      <c r="O108" s="351" t="n">
        <f aca="false">-H108*INDEX(port_processing_fee,MATCH(L108,PORTS!$H$626:$H$933,0),MATCH(P$5,PORTS!$H$626:$Z$626,0))</f>
        <v>-0</v>
      </c>
      <c r="P108" s="352" t="n">
        <f aca="false">(((VLOOKUP(L108,curvecalc,4,0))*IF(F108=0,0,J108/F108)-INDEX(ship_curves,MATCH(L108,'SHIP CURVES'!$A$9:$A$316,0),MATCH(CONCATENATE(P$4,P$5,P$6,P$7),'SHIP CURVES'!$A$9:$Z$9,0))-INDEX(terminal_curves,MATCH(L108,'TERMINAL CURVES'!$A$4:$A$313,0),MATCH(P$5,'TERMINAL CURVES'!$A$4:$N$4,0))*IF(F108=0,0,H108/F108))-(N$8)*((N$7-$N$5)-(INDEX(ship_curves,MATCH(L108,'SHIP CURVES'!$A$9:$A$316,0),MATCH(CONCATENATE(P$4,P$5,P$6,P$7),'SHIP CURVES'!$A$9:$Z$9,0))-INDEX(ship_curves,MATCH(L108,'SHIP CURVES'!$A$9:$A$316,0),MATCH(CONCATENATE(P$4,N$6,P$6,P$7),'SHIP CURVES'!$A$9:$Z$9,0)))-(INDEX(terminal_curves,MATCH(L108,'TERMINAL CURVES'!$A$4:$A$313,0),MATCH(P$5,'TERMINAL CURVES'!$A$4:$N$4,0))-INDEX(terminal_curves,MATCH(L108,'TERMINAL CURVES'!$A$4:$A$313,0),MATCH(N$6,'TERMINAL CURVES'!$A$4:$N$4,0)))*IF(F108=0,0,H108/F108)))*-F108</f>
        <v>0</v>
      </c>
      <c r="Q108" s="353" t="n">
        <f aca="false">SUM(N108:P108)</f>
        <v>0</v>
      </c>
      <c r="R108" s="357" t="n">
        <f aca="false">(-H108/((HLOOKUP(P$5,port_specs,2,0)/(365.25))*(L109-L108)))*(INDEX(fixed_capacity_charge,MATCH(L108,PORTS!$H$11:$H$317,0),MATCH(P$5,PORTS!$H$11:$N$11,0))+INDEX(variable_om_charge,MATCH(L108,PORTS!$H$318:$H$625,0),MATCH(P$5,PORTS!$H$318:$N$318,0)))</f>
        <v>-0</v>
      </c>
      <c r="S108" s="343" t="n">
        <f aca="false">+R108+Q108</f>
        <v>0</v>
      </c>
      <c r="T108" s="355" t="n">
        <f aca="false">+S108+M108</f>
        <v>0</v>
      </c>
      <c r="V108" s="346" t="n">
        <f aca="false">+DATE(YEAR(V107),MONTH(V107)+1,1)</f>
        <v>39448</v>
      </c>
      <c r="W108" s="327" t="n">
        <f aca="false">+Y108/(1-HLOOKUP(X$6,SHIPS,7,0)*INDEX(LADEN_VOYAGE_DAYS,MATCH(CONCATENATE(X$4,X$5),LADEN_VOYAGE_ROUTES,0),MATCH(X$6,LADEN_VOYAGE_SHIPS,0)))</f>
        <v>0</v>
      </c>
      <c r="X108" s="347" t="n">
        <f aca="false">+Y108-W108</f>
        <v>0</v>
      </c>
      <c r="Y108" s="348" t="n">
        <f aca="false">+IF(AND(X$8&lt;=V108,X$9&gt;=V108),+MIN($B108-SUMIF($H$17:X$17,Y$17,$H108:X108),((INDEX(ROUTE_PER_DAY_BY_SHIP,MATCH(CONCATENATE(X$4,X$5,X$7),ROUTE_PER_DAY_ROUTES,0),MATCH(X$6,ROUTE_PER_DAY_SHIPS,0))*(V109-V108))-(INDEX(ROUTE_PER_DAY_BY_SHIP,MATCH(CONCATENATE(X$4,X$5,X$7),ROUTE_PER_DAY_ROUTES,0),MATCH(X$6,ROUTE_PER_DAY_SHIPS,0))*(V109-V108))*HLOOKUP(X$6,SHIPS,7,0)*INDEX(LADEN_VOYAGE_DAYS,MATCH(CONCATENATE(X$4,X$5,X$7),LADEN_VOYAGE_ROUTES,0),MATCH(X$6,LADEN_VOYAGE_SHIPS,0)))),0)</f>
        <v>0</v>
      </c>
      <c r="Z108" s="349" t="n">
        <f aca="false">-(Y108)*HLOOKUP(X$5,TERMINAL_CHARGES,3,0)</f>
        <v>-0</v>
      </c>
      <c r="AA108" s="327" t="n">
        <f aca="false">+Y108+Z108</f>
        <v>0</v>
      </c>
      <c r="AB108" s="333"/>
      <c r="AC108" s="346" t="n">
        <f aca="false">+DATE(YEAR(AC107),MONTH(AC107)+1,1)</f>
        <v>39448</v>
      </c>
      <c r="AD108" s="343" t="n">
        <f aca="false">+AA108*(VLOOKUP(AC108,CURVECALC!$C$6:$J$312,4,0)+AE$5)</f>
        <v>0</v>
      </c>
      <c r="AE108" s="350" t="n">
        <f aca="false">-W108*INDEX(ship_curves,MATCH(AC108,'SHIP CURVES'!$A$9:$A$316,0),MATCH(CONCATENATE(AG$4,AG$5,AG$6,AG$7),'SHIP CURVES'!$A$9:$AZ$9,0))</f>
        <v>-0</v>
      </c>
      <c r="AF108" s="351" t="n">
        <f aca="false">-Y108*INDEX(port_processing_fee,MATCH(AC108,PORTS!$H$626:$H$933,0),MATCH(AG$5,PORTS!$H$626:$Z$626,0))</f>
        <v>-0</v>
      </c>
      <c r="AG108" s="352" t="n">
        <f aca="false">(((VLOOKUP(AC108,curvecalc,4,0))*IF(W108=0,0,AA108/W108)-INDEX(ship_curves,MATCH(AC108,'SHIP CURVES'!$A$9:$A$316,0),MATCH(CONCATENATE(AG$4,AG$5,AG$6,AG$7),'SHIP CURVES'!$A$9:$Z$9,0))-INDEX(terminal_curves,MATCH(AC108,'TERMINAL CURVES'!$A$4:$A$313,0),MATCH(AG$5,'TERMINAL CURVES'!$A$4:$N$4,0))*IF(W108=0,0,Y108/W108))-(AE$8)*((AE$7-$N$5)-(INDEX(ship_curves,MATCH(AC108,'SHIP CURVES'!$A$9:$A$316,0),MATCH(CONCATENATE(AG$4,AG$5,AG$6,AG$7),'SHIP CURVES'!$A$9:$Z$9,0))-INDEX(ship_curves,MATCH(AC108,'SHIP CURVES'!$A$9:$A$316,0),MATCH(CONCATENATE(AG$4,AE$6,AG$6,AG$7),'SHIP CURVES'!$A$9:$Z$9,0)))-(INDEX(terminal_curves,MATCH(AC108,'TERMINAL CURVES'!$A$4:$A$313,0),MATCH(AG$5,'TERMINAL CURVES'!$A$4:$N$4,0))-INDEX(terminal_curves,MATCH(AC108,'TERMINAL CURVES'!$A$4:$A$313,0),MATCH(AE$6,'TERMINAL CURVES'!$A$4:$N$4,0)))*IF(W108=0,0,Y108/W108)))*-W108</f>
        <v>0</v>
      </c>
      <c r="AH108" s="356" t="n">
        <f aca="false">SUM(AE108:AG108)</f>
        <v>0</v>
      </c>
      <c r="AI108" s="357" t="n">
        <f aca="false">(-Y108/((HLOOKUP(AG$5,port_specs,2,0)/(365.25))*(AC109-AC108)))*(INDEX(fixed_capacity_charge,MATCH(AC108,PORTS!$H$11:$H$317,0),MATCH(AG$5,PORTS!$H$11:$N$11,0))+INDEX(variable_om_charge,MATCH(AC108,PORTS!$H$318:$H$625,0),MATCH(AG$5,PORTS!$H$318:$N$318,0)))</f>
        <v>-0</v>
      </c>
      <c r="AJ108" s="343" t="n">
        <f aca="false">+AI108+AH108</f>
        <v>0</v>
      </c>
      <c r="AK108" s="355" t="n">
        <f aca="false">+AJ108+AD108</f>
        <v>0</v>
      </c>
      <c r="AM108" s="346" t="n">
        <f aca="false">+DATE(YEAR(AM107),MONTH(AM107)+1,1)</f>
        <v>39448</v>
      </c>
      <c r="AN108" s="327" t="n">
        <f aca="false">+AP108/(1-HLOOKUP(AO$6,SHIPS,7,0)*INDEX(LADEN_VOYAGE_DAYS,MATCH(CONCATENATE(AO$4,AO$5),LADEN_VOYAGE_ROUTES,0),MATCH(AO$6,LADEN_VOYAGE_SHIPS,0)))</f>
        <v>5395761.47735991</v>
      </c>
      <c r="AO108" s="347" t="n">
        <f aca="false">+AP108-AN108</f>
        <v>-56655.4955122788</v>
      </c>
      <c r="AP108" s="348" t="n">
        <f aca="false">+IF(AND(AO$8&lt;=AM108,AO$9&gt;=AM108),+MIN($B108-SUMIF($H$17:AO$17,AP$17,$H108:AO108),((INDEX(ROUTE_PER_DAY_BY_SHIP,MATCH(CONCATENATE(AO$4,AO$5,AO$7),ROUTE_PER_DAY_ROUTES,0),MATCH(AO$6,ROUTE_PER_DAY_SHIPS,0))*(AM109-AM108))-(INDEX(ROUTE_PER_DAY_BY_SHIP,MATCH(CONCATENATE(AO$4,AO$5,AO$7),ROUTE_PER_DAY_ROUTES,0),MATCH(AO$6,ROUTE_PER_DAY_SHIPS,0))*(AM109-AM108))*HLOOKUP(AO$6,SHIPS,7,0)*INDEX(LADEN_VOYAGE_DAYS,MATCH(CONCATENATE(AO$4,AO$5,AO$7),LADEN_VOYAGE_ROUTES,0),MATCH(AO$6,LADEN_VOYAGE_SHIPS,0)))),0)</f>
        <v>5339105.98184763</v>
      </c>
      <c r="AQ108" s="349" t="n">
        <f aca="false">-(AP108)*PORTS!$I$6</f>
        <v>-133477.649546191</v>
      </c>
      <c r="AR108" s="327" t="n">
        <f aca="false">+AP108+AQ108</f>
        <v>5205628.33230144</v>
      </c>
      <c r="AS108" s="333"/>
      <c r="AT108" s="346" t="n">
        <f aca="false">+DATE(YEAR(AT107),MONTH(AT107)+1,1)</f>
        <v>39448</v>
      </c>
      <c r="AU108" s="343" t="n">
        <f aca="false">+AR108*(VLOOKUP(AT108,CURVECALC!$C$6:$J$312,4,0)+AV$5)</f>
        <v>18349839.8713626</v>
      </c>
      <c r="AV108" s="350" t="n">
        <f aca="false">-AN108*INDEX(ship_curves,MATCH(AT108,'SHIP CURVES'!$A$9:$A$316,0),MATCH(CONCATENATE(AX$4,AX$5,AX$6,AX$7),'SHIP CURVES'!$A$9:$AZ$9,0))</f>
        <v>-1780106.59277515</v>
      </c>
      <c r="AW108" s="351" t="n">
        <f aca="false">-AP108*INDEX(port_processing_fee,MATCH(AT108,PORTS!$H$626:$H$933,0),MATCH(AX$5,PORTS!$H$626:$Z$626,0))</f>
        <v>-155322.894954728</v>
      </c>
      <c r="AX108" s="352" t="n">
        <f aca="false">(((VLOOKUP(AT108,curvecalc,4,0))*IF(AN108=0,0,AR108/AN108)-INDEX(ship_curves,MATCH(AT108,'SHIP CURVES'!$A$9:$A$316,0),MATCH(CONCATENATE(AX$4,AX$5,AX$6,AX$7),'SHIP CURVES'!$A$9:$Z$9,0))-INDEX(terminal_curves,MATCH(AT108,'TERMINAL CURVES'!$A$4:$A$313,0),MATCH(AX$5,'TERMINAL CURVES'!$A$4:$N$4,0))*IF(AN108=0,0,AP108/AN108))-(AV$8)*((AV$7-$N$5)-(INDEX(ship_curves,MATCH(AT108,'SHIP CURVES'!$A$9:$A$316,0),MATCH(CONCATENATE(AX$4,AX$5,AX$6,AX$7),'SHIP CURVES'!$A$9:$Z$9,0))-INDEX(ship_curves,MATCH(AT108,'SHIP CURVES'!$A$9:$A$316,0),MATCH(CONCATENATE(AX$4,AV$6,AX$6,AX$7),'SHIP CURVES'!$A$9:$Z$9,0)))-(INDEX(terminal_curves,MATCH(AT108,'TERMINAL CURVES'!$A$4:$A$313,0),MATCH(AX$5,'TERMINAL CURVES'!$A$4:$N$4,0))-INDEX(terminal_curves,MATCH(AT108,'TERMINAL CURVES'!$A$4:$A$313,0),MATCH(AV$6,'TERMINAL CURVES'!$A$4:$N$4,0)))*IF(AN108=0,0,AP108/AN108)))*-AN108</f>
        <v>-15324723.9981847</v>
      </c>
      <c r="AY108" s="356" t="n">
        <f aca="false">SUM(AV108:AX108)</f>
        <v>-17260153.4859146</v>
      </c>
      <c r="AZ108" s="357" t="n">
        <f aca="false">(-AP108/((HLOOKUP(AX$5,port_specs,2,0)/(365.25))*(AT109-AT108)))*(INDEX(fixed_capacity_charge,MATCH(AT108,PORTS!$H$11:$H$317,0),MATCH(AX$5,PORTS!$H$11:$N$11,0))+INDEX(variable_om_charge,MATCH(AT108,PORTS!$H$318:$H$625,0),MATCH(AX$5,PORTS!$H$318:$N$318,0)))</f>
        <v>-985573.818801995</v>
      </c>
      <c r="BA108" s="343" t="n">
        <f aca="false">+AZ108+AY108</f>
        <v>-18245727.3047166</v>
      </c>
      <c r="BB108" s="355" t="n">
        <f aca="false">+BA108+AU108</f>
        <v>104112.566646032</v>
      </c>
      <c r="BC108" s="99"/>
      <c r="BD108" s="357" t="n">
        <f aca="false">+PORTS!I102+PORTS!I410</f>
        <v>985573.818801995</v>
      </c>
    </row>
    <row r="109" customFormat="false" ht="12.75" hidden="false" customHeight="false" outlineLevel="0" collapsed="false">
      <c r="A109" s="346" t="n">
        <f aca="false">+DATE(YEAR(A108),MONTH(A108)+1,1)</f>
        <v>39479</v>
      </c>
      <c r="B109" s="327" t="n">
        <f aca="false">+IF(AND($A109&gt;=$C$8,$A109&lt;=$C$9),1,0)*PORTS!$I$5/(365.25)*(A110-A109)</f>
        <v>4994647.53140585</v>
      </c>
      <c r="C109" s="328" t="n">
        <f aca="false">+B109-(SUMIF($F$17:$IV$17,$H$17,$F109:$IV109))</f>
        <v>0</v>
      </c>
      <c r="D109" s="0" t="n">
        <f aca="false">+YEAR(E109)</f>
        <v>2008</v>
      </c>
      <c r="E109" s="346" t="n">
        <f aca="false">+DATE(YEAR(E108),MONTH(E108)+1,1)</f>
        <v>39479</v>
      </c>
      <c r="F109" s="327" t="n">
        <f aca="false">+IF(AND(G$8&lt;=E109,G$9&gt;=E109),INDEX(ROUTE_PER_DAY_BY_SHIP,MATCH(CONCATENATE(G$4,G$5,G$7),ROUTE_PER_DAY_ROUTES,0),MATCH(G$6,ROUTE_PER_DAY_SHIPS,0))*(E110-E109),0)</f>
        <v>0</v>
      </c>
      <c r="G109" s="347" t="n">
        <f aca="false">-F109*HLOOKUP(G$6,SHIPS,7,0)*INDEX(LADEN_VOYAGE_DAYS,MATCH(CONCATENATE(G$4,G$5,G$7),LADEN_VOYAGE_ROUTES,0),MATCH(G$6,LADEN_VOYAGE_SHIPS,0))</f>
        <v>-0</v>
      </c>
      <c r="H109" s="348" t="n">
        <f aca="false">SUM(F109:G109)</f>
        <v>0</v>
      </c>
      <c r="I109" s="349" t="n">
        <f aca="false">-(H109)*HLOOKUP(G$5,TERMINAL_CHARGES,3,0)</f>
        <v>-0</v>
      </c>
      <c r="J109" s="327" t="n">
        <f aca="false">+H109+I109</f>
        <v>0</v>
      </c>
      <c r="K109" s="333"/>
      <c r="L109" s="346" t="n">
        <f aca="false">+DATE(YEAR(L108),MONTH(L108)+1,1)</f>
        <v>39479</v>
      </c>
      <c r="M109" s="334" t="n">
        <f aca="false">+J109*(VLOOKUP(L109,CURVECALC!$C$6:$J$312,4,0)+N$5)</f>
        <v>0</v>
      </c>
      <c r="N109" s="350" t="n">
        <f aca="false">-F109*INDEX(ship_curves,MATCH(L109,'SHIP CURVES'!$A$9:$A$316,0),MATCH(CONCATENATE(P$4,P$5,P$6,P$7),'SHIP CURVES'!$A$9:$AZ$9,0))</f>
        <v>-0</v>
      </c>
      <c r="O109" s="351" t="n">
        <f aca="false">-H109*INDEX(port_processing_fee,MATCH(L109,PORTS!$H$626:$H$933,0),MATCH(P$5,PORTS!$H$626:$Z$626,0))</f>
        <v>-0</v>
      </c>
      <c r="P109" s="352" t="n">
        <f aca="false">(((VLOOKUP(L109,curvecalc,4,0))*IF(F109=0,0,J109/F109)-INDEX(ship_curves,MATCH(L109,'SHIP CURVES'!$A$9:$A$316,0),MATCH(CONCATENATE(P$4,P$5,P$6,P$7),'SHIP CURVES'!$A$9:$Z$9,0))-INDEX(terminal_curves,MATCH(L109,'TERMINAL CURVES'!$A$4:$A$313,0),MATCH(P$5,'TERMINAL CURVES'!$A$4:$N$4,0))*IF(F109=0,0,H109/F109))-(N$8)*((N$7-$N$5)-(INDEX(ship_curves,MATCH(L109,'SHIP CURVES'!$A$9:$A$316,0),MATCH(CONCATENATE(P$4,P$5,P$6,P$7),'SHIP CURVES'!$A$9:$Z$9,0))-INDEX(ship_curves,MATCH(L109,'SHIP CURVES'!$A$9:$A$316,0),MATCH(CONCATENATE(P$4,N$6,P$6,P$7),'SHIP CURVES'!$A$9:$Z$9,0)))-(INDEX(terminal_curves,MATCH(L109,'TERMINAL CURVES'!$A$4:$A$313,0),MATCH(P$5,'TERMINAL CURVES'!$A$4:$N$4,0))-INDEX(terminal_curves,MATCH(L109,'TERMINAL CURVES'!$A$4:$A$313,0),MATCH(N$6,'TERMINAL CURVES'!$A$4:$N$4,0)))*IF(F109=0,0,H109/F109)))*-F109</f>
        <v>0</v>
      </c>
      <c r="Q109" s="353" t="n">
        <f aca="false">SUM(N109:P109)</f>
        <v>0</v>
      </c>
      <c r="R109" s="357" t="n">
        <f aca="false">(-H109/((HLOOKUP(P$5,port_specs,2,0)/(365.25))*(L110-L109)))*(INDEX(fixed_capacity_charge,MATCH(L109,PORTS!$H$11:$H$317,0),MATCH(P$5,PORTS!$H$11:$N$11,0))+INDEX(variable_om_charge,MATCH(L109,PORTS!$H$318:$H$625,0),MATCH(P$5,PORTS!$H$318:$N$318,0)))</f>
        <v>-0</v>
      </c>
      <c r="S109" s="343" t="n">
        <f aca="false">+R109+Q109</f>
        <v>0</v>
      </c>
      <c r="T109" s="355" t="n">
        <f aca="false">+S109+M109</f>
        <v>0</v>
      </c>
      <c r="V109" s="346" t="n">
        <f aca="false">+DATE(YEAR(V108),MONTH(V108)+1,1)</f>
        <v>39479</v>
      </c>
      <c r="W109" s="327" t="n">
        <f aca="false">+Y109/(1-HLOOKUP(X$6,SHIPS,7,0)*INDEX(LADEN_VOYAGE_DAYS,MATCH(CONCATENATE(X$4,X$5),LADEN_VOYAGE_ROUTES,0),MATCH(X$6,LADEN_VOYAGE_SHIPS,0)))</f>
        <v>0</v>
      </c>
      <c r="X109" s="347" t="n">
        <f aca="false">+Y109-W109</f>
        <v>0</v>
      </c>
      <c r="Y109" s="348" t="n">
        <f aca="false">+IF(AND(X$8&lt;=V109,X$9&gt;=V109),+MIN($B109-SUMIF($H$17:X$17,Y$17,$H109:X109),((INDEX(ROUTE_PER_DAY_BY_SHIP,MATCH(CONCATENATE(X$4,X$5,X$7),ROUTE_PER_DAY_ROUTES,0),MATCH(X$6,ROUTE_PER_DAY_SHIPS,0))*(V110-V109))-(INDEX(ROUTE_PER_DAY_BY_SHIP,MATCH(CONCATENATE(X$4,X$5,X$7),ROUTE_PER_DAY_ROUTES,0),MATCH(X$6,ROUTE_PER_DAY_SHIPS,0))*(V110-V109))*HLOOKUP(X$6,SHIPS,7,0)*INDEX(LADEN_VOYAGE_DAYS,MATCH(CONCATENATE(X$4,X$5,X$7),LADEN_VOYAGE_ROUTES,0),MATCH(X$6,LADEN_VOYAGE_SHIPS,0)))),0)</f>
        <v>0</v>
      </c>
      <c r="Z109" s="349" t="n">
        <f aca="false">-(Y109)*HLOOKUP(X$5,TERMINAL_CHARGES,3,0)</f>
        <v>-0</v>
      </c>
      <c r="AA109" s="327" t="n">
        <f aca="false">+Y109+Z109</f>
        <v>0</v>
      </c>
      <c r="AB109" s="333"/>
      <c r="AC109" s="346" t="n">
        <f aca="false">+DATE(YEAR(AC108),MONTH(AC108)+1,1)</f>
        <v>39479</v>
      </c>
      <c r="AD109" s="343" t="n">
        <f aca="false">+AA109*(VLOOKUP(AC109,CURVECALC!$C$6:$J$312,4,0)+AE$5)</f>
        <v>0</v>
      </c>
      <c r="AE109" s="350" t="n">
        <f aca="false">-W109*INDEX(ship_curves,MATCH(AC109,'SHIP CURVES'!$A$9:$A$316,0),MATCH(CONCATENATE(AG$4,AG$5,AG$6,AG$7),'SHIP CURVES'!$A$9:$AZ$9,0))</f>
        <v>-0</v>
      </c>
      <c r="AF109" s="351" t="n">
        <f aca="false">-Y109*INDEX(port_processing_fee,MATCH(AC109,PORTS!$H$626:$H$933,0),MATCH(AG$5,PORTS!$H$626:$Z$626,0))</f>
        <v>-0</v>
      </c>
      <c r="AG109" s="352" t="n">
        <f aca="false">(((VLOOKUP(AC109,curvecalc,4,0))*IF(W109=0,0,AA109/W109)-INDEX(ship_curves,MATCH(AC109,'SHIP CURVES'!$A$9:$A$316,0),MATCH(CONCATENATE(AG$4,AG$5,AG$6,AG$7),'SHIP CURVES'!$A$9:$Z$9,0))-INDEX(terminal_curves,MATCH(AC109,'TERMINAL CURVES'!$A$4:$A$313,0),MATCH(AG$5,'TERMINAL CURVES'!$A$4:$N$4,0))*IF(W109=0,0,Y109/W109))-(AE$8)*((AE$7-$N$5)-(INDEX(ship_curves,MATCH(AC109,'SHIP CURVES'!$A$9:$A$316,0),MATCH(CONCATENATE(AG$4,AG$5,AG$6,AG$7),'SHIP CURVES'!$A$9:$Z$9,0))-INDEX(ship_curves,MATCH(AC109,'SHIP CURVES'!$A$9:$A$316,0),MATCH(CONCATENATE(AG$4,AE$6,AG$6,AG$7),'SHIP CURVES'!$A$9:$Z$9,0)))-(INDEX(terminal_curves,MATCH(AC109,'TERMINAL CURVES'!$A$4:$A$313,0),MATCH(AG$5,'TERMINAL CURVES'!$A$4:$N$4,0))-INDEX(terminal_curves,MATCH(AC109,'TERMINAL CURVES'!$A$4:$A$313,0),MATCH(AE$6,'TERMINAL CURVES'!$A$4:$N$4,0)))*IF(W109=0,0,Y109/W109)))*-W109</f>
        <v>0</v>
      </c>
      <c r="AH109" s="356" t="n">
        <f aca="false">SUM(AE109:AG109)</f>
        <v>0</v>
      </c>
      <c r="AI109" s="357" t="n">
        <f aca="false">(-Y109/((HLOOKUP(AG$5,port_specs,2,0)/(365.25))*(AC110-AC109)))*(INDEX(fixed_capacity_charge,MATCH(AC109,PORTS!$H$11:$H$317,0),MATCH(AG$5,PORTS!$H$11:$N$11,0))+INDEX(variable_om_charge,MATCH(AC109,PORTS!$H$318:$H$625,0),MATCH(AG$5,PORTS!$H$318:$N$318,0)))</f>
        <v>-0</v>
      </c>
      <c r="AJ109" s="343" t="n">
        <f aca="false">+AI109+AH109</f>
        <v>0</v>
      </c>
      <c r="AK109" s="355" t="n">
        <f aca="false">+AJ109+AD109</f>
        <v>0</v>
      </c>
      <c r="AM109" s="346" t="n">
        <f aca="false">+DATE(YEAR(AM108),MONTH(AM108)+1,1)</f>
        <v>39479</v>
      </c>
      <c r="AN109" s="327" t="n">
        <f aca="false">+AP109/(1-HLOOKUP(AO$6,SHIPS,7,0)*INDEX(LADEN_VOYAGE_DAYS,MATCH(CONCATENATE(AO$4,AO$5),LADEN_VOYAGE_ROUTES,0),MATCH(AO$6,LADEN_VOYAGE_SHIPS,0)))</f>
        <v>5047647.83365927</v>
      </c>
      <c r="AO109" s="347" t="n">
        <f aca="false">+AP109-AN109</f>
        <v>-53000.3022534223</v>
      </c>
      <c r="AP109" s="348" t="n">
        <f aca="false">+IF(AND(AO$8&lt;=AM109,AO$9&gt;=AM109),+MIN($B109-SUMIF($H$17:AO$17,AP$17,$H109:AO109),((INDEX(ROUTE_PER_DAY_BY_SHIP,MATCH(CONCATENATE(AO$4,AO$5,AO$7),ROUTE_PER_DAY_ROUTES,0),MATCH(AO$6,ROUTE_PER_DAY_SHIPS,0))*(AM110-AM109))-(INDEX(ROUTE_PER_DAY_BY_SHIP,MATCH(CONCATENATE(AO$4,AO$5,AO$7),ROUTE_PER_DAY_ROUTES,0),MATCH(AO$6,ROUTE_PER_DAY_SHIPS,0))*(AM110-AM109))*HLOOKUP(AO$6,SHIPS,7,0)*INDEX(LADEN_VOYAGE_DAYS,MATCH(CONCATENATE(AO$4,AO$5,AO$7),LADEN_VOYAGE_ROUTES,0),MATCH(AO$6,LADEN_VOYAGE_SHIPS,0)))),0)</f>
        <v>4994647.53140585</v>
      </c>
      <c r="AQ109" s="349" t="n">
        <f aca="false">-(AP109)*PORTS!$I$6</f>
        <v>-124866.188285146</v>
      </c>
      <c r="AR109" s="327" t="n">
        <f aca="false">+AP109+AQ109</f>
        <v>4869781.34312071</v>
      </c>
      <c r="AS109" s="333"/>
      <c r="AT109" s="346" t="n">
        <f aca="false">+DATE(YEAR(AT108),MONTH(AT108)+1,1)</f>
        <v>39479</v>
      </c>
      <c r="AU109" s="343" t="n">
        <f aca="false">+AR109*(VLOOKUP(AT109,CURVECALC!$C$6:$J$312,4,0)+AV$5)</f>
        <v>16630303.2867572</v>
      </c>
      <c r="AV109" s="350" t="n">
        <f aca="false">-AN109*INDEX(ship_curves,MATCH(AT109,'SHIP CURVES'!$A$9:$A$316,0),MATCH(CONCATENATE(AX$4,AX$5,AX$6,AX$7),'SHIP CURVES'!$A$9:$AZ$9,0))</f>
        <v>-1665740.79022427</v>
      </c>
      <c r="AW109" s="351" t="n">
        <f aca="false">-AP109*INDEX(port_processing_fee,MATCH(AT109,PORTS!$H$626:$H$933,0),MATCH(AX$5,PORTS!$H$626:$Z$626,0))</f>
        <v>-145453.419337813</v>
      </c>
      <c r="AX109" s="352" t="n">
        <f aca="false">(((VLOOKUP(AT109,curvecalc,4,0))*IF(AN109=0,0,AR109/AN109)-INDEX(ship_curves,MATCH(AT109,'SHIP CURVES'!$A$9:$A$316,0),MATCH(CONCATENATE(AX$4,AX$5,AX$6,AX$7),'SHIP CURVES'!$A$9:$Z$9,0))-INDEX(terminal_curves,MATCH(AT109,'TERMINAL CURVES'!$A$4:$A$313,0),MATCH(AX$5,'TERMINAL CURVES'!$A$4:$N$4,0))*IF(AN109=0,0,AP109/AN109))-(AV$8)*((AV$7-$N$5)-(INDEX(ship_curves,MATCH(AT109,'SHIP CURVES'!$A$9:$A$316,0),MATCH(CONCATENATE(AX$4,AX$5,AX$6,AX$7),'SHIP CURVES'!$A$9:$Z$9,0))-INDEX(ship_curves,MATCH(AT109,'SHIP CURVES'!$A$9:$A$316,0),MATCH(CONCATENATE(AX$4,AV$6,AX$6,AX$7),'SHIP CURVES'!$A$9:$Z$9,0)))-(INDEX(terminal_curves,MATCH(AT109,'TERMINAL CURVES'!$A$4:$A$313,0),MATCH(AX$5,'TERMINAL CURVES'!$A$4:$N$4,0))-INDEX(terminal_curves,MATCH(AT109,'TERMINAL CURVES'!$A$4:$A$313,0),MATCH(AV$6,'TERMINAL CURVES'!$A$4:$N$4,0)))*IF(AN109=0,0,AP109/AN109)))*-AN109</f>
        <v>-13735618.3948142</v>
      </c>
      <c r="AY109" s="356" t="n">
        <f aca="false">SUM(AV109:AX109)</f>
        <v>-15546812.6043762</v>
      </c>
      <c r="AZ109" s="357" t="n">
        <f aca="false">(-AP109/((HLOOKUP(AX$5,port_specs,2,0)/(365.25))*(AT110-AT109)))*(INDEX(fixed_capacity_charge,MATCH(AT109,PORTS!$H$11:$H$317,0),MATCH(AX$5,PORTS!$H$11:$N$11,0))+INDEX(variable_om_charge,MATCH(AT109,PORTS!$H$318:$H$625,0),MATCH(AX$5,PORTS!$H$318:$N$318,0)))</f>
        <v>-986095.055518551</v>
      </c>
      <c r="BA109" s="343" t="n">
        <f aca="false">+AZ109+AY109</f>
        <v>-16532907.6598948</v>
      </c>
      <c r="BB109" s="355" t="n">
        <f aca="false">+BA109+AU109</f>
        <v>97395.6268624142</v>
      </c>
      <c r="BC109" s="99"/>
      <c r="BD109" s="357" t="n">
        <f aca="false">+PORTS!I103+PORTS!I411</f>
        <v>986095.055518551</v>
      </c>
    </row>
    <row r="110" customFormat="false" ht="12.75" hidden="false" customHeight="false" outlineLevel="0" collapsed="false">
      <c r="A110" s="346" t="n">
        <f aca="false">+DATE(YEAR(A109),MONTH(A109)+1,1)</f>
        <v>39508</v>
      </c>
      <c r="B110" s="327" t="n">
        <f aca="false">+IF(AND($A110&gt;=$C$8,$A110&lt;=$C$9),1,0)*PORTS!$I$5/(365.25)*(A111-A110)</f>
        <v>5339105.98184763</v>
      </c>
      <c r="C110" s="328" t="n">
        <f aca="false">+B110-(SUMIF($F$17:$IV$17,$H$17,$F110:$IV110))</f>
        <v>0</v>
      </c>
      <c r="D110" s="0" t="n">
        <f aca="false">+YEAR(E110)</f>
        <v>2008</v>
      </c>
      <c r="E110" s="346" t="n">
        <f aca="false">+DATE(YEAR(E109),MONTH(E109)+1,1)</f>
        <v>39508</v>
      </c>
      <c r="F110" s="327" t="n">
        <f aca="false">+IF(AND(G$8&lt;=E110,G$9&gt;=E110),INDEX(ROUTE_PER_DAY_BY_SHIP,MATCH(CONCATENATE(G$4,G$5,G$7),ROUTE_PER_DAY_ROUTES,0),MATCH(G$6,ROUTE_PER_DAY_SHIPS,0))*(E111-E110),0)</f>
        <v>0</v>
      </c>
      <c r="G110" s="347" t="n">
        <f aca="false">-F110*HLOOKUP(G$6,SHIPS,7,0)*INDEX(LADEN_VOYAGE_DAYS,MATCH(CONCATENATE(G$4,G$5,G$7),LADEN_VOYAGE_ROUTES,0),MATCH(G$6,LADEN_VOYAGE_SHIPS,0))</f>
        <v>-0</v>
      </c>
      <c r="H110" s="348" t="n">
        <f aca="false">SUM(F110:G110)</f>
        <v>0</v>
      </c>
      <c r="I110" s="349" t="n">
        <f aca="false">-(H110)*HLOOKUP(G$5,TERMINAL_CHARGES,3,0)</f>
        <v>-0</v>
      </c>
      <c r="J110" s="327" t="n">
        <f aca="false">+H110+I110</f>
        <v>0</v>
      </c>
      <c r="K110" s="333"/>
      <c r="L110" s="346" t="n">
        <f aca="false">+DATE(YEAR(L109),MONTH(L109)+1,1)</f>
        <v>39508</v>
      </c>
      <c r="M110" s="334" t="n">
        <f aca="false">+J110*(VLOOKUP(L110,CURVECALC!$C$6:$J$312,4,0)+N$5)</f>
        <v>0</v>
      </c>
      <c r="N110" s="350" t="n">
        <f aca="false">-F110*INDEX(ship_curves,MATCH(L110,'SHIP CURVES'!$A$9:$A$316,0),MATCH(CONCATENATE(P$4,P$5,P$6,P$7),'SHIP CURVES'!$A$9:$AZ$9,0))</f>
        <v>-0</v>
      </c>
      <c r="O110" s="351" t="n">
        <f aca="false">-H110*INDEX(port_processing_fee,MATCH(L110,PORTS!$H$626:$H$933,0),MATCH(P$5,PORTS!$H$626:$Z$626,0))</f>
        <v>-0</v>
      </c>
      <c r="P110" s="352" t="n">
        <f aca="false">(((VLOOKUP(L110,curvecalc,4,0))*IF(F110=0,0,J110/F110)-INDEX(ship_curves,MATCH(L110,'SHIP CURVES'!$A$9:$A$316,0),MATCH(CONCATENATE(P$4,P$5,P$6,P$7),'SHIP CURVES'!$A$9:$Z$9,0))-INDEX(terminal_curves,MATCH(L110,'TERMINAL CURVES'!$A$4:$A$313,0),MATCH(P$5,'TERMINAL CURVES'!$A$4:$N$4,0))*IF(F110=0,0,H110/F110))-(N$8)*((N$7-$N$5)-(INDEX(ship_curves,MATCH(L110,'SHIP CURVES'!$A$9:$A$316,0),MATCH(CONCATENATE(P$4,P$5,P$6,P$7),'SHIP CURVES'!$A$9:$Z$9,0))-INDEX(ship_curves,MATCH(L110,'SHIP CURVES'!$A$9:$A$316,0),MATCH(CONCATENATE(P$4,N$6,P$6,P$7),'SHIP CURVES'!$A$9:$Z$9,0)))-(INDEX(terminal_curves,MATCH(L110,'TERMINAL CURVES'!$A$4:$A$313,0),MATCH(P$5,'TERMINAL CURVES'!$A$4:$N$4,0))-INDEX(terminal_curves,MATCH(L110,'TERMINAL CURVES'!$A$4:$A$313,0),MATCH(N$6,'TERMINAL CURVES'!$A$4:$N$4,0)))*IF(F110=0,0,H110/F110)))*-F110</f>
        <v>0</v>
      </c>
      <c r="Q110" s="353" t="n">
        <f aca="false">SUM(N110:P110)</f>
        <v>0</v>
      </c>
      <c r="R110" s="357" t="n">
        <f aca="false">(-H110/((HLOOKUP(P$5,port_specs,2,0)/(365.25))*(L111-L110)))*(INDEX(fixed_capacity_charge,MATCH(L110,PORTS!$H$11:$H$317,0),MATCH(P$5,PORTS!$H$11:$N$11,0))+INDEX(variable_om_charge,MATCH(L110,PORTS!$H$318:$H$625,0),MATCH(P$5,PORTS!$H$318:$N$318,0)))</f>
        <v>-0</v>
      </c>
      <c r="S110" s="343" t="n">
        <f aca="false">+R110+Q110</f>
        <v>0</v>
      </c>
      <c r="T110" s="355" t="n">
        <f aca="false">+S110+M110</f>
        <v>0</v>
      </c>
      <c r="V110" s="346" t="n">
        <f aca="false">+DATE(YEAR(V109),MONTH(V109)+1,1)</f>
        <v>39508</v>
      </c>
      <c r="W110" s="327" t="n">
        <f aca="false">+Y110/(1-HLOOKUP(X$6,SHIPS,7,0)*INDEX(LADEN_VOYAGE_DAYS,MATCH(CONCATENATE(X$4,X$5),LADEN_VOYAGE_ROUTES,0),MATCH(X$6,LADEN_VOYAGE_SHIPS,0)))</f>
        <v>0</v>
      </c>
      <c r="X110" s="347" t="n">
        <f aca="false">+Y110-W110</f>
        <v>0</v>
      </c>
      <c r="Y110" s="348" t="n">
        <f aca="false">+IF(AND(X$8&lt;=V110,X$9&gt;=V110),+MIN($B110-SUMIF($H$17:X$17,Y$17,$H110:X110),((INDEX(ROUTE_PER_DAY_BY_SHIP,MATCH(CONCATENATE(X$4,X$5,X$7),ROUTE_PER_DAY_ROUTES,0),MATCH(X$6,ROUTE_PER_DAY_SHIPS,0))*(V111-V110))-(INDEX(ROUTE_PER_DAY_BY_SHIP,MATCH(CONCATENATE(X$4,X$5,X$7),ROUTE_PER_DAY_ROUTES,0),MATCH(X$6,ROUTE_PER_DAY_SHIPS,0))*(V111-V110))*HLOOKUP(X$6,SHIPS,7,0)*INDEX(LADEN_VOYAGE_DAYS,MATCH(CONCATENATE(X$4,X$5,X$7),LADEN_VOYAGE_ROUTES,0),MATCH(X$6,LADEN_VOYAGE_SHIPS,0)))),0)</f>
        <v>0</v>
      </c>
      <c r="Z110" s="349" t="n">
        <f aca="false">-(Y110)*HLOOKUP(X$5,TERMINAL_CHARGES,3,0)</f>
        <v>-0</v>
      </c>
      <c r="AA110" s="327" t="n">
        <f aca="false">+Y110+Z110</f>
        <v>0</v>
      </c>
      <c r="AB110" s="333"/>
      <c r="AC110" s="346" t="n">
        <f aca="false">+DATE(YEAR(AC109),MONTH(AC109)+1,1)</f>
        <v>39508</v>
      </c>
      <c r="AD110" s="343" t="n">
        <f aca="false">+AA110*(VLOOKUP(AC110,CURVECALC!$C$6:$J$312,4,0)+AE$5)</f>
        <v>0</v>
      </c>
      <c r="AE110" s="350" t="n">
        <f aca="false">-W110*INDEX(ship_curves,MATCH(AC110,'SHIP CURVES'!$A$9:$A$316,0),MATCH(CONCATENATE(AG$4,AG$5,AG$6,AG$7),'SHIP CURVES'!$A$9:$AZ$9,0))</f>
        <v>-0</v>
      </c>
      <c r="AF110" s="351" t="n">
        <f aca="false">-Y110*INDEX(port_processing_fee,MATCH(AC110,PORTS!$H$626:$H$933,0),MATCH(AG$5,PORTS!$H$626:$Z$626,0))</f>
        <v>-0</v>
      </c>
      <c r="AG110" s="352" t="n">
        <f aca="false">(((VLOOKUP(AC110,curvecalc,4,0))*IF(W110=0,0,AA110/W110)-INDEX(ship_curves,MATCH(AC110,'SHIP CURVES'!$A$9:$A$316,0),MATCH(CONCATENATE(AG$4,AG$5,AG$6,AG$7),'SHIP CURVES'!$A$9:$Z$9,0))-INDEX(terminal_curves,MATCH(AC110,'TERMINAL CURVES'!$A$4:$A$313,0),MATCH(AG$5,'TERMINAL CURVES'!$A$4:$N$4,0))*IF(W110=0,0,Y110/W110))-(AE$8)*((AE$7-$N$5)-(INDEX(ship_curves,MATCH(AC110,'SHIP CURVES'!$A$9:$A$316,0),MATCH(CONCATENATE(AG$4,AG$5,AG$6,AG$7),'SHIP CURVES'!$A$9:$Z$9,0))-INDEX(ship_curves,MATCH(AC110,'SHIP CURVES'!$A$9:$A$316,0),MATCH(CONCATENATE(AG$4,AE$6,AG$6,AG$7),'SHIP CURVES'!$A$9:$Z$9,0)))-(INDEX(terminal_curves,MATCH(AC110,'TERMINAL CURVES'!$A$4:$A$313,0),MATCH(AG$5,'TERMINAL CURVES'!$A$4:$N$4,0))-INDEX(terminal_curves,MATCH(AC110,'TERMINAL CURVES'!$A$4:$A$313,0),MATCH(AE$6,'TERMINAL CURVES'!$A$4:$N$4,0)))*IF(W110=0,0,Y110/W110)))*-W110</f>
        <v>0</v>
      </c>
      <c r="AH110" s="356" t="n">
        <f aca="false">SUM(AE110:AG110)</f>
        <v>0</v>
      </c>
      <c r="AI110" s="357" t="n">
        <f aca="false">(-Y110/((HLOOKUP(AG$5,port_specs,2,0)/(365.25))*(AC111-AC110)))*(INDEX(fixed_capacity_charge,MATCH(AC110,PORTS!$H$11:$H$317,0),MATCH(AG$5,PORTS!$H$11:$N$11,0))+INDEX(variable_om_charge,MATCH(AC110,PORTS!$H$318:$H$625,0),MATCH(AG$5,PORTS!$H$318:$N$318,0)))</f>
        <v>-0</v>
      </c>
      <c r="AJ110" s="343" t="n">
        <f aca="false">+AI110+AH110</f>
        <v>0</v>
      </c>
      <c r="AK110" s="355" t="n">
        <f aca="false">+AJ110+AD110</f>
        <v>0</v>
      </c>
      <c r="AM110" s="346" t="n">
        <f aca="false">+DATE(YEAR(AM109),MONTH(AM109)+1,1)</f>
        <v>39508</v>
      </c>
      <c r="AN110" s="327" t="n">
        <f aca="false">+AP110/(1-HLOOKUP(AO$6,SHIPS,7,0)*INDEX(LADEN_VOYAGE_DAYS,MATCH(CONCATENATE(AO$4,AO$5),LADEN_VOYAGE_ROUTES,0),MATCH(AO$6,LADEN_VOYAGE_SHIPS,0)))</f>
        <v>5395761.47735991</v>
      </c>
      <c r="AO110" s="347" t="n">
        <f aca="false">+AP110-AN110</f>
        <v>-56655.4955122788</v>
      </c>
      <c r="AP110" s="348" t="n">
        <f aca="false">+IF(AND(AO$8&lt;=AM110,AO$9&gt;=AM110),+MIN($B110-SUMIF($H$17:AO$17,AP$17,$H110:AO110),((INDEX(ROUTE_PER_DAY_BY_SHIP,MATCH(CONCATENATE(AO$4,AO$5,AO$7),ROUTE_PER_DAY_ROUTES,0),MATCH(AO$6,ROUTE_PER_DAY_SHIPS,0))*(AM111-AM110))-(INDEX(ROUTE_PER_DAY_BY_SHIP,MATCH(CONCATENATE(AO$4,AO$5,AO$7),ROUTE_PER_DAY_ROUTES,0),MATCH(AO$6,ROUTE_PER_DAY_SHIPS,0))*(AM111-AM110))*HLOOKUP(AO$6,SHIPS,7,0)*INDEX(LADEN_VOYAGE_DAYS,MATCH(CONCATENATE(AO$4,AO$5,AO$7),LADEN_VOYAGE_ROUTES,0),MATCH(AO$6,LADEN_VOYAGE_SHIPS,0)))),0)</f>
        <v>5339105.98184763</v>
      </c>
      <c r="AQ110" s="349" t="n">
        <f aca="false">-(AP110)*PORTS!$I$6</f>
        <v>-133477.649546191</v>
      </c>
      <c r="AR110" s="327" t="n">
        <f aca="false">+AP110+AQ110</f>
        <v>5205628.33230144</v>
      </c>
      <c r="AS110" s="333"/>
      <c r="AT110" s="346" t="n">
        <f aca="false">+DATE(YEAR(AT109),MONTH(AT109)+1,1)</f>
        <v>39508</v>
      </c>
      <c r="AU110" s="343" t="n">
        <f aca="false">+AR110*(VLOOKUP(AT110,CURVECALC!$C$6:$J$312,4,0)+AV$5)</f>
        <v>17126517.2132717</v>
      </c>
      <c r="AV110" s="350" t="n">
        <f aca="false">-AN110*INDEX(ship_curves,MATCH(AT110,'SHIP CURVES'!$A$9:$A$316,0),MATCH(CONCATENATE(AX$4,AX$5,AX$6,AX$7),'SHIP CURVES'!$A$9:$AZ$9,0))</f>
        <v>-1781133.40653381</v>
      </c>
      <c r="AW110" s="351" t="n">
        <f aca="false">-AP110*INDEX(port_processing_fee,MATCH(AT110,PORTS!$H$626:$H$933,0),MATCH(AX$5,PORTS!$H$626:$Z$626,0))</f>
        <v>-155646.652855344</v>
      </c>
      <c r="AX110" s="352" t="n">
        <f aca="false">(((VLOOKUP(AT110,curvecalc,4,0))*IF(AN110=0,0,AR110/AN110)-INDEX(ship_curves,MATCH(AT110,'SHIP CURVES'!$A$9:$A$316,0),MATCH(CONCATENATE(AX$4,AX$5,AX$6,AX$7),'SHIP CURVES'!$A$9:$Z$9,0))-INDEX(terminal_curves,MATCH(AT110,'TERMINAL CURVES'!$A$4:$A$313,0),MATCH(AX$5,'TERMINAL CURVES'!$A$4:$N$4,0))*IF(AN110=0,0,AP110/AN110))-(AV$8)*((AV$7-$N$5)-(INDEX(ship_curves,MATCH(AT110,'SHIP CURVES'!$A$9:$A$316,0),MATCH(CONCATENATE(AX$4,AX$5,AX$6,AX$7),'SHIP CURVES'!$A$9:$Z$9,0))-INDEX(ship_curves,MATCH(AT110,'SHIP CURVES'!$A$9:$A$316,0),MATCH(CONCATENATE(AX$4,AV$6,AX$6,AX$7),'SHIP CURVES'!$A$9:$Z$9,0)))-(INDEX(terminal_curves,MATCH(AT110,'TERMINAL CURVES'!$A$4:$A$313,0),MATCH(AX$5,'TERMINAL CURVES'!$A$4:$N$4,0))-INDEX(terminal_curves,MATCH(AT110,'TERMINAL CURVES'!$A$4:$A$313,0),MATCH(AV$6,'TERMINAL CURVES'!$A$4:$N$4,0)))*IF(AN110=0,0,AP110/AN110)))*-AN110</f>
        <v>-14099007.7520465</v>
      </c>
      <c r="AY110" s="356" t="n">
        <f aca="false">SUM(AV110:AX110)</f>
        <v>-16035787.8114357</v>
      </c>
      <c r="AZ110" s="357" t="n">
        <f aca="false">(-AP110/((HLOOKUP(AX$5,port_specs,2,0)/(365.25))*(AT111-AT110)))*(INDEX(fixed_capacity_charge,MATCH(AT110,PORTS!$H$11:$H$317,0),MATCH(AX$5,PORTS!$H$11:$N$11,0))+INDEX(variable_om_charge,MATCH(AT110,PORTS!$H$318:$H$625,0),MATCH(AX$5,PORTS!$H$318:$N$318,0)))</f>
        <v>-986616.83519002</v>
      </c>
      <c r="BA110" s="343" t="n">
        <f aca="false">+AZ110+AY110</f>
        <v>-17022404.6466257</v>
      </c>
      <c r="BB110" s="355" t="n">
        <f aca="false">+BA110+AU110</f>
        <v>104112.566646032</v>
      </c>
      <c r="BC110" s="99"/>
      <c r="BD110" s="357" t="n">
        <f aca="false">+PORTS!I104+PORTS!I412</f>
        <v>986616.83519002</v>
      </c>
    </row>
    <row r="111" customFormat="false" ht="12.75" hidden="false" customHeight="false" outlineLevel="0" collapsed="false">
      <c r="A111" s="346" t="n">
        <f aca="false">+DATE(YEAR(A110),MONTH(A110)+1,1)</f>
        <v>39539</v>
      </c>
      <c r="B111" s="327" t="n">
        <f aca="false">+IF(AND($A111&gt;=$C$8,$A111&lt;=$C$9),1,0)*PORTS!$I$5/(365.25)*(A112-A111)</f>
        <v>5166876.75662674</v>
      </c>
      <c r="C111" s="328" t="n">
        <f aca="false">+B111-(SUMIF($F$17:$IV$17,$H$17,$F111:$IV111))</f>
        <v>0</v>
      </c>
      <c r="D111" s="0" t="n">
        <f aca="false">+YEAR(E111)</f>
        <v>2008</v>
      </c>
      <c r="E111" s="346" t="n">
        <f aca="false">+DATE(YEAR(E110),MONTH(E110)+1,1)</f>
        <v>39539</v>
      </c>
      <c r="F111" s="327" t="n">
        <f aca="false">+IF(AND(G$8&lt;=E111,G$9&gt;=E111),INDEX(ROUTE_PER_DAY_BY_SHIP,MATCH(CONCATENATE(G$4,G$5,G$7),ROUTE_PER_DAY_ROUTES,0),MATCH(G$6,ROUTE_PER_DAY_SHIPS,0))*(E112-E111),0)</f>
        <v>0</v>
      </c>
      <c r="G111" s="347" t="n">
        <f aca="false">-F111*HLOOKUP(G$6,SHIPS,7,0)*INDEX(LADEN_VOYAGE_DAYS,MATCH(CONCATENATE(G$4,G$5,G$7),LADEN_VOYAGE_ROUTES,0),MATCH(G$6,LADEN_VOYAGE_SHIPS,0))</f>
        <v>-0</v>
      </c>
      <c r="H111" s="348" t="n">
        <f aca="false">SUM(F111:G111)</f>
        <v>0</v>
      </c>
      <c r="I111" s="349" t="n">
        <f aca="false">-(H111)*HLOOKUP(G$5,TERMINAL_CHARGES,3,0)</f>
        <v>-0</v>
      </c>
      <c r="J111" s="327" t="n">
        <f aca="false">+H111+I111</f>
        <v>0</v>
      </c>
      <c r="K111" s="333"/>
      <c r="L111" s="346" t="n">
        <f aca="false">+DATE(YEAR(L110),MONTH(L110)+1,1)</f>
        <v>39539</v>
      </c>
      <c r="M111" s="334" t="n">
        <f aca="false">+J111*(VLOOKUP(L111,CURVECALC!$C$6:$J$312,4,0)+N$5)</f>
        <v>0</v>
      </c>
      <c r="N111" s="350" t="n">
        <f aca="false">-F111*INDEX(ship_curves,MATCH(L111,'SHIP CURVES'!$A$9:$A$316,0),MATCH(CONCATENATE(P$4,P$5,P$6,P$7),'SHIP CURVES'!$A$9:$AZ$9,0))</f>
        <v>-0</v>
      </c>
      <c r="O111" s="351" t="n">
        <f aca="false">-H111*INDEX(port_processing_fee,MATCH(L111,PORTS!$H$626:$H$933,0),MATCH(P$5,PORTS!$H$626:$Z$626,0))</f>
        <v>-0</v>
      </c>
      <c r="P111" s="352" t="n">
        <f aca="false">(((VLOOKUP(L111,curvecalc,4,0))*IF(F111=0,0,J111/F111)-INDEX(ship_curves,MATCH(L111,'SHIP CURVES'!$A$9:$A$316,0),MATCH(CONCATENATE(P$4,P$5,P$6,P$7),'SHIP CURVES'!$A$9:$Z$9,0))-INDEX(terminal_curves,MATCH(L111,'TERMINAL CURVES'!$A$4:$A$313,0),MATCH(P$5,'TERMINAL CURVES'!$A$4:$N$4,0))*IF(F111=0,0,H111/F111))-(N$8)*((N$7-$N$5)-(INDEX(ship_curves,MATCH(L111,'SHIP CURVES'!$A$9:$A$316,0),MATCH(CONCATENATE(P$4,P$5,P$6,P$7),'SHIP CURVES'!$A$9:$Z$9,0))-INDEX(ship_curves,MATCH(L111,'SHIP CURVES'!$A$9:$A$316,0),MATCH(CONCATENATE(P$4,N$6,P$6,P$7),'SHIP CURVES'!$A$9:$Z$9,0)))-(INDEX(terminal_curves,MATCH(L111,'TERMINAL CURVES'!$A$4:$A$313,0),MATCH(P$5,'TERMINAL CURVES'!$A$4:$N$4,0))-INDEX(terminal_curves,MATCH(L111,'TERMINAL CURVES'!$A$4:$A$313,0),MATCH(N$6,'TERMINAL CURVES'!$A$4:$N$4,0)))*IF(F111=0,0,H111/F111)))*-F111</f>
        <v>0</v>
      </c>
      <c r="Q111" s="353" t="n">
        <f aca="false">SUM(N111:P111)</f>
        <v>0</v>
      </c>
      <c r="R111" s="357" t="n">
        <f aca="false">(-H111/((HLOOKUP(P$5,port_specs,2,0)/(365.25))*(L112-L111)))*(INDEX(fixed_capacity_charge,MATCH(L111,PORTS!$H$11:$H$317,0),MATCH(P$5,PORTS!$H$11:$N$11,0))+INDEX(variable_om_charge,MATCH(L111,PORTS!$H$318:$H$625,0),MATCH(P$5,PORTS!$H$318:$N$318,0)))</f>
        <v>-0</v>
      </c>
      <c r="S111" s="343" t="n">
        <f aca="false">+R111+Q111</f>
        <v>0</v>
      </c>
      <c r="T111" s="355" t="n">
        <f aca="false">+S111+M111</f>
        <v>0</v>
      </c>
      <c r="V111" s="346" t="n">
        <f aca="false">+DATE(YEAR(V110),MONTH(V110)+1,1)</f>
        <v>39539</v>
      </c>
      <c r="W111" s="327" t="n">
        <f aca="false">+Y111/(1-HLOOKUP(X$6,SHIPS,7,0)*INDEX(LADEN_VOYAGE_DAYS,MATCH(CONCATENATE(X$4,X$5),LADEN_VOYAGE_ROUTES,0),MATCH(X$6,LADEN_VOYAGE_SHIPS,0)))</f>
        <v>0</v>
      </c>
      <c r="X111" s="347" t="n">
        <f aca="false">+Y111-W111</f>
        <v>0</v>
      </c>
      <c r="Y111" s="348" t="n">
        <f aca="false">+IF(AND(X$8&lt;=V111,X$9&gt;=V111),+MIN($B111-SUMIF($H$17:X$17,Y$17,$H111:X111),((INDEX(ROUTE_PER_DAY_BY_SHIP,MATCH(CONCATENATE(X$4,X$5,X$7),ROUTE_PER_DAY_ROUTES,0),MATCH(X$6,ROUTE_PER_DAY_SHIPS,0))*(V112-V111))-(INDEX(ROUTE_PER_DAY_BY_SHIP,MATCH(CONCATENATE(X$4,X$5,X$7),ROUTE_PER_DAY_ROUTES,0),MATCH(X$6,ROUTE_PER_DAY_SHIPS,0))*(V112-V111))*HLOOKUP(X$6,SHIPS,7,0)*INDEX(LADEN_VOYAGE_DAYS,MATCH(CONCATENATE(X$4,X$5,X$7),LADEN_VOYAGE_ROUTES,0),MATCH(X$6,LADEN_VOYAGE_SHIPS,0)))),0)</f>
        <v>0</v>
      </c>
      <c r="Z111" s="349" t="n">
        <f aca="false">-(Y111)*HLOOKUP(X$5,TERMINAL_CHARGES,3,0)</f>
        <v>-0</v>
      </c>
      <c r="AA111" s="327" t="n">
        <f aca="false">+Y111+Z111</f>
        <v>0</v>
      </c>
      <c r="AB111" s="333"/>
      <c r="AC111" s="346" t="n">
        <f aca="false">+DATE(YEAR(AC110),MONTH(AC110)+1,1)</f>
        <v>39539</v>
      </c>
      <c r="AD111" s="343" t="n">
        <f aca="false">+AA111*(VLOOKUP(AC111,CURVECALC!$C$6:$J$312,4,0)+AE$5)</f>
        <v>0</v>
      </c>
      <c r="AE111" s="350" t="n">
        <f aca="false">-W111*INDEX(ship_curves,MATCH(AC111,'SHIP CURVES'!$A$9:$A$316,0),MATCH(CONCATENATE(AG$4,AG$5,AG$6,AG$7),'SHIP CURVES'!$A$9:$AZ$9,0))</f>
        <v>-0</v>
      </c>
      <c r="AF111" s="351" t="n">
        <f aca="false">-Y111*INDEX(port_processing_fee,MATCH(AC111,PORTS!$H$626:$H$933,0),MATCH(AG$5,PORTS!$H$626:$Z$626,0))</f>
        <v>-0</v>
      </c>
      <c r="AG111" s="352" t="n">
        <f aca="false">(((VLOOKUP(AC111,curvecalc,4,0))*IF(W111=0,0,AA111/W111)-INDEX(ship_curves,MATCH(AC111,'SHIP CURVES'!$A$9:$A$316,0),MATCH(CONCATENATE(AG$4,AG$5,AG$6,AG$7),'SHIP CURVES'!$A$9:$Z$9,0))-INDEX(terminal_curves,MATCH(AC111,'TERMINAL CURVES'!$A$4:$A$313,0),MATCH(AG$5,'TERMINAL CURVES'!$A$4:$N$4,0))*IF(W111=0,0,Y111/W111))-(AE$8)*((AE$7-$N$5)-(INDEX(ship_curves,MATCH(AC111,'SHIP CURVES'!$A$9:$A$316,0),MATCH(CONCATENATE(AG$4,AG$5,AG$6,AG$7),'SHIP CURVES'!$A$9:$Z$9,0))-INDEX(ship_curves,MATCH(AC111,'SHIP CURVES'!$A$9:$A$316,0),MATCH(CONCATENATE(AG$4,AE$6,AG$6,AG$7),'SHIP CURVES'!$A$9:$Z$9,0)))-(INDEX(terminal_curves,MATCH(AC111,'TERMINAL CURVES'!$A$4:$A$313,0),MATCH(AG$5,'TERMINAL CURVES'!$A$4:$N$4,0))-INDEX(terminal_curves,MATCH(AC111,'TERMINAL CURVES'!$A$4:$A$313,0),MATCH(AE$6,'TERMINAL CURVES'!$A$4:$N$4,0)))*IF(W111=0,0,Y111/W111)))*-W111</f>
        <v>0</v>
      </c>
      <c r="AH111" s="356" t="n">
        <f aca="false">SUM(AE111:AG111)</f>
        <v>0</v>
      </c>
      <c r="AI111" s="357" t="n">
        <f aca="false">(-Y111/((HLOOKUP(AG$5,port_specs,2,0)/(365.25))*(AC112-AC111)))*(INDEX(fixed_capacity_charge,MATCH(AC111,PORTS!$H$11:$H$317,0),MATCH(AG$5,PORTS!$H$11:$N$11,0))+INDEX(variable_om_charge,MATCH(AC111,PORTS!$H$318:$H$625,0),MATCH(AG$5,PORTS!$H$318:$N$318,0)))</f>
        <v>-0</v>
      </c>
      <c r="AJ111" s="343" t="n">
        <f aca="false">+AI111+AH111</f>
        <v>0</v>
      </c>
      <c r="AK111" s="355" t="n">
        <f aca="false">+AJ111+AD111</f>
        <v>0</v>
      </c>
      <c r="AM111" s="346" t="n">
        <f aca="false">+DATE(YEAR(AM110),MONTH(AM110)+1,1)</f>
        <v>39539</v>
      </c>
      <c r="AN111" s="327" t="n">
        <f aca="false">+AP111/(1-HLOOKUP(AO$6,SHIPS,7,0)*INDEX(LADEN_VOYAGE_DAYS,MATCH(CONCATENATE(AO$4,AO$5),LADEN_VOYAGE_ROUTES,0),MATCH(AO$6,LADEN_VOYAGE_SHIPS,0)))</f>
        <v>5221704.65550959</v>
      </c>
      <c r="AO111" s="347" t="n">
        <f aca="false">+AP111-AN111</f>
        <v>-54827.8988828501</v>
      </c>
      <c r="AP111" s="348" t="n">
        <f aca="false">+IF(AND(AO$8&lt;=AM111,AO$9&gt;=AM111),+MIN($B111-SUMIF($H$17:AO$17,AP$17,$H111:AO111),((INDEX(ROUTE_PER_DAY_BY_SHIP,MATCH(CONCATENATE(AO$4,AO$5,AO$7),ROUTE_PER_DAY_ROUTES,0),MATCH(AO$6,ROUTE_PER_DAY_SHIPS,0))*(AM112-AM111))-(INDEX(ROUTE_PER_DAY_BY_SHIP,MATCH(CONCATENATE(AO$4,AO$5,AO$7),ROUTE_PER_DAY_ROUTES,0),MATCH(AO$6,ROUTE_PER_DAY_SHIPS,0))*(AM112-AM111))*HLOOKUP(AO$6,SHIPS,7,0)*INDEX(LADEN_VOYAGE_DAYS,MATCH(CONCATENATE(AO$4,AO$5,AO$7),LADEN_VOYAGE_ROUTES,0),MATCH(AO$6,LADEN_VOYAGE_SHIPS,0)))),0)</f>
        <v>5166876.75662674</v>
      </c>
      <c r="AQ111" s="349" t="n">
        <f aca="false">-(AP111)*PORTS!$I$6</f>
        <v>-129171.918915669</v>
      </c>
      <c r="AR111" s="327" t="n">
        <f aca="false">+AP111+AQ111</f>
        <v>5037704.83771107</v>
      </c>
      <c r="AS111" s="333"/>
      <c r="AT111" s="346" t="n">
        <f aca="false">+DATE(YEAR(AT110),MONTH(AT110)+1,1)</f>
        <v>39539</v>
      </c>
      <c r="AU111" s="343" t="n">
        <f aca="false">+AR111*(VLOOKUP(AT111,CURVECALC!$C$6:$J$312,4,0)+AV$5)</f>
        <v>15944335.8113555</v>
      </c>
      <c r="AV111" s="350" t="n">
        <f aca="false">-AN111*INDEX(ship_curves,MATCH(AT111,'SHIP CURVES'!$A$9:$A$316,0),MATCH(CONCATENATE(AX$4,AX$5,AX$6,AX$7),'SHIP CURVES'!$A$9:$AZ$9,0))</f>
        <v>-1724175.88874142</v>
      </c>
      <c r="AW111" s="351" t="n">
        <f aca="false">-AP111*INDEX(port_processing_fee,MATCH(AT111,PORTS!$H$626:$H$933,0),MATCH(AX$5,PORTS!$H$626:$Z$626,0))</f>
        <v>-150782.694953615</v>
      </c>
      <c r="AX111" s="352" t="n">
        <f aca="false">(((VLOOKUP(AT111,curvecalc,4,0))*IF(AN111=0,0,AR111/AN111)-INDEX(ship_curves,MATCH(AT111,'SHIP CURVES'!$A$9:$A$316,0),MATCH(CONCATENATE(AX$4,AX$5,AX$6,AX$7),'SHIP CURVES'!$A$9:$Z$9,0))-INDEX(terminal_curves,MATCH(AT111,'TERMINAL CURVES'!$A$4:$A$313,0),MATCH(AX$5,'TERMINAL CURVES'!$A$4:$N$4,0))*IF(AN111=0,0,AP111/AN111))-(AV$8)*((AV$7-$N$5)-(INDEX(ship_curves,MATCH(AT111,'SHIP CURVES'!$A$9:$A$316,0),MATCH(CONCATENATE(AX$4,AX$5,AX$6,AX$7),'SHIP CURVES'!$A$9:$Z$9,0))-INDEX(ship_curves,MATCH(AT111,'SHIP CURVES'!$A$9:$A$316,0),MATCH(CONCATENATE(AX$4,AV$6,AX$6,AX$7),'SHIP CURVES'!$A$9:$Z$9,0)))-(INDEX(terminal_curves,MATCH(AT111,'TERMINAL CURVES'!$A$4:$A$313,0),MATCH(AX$5,'TERMINAL CURVES'!$A$4:$N$4,0))-INDEX(terminal_curves,MATCH(AT111,'TERMINAL CURVES'!$A$4:$A$313,0),MATCH(AV$6,'TERMINAL CURVES'!$A$4:$N$4,0)))*IF(AN111=0,0,AP111/AN111)))*-AN111</f>
        <v>-12981483.9725243</v>
      </c>
      <c r="AY111" s="356" t="n">
        <f aca="false">SUM(AV111:AX111)</f>
        <v>-14856442.5562193</v>
      </c>
      <c r="AZ111" s="357" t="n">
        <f aca="false">(-AP111/((HLOOKUP(AX$5,port_specs,2,0)/(365.25))*(AT112-AT111)))*(INDEX(fixed_capacity_charge,MATCH(AT111,PORTS!$H$11:$H$317,0),MATCH(AX$5,PORTS!$H$11:$N$11,0))+INDEX(variable_om_charge,MATCH(AT111,PORTS!$H$318:$H$625,0),MATCH(AX$5,PORTS!$H$318:$N$318,0)))</f>
        <v>-987139.15838198</v>
      </c>
      <c r="BA111" s="343" t="n">
        <f aca="false">+AZ111+AY111</f>
        <v>-15843581.7146013</v>
      </c>
      <c r="BB111" s="355" t="n">
        <f aca="false">+BA111+AU111</f>
        <v>100754.096754223</v>
      </c>
      <c r="BC111" s="99"/>
      <c r="BD111" s="357" t="n">
        <f aca="false">+PORTS!I105+PORTS!I413</f>
        <v>987139.15838198</v>
      </c>
    </row>
    <row r="112" customFormat="false" ht="12.75" hidden="false" customHeight="false" outlineLevel="0" collapsed="false">
      <c r="A112" s="346" t="n">
        <f aca="false">+DATE(YEAR(A111),MONTH(A111)+1,1)</f>
        <v>39569</v>
      </c>
      <c r="B112" s="327" t="n">
        <f aca="false">+IF(AND($A112&gt;=$C$8,$A112&lt;=$C$9),1,0)*PORTS!$I$5/(365.25)*(A113-A112)</f>
        <v>5339105.98184763</v>
      </c>
      <c r="C112" s="328" t="n">
        <f aca="false">+B112-(SUMIF($F$17:$IV$17,$H$17,$F112:$IV112))</f>
        <v>0</v>
      </c>
      <c r="D112" s="0" t="n">
        <f aca="false">+YEAR(E112)</f>
        <v>2008</v>
      </c>
      <c r="E112" s="346" t="n">
        <f aca="false">+DATE(YEAR(E111),MONTH(E111)+1,1)</f>
        <v>39569</v>
      </c>
      <c r="F112" s="327" t="n">
        <f aca="false">+IF(AND(G$8&lt;=E112,G$9&gt;=E112),INDEX(ROUTE_PER_DAY_BY_SHIP,MATCH(CONCATENATE(G$4,G$5,G$7),ROUTE_PER_DAY_ROUTES,0),MATCH(G$6,ROUTE_PER_DAY_SHIPS,0))*(E113-E112),0)</f>
        <v>0</v>
      </c>
      <c r="G112" s="347" t="n">
        <f aca="false">-F112*HLOOKUP(G$6,SHIPS,7,0)*INDEX(LADEN_VOYAGE_DAYS,MATCH(CONCATENATE(G$4,G$5,G$7),LADEN_VOYAGE_ROUTES,0),MATCH(G$6,LADEN_VOYAGE_SHIPS,0))</f>
        <v>-0</v>
      </c>
      <c r="H112" s="348" t="n">
        <f aca="false">SUM(F112:G112)</f>
        <v>0</v>
      </c>
      <c r="I112" s="349" t="n">
        <f aca="false">-(H112)*HLOOKUP(G$5,TERMINAL_CHARGES,3,0)</f>
        <v>-0</v>
      </c>
      <c r="J112" s="327" t="n">
        <f aca="false">+H112+I112</f>
        <v>0</v>
      </c>
      <c r="K112" s="333"/>
      <c r="L112" s="346" t="n">
        <f aca="false">+DATE(YEAR(L111),MONTH(L111)+1,1)</f>
        <v>39569</v>
      </c>
      <c r="M112" s="334" t="n">
        <f aca="false">+J112*(VLOOKUP(L112,CURVECALC!$C$6:$J$312,4,0)+N$5)</f>
        <v>0</v>
      </c>
      <c r="N112" s="350" t="n">
        <f aca="false">-F112*INDEX(ship_curves,MATCH(L112,'SHIP CURVES'!$A$9:$A$316,0),MATCH(CONCATENATE(P$4,P$5,P$6,P$7),'SHIP CURVES'!$A$9:$AZ$9,0))</f>
        <v>-0</v>
      </c>
      <c r="O112" s="351" t="n">
        <f aca="false">-H112*INDEX(port_processing_fee,MATCH(L112,PORTS!$H$626:$H$933,0),MATCH(P$5,PORTS!$H$626:$Z$626,0))</f>
        <v>-0</v>
      </c>
      <c r="P112" s="352" t="n">
        <f aca="false">(((VLOOKUP(L112,curvecalc,4,0))*IF(F112=0,0,J112/F112)-INDEX(ship_curves,MATCH(L112,'SHIP CURVES'!$A$9:$A$316,0),MATCH(CONCATENATE(P$4,P$5,P$6,P$7),'SHIP CURVES'!$A$9:$Z$9,0))-INDEX(terminal_curves,MATCH(L112,'TERMINAL CURVES'!$A$4:$A$313,0),MATCH(P$5,'TERMINAL CURVES'!$A$4:$N$4,0))*IF(F112=0,0,H112/F112))-(N$8)*((N$7-$N$5)-(INDEX(ship_curves,MATCH(L112,'SHIP CURVES'!$A$9:$A$316,0),MATCH(CONCATENATE(P$4,P$5,P$6,P$7),'SHIP CURVES'!$A$9:$Z$9,0))-INDEX(ship_curves,MATCH(L112,'SHIP CURVES'!$A$9:$A$316,0),MATCH(CONCATENATE(P$4,N$6,P$6,P$7),'SHIP CURVES'!$A$9:$Z$9,0)))-(INDEX(terminal_curves,MATCH(L112,'TERMINAL CURVES'!$A$4:$A$313,0),MATCH(P$5,'TERMINAL CURVES'!$A$4:$N$4,0))-INDEX(terminal_curves,MATCH(L112,'TERMINAL CURVES'!$A$4:$A$313,0),MATCH(N$6,'TERMINAL CURVES'!$A$4:$N$4,0)))*IF(F112=0,0,H112/F112)))*-F112</f>
        <v>0</v>
      </c>
      <c r="Q112" s="353" t="n">
        <f aca="false">SUM(N112:P112)</f>
        <v>0</v>
      </c>
      <c r="R112" s="357" t="n">
        <f aca="false">(-H112/((HLOOKUP(P$5,port_specs,2,0)/(365.25))*(L113-L112)))*(INDEX(fixed_capacity_charge,MATCH(L112,PORTS!$H$11:$H$317,0),MATCH(P$5,PORTS!$H$11:$N$11,0))+INDEX(variable_om_charge,MATCH(L112,PORTS!$H$318:$H$625,0),MATCH(P$5,PORTS!$H$318:$N$318,0)))</f>
        <v>-0</v>
      </c>
      <c r="S112" s="343" t="n">
        <f aca="false">+R112+Q112</f>
        <v>0</v>
      </c>
      <c r="T112" s="355" t="n">
        <f aca="false">+S112+M112</f>
        <v>0</v>
      </c>
      <c r="V112" s="346" t="n">
        <f aca="false">+DATE(YEAR(V111),MONTH(V111)+1,1)</f>
        <v>39569</v>
      </c>
      <c r="W112" s="327" t="n">
        <f aca="false">+Y112/(1-HLOOKUP(X$6,SHIPS,7,0)*INDEX(LADEN_VOYAGE_DAYS,MATCH(CONCATENATE(X$4,X$5),LADEN_VOYAGE_ROUTES,0),MATCH(X$6,LADEN_VOYAGE_SHIPS,0)))</f>
        <v>0</v>
      </c>
      <c r="X112" s="347" t="n">
        <f aca="false">+Y112-W112</f>
        <v>0</v>
      </c>
      <c r="Y112" s="348" t="n">
        <f aca="false">+IF(AND(X$8&lt;=V112,X$9&gt;=V112),+MIN($B112-SUMIF($H$17:X$17,Y$17,$H112:X112),((INDEX(ROUTE_PER_DAY_BY_SHIP,MATCH(CONCATENATE(X$4,X$5,X$7),ROUTE_PER_DAY_ROUTES,0),MATCH(X$6,ROUTE_PER_DAY_SHIPS,0))*(V113-V112))-(INDEX(ROUTE_PER_DAY_BY_SHIP,MATCH(CONCATENATE(X$4,X$5,X$7),ROUTE_PER_DAY_ROUTES,0),MATCH(X$6,ROUTE_PER_DAY_SHIPS,0))*(V113-V112))*HLOOKUP(X$6,SHIPS,7,0)*INDEX(LADEN_VOYAGE_DAYS,MATCH(CONCATENATE(X$4,X$5,X$7),LADEN_VOYAGE_ROUTES,0),MATCH(X$6,LADEN_VOYAGE_SHIPS,0)))),0)</f>
        <v>0</v>
      </c>
      <c r="Z112" s="349" t="n">
        <f aca="false">-(Y112)*HLOOKUP(X$5,TERMINAL_CHARGES,3,0)</f>
        <v>-0</v>
      </c>
      <c r="AA112" s="327" t="n">
        <f aca="false">+Y112+Z112</f>
        <v>0</v>
      </c>
      <c r="AB112" s="333"/>
      <c r="AC112" s="346" t="n">
        <f aca="false">+DATE(YEAR(AC111),MONTH(AC111)+1,1)</f>
        <v>39569</v>
      </c>
      <c r="AD112" s="343" t="n">
        <f aca="false">+AA112*(VLOOKUP(AC112,CURVECALC!$C$6:$J$312,4,0)+AE$5)</f>
        <v>0</v>
      </c>
      <c r="AE112" s="350" t="n">
        <f aca="false">-W112*INDEX(ship_curves,MATCH(AC112,'SHIP CURVES'!$A$9:$A$316,0),MATCH(CONCATENATE(AG$4,AG$5,AG$6,AG$7),'SHIP CURVES'!$A$9:$AZ$9,0))</f>
        <v>-0</v>
      </c>
      <c r="AF112" s="351" t="n">
        <f aca="false">-Y112*INDEX(port_processing_fee,MATCH(AC112,PORTS!$H$626:$H$933,0),MATCH(AG$5,PORTS!$H$626:$Z$626,0))</f>
        <v>-0</v>
      </c>
      <c r="AG112" s="352" t="n">
        <f aca="false">(((VLOOKUP(AC112,curvecalc,4,0))*IF(W112=0,0,AA112/W112)-INDEX(ship_curves,MATCH(AC112,'SHIP CURVES'!$A$9:$A$316,0),MATCH(CONCATENATE(AG$4,AG$5,AG$6,AG$7),'SHIP CURVES'!$A$9:$Z$9,0))-INDEX(terminal_curves,MATCH(AC112,'TERMINAL CURVES'!$A$4:$A$313,0),MATCH(AG$5,'TERMINAL CURVES'!$A$4:$N$4,0))*IF(W112=0,0,Y112/W112))-(AE$8)*((AE$7-$N$5)-(INDEX(ship_curves,MATCH(AC112,'SHIP CURVES'!$A$9:$A$316,0),MATCH(CONCATENATE(AG$4,AG$5,AG$6,AG$7),'SHIP CURVES'!$A$9:$Z$9,0))-INDEX(ship_curves,MATCH(AC112,'SHIP CURVES'!$A$9:$A$316,0),MATCH(CONCATENATE(AG$4,AE$6,AG$6,AG$7),'SHIP CURVES'!$A$9:$Z$9,0)))-(INDEX(terminal_curves,MATCH(AC112,'TERMINAL CURVES'!$A$4:$A$313,0),MATCH(AG$5,'TERMINAL CURVES'!$A$4:$N$4,0))-INDEX(terminal_curves,MATCH(AC112,'TERMINAL CURVES'!$A$4:$A$313,0),MATCH(AE$6,'TERMINAL CURVES'!$A$4:$N$4,0)))*IF(W112=0,0,Y112/W112)))*-W112</f>
        <v>0</v>
      </c>
      <c r="AH112" s="356" t="n">
        <f aca="false">SUM(AE112:AG112)</f>
        <v>0</v>
      </c>
      <c r="AI112" s="357" t="n">
        <f aca="false">(-Y112/((HLOOKUP(AG$5,port_specs,2,0)/(365.25))*(AC113-AC112)))*(INDEX(fixed_capacity_charge,MATCH(AC112,PORTS!$H$11:$H$317,0),MATCH(AG$5,PORTS!$H$11:$N$11,0))+INDEX(variable_om_charge,MATCH(AC112,PORTS!$H$318:$H$625,0),MATCH(AG$5,PORTS!$H$318:$N$318,0)))</f>
        <v>-0</v>
      </c>
      <c r="AJ112" s="343" t="n">
        <f aca="false">+AI112+AH112</f>
        <v>0</v>
      </c>
      <c r="AK112" s="355" t="n">
        <f aca="false">+AJ112+AD112</f>
        <v>0</v>
      </c>
      <c r="AM112" s="346" t="n">
        <f aca="false">+DATE(YEAR(AM111),MONTH(AM111)+1,1)</f>
        <v>39569</v>
      </c>
      <c r="AN112" s="327" t="n">
        <f aca="false">+AP112/(1-HLOOKUP(AO$6,SHIPS,7,0)*INDEX(LADEN_VOYAGE_DAYS,MATCH(CONCATENATE(AO$4,AO$5),LADEN_VOYAGE_ROUTES,0),MATCH(AO$6,LADEN_VOYAGE_SHIPS,0)))</f>
        <v>5395761.47735991</v>
      </c>
      <c r="AO112" s="347" t="n">
        <f aca="false">+AP112-AN112</f>
        <v>-56655.4955122788</v>
      </c>
      <c r="AP112" s="348" t="n">
        <f aca="false">+IF(AND(AO$8&lt;=AM112,AO$9&gt;=AM112),+MIN($B112-SUMIF($H$17:AO$17,AP$17,$H112:AO112),((INDEX(ROUTE_PER_DAY_BY_SHIP,MATCH(CONCATENATE(AO$4,AO$5,AO$7),ROUTE_PER_DAY_ROUTES,0),MATCH(AO$6,ROUTE_PER_DAY_SHIPS,0))*(AM113-AM112))-(INDEX(ROUTE_PER_DAY_BY_SHIP,MATCH(CONCATENATE(AO$4,AO$5,AO$7),ROUTE_PER_DAY_ROUTES,0),MATCH(AO$6,ROUTE_PER_DAY_SHIPS,0))*(AM113-AM112))*HLOOKUP(AO$6,SHIPS,7,0)*INDEX(LADEN_VOYAGE_DAYS,MATCH(CONCATENATE(AO$4,AO$5,AO$7),LADEN_VOYAGE_ROUTES,0),MATCH(AO$6,LADEN_VOYAGE_SHIPS,0)))),0)</f>
        <v>5339105.98184763</v>
      </c>
      <c r="AQ112" s="349" t="n">
        <f aca="false">-(AP112)*PORTS!$I$6</f>
        <v>-133477.649546191</v>
      </c>
      <c r="AR112" s="327" t="n">
        <f aca="false">+AP112+AQ112</f>
        <v>5205628.33230144</v>
      </c>
      <c r="AS112" s="333"/>
      <c r="AT112" s="346" t="n">
        <f aca="false">+DATE(YEAR(AT111),MONTH(AT111)+1,1)</f>
        <v>39569</v>
      </c>
      <c r="AU112" s="343" t="n">
        <f aca="false">+AR112*(VLOOKUP(AT112,CURVECALC!$C$6:$J$312,4,0)+AV$5)</f>
        <v>16423757.3884111</v>
      </c>
      <c r="AV112" s="350" t="n">
        <f aca="false">-AN112*INDEX(ship_curves,MATCH(AT112,'SHIP CURVES'!$A$9:$A$316,0),MATCH(CONCATENATE(AX$4,AX$5,AX$6,AX$7),'SHIP CURVES'!$A$9:$AZ$9,0))</f>
        <v>-1782164.50313978</v>
      </c>
      <c r="AW112" s="351" t="n">
        <f aca="false">-AP112*INDEX(port_processing_fee,MATCH(AT112,PORTS!$H$626:$H$933,0),MATCH(AX$5,PORTS!$H$626:$Z$626,0))</f>
        <v>-155971.085602887</v>
      </c>
      <c r="AX112" s="352" t="n">
        <f aca="false">(((VLOOKUP(AT112,curvecalc,4,0))*IF(AN112=0,0,AR112/AN112)-INDEX(ship_curves,MATCH(AT112,'SHIP CURVES'!$A$9:$A$316,0),MATCH(CONCATENATE(AX$4,AX$5,AX$6,AX$7),'SHIP CURVES'!$A$9:$Z$9,0))-INDEX(terminal_curves,MATCH(AT112,'TERMINAL CURVES'!$A$4:$A$313,0),MATCH(AX$5,'TERMINAL CURVES'!$A$4:$N$4,0))*IF(AN112=0,0,AP112/AN112))-(AV$8)*((AV$7-$N$5)-(INDEX(ship_curves,MATCH(AT112,'SHIP CURVES'!$A$9:$A$316,0),MATCH(CONCATENATE(AX$4,AX$5,AX$6,AX$7),'SHIP CURVES'!$A$9:$Z$9,0))-INDEX(ship_curves,MATCH(AT112,'SHIP CURVES'!$A$9:$A$316,0),MATCH(CONCATENATE(AX$4,AV$6,AX$6,AX$7),'SHIP CURVES'!$A$9:$Z$9,0)))-(INDEX(terminal_curves,MATCH(AT112,'TERMINAL CURVES'!$A$4:$A$313,0),MATCH(AX$5,'TERMINAL CURVES'!$A$4:$N$4,0))-INDEX(terminal_curves,MATCH(AT112,'TERMINAL CURVES'!$A$4:$A$313,0),MATCH(AV$6,'TERMINAL CURVES'!$A$4:$N$4,0)))*IF(AN112=0,0,AP112/AN112)))*-AN112</f>
        <v>-13393847.2073618</v>
      </c>
      <c r="AY112" s="356" t="n">
        <f aca="false">SUM(AV112:AX112)</f>
        <v>-15331982.7961044</v>
      </c>
      <c r="AZ112" s="357" t="n">
        <f aca="false">(-AP112/((HLOOKUP(AX$5,port_specs,2,0)/(365.25))*(AT113-AT112)))*(INDEX(fixed_capacity_charge,MATCH(AT112,PORTS!$H$11:$H$317,0),MATCH(AX$5,PORTS!$H$11:$N$11,0))+INDEX(variable_om_charge,MATCH(AT112,PORTS!$H$318:$H$625,0),MATCH(AX$5,PORTS!$H$318:$N$318,0)))</f>
        <v>-987662.025660599</v>
      </c>
      <c r="BA112" s="343" t="n">
        <f aca="false">+AZ112+AY112</f>
        <v>-16319644.821765</v>
      </c>
      <c r="BB112" s="355" t="n">
        <f aca="false">+BA112+AU112</f>
        <v>104112.56664603</v>
      </c>
      <c r="BC112" s="99"/>
      <c r="BD112" s="357" t="n">
        <f aca="false">+PORTS!I106+PORTS!I414</f>
        <v>987662.025660599</v>
      </c>
    </row>
    <row r="113" customFormat="false" ht="12.75" hidden="false" customHeight="false" outlineLevel="0" collapsed="false">
      <c r="A113" s="346" t="n">
        <f aca="false">+DATE(YEAR(A112),MONTH(A112)+1,1)</f>
        <v>39600</v>
      </c>
      <c r="B113" s="327" t="n">
        <f aca="false">+IF(AND($A113&gt;=$C$8,$A113&lt;=$C$9),1,0)*PORTS!$I$5/(365.25)*(A114-A113)</f>
        <v>5166876.75662674</v>
      </c>
      <c r="C113" s="328" t="n">
        <f aca="false">+B113-(SUMIF($F$17:$IV$17,$H$17,$F113:$IV113))</f>
        <v>0</v>
      </c>
      <c r="D113" s="0" t="n">
        <f aca="false">+YEAR(E113)</f>
        <v>2008</v>
      </c>
      <c r="E113" s="346" t="n">
        <f aca="false">+DATE(YEAR(E112),MONTH(E112)+1,1)</f>
        <v>39600</v>
      </c>
      <c r="F113" s="327" t="n">
        <f aca="false">+IF(AND(G$8&lt;=E113,G$9&gt;=E113),INDEX(ROUTE_PER_DAY_BY_SHIP,MATCH(CONCATENATE(G$4,G$5,G$7),ROUTE_PER_DAY_ROUTES,0),MATCH(G$6,ROUTE_PER_DAY_SHIPS,0))*(E114-E113),0)</f>
        <v>0</v>
      </c>
      <c r="G113" s="347" t="n">
        <f aca="false">-F113*HLOOKUP(G$6,SHIPS,7,0)*INDEX(LADEN_VOYAGE_DAYS,MATCH(CONCATENATE(G$4,G$5,G$7),LADEN_VOYAGE_ROUTES,0),MATCH(G$6,LADEN_VOYAGE_SHIPS,0))</f>
        <v>-0</v>
      </c>
      <c r="H113" s="348" t="n">
        <f aca="false">SUM(F113:G113)</f>
        <v>0</v>
      </c>
      <c r="I113" s="349" t="n">
        <f aca="false">-(H113)*HLOOKUP(G$5,TERMINAL_CHARGES,3,0)</f>
        <v>-0</v>
      </c>
      <c r="J113" s="327" t="n">
        <f aca="false">+H113+I113</f>
        <v>0</v>
      </c>
      <c r="K113" s="333"/>
      <c r="L113" s="346" t="n">
        <f aca="false">+DATE(YEAR(L112),MONTH(L112)+1,1)</f>
        <v>39600</v>
      </c>
      <c r="M113" s="334" t="n">
        <f aca="false">+J113*(VLOOKUP(L113,CURVECALC!$C$6:$J$312,4,0)+N$5)</f>
        <v>0</v>
      </c>
      <c r="N113" s="350" t="n">
        <f aca="false">-F113*INDEX(ship_curves,MATCH(L113,'SHIP CURVES'!$A$9:$A$316,0),MATCH(CONCATENATE(P$4,P$5,P$6,P$7),'SHIP CURVES'!$A$9:$AZ$9,0))</f>
        <v>-0</v>
      </c>
      <c r="O113" s="351" t="n">
        <f aca="false">-H113*INDEX(port_processing_fee,MATCH(L113,PORTS!$H$626:$H$933,0),MATCH(P$5,PORTS!$H$626:$Z$626,0))</f>
        <v>-0</v>
      </c>
      <c r="P113" s="352" t="n">
        <f aca="false">(((VLOOKUP(L113,curvecalc,4,0))*IF(F113=0,0,J113/F113)-INDEX(ship_curves,MATCH(L113,'SHIP CURVES'!$A$9:$A$316,0),MATCH(CONCATENATE(P$4,P$5,P$6,P$7),'SHIP CURVES'!$A$9:$Z$9,0))-INDEX(terminal_curves,MATCH(L113,'TERMINAL CURVES'!$A$4:$A$313,0),MATCH(P$5,'TERMINAL CURVES'!$A$4:$N$4,0))*IF(F113=0,0,H113/F113))-(N$8)*((N$7-$N$5)-(INDEX(ship_curves,MATCH(L113,'SHIP CURVES'!$A$9:$A$316,0),MATCH(CONCATENATE(P$4,P$5,P$6,P$7),'SHIP CURVES'!$A$9:$Z$9,0))-INDEX(ship_curves,MATCH(L113,'SHIP CURVES'!$A$9:$A$316,0),MATCH(CONCATENATE(P$4,N$6,P$6,P$7),'SHIP CURVES'!$A$9:$Z$9,0)))-(INDEX(terminal_curves,MATCH(L113,'TERMINAL CURVES'!$A$4:$A$313,0),MATCH(P$5,'TERMINAL CURVES'!$A$4:$N$4,0))-INDEX(terminal_curves,MATCH(L113,'TERMINAL CURVES'!$A$4:$A$313,0),MATCH(N$6,'TERMINAL CURVES'!$A$4:$N$4,0)))*IF(F113=0,0,H113/F113)))*-F113</f>
        <v>0</v>
      </c>
      <c r="Q113" s="353" t="n">
        <f aca="false">SUM(N113:P113)</f>
        <v>0</v>
      </c>
      <c r="R113" s="357" t="n">
        <f aca="false">(-H113/((HLOOKUP(P$5,port_specs,2,0)/(365.25))*(L114-L113)))*(INDEX(fixed_capacity_charge,MATCH(L113,PORTS!$H$11:$H$317,0),MATCH(P$5,PORTS!$H$11:$N$11,0))+INDEX(variable_om_charge,MATCH(L113,PORTS!$H$318:$H$625,0),MATCH(P$5,PORTS!$H$318:$N$318,0)))</f>
        <v>-0</v>
      </c>
      <c r="S113" s="343" t="n">
        <f aca="false">+R113+Q113</f>
        <v>0</v>
      </c>
      <c r="T113" s="355" t="n">
        <f aca="false">+S113+M113</f>
        <v>0</v>
      </c>
      <c r="V113" s="346" t="n">
        <f aca="false">+DATE(YEAR(V112),MONTH(V112)+1,1)</f>
        <v>39600</v>
      </c>
      <c r="W113" s="327" t="n">
        <f aca="false">+Y113/(1-HLOOKUP(X$6,SHIPS,7,0)*INDEX(LADEN_VOYAGE_DAYS,MATCH(CONCATENATE(X$4,X$5),LADEN_VOYAGE_ROUTES,0),MATCH(X$6,LADEN_VOYAGE_SHIPS,0)))</f>
        <v>0</v>
      </c>
      <c r="X113" s="347" t="n">
        <f aca="false">+Y113-W113</f>
        <v>0</v>
      </c>
      <c r="Y113" s="348" t="n">
        <f aca="false">+IF(AND(X$8&lt;=V113,X$9&gt;=V113),+MIN($B113-SUMIF($H$17:X$17,Y$17,$H113:X113),((INDEX(ROUTE_PER_DAY_BY_SHIP,MATCH(CONCATENATE(X$4,X$5,X$7),ROUTE_PER_DAY_ROUTES,0),MATCH(X$6,ROUTE_PER_DAY_SHIPS,0))*(V114-V113))-(INDEX(ROUTE_PER_DAY_BY_SHIP,MATCH(CONCATENATE(X$4,X$5,X$7),ROUTE_PER_DAY_ROUTES,0),MATCH(X$6,ROUTE_PER_DAY_SHIPS,0))*(V114-V113))*HLOOKUP(X$6,SHIPS,7,0)*INDEX(LADEN_VOYAGE_DAYS,MATCH(CONCATENATE(X$4,X$5,X$7),LADEN_VOYAGE_ROUTES,0),MATCH(X$6,LADEN_VOYAGE_SHIPS,0)))),0)</f>
        <v>0</v>
      </c>
      <c r="Z113" s="349" t="n">
        <f aca="false">-(Y113)*HLOOKUP(X$5,TERMINAL_CHARGES,3,0)</f>
        <v>-0</v>
      </c>
      <c r="AA113" s="327" t="n">
        <f aca="false">+Y113+Z113</f>
        <v>0</v>
      </c>
      <c r="AB113" s="333"/>
      <c r="AC113" s="346" t="n">
        <f aca="false">+DATE(YEAR(AC112),MONTH(AC112)+1,1)</f>
        <v>39600</v>
      </c>
      <c r="AD113" s="343" t="n">
        <f aca="false">+AA113*(VLOOKUP(AC113,CURVECALC!$C$6:$J$312,4,0)+AE$5)</f>
        <v>0</v>
      </c>
      <c r="AE113" s="350" t="n">
        <f aca="false">-W113*INDEX(ship_curves,MATCH(AC113,'SHIP CURVES'!$A$9:$A$316,0),MATCH(CONCATENATE(AG$4,AG$5,AG$6,AG$7),'SHIP CURVES'!$A$9:$AZ$9,0))</f>
        <v>-0</v>
      </c>
      <c r="AF113" s="351" t="n">
        <f aca="false">-Y113*INDEX(port_processing_fee,MATCH(AC113,PORTS!$H$626:$H$933,0),MATCH(AG$5,PORTS!$H$626:$Z$626,0))</f>
        <v>-0</v>
      </c>
      <c r="AG113" s="352" t="n">
        <f aca="false">(((VLOOKUP(AC113,curvecalc,4,0))*IF(W113=0,0,AA113/W113)-INDEX(ship_curves,MATCH(AC113,'SHIP CURVES'!$A$9:$A$316,0),MATCH(CONCATENATE(AG$4,AG$5,AG$6,AG$7),'SHIP CURVES'!$A$9:$Z$9,0))-INDEX(terminal_curves,MATCH(AC113,'TERMINAL CURVES'!$A$4:$A$313,0),MATCH(AG$5,'TERMINAL CURVES'!$A$4:$N$4,0))*IF(W113=0,0,Y113/W113))-(AE$8)*((AE$7-$N$5)-(INDEX(ship_curves,MATCH(AC113,'SHIP CURVES'!$A$9:$A$316,0),MATCH(CONCATENATE(AG$4,AG$5,AG$6,AG$7),'SHIP CURVES'!$A$9:$Z$9,0))-INDEX(ship_curves,MATCH(AC113,'SHIP CURVES'!$A$9:$A$316,0),MATCH(CONCATENATE(AG$4,AE$6,AG$6,AG$7),'SHIP CURVES'!$A$9:$Z$9,0)))-(INDEX(terminal_curves,MATCH(AC113,'TERMINAL CURVES'!$A$4:$A$313,0),MATCH(AG$5,'TERMINAL CURVES'!$A$4:$N$4,0))-INDEX(terminal_curves,MATCH(AC113,'TERMINAL CURVES'!$A$4:$A$313,0),MATCH(AE$6,'TERMINAL CURVES'!$A$4:$N$4,0)))*IF(W113=0,0,Y113/W113)))*-W113</f>
        <v>0</v>
      </c>
      <c r="AH113" s="356" t="n">
        <f aca="false">SUM(AE113:AG113)</f>
        <v>0</v>
      </c>
      <c r="AI113" s="357" t="n">
        <f aca="false">(-Y113/((HLOOKUP(AG$5,port_specs,2,0)/(365.25))*(AC114-AC113)))*(INDEX(fixed_capacity_charge,MATCH(AC113,PORTS!$H$11:$H$317,0),MATCH(AG$5,PORTS!$H$11:$N$11,0))+INDEX(variable_om_charge,MATCH(AC113,PORTS!$H$318:$H$625,0),MATCH(AG$5,PORTS!$H$318:$N$318,0)))</f>
        <v>-0</v>
      </c>
      <c r="AJ113" s="343" t="n">
        <f aca="false">+AI113+AH113</f>
        <v>0</v>
      </c>
      <c r="AK113" s="355" t="n">
        <f aca="false">+AJ113+AD113</f>
        <v>0</v>
      </c>
      <c r="AM113" s="346" t="n">
        <f aca="false">+DATE(YEAR(AM112),MONTH(AM112)+1,1)</f>
        <v>39600</v>
      </c>
      <c r="AN113" s="327" t="n">
        <f aca="false">+AP113/(1-HLOOKUP(AO$6,SHIPS,7,0)*INDEX(LADEN_VOYAGE_DAYS,MATCH(CONCATENATE(AO$4,AO$5),LADEN_VOYAGE_ROUTES,0),MATCH(AO$6,LADEN_VOYAGE_SHIPS,0)))</f>
        <v>5221704.65550959</v>
      </c>
      <c r="AO113" s="347" t="n">
        <f aca="false">+AP113-AN113</f>
        <v>-54827.8988828501</v>
      </c>
      <c r="AP113" s="348" t="n">
        <f aca="false">+IF(AND(AO$8&lt;=AM113,AO$9&gt;=AM113),+MIN($B113-SUMIF($H$17:AO$17,AP$17,$H113:AO113),((INDEX(ROUTE_PER_DAY_BY_SHIP,MATCH(CONCATENATE(AO$4,AO$5,AO$7),ROUTE_PER_DAY_ROUTES,0),MATCH(AO$6,ROUTE_PER_DAY_SHIPS,0))*(AM114-AM113))-(INDEX(ROUTE_PER_DAY_BY_SHIP,MATCH(CONCATENATE(AO$4,AO$5,AO$7),ROUTE_PER_DAY_ROUTES,0),MATCH(AO$6,ROUTE_PER_DAY_SHIPS,0))*(AM114-AM113))*HLOOKUP(AO$6,SHIPS,7,0)*INDEX(LADEN_VOYAGE_DAYS,MATCH(CONCATENATE(AO$4,AO$5,AO$7),LADEN_VOYAGE_ROUTES,0),MATCH(AO$6,LADEN_VOYAGE_SHIPS,0)))),0)</f>
        <v>5166876.75662674</v>
      </c>
      <c r="AQ113" s="349" t="n">
        <f aca="false">-(AP113)*PORTS!$I$6</f>
        <v>-129171.918915669</v>
      </c>
      <c r="AR113" s="327" t="n">
        <f aca="false">+AP113+AQ113</f>
        <v>5037704.83771107</v>
      </c>
      <c r="AS113" s="333"/>
      <c r="AT113" s="346" t="n">
        <f aca="false">+DATE(YEAR(AT112),MONTH(AT112)+1,1)</f>
        <v>39600</v>
      </c>
      <c r="AU113" s="343" t="n">
        <f aca="false">+AR113*(VLOOKUP(AT113,CURVECALC!$C$6:$J$312,4,0)+AV$5)</f>
        <v>16070278.4322983</v>
      </c>
      <c r="AV113" s="350" t="n">
        <f aca="false">-AN113*INDEX(ship_curves,MATCH(AT113,'SHIP CURVES'!$A$9:$A$316,0),MATCH(CONCATENATE(AX$4,AX$5,AX$6,AX$7),'SHIP CURVES'!$A$9:$AZ$9,0))</f>
        <v>-1725175.80299036</v>
      </c>
      <c r="AW113" s="351" t="n">
        <f aca="false">-AP113*INDEX(port_processing_fee,MATCH(AT113,PORTS!$H$626:$H$933,0),MATCH(AX$5,PORTS!$H$626:$Z$626,0))</f>
        <v>-151096.989177796</v>
      </c>
      <c r="AX113" s="352" t="n">
        <f aca="false">(((VLOOKUP(AT113,curvecalc,4,0))*IF(AN113=0,0,AR113/AN113)-INDEX(ship_curves,MATCH(AT113,'SHIP CURVES'!$A$9:$A$316,0),MATCH(CONCATENATE(AX$4,AX$5,AX$6,AX$7),'SHIP CURVES'!$A$9:$Z$9,0))-INDEX(terminal_curves,MATCH(AT113,'TERMINAL CURVES'!$A$4:$A$313,0),MATCH(AX$5,'TERMINAL CURVES'!$A$4:$N$4,0))*IF(AN113=0,0,AP113/AN113))-(AV$8)*((AV$7-$N$5)-(INDEX(ship_curves,MATCH(AT113,'SHIP CURVES'!$A$9:$A$316,0),MATCH(CONCATENATE(AX$4,AX$5,AX$6,AX$7),'SHIP CURVES'!$A$9:$Z$9,0))-INDEX(ship_curves,MATCH(AT113,'SHIP CURVES'!$A$9:$A$316,0),MATCH(CONCATENATE(AX$4,AV$6,AX$6,AX$7),'SHIP CURVES'!$A$9:$Z$9,0)))-(INDEX(terminal_curves,MATCH(AT113,'TERMINAL CURVES'!$A$4:$A$313,0),MATCH(AX$5,'TERMINAL CURVES'!$A$4:$N$4,0))-INDEX(terminal_curves,MATCH(AT113,'TERMINAL CURVES'!$A$4:$A$313,0),MATCH(AV$6,'TERMINAL CURVES'!$A$4:$N$4,0)))*IF(AN113=0,0,AP113/AN113)))*-AN113</f>
        <v>-13105066.1057833</v>
      </c>
      <c r="AY113" s="356" t="n">
        <f aca="false">SUM(AV113:AX113)</f>
        <v>-14981338.8979515</v>
      </c>
      <c r="AZ113" s="357" t="n">
        <f aca="false">(-AP113/((HLOOKUP(AX$5,port_specs,2,0)/(365.25))*(AT114-AT113)))*(INDEX(fixed_capacity_charge,MATCH(AT113,PORTS!$H$11:$H$317,0),MATCH(AX$5,PORTS!$H$11:$N$11,0))+INDEX(variable_om_charge,MATCH(AT113,PORTS!$H$318:$H$625,0),MATCH(AX$5,PORTS!$H$318:$N$318,0)))</f>
        <v>-988185.437592632</v>
      </c>
      <c r="BA113" s="343" t="n">
        <f aca="false">+AZ113+AY113</f>
        <v>-15969524.3355441</v>
      </c>
      <c r="BB113" s="355" t="n">
        <f aca="false">+BA113+AU113</f>
        <v>100754.096754221</v>
      </c>
      <c r="BC113" s="99"/>
      <c r="BD113" s="357" t="n">
        <f aca="false">+PORTS!I107+PORTS!I415</f>
        <v>988185.437592632</v>
      </c>
    </row>
    <row r="114" customFormat="false" ht="12.75" hidden="false" customHeight="false" outlineLevel="0" collapsed="false">
      <c r="A114" s="346" t="n">
        <f aca="false">+DATE(YEAR(A113),MONTH(A113)+1,1)</f>
        <v>39630</v>
      </c>
      <c r="B114" s="327" t="n">
        <f aca="false">+IF(AND($A114&gt;=$C$8,$A114&lt;=$C$9),1,0)*PORTS!$I$5/(365.25)*(A115-A114)</f>
        <v>5339105.98184763</v>
      </c>
      <c r="C114" s="328" t="n">
        <f aca="false">+B114-(SUMIF($F$17:$IV$17,$H$17,$F114:$IV114))</f>
        <v>0</v>
      </c>
      <c r="D114" s="0" t="n">
        <f aca="false">+YEAR(E114)</f>
        <v>2008</v>
      </c>
      <c r="E114" s="346" t="n">
        <f aca="false">+DATE(YEAR(E113),MONTH(E113)+1,1)</f>
        <v>39630</v>
      </c>
      <c r="F114" s="327" t="n">
        <f aca="false">+IF(AND(G$8&lt;=E114,G$9&gt;=E114),INDEX(ROUTE_PER_DAY_BY_SHIP,MATCH(CONCATENATE(G$4,G$5,G$7),ROUTE_PER_DAY_ROUTES,0),MATCH(G$6,ROUTE_PER_DAY_SHIPS,0))*(E115-E114),0)</f>
        <v>0</v>
      </c>
      <c r="G114" s="347" t="n">
        <f aca="false">-F114*HLOOKUP(G$6,SHIPS,7,0)*INDEX(LADEN_VOYAGE_DAYS,MATCH(CONCATENATE(G$4,G$5,G$7),LADEN_VOYAGE_ROUTES,0),MATCH(G$6,LADEN_VOYAGE_SHIPS,0))</f>
        <v>-0</v>
      </c>
      <c r="H114" s="348" t="n">
        <f aca="false">SUM(F114:G114)</f>
        <v>0</v>
      </c>
      <c r="I114" s="349" t="n">
        <f aca="false">-(H114)*HLOOKUP(G$5,TERMINAL_CHARGES,3,0)</f>
        <v>-0</v>
      </c>
      <c r="J114" s="327" t="n">
        <f aca="false">+H114+I114</f>
        <v>0</v>
      </c>
      <c r="K114" s="333"/>
      <c r="L114" s="346" t="n">
        <f aca="false">+DATE(YEAR(L113),MONTH(L113)+1,1)</f>
        <v>39630</v>
      </c>
      <c r="M114" s="334" t="n">
        <f aca="false">+J114*(VLOOKUP(L114,CURVECALC!$C$6:$J$312,4,0)+N$5)</f>
        <v>0</v>
      </c>
      <c r="N114" s="350" t="n">
        <f aca="false">-F114*INDEX(ship_curves,MATCH(L114,'SHIP CURVES'!$A$9:$A$316,0),MATCH(CONCATENATE(P$4,P$5,P$6,P$7),'SHIP CURVES'!$A$9:$AZ$9,0))</f>
        <v>-0</v>
      </c>
      <c r="O114" s="351" t="n">
        <f aca="false">-H114*INDEX(port_processing_fee,MATCH(L114,PORTS!$H$626:$H$933,0),MATCH(P$5,PORTS!$H$626:$Z$626,0))</f>
        <v>-0</v>
      </c>
      <c r="P114" s="352" t="n">
        <f aca="false">(((VLOOKUP(L114,curvecalc,4,0))*IF(F114=0,0,J114/F114)-INDEX(ship_curves,MATCH(L114,'SHIP CURVES'!$A$9:$A$316,0),MATCH(CONCATENATE(P$4,P$5,P$6,P$7),'SHIP CURVES'!$A$9:$Z$9,0))-INDEX(terminal_curves,MATCH(L114,'TERMINAL CURVES'!$A$4:$A$313,0),MATCH(P$5,'TERMINAL CURVES'!$A$4:$N$4,0))*IF(F114=0,0,H114/F114))-(N$8)*((N$7-$N$5)-(INDEX(ship_curves,MATCH(L114,'SHIP CURVES'!$A$9:$A$316,0),MATCH(CONCATENATE(P$4,P$5,P$6,P$7),'SHIP CURVES'!$A$9:$Z$9,0))-INDEX(ship_curves,MATCH(L114,'SHIP CURVES'!$A$9:$A$316,0),MATCH(CONCATENATE(P$4,N$6,P$6,P$7),'SHIP CURVES'!$A$9:$Z$9,0)))-(INDEX(terminal_curves,MATCH(L114,'TERMINAL CURVES'!$A$4:$A$313,0),MATCH(P$5,'TERMINAL CURVES'!$A$4:$N$4,0))-INDEX(terminal_curves,MATCH(L114,'TERMINAL CURVES'!$A$4:$A$313,0),MATCH(N$6,'TERMINAL CURVES'!$A$4:$N$4,0)))*IF(F114=0,0,H114/F114)))*-F114</f>
        <v>0</v>
      </c>
      <c r="Q114" s="353" t="n">
        <f aca="false">SUM(N114:P114)</f>
        <v>0</v>
      </c>
      <c r="R114" s="357" t="n">
        <f aca="false">(-H114/((HLOOKUP(P$5,port_specs,2,0)/(365.25))*(L115-L114)))*(INDEX(fixed_capacity_charge,MATCH(L114,PORTS!$H$11:$H$317,0),MATCH(P$5,PORTS!$H$11:$N$11,0))+INDEX(variable_om_charge,MATCH(L114,PORTS!$H$318:$H$625,0),MATCH(P$5,PORTS!$H$318:$N$318,0)))</f>
        <v>-0</v>
      </c>
      <c r="S114" s="343" t="n">
        <f aca="false">+R114+Q114</f>
        <v>0</v>
      </c>
      <c r="T114" s="355" t="n">
        <f aca="false">+S114+M114</f>
        <v>0</v>
      </c>
      <c r="V114" s="346" t="n">
        <f aca="false">+DATE(YEAR(V113),MONTH(V113)+1,1)</f>
        <v>39630</v>
      </c>
      <c r="W114" s="327" t="n">
        <f aca="false">+Y114/(1-HLOOKUP(X$6,SHIPS,7,0)*INDEX(LADEN_VOYAGE_DAYS,MATCH(CONCATENATE(X$4,X$5),LADEN_VOYAGE_ROUTES,0),MATCH(X$6,LADEN_VOYAGE_SHIPS,0)))</f>
        <v>0</v>
      </c>
      <c r="X114" s="347" t="n">
        <f aca="false">+Y114-W114</f>
        <v>0</v>
      </c>
      <c r="Y114" s="348" t="n">
        <f aca="false">+IF(AND(X$8&lt;=V114,X$9&gt;=V114),+MIN($B114-SUMIF($H$17:X$17,Y$17,$H114:X114),((INDEX(ROUTE_PER_DAY_BY_SHIP,MATCH(CONCATENATE(X$4,X$5,X$7),ROUTE_PER_DAY_ROUTES,0),MATCH(X$6,ROUTE_PER_DAY_SHIPS,0))*(V115-V114))-(INDEX(ROUTE_PER_DAY_BY_SHIP,MATCH(CONCATENATE(X$4,X$5,X$7),ROUTE_PER_DAY_ROUTES,0),MATCH(X$6,ROUTE_PER_DAY_SHIPS,0))*(V115-V114))*HLOOKUP(X$6,SHIPS,7,0)*INDEX(LADEN_VOYAGE_DAYS,MATCH(CONCATENATE(X$4,X$5,X$7),LADEN_VOYAGE_ROUTES,0),MATCH(X$6,LADEN_VOYAGE_SHIPS,0)))),0)</f>
        <v>0</v>
      </c>
      <c r="Z114" s="349" t="n">
        <f aca="false">-(Y114)*HLOOKUP(X$5,TERMINAL_CHARGES,3,0)</f>
        <v>-0</v>
      </c>
      <c r="AA114" s="327" t="n">
        <f aca="false">+Y114+Z114</f>
        <v>0</v>
      </c>
      <c r="AB114" s="333"/>
      <c r="AC114" s="346" t="n">
        <f aca="false">+DATE(YEAR(AC113),MONTH(AC113)+1,1)</f>
        <v>39630</v>
      </c>
      <c r="AD114" s="343" t="n">
        <f aca="false">+AA114*(VLOOKUP(AC114,CURVECALC!$C$6:$J$312,4,0)+AE$5)</f>
        <v>0</v>
      </c>
      <c r="AE114" s="350" t="n">
        <f aca="false">-W114*INDEX(ship_curves,MATCH(AC114,'SHIP CURVES'!$A$9:$A$316,0),MATCH(CONCATENATE(AG$4,AG$5,AG$6,AG$7),'SHIP CURVES'!$A$9:$AZ$9,0))</f>
        <v>-0</v>
      </c>
      <c r="AF114" s="351" t="n">
        <f aca="false">-Y114*INDEX(port_processing_fee,MATCH(AC114,PORTS!$H$626:$H$933,0),MATCH(AG$5,PORTS!$H$626:$Z$626,0))</f>
        <v>-0</v>
      </c>
      <c r="AG114" s="352" t="n">
        <f aca="false">(((VLOOKUP(AC114,curvecalc,4,0))*IF(W114=0,0,AA114/W114)-INDEX(ship_curves,MATCH(AC114,'SHIP CURVES'!$A$9:$A$316,0),MATCH(CONCATENATE(AG$4,AG$5,AG$6,AG$7),'SHIP CURVES'!$A$9:$Z$9,0))-INDEX(terminal_curves,MATCH(AC114,'TERMINAL CURVES'!$A$4:$A$313,0),MATCH(AG$5,'TERMINAL CURVES'!$A$4:$N$4,0))*IF(W114=0,0,Y114/W114))-(AE$8)*((AE$7-$N$5)-(INDEX(ship_curves,MATCH(AC114,'SHIP CURVES'!$A$9:$A$316,0),MATCH(CONCATENATE(AG$4,AG$5,AG$6,AG$7),'SHIP CURVES'!$A$9:$Z$9,0))-INDEX(ship_curves,MATCH(AC114,'SHIP CURVES'!$A$9:$A$316,0),MATCH(CONCATENATE(AG$4,AE$6,AG$6,AG$7),'SHIP CURVES'!$A$9:$Z$9,0)))-(INDEX(terminal_curves,MATCH(AC114,'TERMINAL CURVES'!$A$4:$A$313,0),MATCH(AG$5,'TERMINAL CURVES'!$A$4:$N$4,0))-INDEX(terminal_curves,MATCH(AC114,'TERMINAL CURVES'!$A$4:$A$313,0),MATCH(AE$6,'TERMINAL CURVES'!$A$4:$N$4,0)))*IF(W114=0,0,Y114/W114)))*-W114</f>
        <v>0</v>
      </c>
      <c r="AH114" s="356" t="n">
        <f aca="false">SUM(AE114:AG114)</f>
        <v>0</v>
      </c>
      <c r="AI114" s="357" t="n">
        <f aca="false">(-Y114/((HLOOKUP(AG$5,port_specs,2,0)/(365.25))*(AC115-AC114)))*(INDEX(fixed_capacity_charge,MATCH(AC114,PORTS!$H$11:$H$317,0),MATCH(AG$5,PORTS!$H$11:$N$11,0))+INDEX(variable_om_charge,MATCH(AC114,PORTS!$H$318:$H$625,0),MATCH(AG$5,PORTS!$H$318:$N$318,0)))</f>
        <v>-0</v>
      </c>
      <c r="AJ114" s="343" t="n">
        <f aca="false">+AI114+AH114</f>
        <v>0</v>
      </c>
      <c r="AK114" s="355" t="n">
        <f aca="false">+AJ114+AD114</f>
        <v>0</v>
      </c>
      <c r="AM114" s="346" t="n">
        <f aca="false">+DATE(YEAR(AM113),MONTH(AM113)+1,1)</f>
        <v>39630</v>
      </c>
      <c r="AN114" s="327" t="n">
        <f aca="false">+AP114/(1-HLOOKUP(AO$6,SHIPS,7,0)*INDEX(LADEN_VOYAGE_DAYS,MATCH(CONCATENATE(AO$4,AO$5),LADEN_VOYAGE_ROUTES,0),MATCH(AO$6,LADEN_VOYAGE_SHIPS,0)))</f>
        <v>5395761.47735991</v>
      </c>
      <c r="AO114" s="347" t="n">
        <f aca="false">+AP114-AN114</f>
        <v>-56655.4955122788</v>
      </c>
      <c r="AP114" s="348" t="n">
        <f aca="false">+IF(AND(AO$8&lt;=AM114,AO$9&gt;=AM114),+MIN($B114-SUMIF($H$17:AO$17,AP$17,$H114:AO114),((INDEX(ROUTE_PER_DAY_BY_SHIP,MATCH(CONCATENATE(AO$4,AO$5,AO$7),ROUTE_PER_DAY_ROUTES,0),MATCH(AO$6,ROUTE_PER_DAY_SHIPS,0))*(AM115-AM114))-(INDEX(ROUTE_PER_DAY_BY_SHIP,MATCH(CONCATENATE(AO$4,AO$5,AO$7),ROUTE_PER_DAY_ROUTES,0),MATCH(AO$6,ROUTE_PER_DAY_SHIPS,0))*(AM115-AM114))*HLOOKUP(AO$6,SHIPS,7,0)*INDEX(LADEN_VOYAGE_DAYS,MATCH(CONCATENATE(AO$4,AO$5,AO$7),LADEN_VOYAGE_ROUTES,0),MATCH(AO$6,LADEN_VOYAGE_SHIPS,0)))),0)</f>
        <v>5339105.98184763</v>
      </c>
      <c r="AQ114" s="349" t="n">
        <f aca="false">-(AP114)*PORTS!$I$6</f>
        <v>-133477.649546191</v>
      </c>
      <c r="AR114" s="327" t="n">
        <f aca="false">+AP114+AQ114</f>
        <v>5205628.33230144</v>
      </c>
      <c r="AS114" s="333"/>
      <c r="AT114" s="346" t="n">
        <f aca="false">+DATE(YEAR(AT113),MONTH(AT113)+1,1)</f>
        <v>39630</v>
      </c>
      <c r="AU114" s="343" t="n">
        <f aca="false">+AR114*(VLOOKUP(AT114,CURVECALC!$C$6:$J$312,4,0)+AV$5)</f>
        <v>16605954.3800416</v>
      </c>
      <c r="AV114" s="350" t="n">
        <f aca="false">-AN114*INDEX(ship_curves,MATCH(AT114,'SHIP CURVES'!$A$9:$A$316,0),MATCH(CONCATENATE(AX$4,AX$5,AX$6,AX$7),'SHIP CURVES'!$A$9:$AZ$9,0))</f>
        <v>-1783199.90045686</v>
      </c>
      <c r="AW114" s="351" t="n">
        <f aca="false">-AP114*INDEX(port_processing_fee,MATCH(AT114,PORTS!$H$626:$H$933,0),MATCH(AX$5,PORTS!$H$626:$Z$626,0))</f>
        <v>-156296.194604018</v>
      </c>
      <c r="AX114" s="352" t="n">
        <f aca="false">(((VLOOKUP(AT114,curvecalc,4,0))*IF(AN114=0,0,AR114/AN114)-INDEX(ship_curves,MATCH(AT114,'SHIP CURVES'!$A$9:$A$316,0),MATCH(CONCATENATE(AX$4,AX$5,AX$6,AX$7),'SHIP CURVES'!$A$9:$Z$9,0))-INDEX(terminal_curves,MATCH(AT114,'TERMINAL CURVES'!$A$4:$A$313,0),MATCH(AX$5,'TERMINAL CURVES'!$A$4:$N$4,0))*IF(AN114=0,0,AP114/AN114))-(AV$8)*((AV$7-$N$5)-(INDEX(ship_curves,MATCH(AT114,'SHIP CURVES'!$A$9:$A$316,0),MATCH(CONCATENATE(AX$4,AX$5,AX$6,AX$7),'SHIP CURVES'!$A$9:$Z$9,0))-INDEX(ship_curves,MATCH(AT114,'SHIP CURVES'!$A$9:$A$316,0),MATCH(CONCATENATE(AX$4,AV$6,AX$6,AX$7),'SHIP CURVES'!$A$9:$Z$9,0)))-(INDEX(terminal_curves,MATCH(AT114,'TERMINAL CURVES'!$A$4:$A$313,0),MATCH(AX$5,'TERMINAL CURVES'!$A$4:$N$4,0))-INDEX(terminal_curves,MATCH(AT114,'TERMINAL CURVES'!$A$4:$A$313,0),MATCH(AV$6,'TERMINAL CURVES'!$A$4:$N$4,0)))*IF(AN114=0,0,AP114/AN114)))*-AN114</f>
        <v>-13573636.3235893</v>
      </c>
      <c r="AY114" s="356" t="n">
        <f aca="false">SUM(AV114:AX114)</f>
        <v>-15513132.4186501</v>
      </c>
      <c r="AZ114" s="357" t="n">
        <f aca="false">(-AP114/((HLOOKUP(AX$5,port_specs,2,0)/(365.25))*(AT115-AT114)))*(INDEX(fixed_capacity_charge,MATCH(AT114,PORTS!$H$11:$H$317,0),MATCH(AX$5,PORTS!$H$11:$N$11,0))+INDEX(variable_om_charge,MATCH(AT114,PORTS!$H$318:$H$625,0),MATCH(AX$5,PORTS!$H$318:$N$318,0)))</f>
        <v>-988709.394745428</v>
      </c>
      <c r="BA114" s="343" t="n">
        <f aca="false">+AZ114+AY114</f>
        <v>-16501841.8133956</v>
      </c>
      <c r="BB114" s="355" t="n">
        <f aca="false">+BA114+AU114</f>
        <v>104112.56664603</v>
      </c>
      <c r="BC114" s="99"/>
      <c r="BD114" s="357" t="n">
        <f aca="false">+PORTS!I108+PORTS!I416</f>
        <v>988709.394745428</v>
      </c>
    </row>
    <row r="115" customFormat="false" ht="12.75" hidden="false" customHeight="false" outlineLevel="0" collapsed="false">
      <c r="A115" s="346" t="n">
        <f aca="false">+DATE(YEAR(A114),MONTH(A114)+1,1)</f>
        <v>39661</v>
      </c>
      <c r="B115" s="327" t="n">
        <f aca="false">+IF(AND($A115&gt;=$C$8,$A115&lt;=$C$9),1,0)*PORTS!$I$5/(365.25)*(A116-A115)</f>
        <v>5339105.98184763</v>
      </c>
      <c r="C115" s="328" t="n">
        <f aca="false">+B115-(SUMIF($F$17:$IV$17,$H$17,$F115:$IV115))</f>
        <v>0</v>
      </c>
      <c r="D115" s="0" t="n">
        <f aca="false">+YEAR(E115)</f>
        <v>2008</v>
      </c>
      <c r="E115" s="346" t="n">
        <f aca="false">+DATE(YEAR(E114),MONTH(E114)+1,1)</f>
        <v>39661</v>
      </c>
      <c r="F115" s="327" t="n">
        <f aca="false">+IF(AND(G$8&lt;=E115,G$9&gt;=E115),INDEX(ROUTE_PER_DAY_BY_SHIP,MATCH(CONCATENATE(G$4,G$5,G$7),ROUTE_PER_DAY_ROUTES,0),MATCH(G$6,ROUTE_PER_DAY_SHIPS,0))*(E116-E115),0)</f>
        <v>0</v>
      </c>
      <c r="G115" s="347" t="n">
        <f aca="false">-F115*HLOOKUP(G$6,SHIPS,7,0)*INDEX(LADEN_VOYAGE_DAYS,MATCH(CONCATENATE(G$4,G$5,G$7),LADEN_VOYAGE_ROUTES,0),MATCH(G$6,LADEN_VOYAGE_SHIPS,0))</f>
        <v>-0</v>
      </c>
      <c r="H115" s="348" t="n">
        <f aca="false">SUM(F115:G115)</f>
        <v>0</v>
      </c>
      <c r="I115" s="349" t="n">
        <f aca="false">-(H115)*HLOOKUP(G$5,TERMINAL_CHARGES,3,0)</f>
        <v>-0</v>
      </c>
      <c r="J115" s="327" t="n">
        <f aca="false">+H115+I115</f>
        <v>0</v>
      </c>
      <c r="K115" s="333"/>
      <c r="L115" s="346" t="n">
        <f aca="false">+DATE(YEAR(L114),MONTH(L114)+1,1)</f>
        <v>39661</v>
      </c>
      <c r="M115" s="334" t="n">
        <f aca="false">+J115*(VLOOKUP(L115,CURVECALC!$C$6:$J$312,4,0)+N$5)</f>
        <v>0</v>
      </c>
      <c r="N115" s="350" t="n">
        <f aca="false">-F115*INDEX(ship_curves,MATCH(L115,'SHIP CURVES'!$A$9:$A$316,0),MATCH(CONCATENATE(P$4,P$5,P$6,P$7),'SHIP CURVES'!$A$9:$AZ$9,0))</f>
        <v>-0</v>
      </c>
      <c r="O115" s="351" t="n">
        <f aca="false">-H115*INDEX(port_processing_fee,MATCH(L115,PORTS!$H$626:$H$933,0),MATCH(P$5,PORTS!$H$626:$Z$626,0))</f>
        <v>-0</v>
      </c>
      <c r="P115" s="352" t="n">
        <f aca="false">(((VLOOKUP(L115,curvecalc,4,0))*IF(F115=0,0,J115/F115)-INDEX(ship_curves,MATCH(L115,'SHIP CURVES'!$A$9:$A$316,0),MATCH(CONCATENATE(P$4,P$5,P$6,P$7),'SHIP CURVES'!$A$9:$Z$9,0))-INDEX(terminal_curves,MATCH(L115,'TERMINAL CURVES'!$A$4:$A$313,0),MATCH(P$5,'TERMINAL CURVES'!$A$4:$N$4,0))*IF(F115=0,0,H115/F115))-(N$8)*((N$7-$N$5)-(INDEX(ship_curves,MATCH(L115,'SHIP CURVES'!$A$9:$A$316,0),MATCH(CONCATENATE(P$4,P$5,P$6,P$7),'SHIP CURVES'!$A$9:$Z$9,0))-INDEX(ship_curves,MATCH(L115,'SHIP CURVES'!$A$9:$A$316,0),MATCH(CONCATENATE(P$4,N$6,P$6,P$7),'SHIP CURVES'!$A$9:$Z$9,0)))-(INDEX(terminal_curves,MATCH(L115,'TERMINAL CURVES'!$A$4:$A$313,0),MATCH(P$5,'TERMINAL CURVES'!$A$4:$N$4,0))-INDEX(terminal_curves,MATCH(L115,'TERMINAL CURVES'!$A$4:$A$313,0),MATCH(N$6,'TERMINAL CURVES'!$A$4:$N$4,0)))*IF(F115=0,0,H115/F115)))*-F115</f>
        <v>0</v>
      </c>
      <c r="Q115" s="353" t="n">
        <f aca="false">SUM(N115:P115)</f>
        <v>0</v>
      </c>
      <c r="R115" s="357" t="n">
        <f aca="false">(-H115/((HLOOKUP(P$5,port_specs,2,0)/(365.25))*(L116-L115)))*(INDEX(fixed_capacity_charge,MATCH(L115,PORTS!$H$11:$H$317,0),MATCH(P$5,PORTS!$H$11:$N$11,0))+INDEX(variable_om_charge,MATCH(L115,PORTS!$H$318:$H$625,0),MATCH(P$5,PORTS!$H$318:$N$318,0)))</f>
        <v>-0</v>
      </c>
      <c r="S115" s="343" t="n">
        <f aca="false">+R115+Q115</f>
        <v>0</v>
      </c>
      <c r="T115" s="355" t="n">
        <f aca="false">+S115+M115</f>
        <v>0</v>
      </c>
      <c r="V115" s="346" t="n">
        <f aca="false">+DATE(YEAR(V114),MONTH(V114)+1,1)</f>
        <v>39661</v>
      </c>
      <c r="W115" s="327" t="n">
        <f aca="false">+Y115/(1-HLOOKUP(X$6,SHIPS,7,0)*INDEX(LADEN_VOYAGE_DAYS,MATCH(CONCATENATE(X$4,X$5),LADEN_VOYAGE_ROUTES,0),MATCH(X$6,LADEN_VOYAGE_SHIPS,0)))</f>
        <v>0</v>
      </c>
      <c r="X115" s="347" t="n">
        <f aca="false">+Y115-W115</f>
        <v>0</v>
      </c>
      <c r="Y115" s="348" t="n">
        <f aca="false">+IF(AND(X$8&lt;=V115,X$9&gt;=V115),+MIN($B115-SUMIF($H$17:X$17,Y$17,$H115:X115),((INDEX(ROUTE_PER_DAY_BY_SHIP,MATCH(CONCATENATE(X$4,X$5,X$7),ROUTE_PER_DAY_ROUTES,0),MATCH(X$6,ROUTE_PER_DAY_SHIPS,0))*(V116-V115))-(INDEX(ROUTE_PER_DAY_BY_SHIP,MATCH(CONCATENATE(X$4,X$5,X$7),ROUTE_PER_DAY_ROUTES,0),MATCH(X$6,ROUTE_PER_DAY_SHIPS,0))*(V116-V115))*HLOOKUP(X$6,SHIPS,7,0)*INDEX(LADEN_VOYAGE_DAYS,MATCH(CONCATENATE(X$4,X$5,X$7),LADEN_VOYAGE_ROUTES,0),MATCH(X$6,LADEN_VOYAGE_SHIPS,0)))),0)</f>
        <v>0</v>
      </c>
      <c r="Z115" s="349" t="n">
        <f aca="false">-(Y115)*HLOOKUP(X$5,TERMINAL_CHARGES,3,0)</f>
        <v>-0</v>
      </c>
      <c r="AA115" s="327" t="n">
        <f aca="false">+Y115+Z115</f>
        <v>0</v>
      </c>
      <c r="AB115" s="333"/>
      <c r="AC115" s="346" t="n">
        <f aca="false">+DATE(YEAR(AC114),MONTH(AC114)+1,1)</f>
        <v>39661</v>
      </c>
      <c r="AD115" s="343" t="n">
        <f aca="false">+AA115*(VLOOKUP(AC115,CURVECALC!$C$6:$J$312,4,0)+AE$5)</f>
        <v>0</v>
      </c>
      <c r="AE115" s="350" t="n">
        <f aca="false">-W115*INDEX(ship_curves,MATCH(AC115,'SHIP CURVES'!$A$9:$A$316,0),MATCH(CONCATENATE(AG$4,AG$5,AG$6,AG$7),'SHIP CURVES'!$A$9:$AZ$9,0))</f>
        <v>-0</v>
      </c>
      <c r="AF115" s="351" t="n">
        <f aca="false">-Y115*INDEX(port_processing_fee,MATCH(AC115,PORTS!$H$626:$H$933,0),MATCH(AG$5,PORTS!$H$626:$Z$626,0))</f>
        <v>-0</v>
      </c>
      <c r="AG115" s="352" t="n">
        <f aca="false">(((VLOOKUP(AC115,curvecalc,4,0))*IF(W115=0,0,AA115/W115)-INDEX(ship_curves,MATCH(AC115,'SHIP CURVES'!$A$9:$A$316,0),MATCH(CONCATENATE(AG$4,AG$5,AG$6,AG$7),'SHIP CURVES'!$A$9:$Z$9,0))-INDEX(terminal_curves,MATCH(AC115,'TERMINAL CURVES'!$A$4:$A$313,0),MATCH(AG$5,'TERMINAL CURVES'!$A$4:$N$4,0))*IF(W115=0,0,Y115/W115))-(AE$8)*((AE$7-$N$5)-(INDEX(ship_curves,MATCH(AC115,'SHIP CURVES'!$A$9:$A$316,0),MATCH(CONCATENATE(AG$4,AG$5,AG$6,AG$7),'SHIP CURVES'!$A$9:$Z$9,0))-INDEX(ship_curves,MATCH(AC115,'SHIP CURVES'!$A$9:$A$316,0),MATCH(CONCATENATE(AG$4,AE$6,AG$6,AG$7),'SHIP CURVES'!$A$9:$Z$9,0)))-(INDEX(terminal_curves,MATCH(AC115,'TERMINAL CURVES'!$A$4:$A$313,0),MATCH(AG$5,'TERMINAL CURVES'!$A$4:$N$4,0))-INDEX(terminal_curves,MATCH(AC115,'TERMINAL CURVES'!$A$4:$A$313,0),MATCH(AE$6,'TERMINAL CURVES'!$A$4:$N$4,0)))*IF(W115=0,0,Y115/W115)))*-W115</f>
        <v>0</v>
      </c>
      <c r="AH115" s="356" t="n">
        <f aca="false">SUM(AE115:AG115)</f>
        <v>0</v>
      </c>
      <c r="AI115" s="357" t="n">
        <f aca="false">(-Y115/((HLOOKUP(AG$5,port_specs,2,0)/(365.25))*(AC116-AC115)))*(INDEX(fixed_capacity_charge,MATCH(AC115,PORTS!$H$11:$H$317,0),MATCH(AG$5,PORTS!$H$11:$N$11,0))+INDEX(variable_om_charge,MATCH(AC115,PORTS!$H$318:$H$625,0),MATCH(AG$5,PORTS!$H$318:$N$318,0)))</f>
        <v>-0</v>
      </c>
      <c r="AJ115" s="343" t="n">
        <f aca="false">+AI115+AH115</f>
        <v>0</v>
      </c>
      <c r="AK115" s="355" t="n">
        <f aca="false">+AJ115+AD115</f>
        <v>0</v>
      </c>
      <c r="AM115" s="346" t="n">
        <f aca="false">+DATE(YEAR(AM114),MONTH(AM114)+1,1)</f>
        <v>39661</v>
      </c>
      <c r="AN115" s="327" t="n">
        <f aca="false">+AP115/(1-HLOOKUP(AO$6,SHIPS,7,0)*INDEX(LADEN_VOYAGE_DAYS,MATCH(CONCATENATE(AO$4,AO$5),LADEN_VOYAGE_ROUTES,0),MATCH(AO$6,LADEN_VOYAGE_SHIPS,0)))</f>
        <v>5395761.47735991</v>
      </c>
      <c r="AO115" s="347" t="n">
        <f aca="false">+AP115-AN115</f>
        <v>-56655.4955122788</v>
      </c>
      <c r="AP115" s="348" t="n">
        <f aca="false">+IF(AND(AO$8&lt;=AM115,AO$9&gt;=AM115),+MIN($B115-SUMIF($H$17:AO$17,AP$17,$H115:AO115),((INDEX(ROUTE_PER_DAY_BY_SHIP,MATCH(CONCATENATE(AO$4,AO$5,AO$7),ROUTE_PER_DAY_ROUTES,0),MATCH(AO$6,ROUTE_PER_DAY_SHIPS,0))*(AM116-AM115))-(INDEX(ROUTE_PER_DAY_BY_SHIP,MATCH(CONCATENATE(AO$4,AO$5,AO$7),ROUTE_PER_DAY_ROUTES,0),MATCH(AO$6,ROUTE_PER_DAY_SHIPS,0))*(AM116-AM115))*HLOOKUP(AO$6,SHIPS,7,0)*INDEX(LADEN_VOYAGE_DAYS,MATCH(CONCATENATE(AO$4,AO$5,AO$7),LADEN_VOYAGE_ROUTES,0),MATCH(AO$6,LADEN_VOYAGE_SHIPS,0)))),0)</f>
        <v>5339105.98184763</v>
      </c>
      <c r="AQ115" s="349" t="n">
        <f aca="false">-(AP115)*PORTS!$I$6</f>
        <v>-133477.649546191</v>
      </c>
      <c r="AR115" s="327" t="n">
        <f aca="false">+AP115+AQ115</f>
        <v>5205628.33230144</v>
      </c>
      <c r="AS115" s="333"/>
      <c r="AT115" s="346" t="n">
        <f aca="false">+DATE(YEAR(AT114),MONTH(AT114)+1,1)</f>
        <v>39661</v>
      </c>
      <c r="AU115" s="343" t="n">
        <f aca="false">+AR115*(VLOOKUP(AT115,CURVECALC!$C$6:$J$312,4,0)+AV$5)</f>
        <v>16918292.0799797</v>
      </c>
      <c r="AV115" s="350" t="n">
        <f aca="false">-AN115*INDEX(ship_curves,MATCH(AT115,'SHIP CURVES'!$A$9:$A$316,0),MATCH(CONCATENATE(AX$4,AX$5,AX$6,AX$7),'SHIP CURVES'!$A$9:$AZ$9,0))</f>
        <v>-1783719.21748486</v>
      </c>
      <c r="AW115" s="351" t="n">
        <f aca="false">-AP115*INDEX(port_processing_fee,MATCH(AT115,PORTS!$H$626:$H$933,0),MATCH(AX$5,PORTS!$H$626:$Z$626,0))</f>
        <v>-156459.003140064</v>
      </c>
      <c r="AX115" s="352" t="n">
        <f aca="false">(((VLOOKUP(AT115,curvecalc,4,0))*IF(AN115=0,0,AR115/AN115)-INDEX(ship_curves,MATCH(AT115,'SHIP CURVES'!$A$9:$A$316,0),MATCH(CONCATENATE(AX$4,AX$5,AX$6,AX$7),'SHIP CURVES'!$A$9:$Z$9,0))-INDEX(terminal_curves,MATCH(AT115,'TERMINAL CURVES'!$A$4:$A$313,0),MATCH(AX$5,'TERMINAL CURVES'!$A$4:$N$4,0))*IF(AN115=0,0,AP115/AN115))-(AV$8)*((AV$7-$N$5)-(INDEX(ship_curves,MATCH(AT115,'SHIP CURVES'!$A$9:$A$316,0),MATCH(CONCATENATE(AX$4,AX$5,AX$6,AX$7),'SHIP CURVES'!$A$9:$Z$9,0))-INDEX(ship_curves,MATCH(AT115,'SHIP CURVES'!$A$9:$A$316,0),MATCH(CONCATENATE(AX$4,AV$6,AX$6,AX$7),'SHIP CURVES'!$A$9:$Z$9,0)))-(INDEX(terminal_curves,MATCH(AT115,'TERMINAL CURVES'!$A$4:$A$313,0),MATCH(AX$5,'TERMINAL CURVES'!$A$4:$N$4,0))-INDEX(terminal_curves,MATCH(AT115,'TERMINAL CURVES'!$A$4:$A$313,0),MATCH(AV$6,'TERMINAL CURVES'!$A$4:$N$4,0)))*IF(AN115=0,0,AP115/AN115)))*-AN115</f>
        <v>-13884767.3950218</v>
      </c>
      <c r="AY115" s="356" t="n">
        <f aca="false">SUM(AV115:AX115)</f>
        <v>-15824945.6156467</v>
      </c>
      <c r="AZ115" s="357" t="n">
        <f aca="false">(-AP115/((HLOOKUP(AX$5,port_specs,2,0)/(365.25))*(AT116-AT115)))*(INDEX(fixed_capacity_charge,MATCH(AT115,PORTS!$H$11:$H$317,0),MATCH(AX$5,PORTS!$H$11:$N$11,0))+INDEX(variable_om_charge,MATCH(AT115,PORTS!$H$318:$H$625,0),MATCH(AX$5,PORTS!$H$318:$N$318,0)))</f>
        <v>-989233.897686925</v>
      </c>
      <c r="BA115" s="343" t="n">
        <f aca="false">+AZ115+AY115</f>
        <v>-16814179.5133337</v>
      </c>
      <c r="BB115" s="355" t="n">
        <f aca="false">+BA115+AU115</f>
        <v>104112.566646032</v>
      </c>
      <c r="BC115" s="99"/>
      <c r="BD115" s="357" t="n">
        <f aca="false">+PORTS!I109+PORTS!I417</f>
        <v>989233.897686925</v>
      </c>
    </row>
    <row r="116" customFormat="false" ht="12.75" hidden="false" customHeight="false" outlineLevel="0" collapsed="false">
      <c r="A116" s="346" t="n">
        <f aca="false">+DATE(YEAR(A115),MONTH(A115)+1,1)</f>
        <v>39692</v>
      </c>
      <c r="B116" s="327" t="n">
        <f aca="false">+IF(AND($A116&gt;=$C$8,$A116&lt;=$C$9),1,0)*PORTS!$I$5/(365.25)*(A117-A116)</f>
        <v>5166876.75662674</v>
      </c>
      <c r="C116" s="328" t="n">
        <f aca="false">+B116-(SUMIF($F$17:$IV$17,$H$17,$F116:$IV116))</f>
        <v>0</v>
      </c>
      <c r="D116" s="0" t="n">
        <f aca="false">+YEAR(E116)</f>
        <v>2008</v>
      </c>
      <c r="E116" s="346" t="n">
        <f aca="false">+DATE(YEAR(E115),MONTH(E115)+1,1)</f>
        <v>39692</v>
      </c>
      <c r="F116" s="327" t="n">
        <f aca="false">+IF(AND(G$8&lt;=E116,G$9&gt;=E116),INDEX(ROUTE_PER_DAY_BY_SHIP,MATCH(CONCATENATE(G$4,G$5,G$7),ROUTE_PER_DAY_ROUTES,0),MATCH(G$6,ROUTE_PER_DAY_SHIPS,0))*(E117-E116),0)</f>
        <v>0</v>
      </c>
      <c r="G116" s="347" t="n">
        <f aca="false">-F116*HLOOKUP(G$6,SHIPS,7,0)*INDEX(LADEN_VOYAGE_DAYS,MATCH(CONCATENATE(G$4,G$5,G$7),LADEN_VOYAGE_ROUTES,0),MATCH(G$6,LADEN_VOYAGE_SHIPS,0))</f>
        <v>-0</v>
      </c>
      <c r="H116" s="348" t="n">
        <f aca="false">SUM(F116:G116)</f>
        <v>0</v>
      </c>
      <c r="I116" s="349" t="n">
        <f aca="false">-(H116)*HLOOKUP(G$5,TERMINAL_CHARGES,3,0)</f>
        <v>-0</v>
      </c>
      <c r="J116" s="327" t="n">
        <f aca="false">+H116+I116</f>
        <v>0</v>
      </c>
      <c r="K116" s="333"/>
      <c r="L116" s="346" t="n">
        <f aca="false">+DATE(YEAR(L115),MONTH(L115)+1,1)</f>
        <v>39692</v>
      </c>
      <c r="M116" s="334" t="n">
        <f aca="false">+J116*(VLOOKUP(L116,CURVECALC!$C$6:$J$312,4,0)+N$5)</f>
        <v>0</v>
      </c>
      <c r="N116" s="350" t="n">
        <f aca="false">-F116*INDEX(ship_curves,MATCH(L116,'SHIP CURVES'!$A$9:$A$316,0),MATCH(CONCATENATE(P$4,P$5,P$6,P$7),'SHIP CURVES'!$A$9:$AZ$9,0))</f>
        <v>-0</v>
      </c>
      <c r="O116" s="351" t="n">
        <f aca="false">-H116*INDEX(port_processing_fee,MATCH(L116,PORTS!$H$626:$H$933,0),MATCH(P$5,PORTS!$H$626:$Z$626,0))</f>
        <v>-0</v>
      </c>
      <c r="P116" s="352" t="n">
        <f aca="false">(((VLOOKUP(L116,curvecalc,4,0))*IF(F116=0,0,J116/F116)-INDEX(ship_curves,MATCH(L116,'SHIP CURVES'!$A$9:$A$316,0),MATCH(CONCATENATE(P$4,P$5,P$6,P$7),'SHIP CURVES'!$A$9:$Z$9,0))-INDEX(terminal_curves,MATCH(L116,'TERMINAL CURVES'!$A$4:$A$313,0),MATCH(P$5,'TERMINAL CURVES'!$A$4:$N$4,0))*IF(F116=0,0,H116/F116))-(N$8)*((N$7-$N$5)-(INDEX(ship_curves,MATCH(L116,'SHIP CURVES'!$A$9:$A$316,0),MATCH(CONCATENATE(P$4,P$5,P$6,P$7),'SHIP CURVES'!$A$9:$Z$9,0))-INDEX(ship_curves,MATCH(L116,'SHIP CURVES'!$A$9:$A$316,0),MATCH(CONCATENATE(P$4,N$6,P$6,P$7),'SHIP CURVES'!$A$9:$Z$9,0)))-(INDEX(terminal_curves,MATCH(L116,'TERMINAL CURVES'!$A$4:$A$313,0),MATCH(P$5,'TERMINAL CURVES'!$A$4:$N$4,0))-INDEX(terminal_curves,MATCH(L116,'TERMINAL CURVES'!$A$4:$A$313,0),MATCH(N$6,'TERMINAL CURVES'!$A$4:$N$4,0)))*IF(F116=0,0,H116/F116)))*-F116</f>
        <v>0</v>
      </c>
      <c r="Q116" s="353" t="n">
        <f aca="false">SUM(N116:P116)</f>
        <v>0</v>
      </c>
      <c r="R116" s="357" t="n">
        <f aca="false">(-H116/((HLOOKUP(P$5,port_specs,2,0)/(365.25))*(L117-L116)))*(INDEX(fixed_capacity_charge,MATCH(L116,PORTS!$H$11:$H$317,0),MATCH(P$5,PORTS!$H$11:$N$11,0))+INDEX(variable_om_charge,MATCH(L116,PORTS!$H$318:$H$625,0),MATCH(P$5,PORTS!$H$318:$N$318,0)))</f>
        <v>-0</v>
      </c>
      <c r="S116" s="343" t="n">
        <f aca="false">+R116+Q116</f>
        <v>0</v>
      </c>
      <c r="T116" s="355" t="n">
        <f aca="false">+S116+M116</f>
        <v>0</v>
      </c>
      <c r="V116" s="346" t="n">
        <f aca="false">+DATE(YEAR(V115),MONTH(V115)+1,1)</f>
        <v>39692</v>
      </c>
      <c r="W116" s="327" t="n">
        <f aca="false">+Y116/(1-HLOOKUP(X$6,SHIPS,7,0)*INDEX(LADEN_VOYAGE_DAYS,MATCH(CONCATENATE(X$4,X$5),LADEN_VOYAGE_ROUTES,0),MATCH(X$6,LADEN_VOYAGE_SHIPS,0)))</f>
        <v>0</v>
      </c>
      <c r="X116" s="347" t="n">
        <f aca="false">+Y116-W116</f>
        <v>0</v>
      </c>
      <c r="Y116" s="348" t="n">
        <f aca="false">+IF(AND(X$8&lt;=V116,X$9&gt;=V116),+MIN($B116-SUMIF($H$17:X$17,Y$17,$H116:X116),((INDEX(ROUTE_PER_DAY_BY_SHIP,MATCH(CONCATENATE(X$4,X$5,X$7),ROUTE_PER_DAY_ROUTES,0),MATCH(X$6,ROUTE_PER_DAY_SHIPS,0))*(V117-V116))-(INDEX(ROUTE_PER_DAY_BY_SHIP,MATCH(CONCATENATE(X$4,X$5,X$7),ROUTE_PER_DAY_ROUTES,0),MATCH(X$6,ROUTE_PER_DAY_SHIPS,0))*(V117-V116))*HLOOKUP(X$6,SHIPS,7,0)*INDEX(LADEN_VOYAGE_DAYS,MATCH(CONCATENATE(X$4,X$5,X$7),LADEN_VOYAGE_ROUTES,0),MATCH(X$6,LADEN_VOYAGE_SHIPS,0)))),0)</f>
        <v>0</v>
      </c>
      <c r="Z116" s="349" t="n">
        <f aca="false">-(Y116)*HLOOKUP(X$5,TERMINAL_CHARGES,3,0)</f>
        <v>-0</v>
      </c>
      <c r="AA116" s="327" t="n">
        <f aca="false">+Y116+Z116</f>
        <v>0</v>
      </c>
      <c r="AB116" s="333"/>
      <c r="AC116" s="346" t="n">
        <f aca="false">+DATE(YEAR(AC115),MONTH(AC115)+1,1)</f>
        <v>39692</v>
      </c>
      <c r="AD116" s="343" t="n">
        <f aca="false">+AA116*(VLOOKUP(AC116,CURVECALC!$C$6:$J$312,4,0)+AE$5)</f>
        <v>0</v>
      </c>
      <c r="AE116" s="350" t="n">
        <f aca="false">-W116*INDEX(ship_curves,MATCH(AC116,'SHIP CURVES'!$A$9:$A$316,0),MATCH(CONCATENATE(AG$4,AG$5,AG$6,AG$7),'SHIP CURVES'!$A$9:$AZ$9,0))</f>
        <v>-0</v>
      </c>
      <c r="AF116" s="351" t="n">
        <f aca="false">-Y116*INDEX(port_processing_fee,MATCH(AC116,PORTS!$H$626:$H$933,0),MATCH(AG$5,PORTS!$H$626:$Z$626,0))</f>
        <v>-0</v>
      </c>
      <c r="AG116" s="352" t="n">
        <f aca="false">(((VLOOKUP(AC116,curvecalc,4,0))*IF(W116=0,0,AA116/W116)-INDEX(ship_curves,MATCH(AC116,'SHIP CURVES'!$A$9:$A$316,0),MATCH(CONCATENATE(AG$4,AG$5,AG$6,AG$7),'SHIP CURVES'!$A$9:$Z$9,0))-INDEX(terminal_curves,MATCH(AC116,'TERMINAL CURVES'!$A$4:$A$313,0),MATCH(AG$5,'TERMINAL CURVES'!$A$4:$N$4,0))*IF(W116=0,0,Y116/W116))-(AE$8)*((AE$7-$N$5)-(INDEX(ship_curves,MATCH(AC116,'SHIP CURVES'!$A$9:$A$316,0),MATCH(CONCATENATE(AG$4,AG$5,AG$6,AG$7),'SHIP CURVES'!$A$9:$Z$9,0))-INDEX(ship_curves,MATCH(AC116,'SHIP CURVES'!$A$9:$A$316,0),MATCH(CONCATENATE(AG$4,AE$6,AG$6,AG$7),'SHIP CURVES'!$A$9:$Z$9,0)))-(INDEX(terminal_curves,MATCH(AC116,'TERMINAL CURVES'!$A$4:$A$313,0),MATCH(AG$5,'TERMINAL CURVES'!$A$4:$N$4,0))-INDEX(terminal_curves,MATCH(AC116,'TERMINAL CURVES'!$A$4:$A$313,0),MATCH(AE$6,'TERMINAL CURVES'!$A$4:$N$4,0)))*IF(W116=0,0,Y116/W116)))*-W116</f>
        <v>0</v>
      </c>
      <c r="AH116" s="356" t="n">
        <f aca="false">SUM(AE116:AG116)</f>
        <v>0</v>
      </c>
      <c r="AI116" s="357" t="n">
        <f aca="false">(-Y116/((HLOOKUP(AG$5,port_specs,2,0)/(365.25))*(AC117-AC116)))*(INDEX(fixed_capacity_charge,MATCH(AC116,PORTS!$H$11:$H$317,0),MATCH(AG$5,PORTS!$H$11:$N$11,0))+INDEX(variable_om_charge,MATCH(AC116,PORTS!$H$318:$H$625,0),MATCH(AG$5,PORTS!$H$318:$N$318,0)))</f>
        <v>-0</v>
      </c>
      <c r="AJ116" s="343" t="n">
        <f aca="false">+AI116+AH116</f>
        <v>0</v>
      </c>
      <c r="AK116" s="355" t="n">
        <f aca="false">+AJ116+AD116</f>
        <v>0</v>
      </c>
      <c r="AM116" s="346" t="n">
        <f aca="false">+DATE(YEAR(AM115),MONTH(AM115)+1,1)</f>
        <v>39692</v>
      </c>
      <c r="AN116" s="327" t="n">
        <f aca="false">+AP116/(1-HLOOKUP(AO$6,SHIPS,7,0)*INDEX(LADEN_VOYAGE_DAYS,MATCH(CONCATENATE(AO$4,AO$5),LADEN_VOYAGE_ROUTES,0),MATCH(AO$6,LADEN_VOYAGE_SHIPS,0)))</f>
        <v>5221704.65550959</v>
      </c>
      <c r="AO116" s="347" t="n">
        <f aca="false">+AP116-AN116</f>
        <v>-54827.8988828501</v>
      </c>
      <c r="AP116" s="348" t="n">
        <f aca="false">+IF(AND(AO$8&lt;=AM116,AO$9&gt;=AM116),+MIN($B116-SUMIF($H$17:AO$17,AP$17,$H116:AO116),((INDEX(ROUTE_PER_DAY_BY_SHIP,MATCH(CONCATENATE(AO$4,AO$5,AO$7),ROUTE_PER_DAY_ROUTES,0),MATCH(AO$6,ROUTE_PER_DAY_SHIPS,0))*(AM117-AM116))-(INDEX(ROUTE_PER_DAY_BY_SHIP,MATCH(CONCATENATE(AO$4,AO$5,AO$7),ROUTE_PER_DAY_ROUTES,0),MATCH(AO$6,ROUTE_PER_DAY_SHIPS,0))*(AM117-AM116))*HLOOKUP(AO$6,SHIPS,7,0)*INDEX(LADEN_VOYAGE_DAYS,MATCH(CONCATENATE(AO$4,AO$5,AO$7),LADEN_VOYAGE_ROUTES,0),MATCH(AO$6,LADEN_VOYAGE_SHIPS,0)))),0)</f>
        <v>5166876.75662674</v>
      </c>
      <c r="AQ116" s="349" t="n">
        <f aca="false">-(AP116)*PORTS!$I$6</f>
        <v>-129171.918915669</v>
      </c>
      <c r="AR116" s="327" t="n">
        <f aca="false">+AP116+AQ116</f>
        <v>5037704.83771107</v>
      </c>
      <c r="AS116" s="333"/>
      <c r="AT116" s="346" t="n">
        <f aca="false">+DATE(YEAR(AT115),MONTH(AT115)+1,1)</f>
        <v>39692</v>
      </c>
      <c r="AU116" s="343" t="n">
        <f aca="false">+AR116*(VLOOKUP(AT116,CURVECALC!$C$6:$J$312,4,0)+AV$5)</f>
        <v>16296975.1499953</v>
      </c>
      <c r="AV116" s="350" t="n">
        <f aca="false">-AN116*INDEX(ship_curves,MATCH(AT116,'SHIP CURVES'!$A$9:$A$316,0),MATCH(CONCATENATE(AX$4,AX$5,AX$6,AX$7),'SHIP CURVES'!$A$9:$AZ$9,0))</f>
        <v>-1726683.49976452</v>
      </c>
      <c r="AW116" s="351" t="n">
        <f aca="false">-AP116*INDEX(port_processing_fee,MATCH(AT116,PORTS!$H$626:$H$933,0),MATCH(AX$5,PORTS!$H$626:$Z$626,0))</f>
        <v>-151569.659291937</v>
      </c>
      <c r="AX116" s="352" t="n">
        <f aca="false">(((VLOOKUP(AT116,curvecalc,4,0))*IF(AN116=0,0,AR116/AN116)-INDEX(ship_curves,MATCH(AT116,'SHIP CURVES'!$A$9:$A$316,0),MATCH(CONCATENATE(AX$4,AX$5,AX$6,AX$7),'SHIP CURVES'!$A$9:$Z$9,0))-INDEX(terminal_curves,MATCH(AT116,'TERMINAL CURVES'!$A$4:$A$313,0),MATCH(AX$5,'TERMINAL CURVES'!$A$4:$N$4,0))*IF(AN116=0,0,AP116/AN116))-(AV$8)*((AV$7-$N$5)-(INDEX(ship_curves,MATCH(AT116,'SHIP CURVES'!$A$9:$A$316,0),MATCH(CONCATENATE(AX$4,AX$5,AX$6,AX$7),'SHIP CURVES'!$A$9:$Z$9,0))-INDEX(ship_curves,MATCH(AT116,'SHIP CURVES'!$A$9:$A$316,0),MATCH(CONCATENATE(AX$4,AV$6,AX$6,AX$7),'SHIP CURVES'!$A$9:$Z$9,0)))-(INDEX(terminal_curves,MATCH(AT116,'TERMINAL CURVES'!$A$4:$A$313,0),MATCH(AX$5,'TERMINAL CURVES'!$A$4:$N$4,0))-INDEX(terminal_curves,MATCH(AT116,'TERMINAL CURVES'!$A$4:$A$313,0),MATCH(AV$6,'TERMINAL CURVES'!$A$4:$N$4,0)))*IF(AN116=0,0,AP116/AN116)))*-AN116</f>
        <v>-13328208.947199</v>
      </c>
      <c r="AY116" s="356" t="n">
        <f aca="false">SUM(AV116:AX116)</f>
        <v>-15206462.1062554</v>
      </c>
      <c r="AZ116" s="357" t="n">
        <f aca="false">(-AP116/((HLOOKUP(AX$5,port_specs,2,0)/(365.25))*(AT117-AT116)))*(INDEX(fixed_capacity_charge,MATCH(AT116,PORTS!$H$11:$H$317,0),MATCH(AX$5,PORTS!$H$11:$N$11,0))+INDEX(variable_om_charge,MATCH(AT116,PORTS!$H$318:$H$625,0),MATCH(AX$5,PORTS!$H$318:$N$318,0)))</f>
        <v>-989758.946985653</v>
      </c>
      <c r="BA116" s="343" t="n">
        <f aca="false">+AZ116+AY116</f>
        <v>-16196221.0532411</v>
      </c>
      <c r="BB116" s="355" t="n">
        <f aca="false">+BA116+AU116</f>
        <v>100754.096754223</v>
      </c>
      <c r="BC116" s="99"/>
      <c r="BD116" s="357" t="n">
        <f aca="false">+PORTS!I110+PORTS!I418</f>
        <v>989758.946985653</v>
      </c>
    </row>
    <row r="117" customFormat="false" ht="12.75" hidden="false" customHeight="false" outlineLevel="0" collapsed="false">
      <c r="A117" s="346" t="n">
        <f aca="false">+DATE(YEAR(A116),MONTH(A116)+1,1)</f>
        <v>39722</v>
      </c>
      <c r="B117" s="327" t="n">
        <f aca="false">+IF(AND($A117&gt;=$C$8,$A117&lt;=$C$9),1,0)*PORTS!$I$5/(365.25)*(A118-A117)</f>
        <v>5339105.98184763</v>
      </c>
      <c r="C117" s="328" t="n">
        <f aca="false">+B117-(SUMIF($F$17:$IV$17,$H$17,$F117:$IV117))</f>
        <v>0</v>
      </c>
      <c r="D117" s="0" t="n">
        <f aca="false">+YEAR(E117)</f>
        <v>2008</v>
      </c>
      <c r="E117" s="346" t="n">
        <f aca="false">+DATE(YEAR(E116),MONTH(E116)+1,1)</f>
        <v>39722</v>
      </c>
      <c r="F117" s="327" t="n">
        <f aca="false">+IF(AND(G$8&lt;=E117,G$9&gt;=E117),INDEX(ROUTE_PER_DAY_BY_SHIP,MATCH(CONCATENATE(G$4,G$5,G$7),ROUTE_PER_DAY_ROUTES,0),MATCH(G$6,ROUTE_PER_DAY_SHIPS,0))*(E118-E117),0)</f>
        <v>0</v>
      </c>
      <c r="G117" s="347" t="n">
        <f aca="false">-F117*HLOOKUP(G$6,SHIPS,7,0)*INDEX(LADEN_VOYAGE_DAYS,MATCH(CONCATENATE(G$4,G$5,G$7),LADEN_VOYAGE_ROUTES,0),MATCH(G$6,LADEN_VOYAGE_SHIPS,0))</f>
        <v>-0</v>
      </c>
      <c r="H117" s="348" t="n">
        <f aca="false">SUM(F117:G117)</f>
        <v>0</v>
      </c>
      <c r="I117" s="349" t="n">
        <f aca="false">-(H117)*HLOOKUP(G$5,TERMINAL_CHARGES,3,0)</f>
        <v>-0</v>
      </c>
      <c r="J117" s="327" t="n">
        <f aca="false">+H117+I117</f>
        <v>0</v>
      </c>
      <c r="K117" s="333"/>
      <c r="L117" s="346" t="n">
        <f aca="false">+DATE(YEAR(L116),MONTH(L116)+1,1)</f>
        <v>39722</v>
      </c>
      <c r="M117" s="334" t="n">
        <f aca="false">+J117*(VLOOKUP(L117,CURVECALC!$C$6:$J$312,4,0)+N$5)</f>
        <v>0</v>
      </c>
      <c r="N117" s="350" t="n">
        <f aca="false">-F117*INDEX(ship_curves,MATCH(L117,'SHIP CURVES'!$A$9:$A$316,0),MATCH(CONCATENATE(P$4,P$5,P$6,P$7),'SHIP CURVES'!$A$9:$AZ$9,0))</f>
        <v>-0</v>
      </c>
      <c r="O117" s="351" t="n">
        <f aca="false">-H117*INDEX(port_processing_fee,MATCH(L117,PORTS!$H$626:$H$933,0),MATCH(P$5,PORTS!$H$626:$Z$626,0))</f>
        <v>-0</v>
      </c>
      <c r="P117" s="352" t="n">
        <f aca="false">(((VLOOKUP(L117,curvecalc,4,0))*IF(F117=0,0,J117/F117)-INDEX(ship_curves,MATCH(L117,'SHIP CURVES'!$A$9:$A$316,0),MATCH(CONCATENATE(P$4,P$5,P$6,P$7),'SHIP CURVES'!$A$9:$Z$9,0))-INDEX(terminal_curves,MATCH(L117,'TERMINAL CURVES'!$A$4:$A$313,0),MATCH(P$5,'TERMINAL CURVES'!$A$4:$N$4,0))*IF(F117=0,0,H117/F117))-(N$8)*((N$7-$N$5)-(INDEX(ship_curves,MATCH(L117,'SHIP CURVES'!$A$9:$A$316,0),MATCH(CONCATENATE(P$4,P$5,P$6,P$7),'SHIP CURVES'!$A$9:$Z$9,0))-INDEX(ship_curves,MATCH(L117,'SHIP CURVES'!$A$9:$A$316,0),MATCH(CONCATENATE(P$4,N$6,P$6,P$7),'SHIP CURVES'!$A$9:$Z$9,0)))-(INDEX(terminal_curves,MATCH(L117,'TERMINAL CURVES'!$A$4:$A$313,0),MATCH(P$5,'TERMINAL CURVES'!$A$4:$N$4,0))-INDEX(terminal_curves,MATCH(L117,'TERMINAL CURVES'!$A$4:$A$313,0),MATCH(N$6,'TERMINAL CURVES'!$A$4:$N$4,0)))*IF(F117=0,0,H117/F117)))*-F117</f>
        <v>0</v>
      </c>
      <c r="Q117" s="353" t="n">
        <f aca="false">SUM(N117:P117)</f>
        <v>0</v>
      </c>
      <c r="R117" s="357" t="n">
        <f aca="false">(-H117/((HLOOKUP(P$5,port_specs,2,0)/(365.25))*(L118-L117)))*(INDEX(fixed_capacity_charge,MATCH(L117,PORTS!$H$11:$H$317,0),MATCH(P$5,PORTS!$H$11:$N$11,0))+INDEX(variable_om_charge,MATCH(L117,PORTS!$H$318:$H$625,0),MATCH(P$5,PORTS!$H$318:$N$318,0)))</f>
        <v>-0</v>
      </c>
      <c r="S117" s="343" t="n">
        <f aca="false">+R117+Q117</f>
        <v>0</v>
      </c>
      <c r="T117" s="355" t="n">
        <f aca="false">+S117+M117</f>
        <v>0</v>
      </c>
      <c r="V117" s="346" t="n">
        <f aca="false">+DATE(YEAR(V116),MONTH(V116)+1,1)</f>
        <v>39722</v>
      </c>
      <c r="W117" s="327" t="n">
        <f aca="false">+Y117/(1-HLOOKUP(X$6,SHIPS,7,0)*INDEX(LADEN_VOYAGE_DAYS,MATCH(CONCATENATE(X$4,X$5),LADEN_VOYAGE_ROUTES,0),MATCH(X$6,LADEN_VOYAGE_SHIPS,0)))</f>
        <v>0</v>
      </c>
      <c r="X117" s="347" t="n">
        <f aca="false">+Y117-W117</f>
        <v>0</v>
      </c>
      <c r="Y117" s="348" t="n">
        <f aca="false">+IF(AND(X$8&lt;=V117,X$9&gt;=V117),+MIN($B117-SUMIF($H$17:X$17,Y$17,$H117:X117),((INDEX(ROUTE_PER_DAY_BY_SHIP,MATCH(CONCATENATE(X$4,X$5,X$7),ROUTE_PER_DAY_ROUTES,0),MATCH(X$6,ROUTE_PER_DAY_SHIPS,0))*(V118-V117))-(INDEX(ROUTE_PER_DAY_BY_SHIP,MATCH(CONCATENATE(X$4,X$5,X$7),ROUTE_PER_DAY_ROUTES,0),MATCH(X$6,ROUTE_PER_DAY_SHIPS,0))*(V118-V117))*HLOOKUP(X$6,SHIPS,7,0)*INDEX(LADEN_VOYAGE_DAYS,MATCH(CONCATENATE(X$4,X$5,X$7),LADEN_VOYAGE_ROUTES,0),MATCH(X$6,LADEN_VOYAGE_SHIPS,0)))),0)</f>
        <v>0</v>
      </c>
      <c r="Z117" s="349" t="n">
        <f aca="false">-(Y117)*HLOOKUP(X$5,TERMINAL_CHARGES,3,0)</f>
        <v>-0</v>
      </c>
      <c r="AA117" s="327" t="n">
        <f aca="false">+Y117+Z117</f>
        <v>0</v>
      </c>
      <c r="AB117" s="333"/>
      <c r="AC117" s="346" t="n">
        <f aca="false">+DATE(YEAR(AC116),MONTH(AC116)+1,1)</f>
        <v>39722</v>
      </c>
      <c r="AD117" s="343" t="n">
        <f aca="false">+AA117*(VLOOKUP(AC117,CURVECALC!$C$6:$J$312,4,0)+AE$5)</f>
        <v>0</v>
      </c>
      <c r="AE117" s="350" t="n">
        <f aca="false">-W117*INDEX(ship_curves,MATCH(AC117,'SHIP CURVES'!$A$9:$A$316,0),MATCH(CONCATENATE(AG$4,AG$5,AG$6,AG$7),'SHIP CURVES'!$A$9:$AZ$9,0))</f>
        <v>-0</v>
      </c>
      <c r="AF117" s="351" t="n">
        <f aca="false">-Y117*INDEX(port_processing_fee,MATCH(AC117,PORTS!$H$626:$H$933,0),MATCH(AG$5,PORTS!$H$626:$Z$626,0))</f>
        <v>-0</v>
      </c>
      <c r="AG117" s="352" t="n">
        <f aca="false">(((VLOOKUP(AC117,curvecalc,4,0))*IF(W117=0,0,AA117/W117)-INDEX(ship_curves,MATCH(AC117,'SHIP CURVES'!$A$9:$A$316,0),MATCH(CONCATENATE(AG$4,AG$5,AG$6,AG$7),'SHIP CURVES'!$A$9:$Z$9,0))-INDEX(terminal_curves,MATCH(AC117,'TERMINAL CURVES'!$A$4:$A$313,0),MATCH(AG$5,'TERMINAL CURVES'!$A$4:$N$4,0))*IF(W117=0,0,Y117/W117))-(AE$8)*((AE$7-$N$5)-(INDEX(ship_curves,MATCH(AC117,'SHIP CURVES'!$A$9:$A$316,0),MATCH(CONCATENATE(AG$4,AG$5,AG$6,AG$7),'SHIP CURVES'!$A$9:$Z$9,0))-INDEX(ship_curves,MATCH(AC117,'SHIP CURVES'!$A$9:$A$316,0),MATCH(CONCATENATE(AG$4,AE$6,AG$6,AG$7),'SHIP CURVES'!$A$9:$Z$9,0)))-(INDEX(terminal_curves,MATCH(AC117,'TERMINAL CURVES'!$A$4:$A$313,0),MATCH(AG$5,'TERMINAL CURVES'!$A$4:$N$4,0))-INDEX(terminal_curves,MATCH(AC117,'TERMINAL CURVES'!$A$4:$A$313,0),MATCH(AE$6,'TERMINAL CURVES'!$A$4:$N$4,0)))*IF(W117=0,0,Y117/W117)))*-W117</f>
        <v>0</v>
      </c>
      <c r="AH117" s="356" t="n">
        <f aca="false">SUM(AE117:AG117)</f>
        <v>0</v>
      </c>
      <c r="AI117" s="357" t="n">
        <f aca="false">(-Y117/((HLOOKUP(AG$5,port_specs,2,0)/(365.25))*(AC118-AC117)))*(INDEX(fixed_capacity_charge,MATCH(AC117,PORTS!$H$11:$H$317,0),MATCH(AG$5,PORTS!$H$11:$N$11,0))+INDEX(variable_om_charge,MATCH(AC117,PORTS!$H$318:$H$625,0),MATCH(AG$5,PORTS!$H$318:$N$318,0)))</f>
        <v>-0</v>
      </c>
      <c r="AJ117" s="343" t="n">
        <f aca="false">+AI117+AH117</f>
        <v>0</v>
      </c>
      <c r="AK117" s="355" t="n">
        <f aca="false">+AJ117+AD117</f>
        <v>0</v>
      </c>
      <c r="AM117" s="346" t="n">
        <f aca="false">+DATE(YEAR(AM116),MONTH(AM116)+1,1)</f>
        <v>39722</v>
      </c>
      <c r="AN117" s="327" t="n">
        <f aca="false">+AP117/(1-HLOOKUP(AO$6,SHIPS,7,0)*INDEX(LADEN_VOYAGE_DAYS,MATCH(CONCATENATE(AO$4,AO$5),LADEN_VOYAGE_ROUTES,0),MATCH(AO$6,LADEN_VOYAGE_SHIPS,0)))</f>
        <v>5395761.47735991</v>
      </c>
      <c r="AO117" s="347" t="n">
        <f aca="false">+AP117-AN117</f>
        <v>-56655.4955122788</v>
      </c>
      <c r="AP117" s="348" t="n">
        <f aca="false">+IF(AND(AO$8&lt;=AM117,AO$9&gt;=AM117),+MIN($B117-SUMIF($H$17:AO$17,AP$17,$H117:AO117),((INDEX(ROUTE_PER_DAY_BY_SHIP,MATCH(CONCATENATE(AO$4,AO$5,AO$7),ROUTE_PER_DAY_ROUTES,0),MATCH(AO$6,ROUTE_PER_DAY_SHIPS,0))*(AM118-AM117))-(INDEX(ROUTE_PER_DAY_BY_SHIP,MATCH(CONCATENATE(AO$4,AO$5,AO$7),ROUTE_PER_DAY_ROUTES,0),MATCH(AO$6,ROUTE_PER_DAY_SHIPS,0))*(AM118-AM117))*HLOOKUP(AO$6,SHIPS,7,0)*INDEX(LADEN_VOYAGE_DAYS,MATCH(CONCATENATE(AO$4,AO$5,AO$7),LADEN_VOYAGE_ROUTES,0),MATCH(AO$6,LADEN_VOYAGE_SHIPS,0)))),0)</f>
        <v>5339105.98184763</v>
      </c>
      <c r="AQ117" s="349" t="n">
        <f aca="false">-(AP117)*PORTS!$I$6</f>
        <v>-133477.649546191</v>
      </c>
      <c r="AR117" s="327" t="n">
        <f aca="false">+AP117+AQ117</f>
        <v>5205628.33230144</v>
      </c>
      <c r="AS117" s="333"/>
      <c r="AT117" s="346" t="n">
        <f aca="false">+DATE(YEAR(AT116),MONTH(AT116)+1,1)</f>
        <v>39722</v>
      </c>
      <c r="AU117" s="343" t="n">
        <f aca="false">+AR117*(VLOOKUP(AT117,CURVECALC!$C$6:$J$312,4,0)+AV$5)</f>
        <v>16918292.0799797</v>
      </c>
      <c r="AV117" s="350" t="n">
        <f aca="false">-AN117*INDEX(ship_curves,MATCH(AT117,'SHIP CURVES'!$A$9:$A$316,0),MATCH(CONCATENATE(AX$4,AX$5,AX$6,AX$7),'SHIP CURVES'!$A$9:$AZ$9,0))</f>
        <v>-1784761.09952627</v>
      </c>
      <c r="AW117" s="351" t="n">
        <f aca="false">-AP117*INDEX(port_processing_fee,MATCH(AT117,PORTS!$H$626:$H$933,0),MATCH(AX$5,PORTS!$H$626:$Z$626,0))</f>
        <v>-156785.12916549</v>
      </c>
      <c r="AX117" s="352" t="n">
        <f aca="false">(((VLOOKUP(AT117,curvecalc,4,0))*IF(AN117=0,0,AR117/AN117)-INDEX(ship_curves,MATCH(AT117,'SHIP CURVES'!$A$9:$A$316,0),MATCH(CONCATENATE(AX$4,AX$5,AX$6,AX$7),'SHIP CURVES'!$A$9:$Z$9,0))-INDEX(terminal_curves,MATCH(AT117,'TERMINAL CURVES'!$A$4:$A$313,0),MATCH(AX$5,'TERMINAL CURVES'!$A$4:$N$4,0))*IF(AN117=0,0,AP117/AN117))-(AV$8)*((AV$7-$N$5)-(INDEX(ship_curves,MATCH(AT117,'SHIP CURVES'!$A$9:$A$316,0),MATCH(CONCATENATE(AX$4,AX$5,AX$6,AX$7),'SHIP CURVES'!$A$9:$Z$9,0))-INDEX(ship_curves,MATCH(AT117,'SHIP CURVES'!$A$9:$A$316,0),MATCH(CONCATENATE(AX$4,AV$6,AX$6,AX$7),'SHIP CURVES'!$A$9:$Z$9,0)))-(INDEX(terminal_curves,MATCH(AT117,'TERMINAL CURVES'!$A$4:$A$313,0),MATCH(AX$5,'TERMINAL CURVES'!$A$4:$N$4,0))-INDEX(terminal_curves,MATCH(AT117,'TERMINAL CURVES'!$A$4:$A$313,0),MATCH(AV$6,'TERMINAL CURVES'!$A$4:$N$4,0)))*IF(AN117=0,0,AP117/AN117)))*-AN117</f>
        <v>-13882348.7414312</v>
      </c>
      <c r="AY117" s="356" t="n">
        <f aca="false">SUM(AV117:AX117)</f>
        <v>-15823894.9701229</v>
      </c>
      <c r="AZ117" s="357" t="n">
        <f aca="false">(-AP117/((HLOOKUP(AX$5,port_specs,2,0)/(365.25))*(AT118-AT117)))*(INDEX(fixed_capacity_charge,MATCH(AT117,PORTS!$H$11:$H$317,0),MATCH(AX$5,PORTS!$H$11:$N$11,0))+INDEX(variable_om_charge,MATCH(AT117,PORTS!$H$318:$H$625,0),MATCH(AX$5,PORTS!$H$318:$N$318,0)))</f>
        <v>-990284.543210733</v>
      </c>
      <c r="BA117" s="343" t="n">
        <f aca="false">+AZ117+AY117</f>
        <v>-16814179.5133337</v>
      </c>
      <c r="BB117" s="355" t="n">
        <f aca="false">+BA117+AU117</f>
        <v>104112.566646032</v>
      </c>
      <c r="BC117" s="99"/>
      <c r="BD117" s="357" t="n">
        <f aca="false">+PORTS!I111+PORTS!I419</f>
        <v>990284.543210733</v>
      </c>
    </row>
    <row r="118" customFormat="false" ht="12.75" hidden="false" customHeight="false" outlineLevel="0" collapsed="false">
      <c r="A118" s="346" t="n">
        <f aca="false">+DATE(YEAR(A117),MONTH(A117)+1,1)</f>
        <v>39753</v>
      </c>
      <c r="B118" s="327" t="n">
        <f aca="false">+IF(AND($A118&gt;=$C$8,$A118&lt;=$C$9),1,0)*PORTS!$I$5/(365.25)*(A119-A118)</f>
        <v>5166876.75662674</v>
      </c>
      <c r="C118" s="328" t="n">
        <f aca="false">+B118-(SUMIF($F$17:$IV$17,$H$17,$F118:$IV118))</f>
        <v>0</v>
      </c>
      <c r="D118" s="0" t="n">
        <f aca="false">+YEAR(E118)</f>
        <v>2008</v>
      </c>
      <c r="E118" s="346" t="n">
        <f aca="false">+DATE(YEAR(E117),MONTH(E117)+1,1)</f>
        <v>39753</v>
      </c>
      <c r="F118" s="327" t="n">
        <f aca="false">+IF(AND(G$8&lt;=E118,G$9&gt;=E118),INDEX(ROUTE_PER_DAY_BY_SHIP,MATCH(CONCATENATE(G$4,G$5,G$7),ROUTE_PER_DAY_ROUTES,0),MATCH(G$6,ROUTE_PER_DAY_SHIPS,0))*(E119-E118),0)</f>
        <v>0</v>
      </c>
      <c r="G118" s="347" t="n">
        <f aca="false">-F118*HLOOKUP(G$6,SHIPS,7,0)*INDEX(LADEN_VOYAGE_DAYS,MATCH(CONCATENATE(G$4,G$5,G$7),LADEN_VOYAGE_ROUTES,0),MATCH(G$6,LADEN_VOYAGE_SHIPS,0))</f>
        <v>-0</v>
      </c>
      <c r="H118" s="348" t="n">
        <f aca="false">SUM(F118:G118)</f>
        <v>0</v>
      </c>
      <c r="I118" s="349" t="n">
        <f aca="false">-(H118)*HLOOKUP(G$5,TERMINAL_CHARGES,3,0)</f>
        <v>-0</v>
      </c>
      <c r="J118" s="327" t="n">
        <f aca="false">+H118+I118</f>
        <v>0</v>
      </c>
      <c r="K118" s="333"/>
      <c r="L118" s="346" t="n">
        <f aca="false">+DATE(YEAR(L117),MONTH(L117)+1,1)</f>
        <v>39753</v>
      </c>
      <c r="M118" s="334" t="n">
        <f aca="false">+J118*(VLOOKUP(L118,CURVECALC!$C$6:$J$312,4,0)+N$5)</f>
        <v>0</v>
      </c>
      <c r="N118" s="350" t="n">
        <f aca="false">-F118*INDEX(ship_curves,MATCH(L118,'SHIP CURVES'!$A$9:$A$316,0),MATCH(CONCATENATE(P$4,P$5,P$6,P$7),'SHIP CURVES'!$A$9:$AZ$9,0))</f>
        <v>-0</v>
      </c>
      <c r="O118" s="351" t="n">
        <f aca="false">-H118*INDEX(port_processing_fee,MATCH(L118,PORTS!$H$626:$H$933,0),MATCH(P$5,PORTS!$H$626:$Z$626,0))</f>
        <v>-0</v>
      </c>
      <c r="P118" s="352" t="n">
        <f aca="false">(((VLOOKUP(L118,curvecalc,4,0))*IF(F118=0,0,J118/F118)-INDEX(ship_curves,MATCH(L118,'SHIP CURVES'!$A$9:$A$316,0),MATCH(CONCATENATE(P$4,P$5,P$6,P$7),'SHIP CURVES'!$A$9:$Z$9,0))-INDEX(terminal_curves,MATCH(L118,'TERMINAL CURVES'!$A$4:$A$313,0),MATCH(P$5,'TERMINAL CURVES'!$A$4:$N$4,0))*IF(F118=0,0,H118/F118))-(N$8)*((N$7-$N$5)-(INDEX(ship_curves,MATCH(L118,'SHIP CURVES'!$A$9:$A$316,0),MATCH(CONCATENATE(P$4,P$5,P$6,P$7),'SHIP CURVES'!$A$9:$Z$9,0))-INDEX(ship_curves,MATCH(L118,'SHIP CURVES'!$A$9:$A$316,0),MATCH(CONCATENATE(P$4,N$6,P$6,P$7),'SHIP CURVES'!$A$9:$Z$9,0)))-(INDEX(terminal_curves,MATCH(L118,'TERMINAL CURVES'!$A$4:$A$313,0),MATCH(P$5,'TERMINAL CURVES'!$A$4:$N$4,0))-INDEX(terminal_curves,MATCH(L118,'TERMINAL CURVES'!$A$4:$A$313,0),MATCH(N$6,'TERMINAL CURVES'!$A$4:$N$4,0)))*IF(F118=0,0,H118/F118)))*-F118</f>
        <v>0</v>
      </c>
      <c r="Q118" s="353" t="n">
        <f aca="false">SUM(N118:P118)</f>
        <v>0</v>
      </c>
      <c r="R118" s="357" t="n">
        <f aca="false">(-H118/((HLOOKUP(P$5,port_specs,2,0)/(365.25))*(L119-L118)))*(INDEX(fixed_capacity_charge,MATCH(L118,PORTS!$H$11:$H$317,0),MATCH(P$5,PORTS!$H$11:$N$11,0))+INDEX(variable_om_charge,MATCH(L118,PORTS!$H$318:$H$625,0),MATCH(P$5,PORTS!$H$318:$N$318,0)))</f>
        <v>-0</v>
      </c>
      <c r="S118" s="343" t="n">
        <f aca="false">+R118+Q118</f>
        <v>0</v>
      </c>
      <c r="T118" s="355" t="n">
        <f aca="false">+S118+M118</f>
        <v>0</v>
      </c>
      <c r="V118" s="346" t="n">
        <f aca="false">+DATE(YEAR(V117),MONTH(V117)+1,1)</f>
        <v>39753</v>
      </c>
      <c r="W118" s="327" t="n">
        <f aca="false">+Y118/(1-HLOOKUP(X$6,SHIPS,7,0)*INDEX(LADEN_VOYAGE_DAYS,MATCH(CONCATENATE(X$4,X$5),LADEN_VOYAGE_ROUTES,0),MATCH(X$6,LADEN_VOYAGE_SHIPS,0)))</f>
        <v>0</v>
      </c>
      <c r="X118" s="347" t="n">
        <f aca="false">+Y118-W118</f>
        <v>0</v>
      </c>
      <c r="Y118" s="348" t="n">
        <f aca="false">+IF(AND(X$8&lt;=V118,X$9&gt;=V118),+MIN($B118-SUMIF($H$17:X$17,Y$17,$H118:X118),((INDEX(ROUTE_PER_DAY_BY_SHIP,MATCH(CONCATENATE(X$4,X$5,X$7),ROUTE_PER_DAY_ROUTES,0),MATCH(X$6,ROUTE_PER_DAY_SHIPS,0))*(V119-V118))-(INDEX(ROUTE_PER_DAY_BY_SHIP,MATCH(CONCATENATE(X$4,X$5,X$7),ROUTE_PER_DAY_ROUTES,0),MATCH(X$6,ROUTE_PER_DAY_SHIPS,0))*(V119-V118))*HLOOKUP(X$6,SHIPS,7,0)*INDEX(LADEN_VOYAGE_DAYS,MATCH(CONCATENATE(X$4,X$5,X$7),LADEN_VOYAGE_ROUTES,0),MATCH(X$6,LADEN_VOYAGE_SHIPS,0)))),0)</f>
        <v>0</v>
      </c>
      <c r="Z118" s="349" t="n">
        <f aca="false">-(Y118)*HLOOKUP(X$5,TERMINAL_CHARGES,3,0)</f>
        <v>-0</v>
      </c>
      <c r="AA118" s="327" t="n">
        <f aca="false">+Y118+Z118</f>
        <v>0</v>
      </c>
      <c r="AB118" s="333"/>
      <c r="AC118" s="346" t="n">
        <f aca="false">+DATE(YEAR(AC117),MONTH(AC117)+1,1)</f>
        <v>39753</v>
      </c>
      <c r="AD118" s="343" t="n">
        <f aca="false">+AA118*(VLOOKUP(AC118,CURVECALC!$C$6:$J$312,4,0)+AE$5)</f>
        <v>0</v>
      </c>
      <c r="AE118" s="350" t="n">
        <f aca="false">-W118*INDEX(ship_curves,MATCH(AC118,'SHIP CURVES'!$A$9:$A$316,0),MATCH(CONCATENATE(AG$4,AG$5,AG$6,AG$7),'SHIP CURVES'!$A$9:$AZ$9,0))</f>
        <v>-0</v>
      </c>
      <c r="AF118" s="351" t="n">
        <f aca="false">-Y118*INDEX(port_processing_fee,MATCH(AC118,PORTS!$H$626:$H$933,0),MATCH(AG$5,PORTS!$H$626:$Z$626,0))</f>
        <v>-0</v>
      </c>
      <c r="AG118" s="352" t="n">
        <f aca="false">(((VLOOKUP(AC118,curvecalc,4,0))*IF(W118=0,0,AA118/W118)-INDEX(ship_curves,MATCH(AC118,'SHIP CURVES'!$A$9:$A$316,0),MATCH(CONCATENATE(AG$4,AG$5,AG$6,AG$7),'SHIP CURVES'!$A$9:$Z$9,0))-INDEX(terminal_curves,MATCH(AC118,'TERMINAL CURVES'!$A$4:$A$313,0),MATCH(AG$5,'TERMINAL CURVES'!$A$4:$N$4,0))*IF(W118=0,0,Y118/W118))-(AE$8)*((AE$7-$N$5)-(INDEX(ship_curves,MATCH(AC118,'SHIP CURVES'!$A$9:$A$316,0),MATCH(CONCATENATE(AG$4,AG$5,AG$6,AG$7),'SHIP CURVES'!$A$9:$Z$9,0))-INDEX(ship_curves,MATCH(AC118,'SHIP CURVES'!$A$9:$A$316,0),MATCH(CONCATENATE(AG$4,AE$6,AG$6,AG$7),'SHIP CURVES'!$A$9:$Z$9,0)))-(INDEX(terminal_curves,MATCH(AC118,'TERMINAL CURVES'!$A$4:$A$313,0),MATCH(AG$5,'TERMINAL CURVES'!$A$4:$N$4,0))-INDEX(terminal_curves,MATCH(AC118,'TERMINAL CURVES'!$A$4:$A$313,0),MATCH(AE$6,'TERMINAL CURVES'!$A$4:$N$4,0)))*IF(W118=0,0,Y118/W118)))*-W118</f>
        <v>0</v>
      </c>
      <c r="AH118" s="356" t="n">
        <f aca="false">SUM(AE118:AG118)</f>
        <v>0</v>
      </c>
      <c r="AI118" s="357" t="n">
        <f aca="false">(-Y118/((HLOOKUP(AG$5,port_specs,2,0)/(365.25))*(AC119-AC118)))*(INDEX(fixed_capacity_charge,MATCH(AC118,PORTS!$H$11:$H$317,0),MATCH(AG$5,PORTS!$H$11:$N$11,0))+INDEX(variable_om_charge,MATCH(AC118,PORTS!$H$318:$H$625,0),MATCH(AG$5,PORTS!$H$318:$N$318,0)))</f>
        <v>-0</v>
      </c>
      <c r="AJ118" s="343" t="n">
        <f aca="false">+AI118+AH118</f>
        <v>0</v>
      </c>
      <c r="AK118" s="355" t="n">
        <f aca="false">+AJ118+AD118</f>
        <v>0</v>
      </c>
      <c r="AM118" s="346" t="n">
        <f aca="false">+DATE(YEAR(AM117),MONTH(AM117)+1,1)</f>
        <v>39753</v>
      </c>
      <c r="AN118" s="327" t="n">
        <f aca="false">+AP118/(1-HLOOKUP(AO$6,SHIPS,7,0)*INDEX(LADEN_VOYAGE_DAYS,MATCH(CONCATENATE(AO$4,AO$5),LADEN_VOYAGE_ROUTES,0),MATCH(AO$6,LADEN_VOYAGE_SHIPS,0)))</f>
        <v>5221704.65550959</v>
      </c>
      <c r="AO118" s="347" t="n">
        <f aca="false">+AP118-AN118</f>
        <v>-54827.8988828501</v>
      </c>
      <c r="AP118" s="348" t="n">
        <f aca="false">+IF(AND(AO$8&lt;=AM118,AO$9&gt;=AM118),+MIN($B118-SUMIF($H$17:AO$17,AP$17,$H118:AO118),((INDEX(ROUTE_PER_DAY_BY_SHIP,MATCH(CONCATENATE(AO$4,AO$5,AO$7),ROUTE_PER_DAY_ROUTES,0),MATCH(AO$6,ROUTE_PER_DAY_SHIPS,0))*(AM119-AM118))-(INDEX(ROUTE_PER_DAY_BY_SHIP,MATCH(CONCATENATE(AO$4,AO$5,AO$7),ROUTE_PER_DAY_ROUTES,0),MATCH(AO$6,ROUTE_PER_DAY_SHIPS,0))*(AM119-AM118))*HLOOKUP(AO$6,SHIPS,7,0)*INDEX(LADEN_VOYAGE_DAYS,MATCH(CONCATENATE(AO$4,AO$5,AO$7),LADEN_VOYAGE_ROUTES,0),MATCH(AO$6,LADEN_VOYAGE_SHIPS,0)))),0)</f>
        <v>5166876.75662674</v>
      </c>
      <c r="AQ118" s="349" t="n">
        <f aca="false">-(AP118)*PORTS!$I$6</f>
        <v>-129171.918915669</v>
      </c>
      <c r="AR118" s="327" t="n">
        <f aca="false">+AP118+AQ118</f>
        <v>5037704.83771107</v>
      </c>
      <c r="AS118" s="333"/>
      <c r="AT118" s="346" t="n">
        <f aca="false">+DATE(YEAR(AT117),MONTH(AT117)+1,1)</f>
        <v>39753</v>
      </c>
      <c r="AU118" s="343" t="n">
        <f aca="false">+AR118*(VLOOKUP(AT118,CURVECALC!$C$6:$J$312,4,0)+AV$5)</f>
        <v>16795707.9289287</v>
      </c>
      <c r="AV118" s="350" t="n">
        <f aca="false">-AN118*INDEX(ship_curves,MATCH(AT118,'SHIP CURVES'!$A$9:$A$316,0),MATCH(CONCATENATE(AX$4,AX$5,AX$6,AX$7),'SHIP CURVES'!$A$9:$AZ$9,0))</f>
        <v>-1727693.87327645</v>
      </c>
      <c r="AW118" s="351" t="n">
        <f aca="false">-AP118*INDEX(port_processing_fee,MATCH(AT118,PORTS!$H$626:$H$933,0),MATCH(AX$5,PORTS!$H$626:$Z$626,0))</f>
        <v>-151885.593879068</v>
      </c>
      <c r="AX118" s="352" t="n">
        <f aca="false">(((VLOOKUP(AT118,curvecalc,4,0))*IF(AN118=0,0,AR118/AN118)-INDEX(ship_curves,MATCH(AT118,'SHIP CURVES'!$A$9:$A$316,0),MATCH(CONCATENATE(AX$4,AX$5,AX$6,AX$7),'SHIP CURVES'!$A$9:$Z$9,0))-INDEX(terminal_curves,MATCH(AT118,'TERMINAL CURVES'!$A$4:$A$313,0),MATCH(AX$5,'TERMINAL CURVES'!$A$4:$N$4,0))*IF(AN118=0,0,AP118/AN118))-(AV$8)*((AV$7-$N$5)-(INDEX(ship_curves,MATCH(AT118,'SHIP CURVES'!$A$9:$A$316,0),MATCH(CONCATENATE(AX$4,AX$5,AX$6,AX$7),'SHIP CURVES'!$A$9:$Z$9,0))-INDEX(ship_curves,MATCH(AT118,'SHIP CURVES'!$A$9:$A$316,0),MATCH(CONCATENATE(AX$4,AV$6,AX$6,AX$7),'SHIP CURVES'!$A$9:$Z$9,0)))-(INDEX(terminal_curves,MATCH(AT118,'TERMINAL CURVES'!$A$4:$A$313,0),MATCH(AX$5,'TERMINAL CURVES'!$A$4:$N$4,0))-INDEX(terminal_curves,MATCH(AT118,'TERMINAL CURVES'!$A$4:$A$313,0),MATCH(AV$6,'TERMINAL CURVES'!$A$4:$N$4,0)))*IF(AN118=0,0,AP118/AN118)))*-AN118</f>
        <v>-13824563.6780871</v>
      </c>
      <c r="AY118" s="356" t="n">
        <f aca="false">SUM(AV118:AX118)</f>
        <v>-15704143.1452426</v>
      </c>
      <c r="AZ118" s="357" t="n">
        <f aca="false">(-AP118/((HLOOKUP(AX$5,port_specs,2,0)/(365.25))*(AT119-AT118)))*(INDEX(fixed_capacity_charge,MATCH(AT118,PORTS!$H$11:$H$317,0),MATCH(AX$5,PORTS!$H$11:$N$11,0))+INDEX(variable_om_charge,MATCH(AT118,PORTS!$H$318:$H$625,0),MATCH(AX$5,PORTS!$H$318:$N$318,0)))</f>
        <v>-990810.686931882</v>
      </c>
      <c r="BA118" s="343" t="n">
        <f aca="false">+AZ118+AY118</f>
        <v>-16694953.8321745</v>
      </c>
      <c r="BB118" s="355" t="n">
        <f aca="false">+BA118+AU118</f>
        <v>100754.096754223</v>
      </c>
      <c r="BC118" s="99"/>
      <c r="BD118" s="357" t="n">
        <f aca="false">+PORTS!I112+PORTS!I420</f>
        <v>990810.686931882</v>
      </c>
    </row>
    <row r="119" customFormat="false" ht="12.75" hidden="false" customHeight="false" outlineLevel="0" collapsed="false">
      <c r="A119" s="346" t="n">
        <f aca="false">+DATE(YEAR(A118),MONTH(A118)+1,1)</f>
        <v>39783</v>
      </c>
      <c r="B119" s="327" t="n">
        <f aca="false">+IF(AND($A119&gt;=$C$8,$A119&lt;=$C$9),1,0)*PORTS!$I$5/(365.25)*(A120-A119)</f>
        <v>5339105.98184763</v>
      </c>
      <c r="C119" s="328" t="n">
        <f aca="false">+B119-(SUMIF($F$17:$IV$17,$H$17,$F119:$IV119))</f>
        <v>0</v>
      </c>
      <c r="D119" s="0" t="n">
        <f aca="false">+YEAR(E119)</f>
        <v>2008</v>
      </c>
      <c r="E119" s="346" t="n">
        <f aca="false">+DATE(YEAR(E118),MONTH(E118)+1,1)</f>
        <v>39783</v>
      </c>
      <c r="F119" s="327" t="n">
        <f aca="false">+IF(AND(G$8&lt;=E119,G$9&gt;=E119),INDEX(ROUTE_PER_DAY_BY_SHIP,MATCH(CONCATENATE(G$4,G$5,G$7),ROUTE_PER_DAY_ROUTES,0),MATCH(G$6,ROUTE_PER_DAY_SHIPS,0))*(E120-E119),0)</f>
        <v>0</v>
      </c>
      <c r="G119" s="347" t="n">
        <f aca="false">-F119*HLOOKUP(G$6,SHIPS,7,0)*INDEX(LADEN_VOYAGE_DAYS,MATCH(CONCATENATE(G$4,G$5,G$7),LADEN_VOYAGE_ROUTES,0),MATCH(G$6,LADEN_VOYAGE_SHIPS,0))</f>
        <v>-0</v>
      </c>
      <c r="H119" s="348" t="n">
        <f aca="false">SUM(F119:G119)</f>
        <v>0</v>
      </c>
      <c r="I119" s="349" t="n">
        <f aca="false">-(H119)*HLOOKUP(G$5,TERMINAL_CHARGES,3,0)</f>
        <v>-0</v>
      </c>
      <c r="J119" s="327" t="n">
        <f aca="false">+H119+I119</f>
        <v>0</v>
      </c>
      <c r="K119" s="333"/>
      <c r="L119" s="346" t="n">
        <f aca="false">+DATE(YEAR(L118),MONTH(L118)+1,1)</f>
        <v>39783</v>
      </c>
      <c r="M119" s="334" t="n">
        <f aca="false">+J119*(VLOOKUP(L119,CURVECALC!$C$6:$J$312,4,0)+N$5)</f>
        <v>0</v>
      </c>
      <c r="N119" s="350" t="n">
        <f aca="false">-F119*INDEX(ship_curves,MATCH(L119,'SHIP CURVES'!$A$9:$A$316,0),MATCH(CONCATENATE(P$4,P$5,P$6,P$7),'SHIP CURVES'!$A$9:$AZ$9,0))</f>
        <v>-0</v>
      </c>
      <c r="O119" s="351" t="n">
        <f aca="false">-H119*INDEX(port_processing_fee,MATCH(L119,PORTS!$H$626:$H$933,0),MATCH(P$5,PORTS!$H$626:$Z$626,0))</f>
        <v>-0</v>
      </c>
      <c r="P119" s="352" t="n">
        <f aca="false">(((VLOOKUP(L119,curvecalc,4,0))*IF(F119=0,0,J119/F119)-INDEX(ship_curves,MATCH(L119,'SHIP CURVES'!$A$9:$A$316,0),MATCH(CONCATENATE(P$4,P$5,P$6,P$7),'SHIP CURVES'!$A$9:$Z$9,0))-INDEX(terminal_curves,MATCH(L119,'TERMINAL CURVES'!$A$4:$A$313,0),MATCH(P$5,'TERMINAL CURVES'!$A$4:$N$4,0))*IF(F119=0,0,H119/F119))-(N$8)*((N$7-$N$5)-(INDEX(ship_curves,MATCH(L119,'SHIP CURVES'!$A$9:$A$316,0),MATCH(CONCATENATE(P$4,P$5,P$6,P$7),'SHIP CURVES'!$A$9:$Z$9,0))-INDEX(ship_curves,MATCH(L119,'SHIP CURVES'!$A$9:$A$316,0),MATCH(CONCATENATE(P$4,N$6,P$6,P$7),'SHIP CURVES'!$A$9:$Z$9,0)))-(INDEX(terminal_curves,MATCH(L119,'TERMINAL CURVES'!$A$4:$A$313,0),MATCH(P$5,'TERMINAL CURVES'!$A$4:$N$4,0))-INDEX(terminal_curves,MATCH(L119,'TERMINAL CURVES'!$A$4:$A$313,0),MATCH(N$6,'TERMINAL CURVES'!$A$4:$N$4,0)))*IF(F119=0,0,H119/F119)))*-F119</f>
        <v>0</v>
      </c>
      <c r="Q119" s="353" t="n">
        <f aca="false">SUM(N119:P119)</f>
        <v>0</v>
      </c>
      <c r="R119" s="357" t="n">
        <f aca="false">(-H119/((HLOOKUP(P$5,port_specs,2,0)/(365.25))*(L120-L119)))*(INDEX(fixed_capacity_charge,MATCH(L119,PORTS!$H$11:$H$317,0),MATCH(P$5,PORTS!$H$11:$N$11,0))+INDEX(variable_om_charge,MATCH(L119,PORTS!$H$318:$H$625,0),MATCH(P$5,PORTS!$H$318:$N$318,0)))</f>
        <v>-0</v>
      </c>
      <c r="S119" s="343" t="n">
        <f aca="false">+R119+Q119</f>
        <v>0</v>
      </c>
      <c r="T119" s="355" t="n">
        <f aca="false">+S119+M119</f>
        <v>0</v>
      </c>
      <c r="V119" s="346" t="n">
        <f aca="false">+DATE(YEAR(V118),MONTH(V118)+1,1)</f>
        <v>39783</v>
      </c>
      <c r="W119" s="327" t="n">
        <f aca="false">+Y119/(1-HLOOKUP(X$6,SHIPS,7,0)*INDEX(LADEN_VOYAGE_DAYS,MATCH(CONCATENATE(X$4,X$5),LADEN_VOYAGE_ROUTES,0),MATCH(X$6,LADEN_VOYAGE_SHIPS,0)))</f>
        <v>0</v>
      </c>
      <c r="X119" s="347" t="n">
        <f aca="false">+Y119-W119</f>
        <v>0</v>
      </c>
      <c r="Y119" s="348" t="n">
        <f aca="false">+IF(AND(X$8&lt;=V119,X$9&gt;=V119),+MIN($B119-SUMIF($H$17:X$17,Y$17,$H119:X119),((INDEX(ROUTE_PER_DAY_BY_SHIP,MATCH(CONCATENATE(X$4,X$5,X$7),ROUTE_PER_DAY_ROUTES,0),MATCH(X$6,ROUTE_PER_DAY_SHIPS,0))*(V120-V119))-(INDEX(ROUTE_PER_DAY_BY_SHIP,MATCH(CONCATENATE(X$4,X$5,X$7),ROUTE_PER_DAY_ROUTES,0),MATCH(X$6,ROUTE_PER_DAY_SHIPS,0))*(V120-V119))*HLOOKUP(X$6,SHIPS,7,0)*INDEX(LADEN_VOYAGE_DAYS,MATCH(CONCATENATE(X$4,X$5,X$7),LADEN_VOYAGE_ROUTES,0),MATCH(X$6,LADEN_VOYAGE_SHIPS,0)))),0)</f>
        <v>0</v>
      </c>
      <c r="Z119" s="349" t="n">
        <f aca="false">-(Y119)*HLOOKUP(X$5,TERMINAL_CHARGES,3,0)</f>
        <v>-0</v>
      </c>
      <c r="AA119" s="327" t="n">
        <f aca="false">+Y119+Z119</f>
        <v>0</v>
      </c>
      <c r="AB119" s="333"/>
      <c r="AC119" s="346" t="n">
        <f aca="false">+DATE(YEAR(AC118),MONTH(AC118)+1,1)</f>
        <v>39783</v>
      </c>
      <c r="AD119" s="343" t="n">
        <f aca="false">+AA119*(VLOOKUP(AC119,CURVECALC!$C$6:$J$312,4,0)+AE$5)</f>
        <v>0</v>
      </c>
      <c r="AE119" s="350" t="n">
        <f aca="false">-W119*INDEX(ship_curves,MATCH(AC119,'SHIP CURVES'!$A$9:$A$316,0),MATCH(CONCATENATE(AG$4,AG$5,AG$6,AG$7),'SHIP CURVES'!$A$9:$AZ$9,0))</f>
        <v>-0</v>
      </c>
      <c r="AF119" s="351" t="n">
        <f aca="false">-Y119*INDEX(port_processing_fee,MATCH(AC119,PORTS!$H$626:$H$933,0),MATCH(AG$5,PORTS!$H$626:$Z$626,0))</f>
        <v>-0</v>
      </c>
      <c r="AG119" s="352" t="n">
        <f aca="false">(((VLOOKUP(AC119,curvecalc,4,0))*IF(W119=0,0,AA119/W119)-INDEX(ship_curves,MATCH(AC119,'SHIP CURVES'!$A$9:$A$316,0),MATCH(CONCATENATE(AG$4,AG$5,AG$6,AG$7),'SHIP CURVES'!$A$9:$Z$9,0))-INDEX(terminal_curves,MATCH(AC119,'TERMINAL CURVES'!$A$4:$A$313,0),MATCH(AG$5,'TERMINAL CURVES'!$A$4:$N$4,0))*IF(W119=0,0,Y119/W119))-(AE$8)*((AE$7-$N$5)-(INDEX(ship_curves,MATCH(AC119,'SHIP CURVES'!$A$9:$A$316,0),MATCH(CONCATENATE(AG$4,AG$5,AG$6,AG$7),'SHIP CURVES'!$A$9:$Z$9,0))-INDEX(ship_curves,MATCH(AC119,'SHIP CURVES'!$A$9:$A$316,0),MATCH(CONCATENATE(AG$4,AE$6,AG$6,AG$7),'SHIP CURVES'!$A$9:$Z$9,0)))-(INDEX(terminal_curves,MATCH(AC119,'TERMINAL CURVES'!$A$4:$A$313,0),MATCH(AG$5,'TERMINAL CURVES'!$A$4:$N$4,0))-INDEX(terminal_curves,MATCH(AC119,'TERMINAL CURVES'!$A$4:$A$313,0),MATCH(AE$6,'TERMINAL CURVES'!$A$4:$N$4,0)))*IF(W119=0,0,Y119/W119)))*-W119</f>
        <v>0</v>
      </c>
      <c r="AH119" s="356" t="n">
        <f aca="false">SUM(AE119:AG119)</f>
        <v>0</v>
      </c>
      <c r="AI119" s="357" t="n">
        <f aca="false">(-Y119/((HLOOKUP(AG$5,port_specs,2,0)/(365.25))*(AC120-AC119)))*(INDEX(fixed_capacity_charge,MATCH(AC119,PORTS!$H$11:$H$317,0),MATCH(AG$5,PORTS!$H$11:$N$11,0))+INDEX(variable_om_charge,MATCH(AC119,PORTS!$H$318:$H$625,0),MATCH(AG$5,PORTS!$H$318:$N$318,0)))</f>
        <v>-0</v>
      </c>
      <c r="AJ119" s="343" t="n">
        <f aca="false">+AI119+AH119</f>
        <v>0</v>
      </c>
      <c r="AK119" s="355" t="n">
        <f aca="false">+AJ119+AD119</f>
        <v>0</v>
      </c>
      <c r="AM119" s="346" t="n">
        <f aca="false">+DATE(YEAR(AM118),MONTH(AM118)+1,1)</f>
        <v>39783</v>
      </c>
      <c r="AN119" s="327" t="n">
        <f aca="false">+AP119/(1-HLOOKUP(AO$6,SHIPS,7,0)*INDEX(LADEN_VOYAGE_DAYS,MATCH(CONCATENATE(AO$4,AO$5),LADEN_VOYAGE_ROUTES,0),MATCH(AO$6,LADEN_VOYAGE_SHIPS,0)))</f>
        <v>5395761.47735991</v>
      </c>
      <c r="AO119" s="347" t="n">
        <f aca="false">+AP119-AN119</f>
        <v>-56655.4955122788</v>
      </c>
      <c r="AP119" s="348" t="n">
        <f aca="false">+IF(AND(AO$8&lt;=AM119,AO$9&gt;=AM119),+MIN($B119-SUMIF($H$17:AO$17,AP$17,$H119:AO119),((INDEX(ROUTE_PER_DAY_BY_SHIP,MATCH(CONCATENATE(AO$4,AO$5,AO$7),ROUTE_PER_DAY_ROUTES,0),MATCH(AO$6,ROUTE_PER_DAY_SHIPS,0))*(AM120-AM119))-(INDEX(ROUTE_PER_DAY_BY_SHIP,MATCH(CONCATENATE(AO$4,AO$5,AO$7),ROUTE_PER_DAY_ROUTES,0),MATCH(AO$6,ROUTE_PER_DAY_SHIPS,0))*(AM120-AM119))*HLOOKUP(AO$6,SHIPS,7,0)*INDEX(LADEN_VOYAGE_DAYS,MATCH(CONCATENATE(AO$4,AO$5,AO$7),LADEN_VOYAGE_ROUTES,0),MATCH(AO$6,LADEN_VOYAGE_SHIPS,0)))),0)</f>
        <v>5339105.98184763</v>
      </c>
      <c r="AQ119" s="349" t="n">
        <f aca="false">-(AP119)*PORTS!$I$6</f>
        <v>-133477.649546191</v>
      </c>
      <c r="AR119" s="327" t="n">
        <f aca="false">+AP119+AQ119</f>
        <v>5205628.33230144</v>
      </c>
      <c r="AS119" s="333"/>
      <c r="AT119" s="346" t="n">
        <f aca="false">+DATE(YEAR(AT118),MONTH(AT118)+1,1)</f>
        <v>39783</v>
      </c>
      <c r="AU119" s="343" t="n">
        <f aca="false">+AR119*(VLOOKUP(AT119,CURVECALC!$C$6:$J$312,4,0)+AV$5)</f>
        <v>17824071.4098001</v>
      </c>
      <c r="AV119" s="350" t="n">
        <f aca="false">-AN119*INDEX(ship_curves,MATCH(AT119,'SHIP CURVES'!$A$9:$A$316,0),MATCH(CONCATENATE(AX$4,AX$5,AX$6,AX$7),'SHIP CURVES'!$A$9:$AZ$9,0))</f>
        <v>-1785807.3272649</v>
      </c>
      <c r="AW119" s="351" t="n">
        <f aca="false">-AP119*INDEX(port_processing_fee,MATCH(AT119,PORTS!$H$626:$H$933,0),MATCH(AX$5,PORTS!$H$626:$Z$626,0))</f>
        <v>-157111.934974004</v>
      </c>
      <c r="AX119" s="352" t="n">
        <f aca="false">(((VLOOKUP(AT119,curvecalc,4,0))*IF(AN119=0,0,AR119/AN119)-INDEX(ship_curves,MATCH(AT119,'SHIP CURVES'!$A$9:$A$316,0),MATCH(CONCATENATE(AX$4,AX$5,AX$6,AX$7),'SHIP CURVES'!$A$9:$Z$9,0))-INDEX(terminal_curves,MATCH(AT119,'TERMINAL CURVES'!$A$4:$A$313,0),MATCH(AX$5,'TERMINAL CURVES'!$A$4:$N$4,0))*IF(AN119=0,0,AP119/AN119))-(AV$8)*((AV$7-$N$5)-(INDEX(ship_curves,MATCH(AT119,'SHIP CURVES'!$A$9:$A$316,0),MATCH(CONCATENATE(AX$4,AX$5,AX$6,AX$7),'SHIP CURVES'!$A$9:$Z$9,0))-INDEX(ship_curves,MATCH(AT119,'SHIP CURVES'!$A$9:$A$316,0),MATCH(CONCATENATE(AX$4,AV$6,AX$6,AX$7),'SHIP CURVES'!$A$9:$Z$9,0)))-(INDEX(terminal_curves,MATCH(AT119,'TERMINAL CURVES'!$A$4:$A$313,0),MATCH(AX$5,'TERMINAL CURVES'!$A$4:$N$4,0))-INDEX(terminal_curves,MATCH(AT119,'TERMINAL CURVES'!$A$4:$A$313,0),MATCH(AV$6,'TERMINAL CURVES'!$A$4:$N$4,0)))*IF(AN119=0,0,AP119/AN119)))*-AN119</f>
        <v>-14785702.2021958</v>
      </c>
      <c r="AY119" s="356" t="n">
        <f aca="false">SUM(AV119:AX119)</f>
        <v>-16728621.4644347</v>
      </c>
      <c r="AZ119" s="357" t="n">
        <f aca="false">(-AP119/((HLOOKUP(AX$5,port_specs,2,0)/(365.25))*(AT120-AT119)))*(INDEX(fixed_capacity_charge,MATCH(AT119,PORTS!$H$11:$H$317,0),MATCH(AX$5,PORTS!$H$11:$N$11,0))+INDEX(variable_om_charge,MATCH(AT119,PORTS!$H$318:$H$625,0),MATCH(AX$5,PORTS!$H$318:$N$318,0)))</f>
        <v>-991337.378719406</v>
      </c>
      <c r="BA119" s="343" t="n">
        <f aca="false">+AZ119+AY119</f>
        <v>-17719958.8431541</v>
      </c>
      <c r="BB119" s="355" t="n">
        <f aca="false">+BA119+AU119</f>
        <v>104112.566646032</v>
      </c>
      <c r="BC119" s="99"/>
      <c r="BD119" s="357" t="n">
        <f aca="false">+PORTS!I113+PORTS!I421</f>
        <v>991337.378719406</v>
      </c>
    </row>
    <row r="120" customFormat="false" ht="12.75" hidden="false" customHeight="false" outlineLevel="0" collapsed="false">
      <c r="A120" s="346" t="n">
        <f aca="false">+DATE(YEAR(A119),MONTH(A119)+1,1)</f>
        <v>39814</v>
      </c>
      <c r="B120" s="327" t="n">
        <f aca="false">+IF(AND($A120&gt;=$C$8,$A120&lt;=$C$9),1,0)*PORTS!$I$5/(365.25)*(A121-A120)</f>
        <v>5339105.98184763</v>
      </c>
      <c r="C120" s="328" t="n">
        <f aca="false">+B120-(SUMIF($F$17:$IV$17,$H$17,$F120:$IV120))</f>
        <v>0</v>
      </c>
      <c r="D120" s="0" t="n">
        <f aca="false">+YEAR(E120)</f>
        <v>2009</v>
      </c>
      <c r="E120" s="346" t="n">
        <f aca="false">+DATE(YEAR(E119),MONTH(E119)+1,1)</f>
        <v>39814</v>
      </c>
      <c r="F120" s="327" t="n">
        <f aca="false">+IF(AND(G$8&lt;=E120,G$9&gt;=E120),INDEX(ROUTE_PER_DAY_BY_SHIP,MATCH(CONCATENATE(G$4,G$5,G$7),ROUTE_PER_DAY_ROUTES,0),MATCH(G$6,ROUTE_PER_DAY_SHIPS,0))*(E121-E120),0)</f>
        <v>0</v>
      </c>
      <c r="G120" s="347" t="n">
        <f aca="false">-F120*HLOOKUP(G$6,SHIPS,7,0)*INDEX(LADEN_VOYAGE_DAYS,MATCH(CONCATENATE(G$4,G$5,G$7),LADEN_VOYAGE_ROUTES,0),MATCH(G$6,LADEN_VOYAGE_SHIPS,0))</f>
        <v>-0</v>
      </c>
      <c r="H120" s="348" t="n">
        <f aca="false">SUM(F120:G120)</f>
        <v>0</v>
      </c>
      <c r="I120" s="349" t="n">
        <f aca="false">-(H120)*HLOOKUP(G$5,TERMINAL_CHARGES,3,0)</f>
        <v>-0</v>
      </c>
      <c r="J120" s="327" t="n">
        <f aca="false">+H120+I120</f>
        <v>0</v>
      </c>
      <c r="K120" s="333"/>
      <c r="L120" s="346" t="n">
        <f aca="false">+DATE(YEAR(L119),MONTH(L119)+1,1)</f>
        <v>39814</v>
      </c>
      <c r="M120" s="334" t="n">
        <f aca="false">+J120*(VLOOKUP(L120,CURVECALC!$C$6:$J$312,4,0)+N$5)</f>
        <v>0</v>
      </c>
      <c r="N120" s="350" t="n">
        <f aca="false">-F120*INDEX(ship_curves,MATCH(L120,'SHIP CURVES'!$A$9:$A$316,0),MATCH(CONCATENATE(P$4,P$5,P$6,P$7),'SHIP CURVES'!$A$9:$AZ$9,0))</f>
        <v>-0</v>
      </c>
      <c r="O120" s="351" t="n">
        <f aca="false">-H120*INDEX(port_processing_fee,MATCH(L120,PORTS!$H$626:$H$933,0),MATCH(P$5,PORTS!$H$626:$Z$626,0))</f>
        <v>-0</v>
      </c>
      <c r="P120" s="352" t="n">
        <f aca="false">(((VLOOKUP(L120,curvecalc,4,0))*IF(F120=0,0,J120/F120)-INDEX(ship_curves,MATCH(L120,'SHIP CURVES'!$A$9:$A$316,0),MATCH(CONCATENATE(P$4,P$5,P$6,P$7),'SHIP CURVES'!$A$9:$Z$9,0))-INDEX(terminal_curves,MATCH(L120,'TERMINAL CURVES'!$A$4:$A$313,0),MATCH(P$5,'TERMINAL CURVES'!$A$4:$N$4,0))*IF(F120=0,0,H120/F120))-(N$8)*((N$7-$N$5)-(INDEX(ship_curves,MATCH(L120,'SHIP CURVES'!$A$9:$A$316,0),MATCH(CONCATENATE(P$4,P$5,P$6,P$7),'SHIP CURVES'!$A$9:$Z$9,0))-INDEX(ship_curves,MATCH(L120,'SHIP CURVES'!$A$9:$A$316,0),MATCH(CONCATENATE(P$4,N$6,P$6,P$7),'SHIP CURVES'!$A$9:$Z$9,0)))-(INDEX(terminal_curves,MATCH(L120,'TERMINAL CURVES'!$A$4:$A$313,0),MATCH(P$5,'TERMINAL CURVES'!$A$4:$N$4,0))-INDEX(terminal_curves,MATCH(L120,'TERMINAL CURVES'!$A$4:$A$313,0),MATCH(N$6,'TERMINAL CURVES'!$A$4:$N$4,0)))*IF(F120=0,0,H120/F120)))*-F120</f>
        <v>0</v>
      </c>
      <c r="Q120" s="353" t="n">
        <f aca="false">SUM(N120:P120)</f>
        <v>0</v>
      </c>
      <c r="R120" s="357" t="n">
        <f aca="false">(-H120/((HLOOKUP(P$5,port_specs,2,0)/(365.25))*(L121-L120)))*(INDEX(fixed_capacity_charge,MATCH(L120,PORTS!$H$11:$H$317,0),MATCH(P$5,PORTS!$H$11:$N$11,0))+INDEX(variable_om_charge,MATCH(L120,PORTS!$H$318:$H$625,0),MATCH(P$5,PORTS!$H$318:$N$318,0)))</f>
        <v>-0</v>
      </c>
      <c r="S120" s="343" t="n">
        <f aca="false">+R120+Q120</f>
        <v>0</v>
      </c>
      <c r="T120" s="355" t="n">
        <f aca="false">+S120+M120</f>
        <v>0</v>
      </c>
      <c r="V120" s="346" t="n">
        <f aca="false">+DATE(YEAR(V119),MONTH(V119)+1,1)</f>
        <v>39814</v>
      </c>
      <c r="W120" s="327" t="n">
        <f aca="false">+Y120/(1-HLOOKUP(X$6,SHIPS,7,0)*INDEX(LADEN_VOYAGE_DAYS,MATCH(CONCATENATE(X$4,X$5),LADEN_VOYAGE_ROUTES,0),MATCH(X$6,LADEN_VOYAGE_SHIPS,0)))</f>
        <v>0</v>
      </c>
      <c r="X120" s="347" t="n">
        <f aca="false">+Y120-W120</f>
        <v>0</v>
      </c>
      <c r="Y120" s="348" t="n">
        <f aca="false">+IF(AND(X$8&lt;=V120,X$9&gt;=V120),+MIN($B120-SUMIF($H$17:X$17,Y$17,$H120:X120),((INDEX(ROUTE_PER_DAY_BY_SHIP,MATCH(CONCATENATE(X$4,X$5,X$7),ROUTE_PER_DAY_ROUTES,0),MATCH(X$6,ROUTE_PER_DAY_SHIPS,0))*(V121-V120))-(INDEX(ROUTE_PER_DAY_BY_SHIP,MATCH(CONCATENATE(X$4,X$5,X$7),ROUTE_PER_DAY_ROUTES,0),MATCH(X$6,ROUTE_PER_DAY_SHIPS,0))*(V121-V120))*HLOOKUP(X$6,SHIPS,7,0)*INDEX(LADEN_VOYAGE_DAYS,MATCH(CONCATENATE(X$4,X$5,X$7),LADEN_VOYAGE_ROUTES,0),MATCH(X$6,LADEN_VOYAGE_SHIPS,0)))),0)</f>
        <v>0</v>
      </c>
      <c r="Z120" s="349" t="n">
        <f aca="false">-(Y120)*HLOOKUP(X$5,TERMINAL_CHARGES,3,0)</f>
        <v>-0</v>
      </c>
      <c r="AA120" s="327" t="n">
        <f aca="false">+Y120+Z120</f>
        <v>0</v>
      </c>
      <c r="AB120" s="333"/>
      <c r="AC120" s="346" t="n">
        <f aca="false">+DATE(YEAR(AC119),MONTH(AC119)+1,1)</f>
        <v>39814</v>
      </c>
      <c r="AD120" s="343" t="n">
        <f aca="false">+AA120*(VLOOKUP(AC120,CURVECALC!$C$6:$J$312,4,0)+AE$5)</f>
        <v>0</v>
      </c>
      <c r="AE120" s="350" t="n">
        <f aca="false">-W120*INDEX(ship_curves,MATCH(AC120,'SHIP CURVES'!$A$9:$A$316,0),MATCH(CONCATENATE(AG$4,AG$5,AG$6,AG$7),'SHIP CURVES'!$A$9:$AZ$9,0))</f>
        <v>-0</v>
      </c>
      <c r="AF120" s="351" t="n">
        <f aca="false">-Y120*INDEX(port_processing_fee,MATCH(AC120,PORTS!$H$626:$H$933,0),MATCH(AG$5,PORTS!$H$626:$Z$626,0))</f>
        <v>-0</v>
      </c>
      <c r="AG120" s="352" t="n">
        <f aca="false">(((VLOOKUP(AC120,curvecalc,4,0))*IF(W120=0,0,AA120/W120)-INDEX(ship_curves,MATCH(AC120,'SHIP CURVES'!$A$9:$A$316,0),MATCH(CONCATENATE(AG$4,AG$5,AG$6,AG$7),'SHIP CURVES'!$A$9:$Z$9,0))-INDEX(terminal_curves,MATCH(AC120,'TERMINAL CURVES'!$A$4:$A$313,0),MATCH(AG$5,'TERMINAL CURVES'!$A$4:$N$4,0))*IF(W120=0,0,Y120/W120))-(AE$8)*((AE$7-$N$5)-(INDEX(ship_curves,MATCH(AC120,'SHIP CURVES'!$A$9:$A$316,0),MATCH(CONCATENATE(AG$4,AG$5,AG$6,AG$7),'SHIP CURVES'!$A$9:$Z$9,0))-INDEX(ship_curves,MATCH(AC120,'SHIP CURVES'!$A$9:$A$316,0),MATCH(CONCATENATE(AG$4,AE$6,AG$6,AG$7),'SHIP CURVES'!$A$9:$Z$9,0)))-(INDEX(terminal_curves,MATCH(AC120,'TERMINAL CURVES'!$A$4:$A$313,0),MATCH(AG$5,'TERMINAL CURVES'!$A$4:$N$4,0))-INDEX(terminal_curves,MATCH(AC120,'TERMINAL CURVES'!$A$4:$A$313,0),MATCH(AE$6,'TERMINAL CURVES'!$A$4:$N$4,0)))*IF(W120=0,0,Y120/W120)))*-W120</f>
        <v>0</v>
      </c>
      <c r="AH120" s="356" t="n">
        <f aca="false">SUM(AE120:AG120)</f>
        <v>0</v>
      </c>
      <c r="AI120" s="357" t="n">
        <f aca="false">(-Y120/((HLOOKUP(AG$5,port_specs,2,0)/(365.25))*(AC121-AC120)))*(INDEX(fixed_capacity_charge,MATCH(AC120,PORTS!$H$11:$H$317,0),MATCH(AG$5,PORTS!$H$11:$N$11,0))+INDEX(variable_om_charge,MATCH(AC120,PORTS!$H$318:$H$625,0),MATCH(AG$5,PORTS!$H$318:$N$318,0)))</f>
        <v>-0</v>
      </c>
      <c r="AJ120" s="343" t="n">
        <f aca="false">+AI120+AH120</f>
        <v>0</v>
      </c>
      <c r="AK120" s="355" t="n">
        <f aca="false">+AJ120+AD120</f>
        <v>0</v>
      </c>
      <c r="AM120" s="346" t="n">
        <f aca="false">+DATE(YEAR(AM119),MONTH(AM119)+1,1)</f>
        <v>39814</v>
      </c>
      <c r="AN120" s="327" t="n">
        <f aca="false">+AP120/(1-HLOOKUP(AO$6,SHIPS,7,0)*INDEX(LADEN_VOYAGE_DAYS,MATCH(CONCATENATE(AO$4,AO$5),LADEN_VOYAGE_ROUTES,0),MATCH(AO$6,LADEN_VOYAGE_SHIPS,0)))</f>
        <v>5395761.47735991</v>
      </c>
      <c r="AO120" s="347" t="n">
        <f aca="false">+AP120-AN120</f>
        <v>-56655.4955122788</v>
      </c>
      <c r="AP120" s="348" t="n">
        <f aca="false">+IF(AND(AO$8&lt;=AM120,AO$9&gt;=AM120),+MIN($B120-SUMIF($H$17:AO$17,AP$17,$H120:AO120),((INDEX(ROUTE_PER_DAY_BY_SHIP,MATCH(CONCATENATE(AO$4,AO$5,AO$7),ROUTE_PER_DAY_ROUTES,0),MATCH(AO$6,ROUTE_PER_DAY_SHIPS,0))*(AM121-AM120))-(INDEX(ROUTE_PER_DAY_BY_SHIP,MATCH(CONCATENATE(AO$4,AO$5,AO$7),ROUTE_PER_DAY_ROUTES,0),MATCH(AO$6,ROUTE_PER_DAY_SHIPS,0))*(AM121-AM120))*HLOOKUP(AO$6,SHIPS,7,0)*INDEX(LADEN_VOYAGE_DAYS,MATCH(CONCATENATE(AO$4,AO$5,AO$7),LADEN_VOYAGE_ROUTES,0),MATCH(AO$6,LADEN_VOYAGE_SHIPS,0)))),0)</f>
        <v>5339105.98184763</v>
      </c>
      <c r="AQ120" s="349" t="n">
        <f aca="false">-(AP120)*PORTS!$I$6</f>
        <v>-133477.649546191</v>
      </c>
      <c r="AR120" s="327" t="n">
        <f aca="false">+AP120+AQ120</f>
        <v>5205628.33230144</v>
      </c>
      <c r="AS120" s="333"/>
      <c r="AT120" s="346" t="n">
        <f aca="false">+DATE(YEAR(AT119),MONTH(AT119)+1,1)</f>
        <v>39814</v>
      </c>
      <c r="AU120" s="343" t="n">
        <f aca="false">+AR120*(VLOOKUP(AT120,CURVECALC!$C$6:$J$312,4,0)+AV$5)</f>
        <v>18620532.5446423</v>
      </c>
      <c r="AV120" s="350" t="n">
        <f aca="false">-AN120*INDEX(ship_curves,MATCH(AT120,'SHIP CURVES'!$A$9:$A$316,0),MATCH(CONCATENATE(AX$4,AX$5,AX$6,AX$7),'SHIP CURVES'!$A$9:$AZ$9,0))</f>
        <v>-1786332.07643209</v>
      </c>
      <c r="AW120" s="351" t="n">
        <f aca="false">-AP120*INDEX(port_processing_fee,MATCH(AT120,PORTS!$H$626:$H$933,0),MATCH(AX$5,PORTS!$H$626:$Z$626,0))</f>
        <v>-157275.593239602</v>
      </c>
      <c r="AX120" s="352" t="n">
        <f aca="false">(((VLOOKUP(AT120,curvecalc,4,0))*IF(AN120=0,0,AR120/AN120)-INDEX(ship_curves,MATCH(AT120,'SHIP CURVES'!$A$9:$A$316,0),MATCH(CONCATENATE(AX$4,AX$5,AX$6,AX$7),'SHIP CURVES'!$A$9:$Z$9,0))-INDEX(terminal_curves,MATCH(AT120,'TERMINAL CURVES'!$A$4:$A$313,0),MATCH(AX$5,'TERMINAL CURVES'!$A$4:$N$4,0))*IF(AN120=0,0,AP120/AN120))-(AV$8)*((AV$7-$N$5)-(INDEX(ship_curves,MATCH(AT120,'SHIP CURVES'!$A$9:$A$316,0),MATCH(CONCATENATE(AX$4,AX$5,AX$6,AX$7),'SHIP CURVES'!$A$9:$Z$9,0))-INDEX(ship_curves,MATCH(AT120,'SHIP CURVES'!$A$9:$A$316,0),MATCH(CONCATENATE(AX$4,AV$6,AX$6,AX$7),'SHIP CURVES'!$A$9:$Z$9,0)))-(INDEX(terminal_curves,MATCH(AT120,'TERMINAL CURVES'!$A$4:$A$313,0),MATCH(AX$5,'TERMINAL CURVES'!$A$4:$N$4,0))-INDEX(terminal_curves,MATCH(AT120,'TERMINAL CURVES'!$A$4:$A$313,0),MATCH(AV$6,'TERMINAL CURVES'!$A$4:$N$4,0)))*IF(AN120=0,0,AP120/AN120)))*-AN120</f>
        <v>-15580947.6891803</v>
      </c>
      <c r="AY120" s="356" t="n">
        <f aca="false">SUM(AV120:AX120)</f>
        <v>-17524555.358852</v>
      </c>
      <c r="AZ120" s="357" t="n">
        <f aca="false">(-AP120/((HLOOKUP(AX$5,port_specs,2,0)/(365.25))*(AT121-AT120)))*(INDEX(fixed_capacity_charge,MATCH(AT120,PORTS!$H$11:$H$317,0),MATCH(AX$5,PORTS!$H$11:$N$11,0))+INDEX(variable_om_charge,MATCH(AT120,PORTS!$H$318:$H$625,0),MATCH(AX$5,PORTS!$H$318:$N$318,0)))</f>
        <v>-991864.619144209</v>
      </c>
      <c r="BA120" s="343" t="n">
        <f aca="false">+AZ120+AY120</f>
        <v>-18516419.9779962</v>
      </c>
      <c r="BB120" s="355" t="n">
        <f aca="false">+BA120+AU120</f>
        <v>104112.566646028</v>
      </c>
      <c r="BC120" s="99"/>
      <c r="BD120" s="357" t="n">
        <f aca="false">+PORTS!I114+PORTS!I422</f>
        <v>991864.619144209</v>
      </c>
    </row>
    <row r="121" customFormat="false" ht="12.75" hidden="false" customHeight="false" outlineLevel="0" collapsed="false">
      <c r="A121" s="346" t="n">
        <f aca="false">+DATE(YEAR(A120),MONTH(A120)+1,1)</f>
        <v>39845</v>
      </c>
      <c r="B121" s="327" t="n">
        <f aca="false">+IF(AND($A121&gt;=$C$8,$A121&lt;=$C$9),1,0)*PORTS!$I$5/(365.25)*(A122-A121)</f>
        <v>4822418.30618496</v>
      </c>
      <c r="C121" s="328" t="n">
        <f aca="false">+B121-(SUMIF($F$17:$IV$17,$H$17,$F121:$IV121))</f>
        <v>0</v>
      </c>
      <c r="D121" s="0" t="n">
        <f aca="false">+YEAR(E121)</f>
        <v>2009</v>
      </c>
      <c r="E121" s="346" t="n">
        <f aca="false">+DATE(YEAR(E120),MONTH(E120)+1,1)</f>
        <v>39845</v>
      </c>
      <c r="F121" s="327" t="n">
        <f aca="false">+IF(AND(G$8&lt;=E121,G$9&gt;=E121),INDEX(ROUTE_PER_DAY_BY_SHIP,MATCH(CONCATENATE(G$4,G$5,G$7),ROUTE_PER_DAY_ROUTES,0),MATCH(G$6,ROUTE_PER_DAY_SHIPS,0))*(E122-E121),0)</f>
        <v>0</v>
      </c>
      <c r="G121" s="347" t="n">
        <f aca="false">-F121*HLOOKUP(G$6,SHIPS,7,0)*INDEX(LADEN_VOYAGE_DAYS,MATCH(CONCATENATE(G$4,G$5,G$7),LADEN_VOYAGE_ROUTES,0),MATCH(G$6,LADEN_VOYAGE_SHIPS,0))</f>
        <v>-0</v>
      </c>
      <c r="H121" s="348" t="n">
        <f aca="false">SUM(F121:G121)</f>
        <v>0</v>
      </c>
      <c r="I121" s="349" t="n">
        <f aca="false">-(H121)*HLOOKUP(G$5,TERMINAL_CHARGES,3,0)</f>
        <v>-0</v>
      </c>
      <c r="J121" s="327" t="n">
        <f aca="false">+H121+I121</f>
        <v>0</v>
      </c>
      <c r="K121" s="333"/>
      <c r="L121" s="346" t="n">
        <f aca="false">+DATE(YEAR(L120),MONTH(L120)+1,1)</f>
        <v>39845</v>
      </c>
      <c r="M121" s="334" t="n">
        <f aca="false">+J121*(VLOOKUP(L121,CURVECALC!$C$6:$J$312,4,0)+N$5)</f>
        <v>0</v>
      </c>
      <c r="N121" s="350" t="n">
        <f aca="false">-F121*INDEX(ship_curves,MATCH(L121,'SHIP CURVES'!$A$9:$A$316,0),MATCH(CONCATENATE(P$4,P$5,P$6,P$7),'SHIP CURVES'!$A$9:$AZ$9,0))</f>
        <v>-0</v>
      </c>
      <c r="O121" s="351" t="n">
        <f aca="false">-H121*INDEX(port_processing_fee,MATCH(L121,PORTS!$H$626:$H$933,0),MATCH(P$5,PORTS!$H$626:$Z$626,0))</f>
        <v>-0</v>
      </c>
      <c r="P121" s="352" t="n">
        <f aca="false">(((VLOOKUP(L121,curvecalc,4,0))*IF(F121=0,0,J121/F121)-INDEX(ship_curves,MATCH(L121,'SHIP CURVES'!$A$9:$A$316,0),MATCH(CONCATENATE(P$4,P$5,P$6,P$7),'SHIP CURVES'!$A$9:$Z$9,0))-INDEX(terminal_curves,MATCH(L121,'TERMINAL CURVES'!$A$4:$A$313,0),MATCH(P$5,'TERMINAL CURVES'!$A$4:$N$4,0))*IF(F121=0,0,H121/F121))-(N$8)*((N$7-$N$5)-(INDEX(ship_curves,MATCH(L121,'SHIP CURVES'!$A$9:$A$316,0),MATCH(CONCATENATE(P$4,P$5,P$6,P$7),'SHIP CURVES'!$A$9:$Z$9,0))-INDEX(ship_curves,MATCH(L121,'SHIP CURVES'!$A$9:$A$316,0),MATCH(CONCATENATE(P$4,N$6,P$6,P$7),'SHIP CURVES'!$A$9:$Z$9,0)))-(INDEX(terminal_curves,MATCH(L121,'TERMINAL CURVES'!$A$4:$A$313,0),MATCH(P$5,'TERMINAL CURVES'!$A$4:$N$4,0))-INDEX(terminal_curves,MATCH(L121,'TERMINAL CURVES'!$A$4:$A$313,0),MATCH(N$6,'TERMINAL CURVES'!$A$4:$N$4,0)))*IF(F121=0,0,H121/F121)))*-F121</f>
        <v>0</v>
      </c>
      <c r="Q121" s="353" t="n">
        <f aca="false">SUM(N121:P121)</f>
        <v>0</v>
      </c>
      <c r="R121" s="357" t="n">
        <f aca="false">(-H121/((HLOOKUP(P$5,port_specs,2,0)/(365.25))*(L122-L121)))*(INDEX(fixed_capacity_charge,MATCH(L121,PORTS!$H$11:$H$317,0),MATCH(P$5,PORTS!$H$11:$N$11,0))+INDEX(variable_om_charge,MATCH(L121,PORTS!$H$318:$H$625,0),MATCH(P$5,PORTS!$H$318:$N$318,0)))</f>
        <v>-0</v>
      </c>
      <c r="S121" s="343" t="n">
        <f aca="false">+R121+Q121</f>
        <v>0</v>
      </c>
      <c r="T121" s="355" t="n">
        <f aca="false">+S121+M121</f>
        <v>0</v>
      </c>
      <c r="V121" s="346" t="n">
        <f aca="false">+DATE(YEAR(V120),MONTH(V120)+1,1)</f>
        <v>39845</v>
      </c>
      <c r="W121" s="327" t="n">
        <f aca="false">+Y121/(1-HLOOKUP(X$6,SHIPS,7,0)*INDEX(LADEN_VOYAGE_DAYS,MATCH(CONCATENATE(X$4,X$5),LADEN_VOYAGE_ROUTES,0),MATCH(X$6,LADEN_VOYAGE_SHIPS,0)))</f>
        <v>0</v>
      </c>
      <c r="X121" s="347" t="n">
        <f aca="false">+Y121-W121</f>
        <v>0</v>
      </c>
      <c r="Y121" s="348" t="n">
        <f aca="false">+IF(AND(X$8&lt;=V121,X$9&gt;=V121),+MIN($B121-SUMIF($H$17:X$17,Y$17,$H121:X121),((INDEX(ROUTE_PER_DAY_BY_SHIP,MATCH(CONCATENATE(X$4,X$5,X$7),ROUTE_PER_DAY_ROUTES,0),MATCH(X$6,ROUTE_PER_DAY_SHIPS,0))*(V122-V121))-(INDEX(ROUTE_PER_DAY_BY_SHIP,MATCH(CONCATENATE(X$4,X$5,X$7),ROUTE_PER_DAY_ROUTES,0),MATCH(X$6,ROUTE_PER_DAY_SHIPS,0))*(V122-V121))*HLOOKUP(X$6,SHIPS,7,0)*INDEX(LADEN_VOYAGE_DAYS,MATCH(CONCATENATE(X$4,X$5,X$7),LADEN_VOYAGE_ROUTES,0),MATCH(X$6,LADEN_VOYAGE_SHIPS,0)))),0)</f>
        <v>0</v>
      </c>
      <c r="Z121" s="349" t="n">
        <f aca="false">-(Y121)*HLOOKUP(X$5,TERMINAL_CHARGES,3,0)</f>
        <v>-0</v>
      </c>
      <c r="AA121" s="327" t="n">
        <f aca="false">+Y121+Z121</f>
        <v>0</v>
      </c>
      <c r="AB121" s="333"/>
      <c r="AC121" s="346" t="n">
        <f aca="false">+DATE(YEAR(AC120),MONTH(AC120)+1,1)</f>
        <v>39845</v>
      </c>
      <c r="AD121" s="343" t="n">
        <f aca="false">+AA121*(VLOOKUP(AC121,CURVECALC!$C$6:$J$312,4,0)+AE$5)</f>
        <v>0</v>
      </c>
      <c r="AE121" s="350" t="n">
        <f aca="false">-W121*INDEX(ship_curves,MATCH(AC121,'SHIP CURVES'!$A$9:$A$316,0),MATCH(CONCATENATE(AG$4,AG$5,AG$6,AG$7),'SHIP CURVES'!$A$9:$AZ$9,0))</f>
        <v>-0</v>
      </c>
      <c r="AF121" s="351" t="n">
        <f aca="false">-Y121*INDEX(port_processing_fee,MATCH(AC121,PORTS!$H$626:$H$933,0),MATCH(AG$5,PORTS!$H$626:$Z$626,0))</f>
        <v>-0</v>
      </c>
      <c r="AG121" s="352" t="n">
        <f aca="false">(((VLOOKUP(AC121,curvecalc,4,0))*IF(W121=0,0,AA121/W121)-INDEX(ship_curves,MATCH(AC121,'SHIP CURVES'!$A$9:$A$316,0),MATCH(CONCATENATE(AG$4,AG$5,AG$6,AG$7),'SHIP CURVES'!$A$9:$Z$9,0))-INDEX(terminal_curves,MATCH(AC121,'TERMINAL CURVES'!$A$4:$A$313,0),MATCH(AG$5,'TERMINAL CURVES'!$A$4:$N$4,0))*IF(W121=0,0,Y121/W121))-(AE$8)*((AE$7-$N$5)-(INDEX(ship_curves,MATCH(AC121,'SHIP CURVES'!$A$9:$A$316,0),MATCH(CONCATENATE(AG$4,AG$5,AG$6,AG$7),'SHIP CURVES'!$A$9:$Z$9,0))-INDEX(ship_curves,MATCH(AC121,'SHIP CURVES'!$A$9:$A$316,0),MATCH(CONCATENATE(AG$4,AE$6,AG$6,AG$7),'SHIP CURVES'!$A$9:$Z$9,0)))-(INDEX(terminal_curves,MATCH(AC121,'TERMINAL CURVES'!$A$4:$A$313,0),MATCH(AG$5,'TERMINAL CURVES'!$A$4:$N$4,0))-INDEX(terminal_curves,MATCH(AC121,'TERMINAL CURVES'!$A$4:$A$313,0),MATCH(AE$6,'TERMINAL CURVES'!$A$4:$N$4,0)))*IF(W121=0,0,Y121/W121)))*-W121</f>
        <v>0</v>
      </c>
      <c r="AH121" s="356" t="n">
        <f aca="false">SUM(AE121:AG121)</f>
        <v>0</v>
      </c>
      <c r="AI121" s="357" t="n">
        <f aca="false">(-Y121/((HLOOKUP(AG$5,port_specs,2,0)/(365.25))*(AC122-AC121)))*(INDEX(fixed_capacity_charge,MATCH(AC121,PORTS!$H$11:$H$317,0),MATCH(AG$5,PORTS!$H$11:$N$11,0))+INDEX(variable_om_charge,MATCH(AC121,PORTS!$H$318:$H$625,0),MATCH(AG$5,PORTS!$H$318:$N$318,0)))</f>
        <v>-0</v>
      </c>
      <c r="AJ121" s="343" t="n">
        <f aca="false">+AI121+AH121</f>
        <v>0</v>
      </c>
      <c r="AK121" s="355" t="n">
        <f aca="false">+AJ121+AD121</f>
        <v>0</v>
      </c>
      <c r="AM121" s="346" t="n">
        <f aca="false">+DATE(YEAR(AM120),MONTH(AM120)+1,1)</f>
        <v>39845</v>
      </c>
      <c r="AN121" s="327" t="n">
        <f aca="false">+AP121/(1-HLOOKUP(AO$6,SHIPS,7,0)*INDEX(LADEN_VOYAGE_DAYS,MATCH(CONCATENATE(AO$4,AO$5),LADEN_VOYAGE_ROUTES,0),MATCH(AO$6,LADEN_VOYAGE_SHIPS,0)))</f>
        <v>4873591.01180895</v>
      </c>
      <c r="AO121" s="347" t="n">
        <f aca="false">+AP121-AN121</f>
        <v>-51172.7056239937</v>
      </c>
      <c r="AP121" s="348" t="n">
        <f aca="false">+IF(AND(AO$8&lt;=AM121,AO$9&gt;=AM121),+MIN($B121-SUMIF($H$17:AO$17,AP$17,$H121:AO121),((INDEX(ROUTE_PER_DAY_BY_SHIP,MATCH(CONCATENATE(AO$4,AO$5,AO$7),ROUTE_PER_DAY_ROUTES,0),MATCH(AO$6,ROUTE_PER_DAY_SHIPS,0))*(AM122-AM121))-(INDEX(ROUTE_PER_DAY_BY_SHIP,MATCH(CONCATENATE(AO$4,AO$5,AO$7),ROUTE_PER_DAY_ROUTES,0),MATCH(AO$6,ROUTE_PER_DAY_SHIPS,0))*(AM122-AM121))*HLOOKUP(AO$6,SHIPS,7,0)*INDEX(LADEN_VOYAGE_DAYS,MATCH(CONCATENATE(AO$4,AO$5,AO$7),LADEN_VOYAGE_ROUTES,0),MATCH(AO$6,LADEN_VOYAGE_SHIPS,0)))),0)</f>
        <v>4822418.30618496</v>
      </c>
      <c r="AQ121" s="349" t="n">
        <f aca="false">-(AP121)*PORTS!$I$6</f>
        <v>-120560.457654624</v>
      </c>
      <c r="AR121" s="327" t="n">
        <f aca="false">+AP121+AQ121</f>
        <v>4701857.84853034</v>
      </c>
      <c r="AS121" s="333"/>
      <c r="AT121" s="346" t="n">
        <f aca="false">+DATE(YEAR(AT120),MONTH(AT120)+1,1)</f>
        <v>39845</v>
      </c>
      <c r="AU121" s="343" t="n">
        <f aca="false">+AR121*(VLOOKUP(AT121,CURVECALC!$C$6:$J$312,4,0)+AV$5)</f>
        <v>16320148.5922488</v>
      </c>
      <c r="AV121" s="350" t="n">
        <f aca="false">-AN121*INDEX(ship_curves,MATCH(AT121,'SHIP CURVES'!$A$9:$A$316,0),MATCH(CONCATENATE(AX$4,AX$5,AX$6,AX$7),'SHIP CURVES'!$A$9:$AZ$9,0))</f>
        <v>-1613936.1847467</v>
      </c>
      <c r="AW121" s="351" t="n">
        <f aca="false">-AP121*INDEX(port_processing_fee,MATCH(AT121,PORTS!$H$626:$H$933,0),MATCH(AX$5,PORTS!$H$626:$Z$626,0))</f>
        <v>-142203.348887473</v>
      </c>
      <c r="AX121" s="352" t="n">
        <f aca="false">(((VLOOKUP(AT121,curvecalc,4,0))*IF(AN121=0,0,AR121/AN121)-INDEX(ship_curves,MATCH(AT121,'SHIP CURVES'!$A$9:$A$316,0),MATCH(CONCATENATE(AX$4,AX$5,AX$6,AX$7),'SHIP CURVES'!$A$9:$Z$9,0))-INDEX(terminal_curves,MATCH(AT121,'TERMINAL CURVES'!$A$4:$A$313,0),MATCH(AX$5,'TERMINAL CURVES'!$A$4:$N$4,0))*IF(AN121=0,0,AP121/AN121))-(AV$8)*((AV$7-$N$5)-(INDEX(ship_curves,MATCH(AT121,'SHIP CURVES'!$A$9:$A$316,0),MATCH(CONCATENATE(AX$4,AX$5,AX$6,AX$7),'SHIP CURVES'!$A$9:$Z$9,0))-INDEX(ship_curves,MATCH(AT121,'SHIP CURVES'!$A$9:$A$316,0),MATCH(CONCATENATE(AX$4,AV$6,AX$6,AX$7),'SHIP CURVES'!$A$9:$Z$9,0)))-(INDEX(terminal_curves,MATCH(AT121,'TERMINAL CURVES'!$A$4:$A$313,0),MATCH(AX$5,'TERMINAL CURVES'!$A$4:$N$4,0))-INDEX(terminal_curves,MATCH(AT121,'TERMINAL CURVES'!$A$4:$A$313,0),MATCH(AV$6,'TERMINAL CURVES'!$A$4:$N$4,0)))*IF(AN121=0,0,AP121/AN121)))*-AN121</f>
        <v>-13477579.4928662</v>
      </c>
      <c r="AY121" s="356" t="n">
        <f aca="false">SUM(AV121:AX121)</f>
        <v>-15233719.0265004</v>
      </c>
      <c r="AZ121" s="357" t="n">
        <f aca="false">(-AP121/((HLOOKUP(AX$5,port_specs,2,0)/(365.25))*(AT122-AT121)))*(INDEX(fixed_capacity_charge,MATCH(AT121,PORTS!$H$11:$H$317,0),MATCH(AX$5,PORTS!$H$11:$N$11,0))+INDEX(variable_om_charge,MATCH(AT121,PORTS!$H$318:$H$625,0),MATCH(AX$5,PORTS!$H$318:$N$318,0)))</f>
        <v>-992392.408777788</v>
      </c>
      <c r="BA121" s="343" t="n">
        <f aca="false">+AZ121+AY121</f>
        <v>-16226111.4352782</v>
      </c>
      <c r="BB121" s="355" t="n">
        <f aca="false">+BA121+AU121</f>
        <v>94037.1569706053</v>
      </c>
      <c r="BC121" s="99"/>
      <c r="BD121" s="357" t="n">
        <f aca="false">+PORTS!I115+PORTS!I423</f>
        <v>992392.408777788</v>
      </c>
    </row>
    <row r="122" customFormat="false" ht="12.75" hidden="false" customHeight="false" outlineLevel="0" collapsed="false">
      <c r="A122" s="346" t="n">
        <f aca="false">+DATE(YEAR(A121),MONTH(A121)+1,1)</f>
        <v>39873</v>
      </c>
      <c r="B122" s="327" t="n">
        <f aca="false">+IF(AND($A122&gt;=$C$8,$A122&lt;=$C$9),1,0)*PORTS!$I$5/(365.25)*(A123-A122)</f>
        <v>5339105.98184763</v>
      </c>
      <c r="C122" s="328" t="n">
        <f aca="false">+B122-(SUMIF($F$17:$IV$17,$H$17,$F122:$IV122))</f>
        <v>0</v>
      </c>
      <c r="D122" s="0" t="n">
        <f aca="false">+YEAR(E122)</f>
        <v>2009</v>
      </c>
      <c r="E122" s="346" t="n">
        <f aca="false">+DATE(YEAR(E121),MONTH(E121)+1,1)</f>
        <v>39873</v>
      </c>
      <c r="F122" s="327" t="n">
        <f aca="false">+IF(AND(G$8&lt;=E122,G$9&gt;=E122),INDEX(ROUTE_PER_DAY_BY_SHIP,MATCH(CONCATENATE(G$4,G$5,G$7),ROUTE_PER_DAY_ROUTES,0),MATCH(G$6,ROUTE_PER_DAY_SHIPS,0))*(E123-E122),0)</f>
        <v>0</v>
      </c>
      <c r="G122" s="347" t="n">
        <f aca="false">-F122*HLOOKUP(G$6,SHIPS,7,0)*INDEX(LADEN_VOYAGE_DAYS,MATCH(CONCATENATE(G$4,G$5,G$7),LADEN_VOYAGE_ROUTES,0),MATCH(G$6,LADEN_VOYAGE_SHIPS,0))</f>
        <v>-0</v>
      </c>
      <c r="H122" s="348" t="n">
        <f aca="false">SUM(F122:G122)</f>
        <v>0</v>
      </c>
      <c r="I122" s="349" t="n">
        <f aca="false">-(H122)*HLOOKUP(G$5,TERMINAL_CHARGES,3,0)</f>
        <v>-0</v>
      </c>
      <c r="J122" s="327" t="n">
        <f aca="false">+H122+I122</f>
        <v>0</v>
      </c>
      <c r="K122" s="333"/>
      <c r="L122" s="346" t="n">
        <f aca="false">+DATE(YEAR(L121),MONTH(L121)+1,1)</f>
        <v>39873</v>
      </c>
      <c r="M122" s="334" t="n">
        <f aca="false">+J122*(VLOOKUP(L122,CURVECALC!$C$6:$J$312,4,0)+N$5)</f>
        <v>0</v>
      </c>
      <c r="N122" s="350" t="n">
        <f aca="false">-F122*INDEX(ship_curves,MATCH(L122,'SHIP CURVES'!$A$9:$A$316,0),MATCH(CONCATENATE(P$4,P$5,P$6,P$7),'SHIP CURVES'!$A$9:$AZ$9,0))</f>
        <v>-0</v>
      </c>
      <c r="O122" s="351" t="n">
        <f aca="false">-H122*INDEX(port_processing_fee,MATCH(L122,PORTS!$H$626:$H$933,0),MATCH(P$5,PORTS!$H$626:$Z$626,0))</f>
        <v>-0</v>
      </c>
      <c r="P122" s="352" t="n">
        <f aca="false">(((VLOOKUP(L122,curvecalc,4,0))*IF(F122=0,0,J122/F122)-INDEX(ship_curves,MATCH(L122,'SHIP CURVES'!$A$9:$A$316,0),MATCH(CONCATENATE(P$4,P$5,P$6,P$7),'SHIP CURVES'!$A$9:$Z$9,0))-INDEX(terminal_curves,MATCH(L122,'TERMINAL CURVES'!$A$4:$A$313,0),MATCH(P$5,'TERMINAL CURVES'!$A$4:$N$4,0))*IF(F122=0,0,H122/F122))-(N$8)*((N$7-$N$5)-(INDEX(ship_curves,MATCH(L122,'SHIP CURVES'!$A$9:$A$316,0),MATCH(CONCATENATE(P$4,P$5,P$6,P$7),'SHIP CURVES'!$A$9:$Z$9,0))-INDEX(ship_curves,MATCH(L122,'SHIP CURVES'!$A$9:$A$316,0),MATCH(CONCATENATE(P$4,N$6,P$6,P$7),'SHIP CURVES'!$A$9:$Z$9,0)))-(INDEX(terminal_curves,MATCH(L122,'TERMINAL CURVES'!$A$4:$A$313,0),MATCH(P$5,'TERMINAL CURVES'!$A$4:$N$4,0))-INDEX(terminal_curves,MATCH(L122,'TERMINAL CURVES'!$A$4:$A$313,0),MATCH(N$6,'TERMINAL CURVES'!$A$4:$N$4,0)))*IF(F122=0,0,H122/F122)))*-F122</f>
        <v>0</v>
      </c>
      <c r="Q122" s="353" t="n">
        <f aca="false">SUM(N122:P122)</f>
        <v>0</v>
      </c>
      <c r="R122" s="357" t="n">
        <f aca="false">(-H122/((HLOOKUP(P$5,port_specs,2,0)/(365.25))*(L123-L122)))*(INDEX(fixed_capacity_charge,MATCH(L122,PORTS!$H$11:$H$317,0),MATCH(P$5,PORTS!$H$11:$N$11,0))+INDEX(variable_om_charge,MATCH(L122,PORTS!$H$318:$H$625,0),MATCH(P$5,PORTS!$H$318:$N$318,0)))</f>
        <v>-0</v>
      </c>
      <c r="S122" s="343" t="n">
        <f aca="false">+R122+Q122</f>
        <v>0</v>
      </c>
      <c r="T122" s="355" t="n">
        <f aca="false">+S122+M122</f>
        <v>0</v>
      </c>
      <c r="V122" s="346" t="n">
        <f aca="false">+DATE(YEAR(V121),MONTH(V121)+1,1)</f>
        <v>39873</v>
      </c>
      <c r="W122" s="327" t="n">
        <f aca="false">+Y122/(1-HLOOKUP(X$6,SHIPS,7,0)*INDEX(LADEN_VOYAGE_DAYS,MATCH(CONCATENATE(X$4,X$5),LADEN_VOYAGE_ROUTES,0),MATCH(X$6,LADEN_VOYAGE_SHIPS,0)))</f>
        <v>0</v>
      </c>
      <c r="X122" s="347" t="n">
        <f aca="false">+Y122-W122</f>
        <v>0</v>
      </c>
      <c r="Y122" s="348" t="n">
        <f aca="false">+IF(AND(X$8&lt;=V122,X$9&gt;=V122),+MIN($B122-SUMIF($H$17:X$17,Y$17,$H122:X122),((INDEX(ROUTE_PER_DAY_BY_SHIP,MATCH(CONCATENATE(X$4,X$5,X$7),ROUTE_PER_DAY_ROUTES,0),MATCH(X$6,ROUTE_PER_DAY_SHIPS,0))*(V123-V122))-(INDEX(ROUTE_PER_DAY_BY_SHIP,MATCH(CONCATENATE(X$4,X$5,X$7),ROUTE_PER_DAY_ROUTES,0),MATCH(X$6,ROUTE_PER_DAY_SHIPS,0))*(V123-V122))*HLOOKUP(X$6,SHIPS,7,0)*INDEX(LADEN_VOYAGE_DAYS,MATCH(CONCATENATE(X$4,X$5,X$7),LADEN_VOYAGE_ROUTES,0),MATCH(X$6,LADEN_VOYAGE_SHIPS,0)))),0)</f>
        <v>0</v>
      </c>
      <c r="Z122" s="349" t="n">
        <f aca="false">-(Y122)*HLOOKUP(X$5,TERMINAL_CHARGES,3,0)</f>
        <v>-0</v>
      </c>
      <c r="AA122" s="327" t="n">
        <f aca="false">+Y122+Z122</f>
        <v>0</v>
      </c>
      <c r="AB122" s="333"/>
      <c r="AC122" s="346" t="n">
        <f aca="false">+DATE(YEAR(AC121),MONTH(AC121)+1,1)</f>
        <v>39873</v>
      </c>
      <c r="AD122" s="343" t="n">
        <f aca="false">+AA122*(VLOOKUP(AC122,CURVECALC!$C$6:$J$312,4,0)+AE$5)</f>
        <v>0</v>
      </c>
      <c r="AE122" s="350" t="n">
        <f aca="false">-W122*INDEX(ship_curves,MATCH(AC122,'SHIP CURVES'!$A$9:$A$316,0),MATCH(CONCATENATE(AG$4,AG$5,AG$6,AG$7),'SHIP CURVES'!$A$9:$AZ$9,0))</f>
        <v>-0</v>
      </c>
      <c r="AF122" s="351" t="n">
        <f aca="false">-Y122*INDEX(port_processing_fee,MATCH(AC122,PORTS!$H$626:$H$933,0),MATCH(AG$5,PORTS!$H$626:$Z$626,0))</f>
        <v>-0</v>
      </c>
      <c r="AG122" s="352" t="n">
        <f aca="false">(((VLOOKUP(AC122,curvecalc,4,0))*IF(W122=0,0,AA122/W122)-INDEX(ship_curves,MATCH(AC122,'SHIP CURVES'!$A$9:$A$316,0),MATCH(CONCATENATE(AG$4,AG$5,AG$6,AG$7),'SHIP CURVES'!$A$9:$Z$9,0))-INDEX(terminal_curves,MATCH(AC122,'TERMINAL CURVES'!$A$4:$A$313,0),MATCH(AG$5,'TERMINAL CURVES'!$A$4:$N$4,0))*IF(W122=0,0,Y122/W122))-(AE$8)*((AE$7-$N$5)-(INDEX(ship_curves,MATCH(AC122,'SHIP CURVES'!$A$9:$A$316,0),MATCH(CONCATENATE(AG$4,AG$5,AG$6,AG$7),'SHIP CURVES'!$A$9:$Z$9,0))-INDEX(ship_curves,MATCH(AC122,'SHIP CURVES'!$A$9:$A$316,0),MATCH(CONCATENATE(AG$4,AE$6,AG$6,AG$7),'SHIP CURVES'!$A$9:$Z$9,0)))-(INDEX(terminal_curves,MATCH(AC122,'TERMINAL CURVES'!$A$4:$A$313,0),MATCH(AG$5,'TERMINAL CURVES'!$A$4:$N$4,0))-INDEX(terminal_curves,MATCH(AC122,'TERMINAL CURVES'!$A$4:$A$313,0),MATCH(AE$6,'TERMINAL CURVES'!$A$4:$N$4,0)))*IF(W122=0,0,Y122/W122)))*-W122</f>
        <v>0</v>
      </c>
      <c r="AH122" s="356" t="n">
        <f aca="false">SUM(AE122:AG122)</f>
        <v>0</v>
      </c>
      <c r="AI122" s="357" t="n">
        <f aca="false">(-Y122/((HLOOKUP(AG$5,port_specs,2,0)/(365.25))*(AC123-AC122)))*(INDEX(fixed_capacity_charge,MATCH(AC122,PORTS!$H$11:$H$317,0),MATCH(AG$5,PORTS!$H$11:$N$11,0))+INDEX(variable_om_charge,MATCH(AC122,PORTS!$H$318:$H$625,0),MATCH(AG$5,PORTS!$H$318:$N$318,0)))</f>
        <v>-0</v>
      </c>
      <c r="AJ122" s="343" t="n">
        <f aca="false">+AI122+AH122</f>
        <v>0</v>
      </c>
      <c r="AK122" s="355" t="n">
        <f aca="false">+AJ122+AD122</f>
        <v>0</v>
      </c>
      <c r="AM122" s="346" t="n">
        <f aca="false">+DATE(YEAR(AM121),MONTH(AM121)+1,1)</f>
        <v>39873</v>
      </c>
      <c r="AN122" s="327" t="n">
        <f aca="false">+AP122/(1-HLOOKUP(AO$6,SHIPS,7,0)*INDEX(LADEN_VOYAGE_DAYS,MATCH(CONCATENATE(AO$4,AO$5),LADEN_VOYAGE_ROUTES,0),MATCH(AO$6,LADEN_VOYAGE_SHIPS,0)))</f>
        <v>5395761.47735991</v>
      </c>
      <c r="AO122" s="347" t="n">
        <f aca="false">+AP122-AN122</f>
        <v>-56655.4955122788</v>
      </c>
      <c r="AP122" s="348" t="n">
        <f aca="false">+IF(AND(AO$8&lt;=AM122,AO$9&gt;=AM122),+MIN($B122-SUMIF($H$17:AO$17,AP$17,$H122:AO122),((INDEX(ROUTE_PER_DAY_BY_SHIP,MATCH(CONCATENATE(AO$4,AO$5,AO$7),ROUTE_PER_DAY_ROUTES,0),MATCH(AO$6,ROUTE_PER_DAY_SHIPS,0))*(AM123-AM122))-(INDEX(ROUTE_PER_DAY_BY_SHIP,MATCH(CONCATENATE(AO$4,AO$5,AO$7),ROUTE_PER_DAY_ROUTES,0),MATCH(AO$6,ROUTE_PER_DAY_SHIPS,0))*(AM123-AM122))*HLOOKUP(AO$6,SHIPS,7,0)*INDEX(LADEN_VOYAGE_DAYS,MATCH(CONCATENATE(AO$4,AO$5,AO$7),LADEN_VOYAGE_ROUTES,0),MATCH(AO$6,LADEN_VOYAGE_SHIPS,0)))),0)</f>
        <v>5339105.98184763</v>
      </c>
      <c r="AQ122" s="349" t="n">
        <f aca="false">-(AP122)*PORTS!$I$6</f>
        <v>-133477.649546191</v>
      </c>
      <c r="AR122" s="327" t="n">
        <f aca="false">+AP122+AQ122</f>
        <v>5205628.33230144</v>
      </c>
      <c r="AS122" s="333"/>
      <c r="AT122" s="346" t="n">
        <f aca="false">+DATE(YEAR(AT121),MONTH(AT121)+1,1)</f>
        <v>39873</v>
      </c>
      <c r="AU122" s="343" t="n">
        <f aca="false">+AR122*(VLOOKUP(AT122,CURVECALC!$C$6:$J$312,4,0)+AV$5)</f>
        <v>17433649.2848775</v>
      </c>
      <c r="AV122" s="350" t="n">
        <f aca="false">-AN122*INDEX(ship_curves,MATCH(AT122,'SHIP CURVES'!$A$9:$A$316,0),MATCH(CONCATENATE(AX$4,AX$5,AX$6,AX$7),'SHIP CURVES'!$A$9:$AZ$9,0))</f>
        <v>-1787384.85672631</v>
      </c>
      <c r="AW122" s="351" t="n">
        <f aca="false">-AP122*INDEX(port_processing_fee,MATCH(AT122,PORTS!$H$626:$H$933,0),MATCH(AX$5,PORTS!$H$626:$Z$626,0))</f>
        <v>-157603.421380458</v>
      </c>
      <c r="AX122" s="352" t="n">
        <f aca="false">(((VLOOKUP(AT122,curvecalc,4,0))*IF(AN122=0,0,AR122/AN122)-INDEX(ship_curves,MATCH(AT122,'SHIP CURVES'!$A$9:$A$316,0),MATCH(CONCATENATE(AX$4,AX$5,AX$6,AX$7),'SHIP CURVES'!$A$9:$Z$9,0))-INDEX(terminal_curves,MATCH(AT122,'TERMINAL CURVES'!$A$4:$A$313,0),MATCH(AX$5,'TERMINAL CURVES'!$A$4:$N$4,0))*IF(AN122=0,0,AP122/AN122))-(AV$8)*((AV$7-$N$5)-(INDEX(ship_curves,MATCH(AT122,'SHIP CURVES'!$A$9:$A$316,0),MATCH(CONCATENATE(AX$4,AX$5,AX$6,AX$7),'SHIP CURVES'!$A$9:$Z$9,0))-INDEX(ship_curves,MATCH(AT122,'SHIP CURVES'!$A$9:$A$316,0),MATCH(CONCATENATE(AX$4,AV$6,AX$6,AX$7),'SHIP CURVES'!$A$9:$Z$9,0)))-(INDEX(terminal_curves,MATCH(AT122,'TERMINAL CURVES'!$A$4:$A$313,0),MATCH(AX$5,'TERMINAL CURVES'!$A$4:$N$4,0))-INDEX(terminal_curves,MATCH(AT122,'TERMINAL CURVES'!$A$4:$A$313,0),MATCH(AV$6,'TERMINAL CURVES'!$A$4:$N$4,0)))*IF(AN122=0,0,AP122/AN122)))*-AN122</f>
        <v>-14391627.6919325</v>
      </c>
      <c r="AY122" s="356" t="n">
        <f aca="false">SUM(AV122:AX122)</f>
        <v>-16336615.9700393</v>
      </c>
      <c r="AZ122" s="357" t="n">
        <f aca="false">(-AP122/((HLOOKUP(AX$5,port_specs,2,0)/(365.25))*(AT123-AT122)))*(INDEX(fixed_capacity_charge,MATCH(AT122,PORTS!$H$11:$H$317,0),MATCH(AX$5,PORTS!$H$11:$N$11,0))+INDEX(variable_om_charge,MATCH(AT122,PORTS!$H$318:$H$625,0),MATCH(AX$5,PORTS!$H$318:$N$318,0)))</f>
        <v>-992920.748192236</v>
      </c>
      <c r="BA122" s="343" t="n">
        <f aca="false">+AZ122+AY122</f>
        <v>-17329536.7182315</v>
      </c>
      <c r="BB122" s="355" t="n">
        <f aca="false">+BA122+AU122</f>
        <v>104112.566646032</v>
      </c>
      <c r="BC122" s="99"/>
      <c r="BD122" s="357" t="n">
        <f aca="false">+PORTS!I116+PORTS!I424</f>
        <v>992920.748192236</v>
      </c>
    </row>
    <row r="123" customFormat="false" ht="12.75" hidden="false" customHeight="false" outlineLevel="0" collapsed="false">
      <c r="A123" s="346" t="n">
        <f aca="false">+DATE(YEAR(A122),MONTH(A122)+1,1)</f>
        <v>39904</v>
      </c>
      <c r="B123" s="327" t="n">
        <f aca="false">+IF(AND($A123&gt;=$C$8,$A123&lt;=$C$9),1,0)*PORTS!$I$5/(365.25)*(A124-A123)</f>
        <v>5166876.75662674</v>
      </c>
      <c r="C123" s="328" t="n">
        <f aca="false">+B123-(SUMIF($F$17:$IV$17,$H$17,$F123:$IV123))</f>
        <v>0</v>
      </c>
      <c r="D123" s="0" t="n">
        <f aca="false">+YEAR(E123)</f>
        <v>2009</v>
      </c>
      <c r="E123" s="346" t="n">
        <f aca="false">+DATE(YEAR(E122),MONTH(E122)+1,1)</f>
        <v>39904</v>
      </c>
      <c r="F123" s="327" t="n">
        <f aca="false">+IF(AND(G$8&lt;=E123,G$9&gt;=E123),INDEX(ROUTE_PER_DAY_BY_SHIP,MATCH(CONCATENATE(G$4,G$5,G$7),ROUTE_PER_DAY_ROUTES,0),MATCH(G$6,ROUTE_PER_DAY_SHIPS,0))*(E124-E123),0)</f>
        <v>0</v>
      </c>
      <c r="G123" s="347" t="n">
        <f aca="false">-F123*HLOOKUP(G$6,SHIPS,7,0)*INDEX(LADEN_VOYAGE_DAYS,MATCH(CONCATENATE(G$4,G$5,G$7),LADEN_VOYAGE_ROUTES,0),MATCH(G$6,LADEN_VOYAGE_SHIPS,0))</f>
        <v>-0</v>
      </c>
      <c r="H123" s="348" t="n">
        <f aca="false">SUM(F123:G123)</f>
        <v>0</v>
      </c>
      <c r="I123" s="349" t="n">
        <f aca="false">-(H123)*HLOOKUP(G$5,TERMINAL_CHARGES,3,0)</f>
        <v>-0</v>
      </c>
      <c r="J123" s="327" t="n">
        <f aca="false">+H123+I123</f>
        <v>0</v>
      </c>
      <c r="K123" s="333"/>
      <c r="L123" s="346" t="n">
        <f aca="false">+DATE(YEAR(L122),MONTH(L122)+1,1)</f>
        <v>39904</v>
      </c>
      <c r="M123" s="334" t="n">
        <f aca="false">+J123*(VLOOKUP(L123,CURVECALC!$C$6:$J$312,4,0)+N$5)</f>
        <v>0</v>
      </c>
      <c r="N123" s="350" t="n">
        <f aca="false">-F123*INDEX(ship_curves,MATCH(L123,'SHIP CURVES'!$A$9:$A$316,0),MATCH(CONCATENATE(P$4,P$5,P$6,P$7),'SHIP CURVES'!$A$9:$AZ$9,0))</f>
        <v>-0</v>
      </c>
      <c r="O123" s="351" t="n">
        <f aca="false">-H123*INDEX(port_processing_fee,MATCH(L123,PORTS!$H$626:$H$933,0),MATCH(P$5,PORTS!$H$626:$Z$626,0))</f>
        <v>-0</v>
      </c>
      <c r="P123" s="352" t="n">
        <f aca="false">(((VLOOKUP(L123,curvecalc,4,0))*IF(F123=0,0,J123/F123)-INDEX(ship_curves,MATCH(L123,'SHIP CURVES'!$A$9:$A$316,0),MATCH(CONCATENATE(P$4,P$5,P$6,P$7),'SHIP CURVES'!$A$9:$Z$9,0))-INDEX(terminal_curves,MATCH(L123,'TERMINAL CURVES'!$A$4:$A$313,0),MATCH(P$5,'TERMINAL CURVES'!$A$4:$N$4,0))*IF(F123=0,0,H123/F123))-(N$8)*((N$7-$N$5)-(INDEX(ship_curves,MATCH(L123,'SHIP CURVES'!$A$9:$A$316,0),MATCH(CONCATENATE(P$4,P$5,P$6,P$7),'SHIP CURVES'!$A$9:$Z$9,0))-INDEX(ship_curves,MATCH(L123,'SHIP CURVES'!$A$9:$A$316,0),MATCH(CONCATENATE(P$4,N$6,P$6,P$7),'SHIP CURVES'!$A$9:$Z$9,0)))-(INDEX(terminal_curves,MATCH(L123,'TERMINAL CURVES'!$A$4:$A$313,0),MATCH(P$5,'TERMINAL CURVES'!$A$4:$N$4,0))-INDEX(terminal_curves,MATCH(L123,'TERMINAL CURVES'!$A$4:$A$313,0),MATCH(N$6,'TERMINAL CURVES'!$A$4:$N$4,0)))*IF(F123=0,0,H123/F123)))*-F123</f>
        <v>0</v>
      </c>
      <c r="Q123" s="353" t="n">
        <f aca="false">SUM(N123:P123)</f>
        <v>0</v>
      </c>
      <c r="R123" s="357" t="n">
        <f aca="false">(-H123/((HLOOKUP(P$5,port_specs,2,0)/(365.25))*(L124-L123)))*(INDEX(fixed_capacity_charge,MATCH(L123,PORTS!$H$11:$H$317,0),MATCH(P$5,PORTS!$H$11:$N$11,0))+INDEX(variable_om_charge,MATCH(L123,PORTS!$H$318:$H$625,0),MATCH(P$5,PORTS!$H$318:$N$318,0)))</f>
        <v>-0</v>
      </c>
      <c r="S123" s="343" t="n">
        <f aca="false">+R123+Q123</f>
        <v>0</v>
      </c>
      <c r="T123" s="355" t="n">
        <f aca="false">+S123+M123</f>
        <v>0</v>
      </c>
      <c r="V123" s="346" t="n">
        <f aca="false">+DATE(YEAR(V122),MONTH(V122)+1,1)</f>
        <v>39904</v>
      </c>
      <c r="W123" s="327" t="n">
        <f aca="false">+Y123/(1-HLOOKUP(X$6,SHIPS,7,0)*INDEX(LADEN_VOYAGE_DAYS,MATCH(CONCATENATE(X$4,X$5),LADEN_VOYAGE_ROUTES,0),MATCH(X$6,LADEN_VOYAGE_SHIPS,0)))</f>
        <v>0</v>
      </c>
      <c r="X123" s="347" t="n">
        <f aca="false">+Y123-W123</f>
        <v>0</v>
      </c>
      <c r="Y123" s="348" t="n">
        <f aca="false">+IF(AND(X$8&lt;=V123,X$9&gt;=V123),+MIN($B123-SUMIF($H$17:X$17,Y$17,$H123:X123),((INDEX(ROUTE_PER_DAY_BY_SHIP,MATCH(CONCATENATE(X$4,X$5,X$7),ROUTE_PER_DAY_ROUTES,0),MATCH(X$6,ROUTE_PER_DAY_SHIPS,0))*(V124-V123))-(INDEX(ROUTE_PER_DAY_BY_SHIP,MATCH(CONCATENATE(X$4,X$5,X$7),ROUTE_PER_DAY_ROUTES,0),MATCH(X$6,ROUTE_PER_DAY_SHIPS,0))*(V124-V123))*HLOOKUP(X$6,SHIPS,7,0)*INDEX(LADEN_VOYAGE_DAYS,MATCH(CONCATENATE(X$4,X$5,X$7),LADEN_VOYAGE_ROUTES,0),MATCH(X$6,LADEN_VOYAGE_SHIPS,0)))),0)</f>
        <v>0</v>
      </c>
      <c r="Z123" s="349" t="n">
        <f aca="false">-(Y123)*HLOOKUP(X$5,TERMINAL_CHARGES,3,0)</f>
        <v>-0</v>
      </c>
      <c r="AA123" s="327" t="n">
        <f aca="false">+Y123+Z123</f>
        <v>0</v>
      </c>
      <c r="AB123" s="333"/>
      <c r="AC123" s="346" t="n">
        <f aca="false">+DATE(YEAR(AC122),MONTH(AC122)+1,1)</f>
        <v>39904</v>
      </c>
      <c r="AD123" s="343" t="n">
        <f aca="false">+AA123*(VLOOKUP(AC123,CURVECALC!$C$6:$J$312,4,0)+AE$5)</f>
        <v>0</v>
      </c>
      <c r="AE123" s="350" t="n">
        <f aca="false">-W123*INDEX(ship_curves,MATCH(AC123,'SHIP CURVES'!$A$9:$A$316,0),MATCH(CONCATENATE(AG$4,AG$5,AG$6,AG$7),'SHIP CURVES'!$A$9:$AZ$9,0))</f>
        <v>-0</v>
      </c>
      <c r="AF123" s="351" t="n">
        <f aca="false">-Y123*INDEX(port_processing_fee,MATCH(AC123,PORTS!$H$626:$H$933,0),MATCH(AG$5,PORTS!$H$626:$Z$626,0))</f>
        <v>-0</v>
      </c>
      <c r="AG123" s="352" t="n">
        <f aca="false">(((VLOOKUP(AC123,curvecalc,4,0))*IF(W123=0,0,AA123/W123)-INDEX(ship_curves,MATCH(AC123,'SHIP CURVES'!$A$9:$A$316,0),MATCH(CONCATENATE(AG$4,AG$5,AG$6,AG$7),'SHIP CURVES'!$A$9:$Z$9,0))-INDEX(terminal_curves,MATCH(AC123,'TERMINAL CURVES'!$A$4:$A$313,0),MATCH(AG$5,'TERMINAL CURVES'!$A$4:$N$4,0))*IF(W123=0,0,Y123/W123))-(AE$8)*((AE$7-$N$5)-(INDEX(ship_curves,MATCH(AC123,'SHIP CURVES'!$A$9:$A$316,0),MATCH(CONCATENATE(AG$4,AG$5,AG$6,AG$7),'SHIP CURVES'!$A$9:$Z$9,0))-INDEX(ship_curves,MATCH(AC123,'SHIP CURVES'!$A$9:$A$316,0),MATCH(CONCATENATE(AG$4,AE$6,AG$6,AG$7),'SHIP CURVES'!$A$9:$Z$9,0)))-(INDEX(terminal_curves,MATCH(AC123,'TERMINAL CURVES'!$A$4:$A$313,0),MATCH(AG$5,'TERMINAL CURVES'!$A$4:$N$4,0))-INDEX(terminal_curves,MATCH(AC123,'TERMINAL CURVES'!$A$4:$A$313,0),MATCH(AE$6,'TERMINAL CURVES'!$A$4:$N$4,0)))*IF(W123=0,0,Y123/W123)))*-W123</f>
        <v>0</v>
      </c>
      <c r="AH123" s="356" t="n">
        <f aca="false">SUM(AE123:AG123)</f>
        <v>0</v>
      </c>
      <c r="AI123" s="357" t="n">
        <f aca="false">(-Y123/((HLOOKUP(AG$5,port_specs,2,0)/(365.25))*(AC124-AC123)))*(INDEX(fixed_capacity_charge,MATCH(AC123,PORTS!$H$11:$H$317,0),MATCH(AG$5,PORTS!$H$11:$N$11,0))+INDEX(variable_om_charge,MATCH(AC123,PORTS!$H$318:$H$625,0),MATCH(AG$5,PORTS!$H$318:$N$318,0)))</f>
        <v>-0</v>
      </c>
      <c r="AJ123" s="343" t="n">
        <f aca="false">+AI123+AH123</f>
        <v>0</v>
      </c>
      <c r="AK123" s="355" t="n">
        <f aca="false">+AJ123+AD123</f>
        <v>0</v>
      </c>
      <c r="AM123" s="346" t="n">
        <f aca="false">+DATE(YEAR(AM122),MONTH(AM122)+1,1)</f>
        <v>39904</v>
      </c>
      <c r="AN123" s="327" t="n">
        <f aca="false">+AP123/(1-HLOOKUP(AO$6,SHIPS,7,0)*INDEX(LADEN_VOYAGE_DAYS,MATCH(CONCATENATE(AO$4,AO$5),LADEN_VOYAGE_ROUTES,0),MATCH(AO$6,LADEN_VOYAGE_SHIPS,0)))</f>
        <v>5221704.65550959</v>
      </c>
      <c r="AO123" s="347" t="n">
        <f aca="false">+AP123-AN123</f>
        <v>-54827.8988828501</v>
      </c>
      <c r="AP123" s="348" t="n">
        <f aca="false">+IF(AND(AO$8&lt;=AM123,AO$9&gt;=AM123),+MIN($B123-SUMIF($H$17:AO$17,AP$17,$H123:AO123),((INDEX(ROUTE_PER_DAY_BY_SHIP,MATCH(CONCATENATE(AO$4,AO$5,AO$7),ROUTE_PER_DAY_ROUTES,0),MATCH(AO$6,ROUTE_PER_DAY_SHIPS,0))*(AM124-AM123))-(INDEX(ROUTE_PER_DAY_BY_SHIP,MATCH(CONCATENATE(AO$4,AO$5,AO$7),ROUTE_PER_DAY_ROUTES,0),MATCH(AO$6,ROUTE_PER_DAY_SHIPS,0))*(AM124-AM123))*HLOOKUP(AO$6,SHIPS,7,0)*INDEX(LADEN_VOYAGE_DAYS,MATCH(CONCATENATE(AO$4,AO$5,AO$7),LADEN_VOYAGE_ROUTES,0),MATCH(AO$6,LADEN_VOYAGE_SHIPS,0)))),0)</f>
        <v>5166876.75662674</v>
      </c>
      <c r="AQ123" s="349" t="n">
        <f aca="false">-(AP123)*PORTS!$I$6</f>
        <v>-129171.918915669</v>
      </c>
      <c r="AR123" s="327" t="n">
        <f aca="false">+AP123+AQ123</f>
        <v>5037704.83771107</v>
      </c>
      <c r="AS123" s="333"/>
      <c r="AT123" s="346" t="n">
        <f aca="false">+DATE(YEAR(AT122),MONTH(AT122)+1,1)</f>
        <v>39904</v>
      </c>
      <c r="AU123" s="343" t="n">
        <f aca="false">+AR123*(VLOOKUP(AT123,CURVECALC!$C$6:$J$312,4,0)+AV$5)</f>
        <v>16256673.5112936</v>
      </c>
      <c r="AV123" s="350" t="n">
        <f aca="false">-AN123*INDEX(ship_curves,MATCH(AT123,'SHIP CURVES'!$A$9:$A$316,0),MATCH(CONCATENATE(AX$4,AX$5,AX$6,AX$7),'SHIP CURVES'!$A$9:$AZ$9,0))</f>
        <v>-1730238.28298052</v>
      </c>
      <c r="AW123" s="351" t="n">
        <f aca="false">-AP123*INDEX(port_processing_fee,MATCH(AT123,PORTS!$H$626:$H$933,0),MATCH(AX$5,PORTS!$H$626:$Z$626,0))</f>
        <v>-152678.314462319</v>
      </c>
      <c r="AX123" s="352" t="n">
        <f aca="false">(((VLOOKUP(AT123,curvecalc,4,0))*IF(AN123=0,0,AR123/AN123)-INDEX(ship_curves,MATCH(AT123,'SHIP CURVES'!$A$9:$A$316,0),MATCH(CONCATENATE(AX$4,AX$5,AX$6,AX$7),'SHIP CURVES'!$A$9:$Z$9,0))-INDEX(terminal_curves,MATCH(AT123,'TERMINAL CURVES'!$A$4:$A$313,0),MATCH(AX$5,'TERMINAL CURVES'!$A$4:$N$4,0))*IF(AN123=0,0,AP123/AN123))-(AV$8)*((AV$7-$N$5)-(INDEX(ship_curves,MATCH(AT123,'SHIP CURVES'!$A$9:$A$316,0),MATCH(CONCATENATE(AX$4,AX$5,AX$6,AX$7),'SHIP CURVES'!$A$9:$Z$9,0))-INDEX(ship_curves,MATCH(AT123,'SHIP CURVES'!$A$9:$A$316,0),MATCH(CONCATENATE(AX$4,AV$6,AX$6,AX$7),'SHIP CURVES'!$A$9:$Z$9,0)))-(INDEX(terminal_curves,MATCH(AT123,'TERMINAL CURVES'!$A$4:$A$313,0),MATCH(AX$5,'TERMINAL CURVES'!$A$4:$N$4,0))-INDEX(terminal_curves,MATCH(AT123,'TERMINAL CURVES'!$A$4:$A$313,0),MATCH(AV$6,'TERMINAL CURVES'!$A$4:$N$4,0)))*IF(AN123=0,0,AP123/AN123)))*-AN123</f>
        <v>-13279553.1791363</v>
      </c>
      <c r="AY123" s="356" t="n">
        <f aca="false">SUM(AV123:AX123)</f>
        <v>-15162469.7765792</v>
      </c>
      <c r="AZ123" s="357" t="n">
        <f aca="false">(-AP123/((HLOOKUP(AX$5,port_specs,2,0)/(365.25))*(AT124-AT123)))*(INDEX(fixed_capacity_charge,MATCH(AT123,PORTS!$H$11:$H$317,0),MATCH(AX$5,PORTS!$H$11:$N$11,0))+INDEX(variable_om_charge,MATCH(AT123,PORTS!$H$318:$H$625,0),MATCH(AX$5,PORTS!$H$318:$N$318,0)))</f>
        <v>-993449.63796024</v>
      </c>
      <c r="BA123" s="343" t="n">
        <f aca="false">+AZ123+AY123</f>
        <v>-16155919.4145394</v>
      </c>
      <c r="BB123" s="355" t="n">
        <f aca="false">+BA123+AU123</f>
        <v>100754.096754223</v>
      </c>
      <c r="BC123" s="99"/>
      <c r="BD123" s="357" t="n">
        <f aca="false">+PORTS!I117+PORTS!I425</f>
        <v>993449.63796024</v>
      </c>
    </row>
    <row r="124" customFormat="false" ht="12.75" hidden="false" customHeight="false" outlineLevel="0" collapsed="false">
      <c r="A124" s="346" t="n">
        <f aca="false">+DATE(YEAR(A123),MONTH(A123)+1,1)</f>
        <v>39934</v>
      </c>
      <c r="B124" s="327" t="n">
        <f aca="false">+IF(AND($A124&gt;=$C$8,$A124&lt;=$C$9),1,0)*PORTS!$I$5/(365.25)*(A125-A124)</f>
        <v>5339105.98184763</v>
      </c>
      <c r="C124" s="328" t="n">
        <f aca="false">+B124-(SUMIF($F$17:$IV$17,$H$17,$F124:$IV124))</f>
        <v>0</v>
      </c>
      <c r="D124" s="0" t="n">
        <f aca="false">+YEAR(E124)</f>
        <v>2009</v>
      </c>
      <c r="E124" s="346" t="n">
        <f aca="false">+DATE(YEAR(E123),MONTH(E123)+1,1)</f>
        <v>39934</v>
      </c>
      <c r="F124" s="327" t="n">
        <f aca="false">+IF(AND(G$8&lt;=E124,G$9&gt;=E124),INDEX(ROUTE_PER_DAY_BY_SHIP,MATCH(CONCATENATE(G$4,G$5,G$7),ROUTE_PER_DAY_ROUTES,0),MATCH(G$6,ROUTE_PER_DAY_SHIPS,0))*(E125-E124),0)</f>
        <v>0</v>
      </c>
      <c r="G124" s="347" t="n">
        <f aca="false">-F124*HLOOKUP(G$6,SHIPS,7,0)*INDEX(LADEN_VOYAGE_DAYS,MATCH(CONCATENATE(G$4,G$5,G$7),LADEN_VOYAGE_ROUTES,0),MATCH(G$6,LADEN_VOYAGE_SHIPS,0))</f>
        <v>-0</v>
      </c>
      <c r="H124" s="348" t="n">
        <f aca="false">SUM(F124:G124)</f>
        <v>0</v>
      </c>
      <c r="I124" s="349" t="n">
        <f aca="false">-(H124)*HLOOKUP(G$5,TERMINAL_CHARGES,3,0)</f>
        <v>-0</v>
      </c>
      <c r="J124" s="327" t="n">
        <f aca="false">+H124+I124</f>
        <v>0</v>
      </c>
      <c r="K124" s="333"/>
      <c r="L124" s="346" t="n">
        <f aca="false">+DATE(YEAR(L123),MONTH(L123)+1,1)</f>
        <v>39934</v>
      </c>
      <c r="M124" s="334" t="n">
        <f aca="false">+J124*(VLOOKUP(L124,CURVECALC!$C$6:$J$312,4,0)+N$5)</f>
        <v>0</v>
      </c>
      <c r="N124" s="350" t="n">
        <f aca="false">-F124*INDEX(ship_curves,MATCH(L124,'SHIP CURVES'!$A$9:$A$316,0),MATCH(CONCATENATE(P$4,P$5,P$6,P$7),'SHIP CURVES'!$A$9:$AZ$9,0))</f>
        <v>-0</v>
      </c>
      <c r="O124" s="351" t="n">
        <f aca="false">-H124*INDEX(port_processing_fee,MATCH(L124,PORTS!$H$626:$H$933,0),MATCH(P$5,PORTS!$H$626:$Z$626,0))</f>
        <v>-0</v>
      </c>
      <c r="P124" s="352" t="n">
        <f aca="false">(((VLOOKUP(L124,curvecalc,4,0))*IF(F124=0,0,J124/F124)-INDEX(ship_curves,MATCH(L124,'SHIP CURVES'!$A$9:$A$316,0),MATCH(CONCATENATE(P$4,P$5,P$6,P$7),'SHIP CURVES'!$A$9:$Z$9,0))-INDEX(terminal_curves,MATCH(L124,'TERMINAL CURVES'!$A$4:$A$313,0),MATCH(P$5,'TERMINAL CURVES'!$A$4:$N$4,0))*IF(F124=0,0,H124/F124))-(N$8)*((N$7-$N$5)-(INDEX(ship_curves,MATCH(L124,'SHIP CURVES'!$A$9:$A$316,0),MATCH(CONCATENATE(P$4,P$5,P$6,P$7),'SHIP CURVES'!$A$9:$Z$9,0))-INDEX(ship_curves,MATCH(L124,'SHIP CURVES'!$A$9:$A$316,0),MATCH(CONCATENATE(P$4,N$6,P$6,P$7),'SHIP CURVES'!$A$9:$Z$9,0)))-(INDEX(terminal_curves,MATCH(L124,'TERMINAL CURVES'!$A$4:$A$313,0),MATCH(P$5,'TERMINAL CURVES'!$A$4:$N$4,0))-INDEX(terminal_curves,MATCH(L124,'TERMINAL CURVES'!$A$4:$A$313,0),MATCH(N$6,'TERMINAL CURVES'!$A$4:$N$4,0)))*IF(F124=0,0,H124/F124)))*-F124</f>
        <v>0</v>
      </c>
      <c r="Q124" s="353" t="n">
        <f aca="false">SUM(N124:P124)</f>
        <v>0</v>
      </c>
      <c r="R124" s="357" t="n">
        <f aca="false">(-H124/((HLOOKUP(P$5,port_specs,2,0)/(365.25))*(L125-L124)))*(INDEX(fixed_capacity_charge,MATCH(L124,PORTS!$H$11:$H$317,0),MATCH(P$5,PORTS!$H$11:$N$11,0))+INDEX(variable_om_charge,MATCH(L124,PORTS!$H$318:$H$625,0),MATCH(P$5,PORTS!$H$318:$N$318,0)))</f>
        <v>-0</v>
      </c>
      <c r="S124" s="343" t="n">
        <f aca="false">+R124+Q124</f>
        <v>0</v>
      </c>
      <c r="T124" s="355" t="n">
        <f aca="false">+S124+M124</f>
        <v>0</v>
      </c>
      <c r="V124" s="346" t="n">
        <f aca="false">+DATE(YEAR(V123),MONTH(V123)+1,1)</f>
        <v>39934</v>
      </c>
      <c r="W124" s="327" t="n">
        <f aca="false">+Y124/(1-HLOOKUP(X$6,SHIPS,7,0)*INDEX(LADEN_VOYAGE_DAYS,MATCH(CONCATENATE(X$4,X$5),LADEN_VOYAGE_ROUTES,0),MATCH(X$6,LADEN_VOYAGE_SHIPS,0)))</f>
        <v>0</v>
      </c>
      <c r="X124" s="347" t="n">
        <f aca="false">+Y124-W124</f>
        <v>0</v>
      </c>
      <c r="Y124" s="348" t="n">
        <f aca="false">+IF(AND(X$8&lt;=V124,X$9&gt;=V124),+MIN($B124-SUMIF($H$17:X$17,Y$17,$H124:X124),((INDEX(ROUTE_PER_DAY_BY_SHIP,MATCH(CONCATENATE(X$4,X$5,X$7),ROUTE_PER_DAY_ROUTES,0),MATCH(X$6,ROUTE_PER_DAY_SHIPS,0))*(V125-V124))-(INDEX(ROUTE_PER_DAY_BY_SHIP,MATCH(CONCATENATE(X$4,X$5,X$7),ROUTE_PER_DAY_ROUTES,0),MATCH(X$6,ROUTE_PER_DAY_SHIPS,0))*(V125-V124))*HLOOKUP(X$6,SHIPS,7,0)*INDEX(LADEN_VOYAGE_DAYS,MATCH(CONCATENATE(X$4,X$5,X$7),LADEN_VOYAGE_ROUTES,0),MATCH(X$6,LADEN_VOYAGE_SHIPS,0)))),0)</f>
        <v>0</v>
      </c>
      <c r="Z124" s="349" t="n">
        <f aca="false">-(Y124)*HLOOKUP(X$5,TERMINAL_CHARGES,3,0)</f>
        <v>-0</v>
      </c>
      <c r="AA124" s="327" t="n">
        <f aca="false">+Y124+Z124</f>
        <v>0</v>
      </c>
      <c r="AB124" s="333"/>
      <c r="AC124" s="346" t="n">
        <f aca="false">+DATE(YEAR(AC123),MONTH(AC123)+1,1)</f>
        <v>39934</v>
      </c>
      <c r="AD124" s="343" t="n">
        <f aca="false">+AA124*(VLOOKUP(AC124,CURVECALC!$C$6:$J$312,4,0)+AE$5)</f>
        <v>0</v>
      </c>
      <c r="AE124" s="350" t="n">
        <f aca="false">-W124*INDEX(ship_curves,MATCH(AC124,'SHIP CURVES'!$A$9:$A$316,0),MATCH(CONCATENATE(AG$4,AG$5,AG$6,AG$7),'SHIP CURVES'!$A$9:$AZ$9,0))</f>
        <v>-0</v>
      </c>
      <c r="AF124" s="351" t="n">
        <f aca="false">-Y124*INDEX(port_processing_fee,MATCH(AC124,PORTS!$H$626:$H$933,0),MATCH(AG$5,PORTS!$H$626:$Z$626,0))</f>
        <v>-0</v>
      </c>
      <c r="AG124" s="352" t="n">
        <f aca="false">(((VLOOKUP(AC124,curvecalc,4,0))*IF(W124=0,0,AA124/W124)-INDEX(ship_curves,MATCH(AC124,'SHIP CURVES'!$A$9:$A$316,0),MATCH(CONCATENATE(AG$4,AG$5,AG$6,AG$7),'SHIP CURVES'!$A$9:$Z$9,0))-INDEX(terminal_curves,MATCH(AC124,'TERMINAL CURVES'!$A$4:$A$313,0),MATCH(AG$5,'TERMINAL CURVES'!$A$4:$N$4,0))*IF(W124=0,0,Y124/W124))-(AE$8)*((AE$7-$N$5)-(INDEX(ship_curves,MATCH(AC124,'SHIP CURVES'!$A$9:$A$316,0),MATCH(CONCATENATE(AG$4,AG$5,AG$6,AG$7),'SHIP CURVES'!$A$9:$Z$9,0))-INDEX(ship_curves,MATCH(AC124,'SHIP CURVES'!$A$9:$A$316,0),MATCH(CONCATENATE(AG$4,AE$6,AG$6,AG$7),'SHIP CURVES'!$A$9:$Z$9,0)))-(INDEX(terminal_curves,MATCH(AC124,'TERMINAL CURVES'!$A$4:$A$313,0),MATCH(AG$5,'TERMINAL CURVES'!$A$4:$N$4,0))-INDEX(terminal_curves,MATCH(AC124,'TERMINAL CURVES'!$A$4:$A$313,0),MATCH(AE$6,'TERMINAL CURVES'!$A$4:$N$4,0)))*IF(W124=0,0,Y124/W124)))*-W124</f>
        <v>0</v>
      </c>
      <c r="AH124" s="356" t="n">
        <f aca="false">SUM(AE124:AG124)</f>
        <v>0</v>
      </c>
      <c r="AI124" s="357" t="n">
        <f aca="false">(-Y124/((HLOOKUP(AG$5,port_specs,2,0)/(365.25))*(AC125-AC124)))*(INDEX(fixed_capacity_charge,MATCH(AC124,PORTS!$H$11:$H$317,0),MATCH(AG$5,PORTS!$H$11:$N$11,0))+INDEX(variable_om_charge,MATCH(AC124,PORTS!$H$318:$H$625,0),MATCH(AG$5,PORTS!$H$318:$N$318,0)))</f>
        <v>-0</v>
      </c>
      <c r="AJ124" s="343" t="n">
        <f aca="false">+AI124+AH124</f>
        <v>0</v>
      </c>
      <c r="AK124" s="355" t="n">
        <f aca="false">+AJ124+AD124</f>
        <v>0</v>
      </c>
      <c r="AM124" s="346" t="n">
        <f aca="false">+DATE(YEAR(AM123),MONTH(AM123)+1,1)</f>
        <v>39934</v>
      </c>
      <c r="AN124" s="327" t="n">
        <f aca="false">+AP124/(1-HLOOKUP(AO$6,SHIPS,7,0)*INDEX(LADEN_VOYAGE_DAYS,MATCH(CONCATENATE(AO$4,AO$5),LADEN_VOYAGE_ROUTES,0),MATCH(AO$6,LADEN_VOYAGE_SHIPS,0)))</f>
        <v>5395761.47735991</v>
      </c>
      <c r="AO124" s="347" t="n">
        <f aca="false">+AP124-AN124</f>
        <v>-56655.4955122788</v>
      </c>
      <c r="AP124" s="348" t="n">
        <f aca="false">+IF(AND(AO$8&lt;=AM124,AO$9&gt;=AM124),+MIN($B124-SUMIF($H$17:AO$17,AP$17,$H124:AO124),((INDEX(ROUTE_PER_DAY_BY_SHIP,MATCH(CONCATENATE(AO$4,AO$5,AO$7),ROUTE_PER_DAY_ROUTES,0),MATCH(AO$6,ROUTE_PER_DAY_SHIPS,0))*(AM125-AM124))-(INDEX(ROUTE_PER_DAY_BY_SHIP,MATCH(CONCATENATE(AO$4,AO$5,AO$7),ROUTE_PER_DAY_ROUTES,0),MATCH(AO$6,ROUTE_PER_DAY_SHIPS,0))*(AM125-AM124))*HLOOKUP(AO$6,SHIPS,7,0)*INDEX(LADEN_VOYAGE_DAYS,MATCH(CONCATENATE(AO$4,AO$5,AO$7),LADEN_VOYAGE_ROUTES,0),MATCH(AO$6,LADEN_VOYAGE_SHIPS,0)))),0)</f>
        <v>5339105.98184763</v>
      </c>
      <c r="AQ124" s="349" t="n">
        <f aca="false">-(AP124)*PORTS!$I$6</f>
        <v>-133477.649546191</v>
      </c>
      <c r="AR124" s="327" t="n">
        <f aca="false">+AP124+AQ124</f>
        <v>5205628.33230144</v>
      </c>
      <c r="AS124" s="333"/>
      <c r="AT124" s="346" t="n">
        <f aca="false">+DATE(YEAR(AT123),MONTH(AT123)+1,1)</f>
        <v>39934</v>
      </c>
      <c r="AU124" s="343" t="n">
        <f aca="false">+AR124*(VLOOKUP(AT124,CURVECALC!$C$6:$J$312,4,0)+AV$5)</f>
        <v>16751711.973346</v>
      </c>
      <c r="AV124" s="350" t="n">
        <f aca="false">-AN124*INDEX(ship_curves,MATCH(AT124,'SHIP CURVES'!$A$9:$A$316,0),MATCH(CONCATENATE(AX$4,AX$5,AX$6,AX$7),'SHIP CURVES'!$A$9:$AZ$9,0))</f>
        <v>-1788442.02817445</v>
      </c>
      <c r="AW124" s="351" t="n">
        <f aca="false">-AP124*INDEX(port_processing_fee,MATCH(AT124,PORTS!$H$626:$H$933,0),MATCH(AX$5,PORTS!$H$626:$Z$626,0))</f>
        <v>-157931.932852325</v>
      </c>
      <c r="AX124" s="352" t="n">
        <f aca="false">(((VLOOKUP(AT124,curvecalc,4,0))*IF(AN124=0,0,AR124/AN124)-INDEX(ship_curves,MATCH(AT124,'SHIP CURVES'!$A$9:$A$316,0),MATCH(CONCATENATE(AX$4,AX$5,AX$6,AX$7),'SHIP CURVES'!$A$9:$Z$9,0))-INDEX(terminal_curves,MATCH(AT124,'TERMINAL CURVES'!$A$4:$A$313,0),MATCH(AX$5,'TERMINAL CURVES'!$A$4:$N$4,0))*IF(AN124=0,0,AP124/AN124))-(AV$8)*((AV$7-$N$5)-(INDEX(ship_curves,MATCH(AT124,'SHIP CURVES'!$A$9:$A$316,0),MATCH(CONCATENATE(AX$4,AX$5,AX$6,AX$7),'SHIP CURVES'!$A$9:$Z$9,0))-INDEX(ship_curves,MATCH(AT124,'SHIP CURVES'!$A$9:$A$316,0),MATCH(CONCATENATE(AX$4,AV$6,AX$6,AX$7),'SHIP CURVES'!$A$9:$Z$9,0)))-(INDEX(terminal_curves,MATCH(AT124,'TERMINAL CURVES'!$A$4:$A$313,0),MATCH(AX$5,'TERMINAL CURVES'!$A$4:$N$4,0))-INDEX(terminal_curves,MATCH(AT124,'TERMINAL CURVES'!$A$4:$A$313,0),MATCH(AV$6,'TERMINAL CURVES'!$A$4:$N$4,0)))*IF(AN124=0,0,AP124/AN124)))*-AN124</f>
        <v>-13707246.3670182</v>
      </c>
      <c r="AY124" s="356" t="n">
        <f aca="false">SUM(AV124:AX124)</f>
        <v>-15653620.3280449</v>
      </c>
      <c r="AZ124" s="357" t="n">
        <f aca="false">(-AP124/((HLOOKUP(AX$5,port_specs,2,0)/(365.25))*(AT125-AT124)))*(INDEX(fixed_capacity_charge,MATCH(AT124,PORTS!$H$11:$H$317,0),MATCH(AX$5,PORTS!$H$11:$N$11,0))+INDEX(variable_om_charge,MATCH(AT124,PORTS!$H$318:$H$625,0),MATCH(AX$5,PORTS!$H$318:$N$318,0)))</f>
        <v>-993979.078655085</v>
      </c>
      <c r="BA124" s="343" t="n">
        <f aca="false">+AZ124+AY124</f>
        <v>-16647599.4067</v>
      </c>
      <c r="BB124" s="355" t="n">
        <f aca="false">+BA124+AU124</f>
        <v>104112.566646028</v>
      </c>
      <c r="BC124" s="99"/>
      <c r="BD124" s="357" t="n">
        <f aca="false">+PORTS!I118+PORTS!I426</f>
        <v>993979.078655085</v>
      </c>
    </row>
    <row r="125" customFormat="false" ht="12.75" hidden="false" customHeight="false" outlineLevel="0" collapsed="false">
      <c r="A125" s="346" t="n">
        <f aca="false">+DATE(YEAR(A124),MONTH(A124)+1,1)</f>
        <v>39965</v>
      </c>
      <c r="B125" s="327" t="n">
        <f aca="false">+IF(AND($A125&gt;=$C$8,$A125&lt;=$C$9),1,0)*PORTS!$I$5/(365.25)*(A126-A125)</f>
        <v>5166876.75662674</v>
      </c>
      <c r="C125" s="328" t="n">
        <f aca="false">+B125-(SUMIF($F$17:$IV$17,$H$17,$F125:$IV125))</f>
        <v>0</v>
      </c>
      <c r="D125" s="0" t="n">
        <f aca="false">+YEAR(E125)</f>
        <v>2009</v>
      </c>
      <c r="E125" s="346" t="n">
        <f aca="false">+DATE(YEAR(E124),MONTH(E124)+1,1)</f>
        <v>39965</v>
      </c>
      <c r="F125" s="327" t="n">
        <f aca="false">+IF(AND(G$8&lt;=E125,G$9&gt;=E125),INDEX(ROUTE_PER_DAY_BY_SHIP,MATCH(CONCATENATE(G$4,G$5,G$7),ROUTE_PER_DAY_ROUTES,0),MATCH(G$6,ROUTE_PER_DAY_SHIPS,0))*(E126-E125),0)</f>
        <v>0</v>
      </c>
      <c r="G125" s="347" t="n">
        <f aca="false">-F125*HLOOKUP(G$6,SHIPS,7,0)*INDEX(LADEN_VOYAGE_DAYS,MATCH(CONCATENATE(G$4,G$5,G$7),LADEN_VOYAGE_ROUTES,0),MATCH(G$6,LADEN_VOYAGE_SHIPS,0))</f>
        <v>-0</v>
      </c>
      <c r="H125" s="348" t="n">
        <f aca="false">SUM(F125:G125)</f>
        <v>0</v>
      </c>
      <c r="I125" s="349" t="n">
        <f aca="false">-(H125)*HLOOKUP(G$5,TERMINAL_CHARGES,3,0)</f>
        <v>-0</v>
      </c>
      <c r="J125" s="327" t="n">
        <f aca="false">+H125+I125</f>
        <v>0</v>
      </c>
      <c r="K125" s="333"/>
      <c r="L125" s="346" t="n">
        <f aca="false">+DATE(YEAR(L124),MONTH(L124)+1,1)</f>
        <v>39965</v>
      </c>
      <c r="M125" s="334" t="n">
        <f aca="false">+J125*(VLOOKUP(L125,CURVECALC!$C$6:$J$312,4,0)+N$5)</f>
        <v>0</v>
      </c>
      <c r="N125" s="350" t="n">
        <f aca="false">-F125*INDEX(ship_curves,MATCH(L125,'SHIP CURVES'!$A$9:$A$316,0),MATCH(CONCATENATE(P$4,P$5,P$6,P$7),'SHIP CURVES'!$A$9:$AZ$9,0))</f>
        <v>-0</v>
      </c>
      <c r="O125" s="351" t="n">
        <f aca="false">-H125*INDEX(port_processing_fee,MATCH(L125,PORTS!$H$626:$H$933,0),MATCH(P$5,PORTS!$H$626:$Z$626,0))</f>
        <v>-0</v>
      </c>
      <c r="P125" s="352" t="n">
        <f aca="false">(((VLOOKUP(L125,curvecalc,4,0))*IF(F125=0,0,J125/F125)-INDEX(ship_curves,MATCH(L125,'SHIP CURVES'!$A$9:$A$316,0),MATCH(CONCATENATE(P$4,P$5,P$6,P$7),'SHIP CURVES'!$A$9:$Z$9,0))-INDEX(terminal_curves,MATCH(L125,'TERMINAL CURVES'!$A$4:$A$313,0),MATCH(P$5,'TERMINAL CURVES'!$A$4:$N$4,0))*IF(F125=0,0,H125/F125))-(N$8)*((N$7-$N$5)-(INDEX(ship_curves,MATCH(L125,'SHIP CURVES'!$A$9:$A$316,0),MATCH(CONCATENATE(P$4,P$5,P$6,P$7),'SHIP CURVES'!$A$9:$Z$9,0))-INDEX(ship_curves,MATCH(L125,'SHIP CURVES'!$A$9:$A$316,0),MATCH(CONCATENATE(P$4,N$6,P$6,P$7),'SHIP CURVES'!$A$9:$Z$9,0)))-(INDEX(terminal_curves,MATCH(L125,'TERMINAL CURVES'!$A$4:$A$313,0),MATCH(P$5,'TERMINAL CURVES'!$A$4:$N$4,0))-INDEX(terminal_curves,MATCH(L125,'TERMINAL CURVES'!$A$4:$A$313,0),MATCH(N$6,'TERMINAL CURVES'!$A$4:$N$4,0)))*IF(F125=0,0,H125/F125)))*-F125</f>
        <v>0</v>
      </c>
      <c r="Q125" s="353" t="n">
        <f aca="false">SUM(N125:P125)</f>
        <v>0</v>
      </c>
      <c r="R125" s="357" t="n">
        <f aca="false">(-H125/((HLOOKUP(P$5,port_specs,2,0)/(365.25))*(L126-L125)))*(INDEX(fixed_capacity_charge,MATCH(L125,PORTS!$H$11:$H$317,0),MATCH(P$5,PORTS!$H$11:$N$11,0))+INDEX(variable_om_charge,MATCH(L125,PORTS!$H$318:$H$625,0),MATCH(P$5,PORTS!$H$318:$N$318,0)))</f>
        <v>-0</v>
      </c>
      <c r="S125" s="343" t="n">
        <f aca="false">+R125+Q125</f>
        <v>0</v>
      </c>
      <c r="T125" s="355" t="n">
        <f aca="false">+S125+M125</f>
        <v>0</v>
      </c>
      <c r="V125" s="346" t="n">
        <f aca="false">+DATE(YEAR(V124),MONTH(V124)+1,1)</f>
        <v>39965</v>
      </c>
      <c r="W125" s="327" t="n">
        <f aca="false">+Y125/(1-HLOOKUP(X$6,SHIPS,7,0)*INDEX(LADEN_VOYAGE_DAYS,MATCH(CONCATENATE(X$4,X$5),LADEN_VOYAGE_ROUTES,0),MATCH(X$6,LADEN_VOYAGE_SHIPS,0)))</f>
        <v>0</v>
      </c>
      <c r="X125" s="347" t="n">
        <f aca="false">+Y125-W125</f>
        <v>0</v>
      </c>
      <c r="Y125" s="348" t="n">
        <f aca="false">+IF(AND(X$8&lt;=V125,X$9&gt;=V125),+MIN($B125-SUMIF($H$17:X$17,Y$17,$H125:X125),((INDEX(ROUTE_PER_DAY_BY_SHIP,MATCH(CONCATENATE(X$4,X$5,X$7),ROUTE_PER_DAY_ROUTES,0),MATCH(X$6,ROUTE_PER_DAY_SHIPS,0))*(V126-V125))-(INDEX(ROUTE_PER_DAY_BY_SHIP,MATCH(CONCATENATE(X$4,X$5,X$7),ROUTE_PER_DAY_ROUTES,0),MATCH(X$6,ROUTE_PER_DAY_SHIPS,0))*(V126-V125))*HLOOKUP(X$6,SHIPS,7,0)*INDEX(LADEN_VOYAGE_DAYS,MATCH(CONCATENATE(X$4,X$5,X$7),LADEN_VOYAGE_ROUTES,0),MATCH(X$6,LADEN_VOYAGE_SHIPS,0)))),0)</f>
        <v>0</v>
      </c>
      <c r="Z125" s="349" t="n">
        <f aca="false">-(Y125)*HLOOKUP(X$5,TERMINAL_CHARGES,3,0)</f>
        <v>-0</v>
      </c>
      <c r="AA125" s="327" t="n">
        <f aca="false">+Y125+Z125</f>
        <v>0</v>
      </c>
      <c r="AB125" s="333"/>
      <c r="AC125" s="346" t="n">
        <f aca="false">+DATE(YEAR(AC124),MONTH(AC124)+1,1)</f>
        <v>39965</v>
      </c>
      <c r="AD125" s="343" t="n">
        <f aca="false">+AA125*(VLOOKUP(AC125,CURVECALC!$C$6:$J$312,4,0)+AE$5)</f>
        <v>0</v>
      </c>
      <c r="AE125" s="350" t="n">
        <f aca="false">-W125*INDEX(ship_curves,MATCH(AC125,'SHIP CURVES'!$A$9:$A$316,0),MATCH(CONCATENATE(AG$4,AG$5,AG$6,AG$7),'SHIP CURVES'!$A$9:$AZ$9,0))</f>
        <v>-0</v>
      </c>
      <c r="AF125" s="351" t="n">
        <f aca="false">-Y125*INDEX(port_processing_fee,MATCH(AC125,PORTS!$H$626:$H$933,0),MATCH(AG$5,PORTS!$H$626:$Z$626,0))</f>
        <v>-0</v>
      </c>
      <c r="AG125" s="352" t="n">
        <f aca="false">(((VLOOKUP(AC125,curvecalc,4,0))*IF(W125=0,0,AA125/W125)-INDEX(ship_curves,MATCH(AC125,'SHIP CURVES'!$A$9:$A$316,0),MATCH(CONCATENATE(AG$4,AG$5,AG$6,AG$7),'SHIP CURVES'!$A$9:$Z$9,0))-INDEX(terminal_curves,MATCH(AC125,'TERMINAL CURVES'!$A$4:$A$313,0),MATCH(AG$5,'TERMINAL CURVES'!$A$4:$N$4,0))*IF(W125=0,0,Y125/W125))-(AE$8)*((AE$7-$N$5)-(INDEX(ship_curves,MATCH(AC125,'SHIP CURVES'!$A$9:$A$316,0),MATCH(CONCATENATE(AG$4,AG$5,AG$6,AG$7),'SHIP CURVES'!$A$9:$Z$9,0))-INDEX(ship_curves,MATCH(AC125,'SHIP CURVES'!$A$9:$A$316,0),MATCH(CONCATENATE(AG$4,AE$6,AG$6,AG$7),'SHIP CURVES'!$A$9:$Z$9,0)))-(INDEX(terminal_curves,MATCH(AC125,'TERMINAL CURVES'!$A$4:$A$313,0),MATCH(AG$5,'TERMINAL CURVES'!$A$4:$N$4,0))-INDEX(terminal_curves,MATCH(AC125,'TERMINAL CURVES'!$A$4:$A$313,0),MATCH(AE$6,'TERMINAL CURVES'!$A$4:$N$4,0)))*IF(W125=0,0,Y125/W125)))*-W125</f>
        <v>0</v>
      </c>
      <c r="AH125" s="356" t="n">
        <f aca="false">SUM(AE125:AG125)</f>
        <v>0</v>
      </c>
      <c r="AI125" s="357" t="n">
        <f aca="false">(-Y125/((HLOOKUP(AG$5,port_specs,2,0)/(365.25))*(AC126-AC125)))*(INDEX(fixed_capacity_charge,MATCH(AC125,PORTS!$H$11:$H$317,0),MATCH(AG$5,PORTS!$H$11:$N$11,0))+INDEX(variable_om_charge,MATCH(AC125,PORTS!$H$318:$H$625,0),MATCH(AG$5,PORTS!$H$318:$N$318,0)))</f>
        <v>-0</v>
      </c>
      <c r="AJ125" s="343" t="n">
        <f aca="false">+AI125+AH125</f>
        <v>0</v>
      </c>
      <c r="AK125" s="355" t="n">
        <f aca="false">+AJ125+AD125</f>
        <v>0</v>
      </c>
      <c r="AM125" s="346" t="n">
        <f aca="false">+DATE(YEAR(AM124),MONTH(AM124)+1,1)</f>
        <v>39965</v>
      </c>
      <c r="AN125" s="327" t="n">
        <f aca="false">+AP125/(1-HLOOKUP(AO$6,SHIPS,7,0)*INDEX(LADEN_VOYAGE_DAYS,MATCH(CONCATENATE(AO$4,AO$5),LADEN_VOYAGE_ROUTES,0),MATCH(AO$6,LADEN_VOYAGE_SHIPS,0)))</f>
        <v>5221704.65550959</v>
      </c>
      <c r="AO125" s="347" t="n">
        <f aca="false">+AP125-AN125</f>
        <v>-54827.8988828501</v>
      </c>
      <c r="AP125" s="348" t="n">
        <f aca="false">+IF(AND(AO$8&lt;=AM125,AO$9&gt;=AM125),+MIN($B125-SUMIF($H$17:AO$17,AP$17,$H125:AO125),((INDEX(ROUTE_PER_DAY_BY_SHIP,MATCH(CONCATENATE(AO$4,AO$5,AO$7),ROUTE_PER_DAY_ROUTES,0),MATCH(AO$6,ROUTE_PER_DAY_SHIPS,0))*(AM126-AM125))-(INDEX(ROUTE_PER_DAY_BY_SHIP,MATCH(CONCATENATE(AO$4,AO$5,AO$7),ROUTE_PER_DAY_ROUTES,0),MATCH(AO$6,ROUTE_PER_DAY_SHIPS,0))*(AM126-AM125))*HLOOKUP(AO$6,SHIPS,7,0)*INDEX(LADEN_VOYAGE_DAYS,MATCH(CONCATENATE(AO$4,AO$5,AO$7),LADEN_VOYAGE_ROUTES,0),MATCH(AO$6,LADEN_VOYAGE_SHIPS,0)))),0)</f>
        <v>5166876.75662674</v>
      </c>
      <c r="AQ125" s="349" t="n">
        <f aca="false">-(AP125)*PORTS!$I$6</f>
        <v>-129171.918915669</v>
      </c>
      <c r="AR125" s="327" t="n">
        <f aca="false">+AP125+AQ125</f>
        <v>5037704.83771107</v>
      </c>
      <c r="AS125" s="333"/>
      <c r="AT125" s="346" t="n">
        <f aca="false">+DATE(YEAR(AT124),MONTH(AT124)+1,1)</f>
        <v>39965</v>
      </c>
      <c r="AU125" s="343" t="n">
        <f aca="false">+AR125*(VLOOKUP(AT125,CURVECALC!$C$6:$J$312,4,0)+AV$5)</f>
        <v>16392691.5419118</v>
      </c>
      <c r="AV125" s="350" t="n">
        <f aca="false">-AN125*INDEX(ship_curves,MATCH(AT125,'SHIP CURVES'!$A$9:$A$316,0),MATCH(CONCATENATE(AX$4,AX$5,AX$6,AX$7),'SHIP CURVES'!$A$9:$AZ$9,0))</f>
        <v>-1731263.48351793</v>
      </c>
      <c r="AW125" s="351" t="n">
        <f aca="false">-AP125*INDEX(port_processing_fee,MATCH(AT125,PORTS!$H$626:$H$933,0),MATCH(AX$5,PORTS!$H$626:$Z$626,0))</f>
        <v>-152996.559950689</v>
      </c>
      <c r="AX125" s="352" t="n">
        <f aca="false">(((VLOOKUP(AT125,curvecalc,4,0))*IF(AN125=0,0,AR125/AN125)-INDEX(ship_curves,MATCH(AT125,'SHIP CURVES'!$A$9:$A$316,0),MATCH(CONCATENATE(AX$4,AX$5,AX$6,AX$7),'SHIP CURVES'!$A$9:$Z$9,0))-INDEX(terminal_curves,MATCH(AT125,'TERMINAL CURVES'!$A$4:$A$313,0),MATCH(AX$5,'TERMINAL CURVES'!$A$4:$N$4,0))*IF(AN125=0,0,AP125/AN125))-(AV$8)*((AV$7-$N$5)-(INDEX(ship_curves,MATCH(AT125,'SHIP CURVES'!$A$9:$A$316,0),MATCH(CONCATENATE(AX$4,AX$5,AX$6,AX$7),'SHIP CURVES'!$A$9:$Z$9,0))-INDEX(ship_curves,MATCH(AT125,'SHIP CURVES'!$A$9:$A$316,0),MATCH(CONCATENATE(AX$4,AV$6,AX$6,AX$7),'SHIP CURVES'!$A$9:$Z$9,0)))-(INDEX(terminal_curves,MATCH(AT125,'TERMINAL CURVES'!$A$4:$A$313,0),MATCH(AX$5,'TERMINAL CURVES'!$A$4:$N$4,0))-INDEX(terminal_curves,MATCH(AT125,'TERMINAL CURVES'!$A$4:$A$313,0),MATCH(AV$6,'TERMINAL CURVES'!$A$4:$N$4,0)))*IF(AN125=0,0,AP125/AN125)))*-AN125</f>
        <v>-13413168.3308383</v>
      </c>
      <c r="AY125" s="356" t="n">
        <f aca="false">SUM(AV125:AX125)</f>
        <v>-15297428.374307</v>
      </c>
      <c r="AZ125" s="357" t="n">
        <f aca="false">(-AP125/((HLOOKUP(AX$5,port_specs,2,0)/(365.25))*(AT126-AT125)))*(INDEX(fixed_capacity_charge,MATCH(AT125,PORTS!$H$11:$H$317,0),MATCH(AX$5,PORTS!$H$11:$N$11,0))+INDEX(variable_om_charge,MATCH(AT125,PORTS!$H$318:$H$625,0),MATCH(AX$5,PORTS!$H$318:$N$318,0)))</f>
        <v>-994509.070850655</v>
      </c>
      <c r="BA125" s="343" t="n">
        <f aca="false">+AZ125+AY125</f>
        <v>-16291937.4451576</v>
      </c>
      <c r="BB125" s="355" t="n">
        <f aca="false">+BA125+AU125</f>
        <v>100754.096754223</v>
      </c>
      <c r="BC125" s="99"/>
      <c r="BD125" s="357" t="n">
        <f aca="false">+PORTS!I119+PORTS!I427</f>
        <v>994509.070850655</v>
      </c>
    </row>
    <row r="126" customFormat="false" ht="12.75" hidden="false" customHeight="false" outlineLevel="0" collapsed="false">
      <c r="A126" s="346" t="n">
        <f aca="false">+DATE(YEAR(A125),MONTH(A125)+1,1)</f>
        <v>39995</v>
      </c>
      <c r="B126" s="327" t="n">
        <f aca="false">+IF(AND($A126&gt;=$C$8,$A126&lt;=$C$9),1,0)*PORTS!$I$5/(365.25)*(A127-A126)</f>
        <v>5339105.98184763</v>
      </c>
      <c r="C126" s="328" t="n">
        <f aca="false">+B126-(SUMIF($F$17:$IV$17,$H$17,$F126:$IV126))</f>
        <v>0</v>
      </c>
      <c r="D126" s="0" t="n">
        <f aca="false">+YEAR(E126)</f>
        <v>2009</v>
      </c>
      <c r="E126" s="346" t="n">
        <f aca="false">+DATE(YEAR(E125),MONTH(E125)+1,1)</f>
        <v>39995</v>
      </c>
      <c r="F126" s="327" t="n">
        <f aca="false">+IF(AND(G$8&lt;=E126,G$9&gt;=E126),INDEX(ROUTE_PER_DAY_BY_SHIP,MATCH(CONCATENATE(G$4,G$5,G$7),ROUTE_PER_DAY_ROUTES,0),MATCH(G$6,ROUTE_PER_DAY_SHIPS,0))*(E127-E126),0)</f>
        <v>0</v>
      </c>
      <c r="G126" s="347" t="n">
        <f aca="false">-F126*HLOOKUP(G$6,SHIPS,7,0)*INDEX(LADEN_VOYAGE_DAYS,MATCH(CONCATENATE(G$4,G$5,G$7),LADEN_VOYAGE_ROUTES,0),MATCH(G$6,LADEN_VOYAGE_SHIPS,0))</f>
        <v>-0</v>
      </c>
      <c r="H126" s="348" t="n">
        <f aca="false">SUM(F126:G126)</f>
        <v>0</v>
      </c>
      <c r="I126" s="349" t="n">
        <f aca="false">-(H126)*HLOOKUP(G$5,TERMINAL_CHARGES,3,0)</f>
        <v>-0</v>
      </c>
      <c r="J126" s="327" t="n">
        <f aca="false">+H126+I126</f>
        <v>0</v>
      </c>
      <c r="K126" s="333"/>
      <c r="L126" s="346" t="n">
        <f aca="false">+DATE(YEAR(L125),MONTH(L125)+1,1)</f>
        <v>39995</v>
      </c>
      <c r="M126" s="334" t="n">
        <f aca="false">+J126*(VLOOKUP(L126,CURVECALC!$C$6:$J$312,4,0)+N$5)</f>
        <v>0</v>
      </c>
      <c r="N126" s="350" t="n">
        <f aca="false">-F126*INDEX(ship_curves,MATCH(L126,'SHIP CURVES'!$A$9:$A$316,0),MATCH(CONCATENATE(P$4,P$5,P$6,P$7),'SHIP CURVES'!$A$9:$AZ$9,0))</f>
        <v>-0</v>
      </c>
      <c r="O126" s="351" t="n">
        <f aca="false">-H126*INDEX(port_processing_fee,MATCH(L126,PORTS!$H$626:$H$933,0),MATCH(P$5,PORTS!$H$626:$Z$626,0))</f>
        <v>-0</v>
      </c>
      <c r="P126" s="352" t="n">
        <f aca="false">(((VLOOKUP(L126,curvecalc,4,0))*IF(F126=0,0,J126/F126)-INDEX(ship_curves,MATCH(L126,'SHIP CURVES'!$A$9:$A$316,0),MATCH(CONCATENATE(P$4,P$5,P$6,P$7),'SHIP CURVES'!$A$9:$Z$9,0))-INDEX(terminal_curves,MATCH(L126,'TERMINAL CURVES'!$A$4:$A$313,0),MATCH(P$5,'TERMINAL CURVES'!$A$4:$N$4,0))*IF(F126=0,0,H126/F126))-(N$8)*((N$7-$N$5)-(INDEX(ship_curves,MATCH(L126,'SHIP CURVES'!$A$9:$A$316,0),MATCH(CONCATENATE(P$4,P$5,P$6,P$7),'SHIP CURVES'!$A$9:$Z$9,0))-INDEX(ship_curves,MATCH(L126,'SHIP CURVES'!$A$9:$A$316,0),MATCH(CONCATENATE(P$4,N$6,P$6,P$7),'SHIP CURVES'!$A$9:$Z$9,0)))-(INDEX(terminal_curves,MATCH(L126,'TERMINAL CURVES'!$A$4:$A$313,0),MATCH(P$5,'TERMINAL CURVES'!$A$4:$N$4,0))-INDEX(terminal_curves,MATCH(L126,'TERMINAL CURVES'!$A$4:$A$313,0),MATCH(N$6,'TERMINAL CURVES'!$A$4:$N$4,0)))*IF(F126=0,0,H126/F126)))*-F126</f>
        <v>0</v>
      </c>
      <c r="Q126" s="353" t="n">
        <f aca="false">SUM(N126:P126)</f>
        <v>0</v>
      </c>
      <c r="R126" s="357" t="n">
        <f aca="false">(-H126/((HLOOKUP(P$5,port_specs,2,0)/(365.25))*(L127-L126)))*(INDEX(fixed_capacity_charge,MATCH(L126,PORTS!$H$11:$H$317,0),MATCH(P$5,PORTS!$H$11:$N$11,0))+INDEX(variable_om_charge,MATCH(L126,PORTS!$H$318:$H$625,0),MATCH(P$5,PORTS!$H$318:$N$318,0)))</f>
        <v>-0</v>
      </c>
      <c r="S126" s="343" t="n">
        <f aca="false">+R126+Q126</f>
        <v>0</v>
      </c>
      <c r="T126" s="355" t="n">
        <f aca="false">+S126+M126</f>
        <v>0</v>
      </c>
      <c r="V126" s="346" t="n">
        <f aca="false">+DATE(YEAR(V125),MONTH(V125)+1,1)</f>
        <v>39995</v>
      </c>
      <c r="W126" s="327" t="n">
        <f aca="false">+Y126/(1-HLOOKUP(X$6,SHIPS,7,0)*INDEX(LADEN_VOYAGE_DAYS,MATCH(CONCATENATE(X$4,X$5),LADEN_VOYAGE_ROUTES,0),MATCH(X$6,LADEN_VOYAGE_SHIPS,0)))</f>
        <v>0</v>
      </c>
      <c r="X126" s="347" t="n">
        <f aca="false">+Y126-W126</f>
        <v>0</v>
      </c>
      <c r="Y126" s="348" t="n">
        <f aca="false">+IF(AND(X$8&lt;=V126,X$9&gt;=V126),+MIN($B126-SUMIF($H$17:X$17,Y$17,$H126:X126),((INDEX(ROUTE_PER_DAY_BY_SHIP,MATCH(CONCATENATE(X$4,X$5,X$7),ROUTE_PER_DAY_ROUTES,0),MATCH(X$6,ROUTE_PER_DAY_SHIPS,0))*(V127-V126))-(INDEX(ROUTE_PER_DAY_BY_SHIP,MATCH(CONCATENATE(X$4,X$5,X$7),ROUTE_PER_DAY_ROUTES,0),MATCH(X$6,ROUTE_PER_DAY_SHIPS,0))*(V127-V126))*HLOOKUP(X$6,SHIPS,7,0)*INDEX(LADEN_VOYAGE_DAYS,MATCH(CONCATENATE(X$4,X$5,X$7),LADEN_VOYAGE_ROUTES,0),MATCH(X$6,LADEN_VOYAGE_SHIPS,0)))),0)</f>
        <v>0</v>
      </c>
      <c r="Z126" s="349" t="n">
        <f aca="false">-(Y126)*HLOOKUP(X$5,TERMINAL_CHARGES,3,0)</f>
        <v>-0</v>
      </c>
      <c r="AA126" s="327" t="n">
        <f aca="false">+Y126+Z126</f>
        <v>0</v>
      </c>
      <c r="AB126" s="333"/>
      <c r="AC126" s="346" t="n">
        <f aca="false">+DATE(YEAR(AC125),MONTH(AC125)+1,1)</f>
        <v>39995</v>
      </c>
      <c r="AD126" s="343" t="n">
        <f aca="false">+AA126*(VLOOKUP(AC126,CURVECALC!$C$6:$J$312,4,0)+AE$5)</f>
        <v>0</v>
      </c>
      <c r="AE126" s="350" t="n">
        <f aca="false">-W126*INDEX(ship_curves,MATCH(AC126,'SHIP CURVES'!$A$9:$A$316,0),MATCH(CONCATENATE(AG$4,AG$5,AG$6,AG$7),'SHIP CURVES'!$A$9:$AZ$9,0))</f>
        <v>-0</v>
      </c>
      <c r="AF126" s="351" t="n">
        <f aca="false">-Y126*INDEX(port_processing_fee,MATCH(AC126,PORTS!$H$626:$H$933,0),MATCH(AG$5,PORTS!$H$626:$Z$626,0))</f>
        <v>-0</v>
      </c>
      <c r="AG126" s="352" t="n">
        <f aca="false">(((VLOOKUP(AC126,curvecalc,4,0))*IF(W126=0,0,AA126/W126)-INDEX(ship_curves,MATCH(AC126,'SHIP CURVES'!$A$9:$A$316,0),MATCH(CONCATENATE(AG$4,AG$5,AG$6,AG$7),'SHIP CURVES'!$A$9:$Z$9,0))-INDEX(terminal_curves,MATCH(AC126,'TERMINAL CURVES'!$A$4:$A$313,0),MATCH(AG$5,'TERMINAL CURVES'!$A$4:$N$4,0))*IF(W126=0,0,Y126/W126))-(AE$8)*((AE$7-$N$5)-(INDEX(ship_curves,MATCH(AC126,'SHIP CURVES'!$A$9:$A$316,0),MATCH(CONCATENATE(AG$4,AG$5,AG$6,AG$7),'SHIP CURVES'!$A$9:$Z$9,0))-INDEX(ship_curves,MATCH(AC126,'SHIP CURVES'!$A$9:$A$316,0),MATCH(CONCATENATE(AG$4,AE$6,AG$6,AG$7),'SHIP CURVES'!$A$9:$Z$9,0)))-(INDEX(terminal_curves,MATCH(AC126,'TERMINAL CURVES'!$A$4:$A$313,0),MATCH(AG$5,'TERMINAL CURVES'!$A$4:$N$4,0))-INDEX(terminal_curves,MATCH(AC126,'TERMINAL CURVES'!$A$4:$A$313,0),MATCH(AE$6,'TERMINAL CURVES'!$A$4:$N$4,0)))*IF(W126=0,0,Y126/W126)))*-W126</f>
        <v>0</v>
      </c>
      <c r="AH126" s="356" t="n">
        <f aca="false">SUM(AE126:AG126)</f>
        <v>0</v>
      </c>
      <c r="AI126" s="357" t="n">
        <f aca="false">(-Y126/((HLOOKUP(AG$5,port_specs,2,0)/(365.25))*(AC127-AC126)))*(INDEX(fixed_capacity_charge,MATCH(AC126,PORTS!$H$11:$H$317,0),MATCH(AG$5,PORTS!$H$11:$N$11,0))+INDEX(variable_om_charge,MATCH(AC126,PORTS!$H$318:$H$625,0),MATCH(AG$5,PORTS!$H$318:$N$318,0)))</f>
        <v>-0</v>
      </c>
      <c r="AJ126" s="343" t="n">
        <f aca="false">+AI126+AH126</f>
        <v>0</v>
      </c>
      <c r="AK126" s="355" t="n">
        <f aca="false">+AJ126+AD126</f>
        <v>0</v>
      </c>
      <c r="AM126" s="346" t="n">
        <f aca="false">+DATE(YEAR(AM125),MONTH(AM125)+1,1)</f>
        <v>39995</v>
      </c>
      <c r="AN126" s="327" t="n">
        <f aca="false">+AP126/(1-HLOOKUP(AO$6,SHIPS,7,0)*INDEX(LADEN_VOYAGE_DAYS,MATCH(CONCATENATE(AO$4,AO$5),LADEN_VOYAGE_ROUTES,0),MATCH(AO$6,LADEN_VOYAGE_SHIPS,0)))</f>
        <v>5395761.47735991</v>
      </c>
      <c r="AO126" s="347" t="n">
        <f aca="false">+AP126-AN126</f>
        <v>-56655.4955122788</v>
      </c>
      <c r="AP126" s="348" t="n">
        <f aca="false">+IF(AND(AO$8&lt;=AM126,AO$9&gt;=AM126),+MIN($B126-SUMIF($H$17:AO$17,AP$17,$H126:AO126),((INDEX(ROUTE_PER_DAY_BY_SHIP,MATCH(CONCATENATE(AO$4,AO$5,AO$7),ROUTE_PER_DAY_ROUTES,0),MATCH(AO$6,ROUTE_PER_DAY_SHIPS,0))*(AM127-AM126))-(INDEX(ROUTE_PER_DAY_BY_SHIP,MATCH(CONCATENATE(AO$4,AO$5,AO$7),ROUTE_PER_DAY_ROUTES,0),MATCH(AO$6,ROUTE_PER_DAY_SHIPS,0))*(AM127-AM126))*HLOOKUP(AO$6,SHIPS,7,0)*INDEX(LADEN_VOYAGE_DAYS,MATCH(CONCATENATE(AO$4,AO$5,AO$7),LADEN_VOYAGE_ROUTES,0),MATCH(AO$6,LADEN_VOYAGE_SHIPS,0)))),0)</f>
        <v>5339105.98184763</v>
      </c>
      <c r="AQ126" s="349" t="n">
        <f aca="false">-(AP126)*PORTS!$I$6</f>
        <v>-133477.649546191</v>
      </c>
      <c r="AR126" s="327" t="n">
        <f aca="false">+AP126+AQ126</f>
        <v>5205628.33230144</v>
      </c>
      <c r="AS126" s="333"/>
      <c r="AT126" s="346" t="n">
        <f aca="false">+DATE(YEAR(AT125),MONTH(AT125)+1,1)</f>
        <v>39995</v>
      </c>
      <c r="AU126" s="343" t="n">
        <f aca="false">+AR126*(VLOOKUP(AT126,CURVECALC!$C$6:$J$312,4,0)+AV$5)</f>
        <v>16939114.5933089</v>
      </c>
      <c r="AV126" s="350" t="n">
        <f aca="false">-AN126*INDEX(ship_curves,MATCH(AT126,'SHIP CURVES'!$A$9:$A$316,0),MATCH(CONCATENATE(AX$4,AX$5,AX$6,AX$7),'SHIP CURVES'!$A$9:$AZ$9,0))</f>
        <v>-1789503.60909204</v>
      </c>
      <c r="AW126" s="351" t="n">
        <f aca="false">-AP126*INDEX(port_processing_fee,MATCH(AT126,PORTS!$H$626:$H$933,0),MATCH(AX$5,PORTS!$H$626:$Z$626,0))</f>
        <v>-158261.129079548</v>
      </c>
      <c r="AX126" s="352" t="n">
        <f aca="false">(((VLOOKUP(AT126,curvecalc,4,0))*IF(AN126=0,0,AR126/AN126)-INDEX(ship_curves,MATCH(AT126,'SHIP CURVES'!$A$9:$A$316,0),MATCH(CONCATENATE(AX$4,AX$5,AX$6,AX$7),'SHIP CURVES'!$A$9:$Z$9,0))-INDEX(terminal_curves,MATCH(AT126,'TERMINAL CURVES'!$A$4:$A$313,0),MATCH(AX$5,'TERMINAL CURVES'!$A$4:$N$4,0))*IF(AN126=0,0,AP126/AN126))-(AV$8)*((AV$7-$N$5)-(INDEX(ship_curves,MATCH(AT126,'SHIP CURVES'!$A$9:$A$316,0),MATCH(CONCATENATE(AX$4,AX$5,AX$6,AX$7),'SHIP CURVES'!$A$9:$Z$9,0))-INDEX(ship_curves,MATCH(AT126,'SHIP CURVES'!$A$9:$A$316,0),MATCH(CONCATENATE(AX$4,AV$6,AX$6,AX$7),'SHIP CURVES'!$A$9:$Z$9,0)))-(INDEX(terminal_curves,MATCH(AT126,'TERMINAL CURVES'!$A$4:$A$313,0),MATCH(AX$5,'TERMINAL CURVES'!$A$4:$N$4,0))-INDEX(terminal_curves,MATCH(AT126,'TERMINAL CURVES'!$A$4:$A$313,0),MATCH(AV$6,'TERMINAL CURVES'!$A$4:$N$4,0)))*IF(AN126=0,0,AP126/AN126)))*-AN126</f>
        <v>-13892197.6733698</v>
      </c>
      <c r="AY126" s="356" t="n">
        <f aca="false">SUM(AV126:AX126)</f>
        <v>-15839962.4115414</v>
      </c>
      <c r="AZ126" s="357" t="n">
        <f aca="false">(-AP126/((HLOOKUP(AX$5,port_specs,2,0)/(365.25))*(AT127-AT126)))*(INDEX(fixed_capacity_charge,MATCH(AT126,PORTS!$H$11:$H$317,0),MATCH(AX$5,PORTS!$H$11:$N$11,0))+INDEX(variable_om_charge,MATCH(AT126,PORTS!$H$318:$H$625,0),MATCH(AX$5,PORTS!$H$318:$N$318,0)))</f>
        <v>-995039.615121428</v>
      </c>
      <c r="BA126" s="343" t="n">
        <f aca="false">+AZ126+AY126</f>
        <v>-16835002.0266629</v>
      </c>
      <c r="BB126" s="355" t="n">
        <f aca="false">+BA126+AU126</f>
        <v>104112.566646028</v>
      </c>
      <c r="BC126" s="99"/>
      <c r="BD126" s="357" t="n">
        <f aca="false">+PORTS!I120+PORTS!I428</f>
        <v>995039.615121428</v>
      </c>
    </row>
    <row r="127" customFormat="false" ht="12.75" hidden="false" customHeight="false" outlineLevel="0" collapsed="false">
      <c r="A127" s="346" t="n">
        <f aca="false">+DATE(YEAR(A126),MONTH(A126)+1,1)</f>
        <v>40026</v>
      </c>
      <c r="B127" s="327" t="n">
        <f aca="false">+IF(AND($A127&gt;=$C$8,$A127&lt;=$C$9),1,0)*PORTS!$I$5/(365.25)*(A128-A127)</f>
        <v>5339105.98184763</v>
      </c>
      <c r="C127" s="328" t="n">
        <f aca="false">+B127-(SUMIF($F$17:$IV$17,$H$17,$F127:$IV127))</f>
        <v>0</v>
      </c>
      <c r="D127" s="0" t="n">
        <f aca="false">+YEAR(E127)</f>
        <v>2009</v>
      </c>
      <c r="E127" s="346" t="n">
        <f aca="false">+DATE(YEAR(E126),MONTH(E126)+1,1)</f>
        <v>40026</v>
      </c>
      <c r="F127" s="327" t="n">
        <f aca="false">+IF(AND(G$8&lt;=E127,G$9&gt;=E127),INDEX(ROUTE_PER_DAY_BY_SHIP,MATCH(CONCATENATE(G$4,G$5,G$7),ROUTE_PER_DAY_ROUTES,0),MATCH(G$6,ROUTE_PER_DAY_SHIPS,0))*(E128-E127),0)</f>
        <v>0</v>
      </c>
      <c r="G127" s="347" t="n">
        <f aca="false">-F127*HLOOKUP(G$6,SHIPS,7,0)*INDEX(LADEN_VOYAGE_DAYS,MATCH(CONCATENATE(G$4,G$5,G$7),LADEN_VOYAGE_ROUTES,0),MATCH(G$6,LADEN_VOYAGE_SHIPS,0))</f>
        <v>-0</v>
      </c>
      <c r="H127" s="348" t="n">
        <f aca="false">SUM(F127:G127)</f>
        <v>0</v>
      </c>
      <c r="I127" s="349" t="n">
        <f aca="false">-(H127)*HLOOKUP(G$5,TERMINAL_CHARGES,3,0)</f>
        <v>-0</v>
      </c>
      <c r="J127" s="327" t="n">
        <f aca="false">+H127+I127</f>
        <v>0</v>
      </c>
      <c r="K127" s="333"/>
      <c r="L127" s="346" t="n">
        <f aca="false">+DATE(YEAR(L126),MONTH(L126)+1,1)</f>
        <v>40026</v>
      </c>
      <c r="M127" s="334" t="n">
        <f aca="false">+J127*(VLOOKUP(L127,CURVECALC!$C$6:$J$312,4,0)+N$5)</f>
        <v>0</v>
      </c>
      <c r="N127" s="350" t="n">
        <f aca="false">-F127*INDEX(ship_curves,MATCH(L127,'SHIP CURVES'!$A$9:$A$316,0),MATCH(CONCATENATE(P$4,P$5,P$6,P$7),'SHIP CURVES'!$A$9:$AZ$9,0))</f>
        <v>-0</v>
      </c>
      <c r="O127" s="351" t="n">
        <f aca="false">-H127*INDEX(port_processing_fee,MATCH(L127,PORTS!$H$626:$H$933,0),MATCH(P$5,PORTS!$H$626:$Z$626,0))</f>
        <v>-0</v>
      </c>
      <c r="P127" s="352" t="n">
        <f aca="false">(((VLOOKUP(L127,curvecalc,4,0))*IF(F127=0,0,J127/F127)-INDEX(ship_curves,MATCH(L127,'SHIP CURVES'!$A$9:$A$316,0),MATCH(CONCATENATE(P$4,P$5,P$6,P$7),'SHIP CURVES'!$A$9:$Z$9,0))-INDEX(terminal_curves,MATCH(L127,'TERMINAL CURVES'!$A$4:$A$313,0),MATCH(P$5,'TERMINAL CURVES'!$A$4:$N$4,0))*IF(F127=0,0,H127/F127))-(N$8)*((N$7-$N$5)-(INDEX(ship_curves,MATCH(L127,'SHIP CURVES'!$A$9:$A$316,0),MATCH(CONCATENATE(P$4,P$5,P$6,P$7),'SHIP CURVES'!$A$9:$Z$9,0))-INDEX(ship_curves,MATCH(L127,'SHIP CURVES'!$A$9:$A$316,0),MATCH(CONCATENATE(P$4,N$6,P$6,P$7),'SHIP CURVES'!$A$9:$Z$9,0)))-(INDEX(terminal_curves,MATCH(L127,'TERMINAL CURVES'!$A$4:$A$313,0),MATCH(P$5,'TERMINAL CURVES'!$A$4:$N$4,0))-INDEX(terminal_curves,MATCH(L127,'TERMINAL CURVES'!$A$4:$A$313,0),MATCH(N$6,'TERMINAL CURVES'!$A$4:$N$4,0)))*IF(F127=0,0,H127/F127)))*-F127</f>
        <v>0</v>
      </c>
      <c r="Q127" s="353" t="n">
        <f aca="false">SUM(N127:P127)</f>
        <v>0</v>
      </c>
      <c r="R127" s="357" t="n">
        <f aca="false">(-H127/((HLOOKUP(P$5,port_specs,2,0)/(365.25))*(L128-L127)))*(INDEX(fixed_capacity_charge,MATCH(L127,PORTS!$H$11:$H$317,0),MATCH(P$5,PORTS!$H$11:$N$11,0))+INDEX(variable_om_charge,MATCH(L127,PORTS!$H$318:$H$625,0),MATCH(P$5,PORTS!$H$318:$N$318,0)))</f>
        <v>-0</v>
      </c>
      <c r="S127" s="343" t="n">
        <f aca="false">+R127+Q127</f>
        <v>0</v>
      </c>
      <c r="T127" s="355" t="n">
        <f aca="false">+S127+M127</f>
        <v>0</v>
      </c>
      <c r="V127" s="346" t="n">
        <f aca="false">+DATE(YEAR(V126),MONTH(V126)+1,1)</f>
        <v>40026</v>
      </c>
      <c r="W127" s="327" t="n">
        <f aca="false">+Y127/(1-HLOOKUP(X$6,SHIPS,7,0)*INDEX(LADEN_VOYAGE_DAYS,MATCH(CONCATENATE(X$4,X$5),LADEN_VOYAGE_ROUTES,0),MATCH(X$6,LADEN_VOYAGE_SHIPS,0)))</f>
        <v>0</v>
      </c>
      <c r="X127" s="347" t="n">
        <f aca="false">+Y127-W127</f>
        <v>0</v>
      </c>
      <c r="Y127" s="348" t="n">
        <f aca="false">+IF(AND(X$8&lt;=V127,X$9&gt;=V127),+MIN($B127-SUMIF($H$17:X$17,Y$17,$H127:X127),((INDEX(ROUTE_PER_DAY_BY_SHIP,MATCH(CONCATENATE(X$4,X$5,X$7),ROUTE_PER_DAY_ROUTES,0),MATCH(X$6,ROUTE_PER_DAY_SHIPS,0))*(V128-V127))-(INDEX(ROUTE_PER_DAY_BY_SHIP,MATCH(CONCATENATE(X$4,X$5,X$7),ROUTE_PER_DAY_ROUTES,0),MATCH(X$6,ROUTE_PER_DAY_SHIPS,0))*(V128-V127))*HLOOKUP(X$6,SHIPS,7,0)*INDEX(LADEN_VOYAGE_DAYS,MATCH(CONCATENATE(X$4,X$5,X$7),LADEN_VOYAGE_ROUTES,0),MATCH(X$6,LADEN_VOYAGE_SHIPS,0)))),0)</f>
        <v>0</v>
      </c>
      <c r="Z127" s="349" t="n">
        <f aca="false">-(Y127)*HLOOKUP(X$5,TERMINAL_CHARGES,3,0)</f>
        <v>-0</v>
      </c>
      <c r="AA127" s="327" t="n">
        <f aca="false">+Y127+Z127</f>
        <v>0</v>
      </c>
      <c r="AB127" s="333"/>
      <c r="AC127" s="346" t="n">
        <f aca="false">+DATE(YEAR(AC126),MONTH(AC126)+1,1)</f>
        <v>40026</v>
      </c>
      <c r="AD127" s="343" t="n">
        <f aca="false">+AA127*(VLOOKUP(AC127,CURVECALC!$C$6:$J$312,4,0)+AE$5)</f>
        <v>0</v>
      </c>
      <c r="AE127" s="350" t="n">
        <f aca="false">-W127*INDEX(ship_curves,MATCH(AC127,'SHIP CURVES'!$A$9:$A$316,0),MATCH(CONCATENATE(AG$4,AG$5,AG$6,AG$7),'SHIP CURVES'!$A$9:$AZ$9,0))</f>
        <v>-0</v>
      </c>
      <c r="AF127" s="351" t="n">
        <f aca="false">-Y127*INDEX(port_processing_fee,MATCH(AC127,PORTS!$H$626:$H$933,0),MATCH(AG$5,PORTS!$H$626:$Z$626,0))</f>
        <v>-0</v>
      </c>
      <c r="AG127" s="352" t="n">
        <f aca="false">(((VLOOKUP(AC127,curvecalc,4,0))*IF(W127=0,0,AA127/W127)-INDEX(ship_curves,MATCH(AC127,'SHIP CURVES'!$A$9:$A$316,0),MATCH(CONCATENATE(AG$4,AG$5,AG$6,AG$7),'SHIP CURVES'!$A$9:$Z$9,0))-INDEX(terminal_curves,MATCH(AC127,'TERMINAL CURVES'!$A$4:$A$313,0),MATCH(AG$5,'TERMINAL CURVES'!$A$4:$N$4,0))*IF(W127=0,0,Y127/W127))-(AE$8)*((AE$7-$N$5)-(INDEX(ship_curves,MATCH(AC127,'SHIP CURVES'!$A$9:$A$316,0),MATCH(CONCATENATE(AG$4,AG$5,AG$6,AG$7),'SHIP CURVES'!$A$9:$Z$9,0))-INDEX(ship_curves,MATCH(AC127,'SHIP CURVES'!$A$9:$A$316,0),MATCH(CONCATENATE(AG$4,AE$6,AG$6,AG$7),'SHIP CURVES'!$A$9:$Z$9,0)))-(INDEX(terminal_curves,MATCH(AC127,'TERMINAL CURVES'!$A$4:$A$313,0),MATCH(AG$5,'TERMINAL CURVES'!$A$4:$N$4,0))-INDEX(terminal_curves,MATCH(AC127,'TERMINAL CURVES'!$A$4:$A$313,0),MATCH(AE$6,'TERMINAL CURVES'!$A$4:$N$4,0)))*IF(W127=0,0,Y127/W127)))*-W127</f>
        <v>0</v>
      </c>
      <c r="AH127" s="356" t="n">
        <f aca="false">SUM(AE127:AG127)</f>
        <v>0</v>
      </c>
      <c r="AI127" s="357" t="n">
        <f aca="false">(-Y127/((HLOOKUP(AG$5,port_specs,2,0)/(365.25))*(AC128-AC127)))*(INDEX(fixed_capacity_charge,MATCH(AC127,PORTS!$H$11:$H$317,0),MATCH(AG$5,PORTS!$H$11:$N$11,0))+INDEX(variable_om_charge,MATCH(AC127,PORTS!$H$318:$H$625,0),MATCH(AG$5,PORTS!$H$318:$N$318,0)))</f>
        <v>-0</v>
      </c>
      <c r="AJ127" s="343" t="n">
        <f aca="false">+AI127+AH127</f>
        <v>0</v>
      </c>
      <c r="AK127" s="355" t="n">
        <f aca="false">+AJ127+AD127</f>
        <v>0</v>
      </c>
      <c r="AM127" s="346" t="n">
        <f aca="false">+DATE(YEAR(AM126),MONTH(AM126)+1,1)</f>
        <v>40026</v>
      </c>
      <c r="AN127" s="327" t="n">
        <f aca="false">+AP127/(1-HLOOKUP(AO$6,SHIPS,7,0)*INDEX(LADEN_VOYAGE_DAYS,MATCH(CONCATENATE(AO$4,AO$5),LADEN_VOYAGE_ROUTES,0),MATCH(AO$6,LADEN_VOYAGE_SHIPS,0)))</f>
        <v>5395761.47735991</v>
      </c>
      <c r="AO127" s="347" t="n">
        <f aca="false">+AP127-AN127</f>
        <v>-56655.4955122788</v>
      </c>
      <c r="AP127" s="348" t="n">
        <f aca="false">+IF(AND(AO$8&lt;=AM127,AO$9&gt;=AM127),+MIN($B127-SUMIF($H$17:AO$17,AP$17,$H127:AO127),((INDEX(ROUTE_PER_DAY_BY_SHIP,MATCH(CONCATENATE(AO$4,AO$5,AO$7),ROUTE_PER_DAY_ROUTES,0),MATCH(AO$6,ROUTE_PER_DAY_SHIPS,0))*(AM128-AM127))-(INDEX(ROUTE_PER_DAY_BY_SHIP,MATCH(CONCATENATE(AO$4,AO$5,AO$7),ROUTE_PER_DAY_ROUTES,0),MATCH(AO$6,ROUTE_PER_DAY_SHIPS,0))*(AM128-AM127))*HLOOKUP(AO$6,SHIPS,7,0)*INDEX(LADEN_VOYAGE_DAYS,MATCH(CONCATENATE(AO$4,AO$5,AO$7),LADEN_VOYAGE_ROUTES,0),MATCH(AO$6,LADEN_VOYAGE_SHIPS,0)))),0)</f>
        <v>5339105.98184763</v>
      </c>
      <c r="AQ127" s="349" t="n">
        <f aca="false">-(AP127)*PORTS!$I$6</f>
        <v>-133477.649546191</v>
      </c>
      <c r="AR127" s="327" t="n">
        <f aca="false">+AP127+AQ127</f>
        <v>5205628.33230144</v>
      </c>
      <c r="AS127" s="333"/>
      <c r="AT127" s="346" t="n">
        <f aca="false">+DATE(YEAR(AT126),MONTH(AT126)+1,1)</f>
        <v>40026</v>
      </c>
      <c r="AU127" s="343" t="n">
        <f aca="false">+AR127*(VLOOKUP(AT127,CURVECALC!$C$6:$J$312,4,0)+AV$5)</f>
        <v>17251452.293247</v>
      </c>
      <c r="AV127" s="350" t="n">
        <f aca="false">-AN127*INDEX(ship_curves,MATCH(AT127,'SHIP CURVES'!$A$9:$A$316,0),MATCH(CONCATENATE(AX$4,AX$5,AX$6,AX$7),'SHIP CURVES'!$A$9:$AZ$9,0))</f>
        <v>-1790036.05884637</v>
      </c>
      <c r="AW127" s="351" t="n">
        <f aca="false">-AP127*INDEX(port_processing_fee,MATCH(AT127,PORTS!$H$626:$H$933,0),MATCH(AX$5,PORTS!$H$626:$Z$626,0))</f>
        <v>-158425.984422339</v>
      </c>
      <c r="AX127" s="352" t="n">
        <f aca="false">(((VLOOKUP(AT127,curvecalc,4,0))*IF(AN127=0,0,AR127/AN127)-INDEX(ship_curves,MATCH(AT127,'SHIP CURVES'!$A$9:$A$316,0),MATCH(CONCATENATE(AX$4,AX$5,AX$6,AX$7),'SHIP CURVES'!$A$9:$Z$9,0))-INDEX(terminal_curves,MATCH(AT127,'TERMINAL CURVES'!$A$4:$A$313,0),MATCH(AX$5,'TERMINAL CURVES'!$A$4:$N$4,0))*IF(AN127=0,0,AP127/AN127))-(AV$8)*((AV$7-$N$5)-(INDEX(ship_curves,MATCH(AT127,'SHIP CURVES'!$A$9:$A$316,0),MATCH(CONCATENATE(AX$4,AX$5,AX$6,AX$7),'SHIP CURVES'!$A$9:$Z$9,0))-INDEX(ship_curves,MATCH(AT127,'SHIP CURVES'!$A$9:$A$316,0),MATCH(CONCATENATE(AX$4,AV$6,AX$6,AX$7),'SHIP CURVES'!$A$9:$Z$9,0)))-(INDEX(terminal_curves,MATCH(AT127,'TERMINAL CURVES'!$A$4:$A$313,0),MATCH(AX$5,'TERMINAL CURVES'!$A$4:$N$4,0))-INDEX(terminal_curves,MATCH(AT127,'TERMINAL CURVES'!$A$4:$A$313,0),MATCH(AV$6,'TERMINAL CURVES'!$A$4:$N$4,0)))*IF(AN127=0,0,AP127/AN127)))*-AN127</f>
        <v>-14203306.9712898</v>
      </c>
      <c r="AY127" s="356" t="n">
        <f aca="false">SUM(AV127:AX127)</f>
        <v>-16151769.0145585</v>
      </c>
      <c r="AZ127" s="357" t="n">
        <f aca="false">(-AP127/((HLOOKUP(AX$5,port_specs,2,0)/(365.25))*(AT128-AT127)))*(INDEX(fixed_capacity_charge,MATCH(AT127,PORTS!$H$11:$H$317,0),MATCH(AX$5,PORTS!$H$11:$N$11,0))+INDEX(variable_om_charge,MATCH(AT127,PORTS!$H$318:$H$625,0),MATCH(AX$5,PORTS!$H$318:$N$318,0)))</f>
        <v>-995570.712042483</v>
      </c>
      <c r="BA127" s="343" t="n">
        <f aca="false">+AZ127+AY127</f>
        <v>-17147339.726601</v>
      </c>
      <c r="BB127" s="355" t="n">
        <f aca="false">+BA127+AU127</f>
        <v>104112.566646032</v>
      </c>
      <c r="BC127" s="99"/>
      <c r="BD127" s="357" t="n">
        <f aca="false">+PORTS!I121+PORTS!I429</f>
        <v>995570.712042483</v>
      </c>
    </row>
    <row r="128" customFormat="false" ht="12.75" hidden="false" customHeight="false" outlineLevel="0" collapsed="false">
      <c r="A128" s="346" t="n">
        <f aca="false">+DATE(YEAR(A127),MONTH(A127)+1,1)</f>
        <v>40057</v>
      </c>
      <c r="B128" s="327" t="n">
        <f aca="false">+IF(AND($A128&gt;=$C$8,$A128&lt;=$C$9),1,0)*PORTS!$I$5/(365.25)*(A129-A128)</f>
        <v>5166876.75662674</v>
      </c>
      <c r="C128" s="328" t="n">
        <f aca="false">+B128-(SUMIF($F$17:$IV$17,$H$17,$F128:$IV128))</f>
        <v>0</v>
      </c>
      <c r="D128" s="0" t="n">
        <f aca="false">+YEAR(E128)</f>
        <v>2009</v>
      </c>
      <c r="E128" s="346" t="n">
        <f aca="false">+DATE(YEAR(E127),MONTH(E127)+1,1)</f>
        <v>40057</v>
      </c>
      <c r="F128" s="327" t="n">
        <f aca="false">+IF(AND(G$8&lt;=E128,G$9&gt;=E128),INDEX(ROUTE_PER_DAY_BY_SHIP,MATCH(CONCATENATE(G$4,G$5,G$7),ROUTE_PER_DAY_ROUTES,0),MATCH(G$6,ROUTE_PER_DAY_SHIPS,0))*(E129-E128),0)</f>
        <v>0</v>
      </c>
      <c r="G128" s="347" t="n">
        <f aca="false">-F128*HLOOKUP(G$6,SHIPS,7,0)*INDEX(LADEN_VOYAGE_DAYS,MATCH(CONCATENATE(G$4,G$5,G$7),LADEN_VOYAGE_ROUTES,0),MATCH(G$6,LADEN_VOYAGE_SHIPS,0))</f>
        <v>-0</v>
      </c>
      <c r="H128" s="348" t="n">
        <f aca="false">SUM(F128:G128)</f>
        <v>0</v>
      </c>
      <c r="I128" s="349" t="n">
        <f aca="false">-(H128)*HLOOKUP(G$5,TERMINAL_CHARGES,3,0)</f>
        <v>-0</v>
      </c>
      <c r="J128" s="327" t="n">
        <f aca="false">+H128+I128</f>
        <v>0</v>
      </c>
      <c r="K128" s="333"/>
      <c r="L128" s="346" t="n">
        <f aca="false">+DATE(YEAR(L127),MONTH(L127)+1,1)</f>
        <v>40057</v>
      </c>
      <c r="M128" s="334" t="n">
        <f aca="false">+J128*(VLOOKUP(L128,CURVECALC!$C$6:$J$312,4,0)+N$5)</f>
        <v>0</v>
      </c>
      <c r="N128" s="350" t="n">
        <f aca="false">-F128*INDEX(ship_curves,MATCH(L128,'SHIP CURVES'!$A$9:$A$316,0),MATCH(CONCATENATE(P$4,P$5,P$6,P$7),'SHIP CURVES'!$A$9:$AZ$9,0))</f>
        <v>-0</v>
      </c>
      <c r="O128" s="351" t="n">
        <f aca="false">-H128*INDEX(port_processing_fee,MATCH(L128,PORTS!$H$626:$H$933,0),MATCH(P$5,PORTS!$H$626:$Z$626,0))</f>
        <v>-0</v>
      </c>
      <c r="P128" s="352" t="n">
        <f aca="false">(((VLOOKUP(L128,curvecalc,4,0))*IF(F128=0,0,J128/F128)-INDEX(ship_curves,MATCH(L128,'SHIP CURVES'!$A$9:$A$316,0),MATCH(CONCATENATE(P$4,P$5,P$6,P$7),'SHIP CURVES'!$A$9:$Z$9,0))-INDEX(terminal_curves,MATCH(L128,'TERMINAL CURVES'!$A$4:$A$313,0),MATCH(P$5,'TERMINAL CURVES'!$A$4:$N$4,0))*IF(F128=0,0,H128/F128))-(N$8)*((N$7-$N$5)-(INDEX(ship_curves,MATCH(L128,'SHIP CURVES'!$A$9:$A$316,0),MATCH(CONCATENATE(P$4,P$5,P$6,P$7),'SHIP CURVES'!$A$9:$Z$9,0))-INDEX(ship_curves,MATCH(L128,'SHIP CURVES'!$A$9:$A$316,0),MATCH(CONCATENATE(P$4,N$6,P$6,P$7),'SHIP CURVES'!$A$9:$Z$9,0)))-(INDEX(terminal_curves,MATCH(L128,'TERMINAL CURVES'!$A$4:$A$313,0),MATCH(P$5,'TERMINAL CURVES'!$A$4:$N$4,0))-INDEX(terminal_curves,MATCH(L128,'TERMINAL CURVES'!$A$4:$A$313,0),MATCH(N$6,'TERMINAL CURVES'!$A$4:$N$4,0)))*IF(F128=0,0,H128/F128)))*-F128</f>
        <v>0</v>
      </c>
      <c r="Q128" s="353" t="n">
        <f aca="false">SUM(N128:P128)</f>
        <v>0</v>
      </c>
      <c r="R128" s="357" t="n">
        <f aca="false">(-H128/((HLOOKUP(P$5,port_specs,2,0)/(365.25))*(L129-L128)))*(INDEX(fixed_capacity_charge,MATCH(L128,PORTS!$H$11:$H$317,0),MATCH(P$5,PORTS!$H$11:$N$11,0))+INDEX(variable_om_charge,MATCH(L128,PORTS!$H$318:$H$625,0),MATCH(P$5,PORTS!$H$318:$N$318,0)))</f>
        <v>-0</v>
      </c>
      <c r="S128" s="343" t="n">
        <f aca="false">+R128+Q128</f>
        <v>0</v>
      </c>
      <c r="T128" s="355" t="n">
        <f aca="false">+S128+M128</f>
        <v>0</v>
      </c>
      <c r="V128" s="346" t="n">
        <f aca="false">+DATE(YEAR(V127),MONTH(V127)+1,1)</f>
        <v>40057</v>
      </c>
      <c r="W128" s="327" t="n">
        <f aca="false">+Y128/(1-HLOOKUP(X$6,SHIPS,7,0)*INDEX(LADEN_VOYAGE_DAYS,MATCH(CONCATENATE(X$4,X$5),LADEN_VOYAGE_ROUTES,0),MATCH(X$6,LADEN_VOYAGE_SHIPS,0)))</f>
        <v>0</v>
      </c>
      <c r="X128" s="347" t="n">
        <f aca="false">+Y128-W128</f>
        <v>0</v>
      </c>
      <c r="Y128" s="348" t="n">
        <f aca="false">+IF(AND(X$8&lt;=V128,X$9&gt;=V128),+MIN($B128-SUMIF($H$17:X$17,Y$17,$H128:X128),((INDEX(ROUTE_PER_DAY_BY_SHIP,MATCH(CONCATENATE(X$4,X$5,X$7),ROUTE_PER_DAY_ROUTES,0),MATCH(X$6,ROUTE_PER_DAY_SHIPS,0))*(V129-V128))-(INDEX(ROUTE_PER_DAY_BY_SHIP,MATCH(CONCATENATE(X$4,X$5,X$7),ROUTE_PER_DAY_ROUTES,0),MATCH(X$6,ROUTE_PER_DAY_SHIPS,0))*(V129-V128))*HLOOKUP(X$6,SHIPS,7,0)*INDEX(LADEN_VOYAGE_DAYS,MATCH(CONCATENATE(X$4,X$5,X$7),LADEN_VOYAGE_ROUTES,0),MATCH(X$6,LADEN_VOYAGE_SHIPS,0)))),0)</f>
        <v>0</v>
      </c>
      <c r="Z128" s="349" t="n">
        <f aca="false">-(Y128)*HLOOKUP(X$5,TERMINAL_CHARGES,3,0)</f>
        <v>-0</v>
      </c>
      <c r="AA128" s="327" t="n">
        <f aca="false">+Y128+Z128</f>
        <v>0</v>
      </c>
      <c r="AB128" s="333"/>
      <c r="AC128" s="346" t="n">
        <f aca="false">+DATE(YEAR(AC127),MONTH(AC127)+1,1)</f>
        <v>40057</v>
      </c>
      <c r="AD128" s="343" t="n">
        <f aca="false">+AA128*(VLOOKUP(AC128,CURVECALC!$C$6:$J$312,4,0)+AE$5)</f>
        <v>0</v>
      </c>
      <c r="AE128" s="350" t="n">
        <f aca="false">-W128*INDEX(ship_curves,MATCH(AC128,'SHIP CURVES'!$A$9:$A$316,0),MATCH(CONCATENATE(AG$4,AG$5,AG$6,AG$7),'SHIP CURVES'!$A$9:$AZ$9,0))</f>
        <v>-0</v>
      </c>
      <c r="AF128" s="351" t="n">
        <f aca="false">-Y128*INDEX(port_processing_fee,MATCH(AC128,PORTS!$H$626:$H$933,0),MATCH(AG$5,PORTS!$H$626:$Z$626,0))</f>
        <v>-0</v>
      </c>
      <c r="AG128" s="352" t="n">
        <f aca="false">(((VLOOKUP(AC128,curvecalc,4,0))*IF(W128=0,0,AA128/W128)-INDEX(ship_curves,MATCH(AC128,'SHIP CURVES'!$A$9:$A$316,0),MATCH(CONCATENATE(AG$4,AG$5,AG$6,AG$7),'SHIP CURVES'!$A$9:$Z$9,0))-INDEX(terminal_curves,MATCH(AC128,'TERMINAL CURVES'!$A$4:$A$313,0),MATCH(AG$5,'TERMINAL CURVES'!$A$4:$N$4,0))*IF(W128=0,0,Y128/W128))-(AE$8)*((AE$7-$N$5)-(INDEX(ship_curves,MATCH(AC128,'SHIP CURVES'!$A$9:$A$316,0),MATCH(CONCATENATE(AG$4,AG$5,AG$6,AG$7),'SHIP CURVES'!$A$9:$Z$9,0))-INDEX(ship_curves,MATCH(AC128,'SHIP CURVES'!$A$9:$A$316,0),MATCH(CONCATENATE(AG$4,AE$6,AG$6,AG$7),'SHIP CURVES'!$A$9:$Z$9,0)))-(INDEX(terminal_curves,MATCH(AC128,'TERMINAL CURVES'!$A$4:$A$313,0),MATCH(AG$5,'TERMINAL CURVES'!$A$4:$N$4,0))-INDEX(terminal_curves,MATCH(AC128,'TERMINAL CURVES'!$A$4:$A$313,0),MATCH(AE$6,'TERMINAL CURVES'!$A$4:$N$4,0)))*IF(W128=0,0,Y128/W128)))*-W128</f>
        <v>0</v>
      </c>
      <c r="AH128" s="356" t="n">
        <f aca="false">SUM(AE128:AG128)</f>
        <v>0</v>
      </c>
      <c r="AI128" s="357" t="n">
        <f aca="false">(-Y128/((HLOOKUP(AG$5,port_specs,2,0)/(365.25))*(AC129-AC128)))*(INDEX(fixed_capacity_charge,MATCH(AC128,PORTS!$H$11:$H$317,0),MATCH(AG$5,PORTS!$H$11:$N$11,0))+INDEX(variable_om_charge,MATCH(AC128,PORTS!$H$318:$H$625,0),MATCH(AG$5,PORTS!$H$318:$N$318,0)))</f>
        <v>-0</v>
      </c>
      <c r="AJ128" s="343" t="n">
        <f aca="false">+AI128+AH128</f>
        <v>0</v>
      </c>
      <c r="AK128" s="355" t="n">
        <f aca="false">+AJ128+AD128</f>
        <v>0</v>
      </c>
      <c r="AM128" s="346" t="n">
        <f aca="false">+DATE(YEAR(AM127),MONTH(AM127)+1,1)</f>
        <v>40057</v>
      </c>
      <c r="AN128" s="327" t="n">
        <f aca="false">+AP128/(1-HLOOKUP(AO$6,SHIPS,7,0)*INDEX(LADEN_VOYAGE_DAYS,MATCH(CONCATENATE(AO$4,AO$5),LADEN_VOYAGE_ROUTES,0),MATCH(AO$6,LADEN_VOYAGE_SHIPS,0)))</f>
        <v>5221704.65550959</v>
      </c>
      <c r="AO128" s="347" t="n">
        <f aca="false">+AP128-AN128</f>
        <v>-54827.8988828501</v>
      </c>
      <c r="AP128" s="348" t="n">
        <f aca="false">+IF(AND(AO$8&lt;=AM128,AO$9&gt;=AM128),+MIN($B128-SUMIF($H$17:AO$17,AP$17,$H128:AO128),((INDEX(ROUTE_PER_DAY_BY_SHIP,MATCH(CONCATENATE(AO$4,AO$5,AO$7),ROUTE_PER_DAY_ROUTES,0),MATCH(AO$6,ROUTE_PER_DAY_SHIPS,0))*(AM129-AM128))-(INDEX(ROUTE_PER_DAY_BY_SHIP,MATCH(CONCATENATE(AO$4,AO$5,AO$7),ROUTE_PER_DAY_ROUTES,0),MATCH(AO$6,ROUTE_PER_DAY_SHIPS,0))*(AM129-AM128))*HLOOKUP(AO$6,SHIPS,7,0)*INDEX(LADEN_VOYAGE_DAYS,MATCH(CONCATENATE(AO$4,AO$5,AO$7),LADEN_VOYAGE_ROUTES,0),MATCH(AO$6,LADEN_VOYAGE_SHIPS,0)))),0)</f>
        <v>5166876.75662674</v>
      </c>
      <c r="AQ128" s="349" t="n">
        <f aca="false">-(AP128)*PORTS!$I$6</f>
        <v>-129171.918915669</v>
      </c>
      <c r="AR128" s="327" t="n">
        <f aca="false">+AP128+AQ128</f>
        <v>5037704.83771107</v>
      </c>
      <c r="AS128" s="333"/>
      <c r="AT128" s="346" t="n">
        <f aca="false">+DATE(YEAR(AT127),MONTH(AT127)+1,1)</f>
        <v>40057</v>
      </c>
      <c r="AU128" s="343" t="n">
        <f aca="false">+AR128*(VLOOKUP(AT128,CURVECALC!$C$6:$J$312,4,0)+AV$5)</f>
        <v>16614350.5547711</v>
      </c>
      <c r="AV128" s="350" t="n">
        <f aca="false">-AN128*INDEX(ship_curves,MATCH(AT128,'SHIP CURVES'!$A$9:$A$316,0),MATCH(CONCATENATE(AX$4,AX$5,AX$6,AX$7),'SHIP CURVES'!$A$9:$AZ$9,0))</f>
        <v>-1732809.30761711</v>
      </c>
      <c r="AW128" s="351" t="n">
        <f aca="false">-AP128*INDEX(port_processing_fee,MATCH(AT128,PORTS!$H$626:$H$933,0),MATCH(AX$5,PORTS!$H$626:$Z$626,0))</f>
        <v>-153475.172409141</v>
      </c>
      <c r="AX128" s="352" t="n">
        <f aca="false">(((VLOOKUP(AT128,curvecalc,4,0))*IF(AN128=0,0,AR128/AN128)-INDEX(ship_curves,MATCH(AT128,'SHIP CURVES'!$A$9:$A$316,0),MATCH(CONCATENATE(AX$4,AX$5,AX$6,AX$7),'SHIP CURVES'!$A$9:$Z$9,0))-INDEX(terminal_curves,MATCH(AT128,'TERMINAL CURVES'!$A$4:$A$313,0),MATCH(AX$5,'TERMINAL CURVES'!$A$4:$N$4,0))*IF(AN128=0,0,AP128/AN128))-(AV$8)*((AV$7-$N$5)-(INDEX(ship_curves,MATCH(AT128,'SHIP CURVES'!$A$9:$A$316,0),MATCH(CONCATENATE(AX$4,AX$5,AX$6,AX$7),'SHIP CURVES'!$A$9:$Z$9,0))-INDEX(ship_curves,MATCH(AT128,'SHIP CURVES'!$A$9:$A$316,0),MATCH(CONCATENATE(AX$4,AV$6,AX$6,AX$7),'SHIP CURVES'!$A$9:$Z$9,0)))-(INDEX(terminal_curves,MATCH(AT128,'TERMINAL CURVES'!$A$4:$A$313,0),MATCH(AX$5,'TERMINAL CURVES'!$A$4:$N$4,0))-INDEX(terminal_curves,MATCH(AT128,'TERMINAL CURVES'!$A$4:$A$313,0),MATCH(AV$6,'TERMINAL CURVES'!$A$4:$N$4,0)))*IF(AN128=0,0,AP128/AN128)))*-AN128</f>
        <v>-13631209.6158012</v>
      </c>
      <c r="AY128" s="356" t="n">
        <f aca="false">SUM(AV128:AX128)</f>
        <v>-15517494.0958274</v>
      </c>
      <c r="AZ128" s="357" t="n">
        <f aca="false">(-AP128/((HLOOKUP(AX$5,port_specs,2,0)/(365.25))*(AT129-AT128)))*(INDEX(fixed_capacity_charge,MATCH(AT128,PORTS!$H$11:$H$317,0),MATCH(AX$5,PORTS!$H$11:$N$11,0))+INDEX(variable_om_charge,MATCH(AT128,PORTS!$H$318:$H$625,0),MATCH(AX$5,PORTS!$H$318:$N$318,0)))</f>
        <v>-996102.362189498</v>
      </c>
      <c r="BA128" s="343" t="n">
        <f aca="false">+AZ128+AY128</f>
        <v>-16513596.4580169</v>
      </c>
      <c r="BB128" s="355" t="n">
        <f aca="false">+BA128+AU128</f>
        <v>100754.096754221</v>
      </c>
      <c r="BC128" s="99"/>
      <c r="BD128" s="357" t="n">
        <f aca="false">+PORTS!I122+PORTS!I430</f>
        <v>996102.362189498</v>
      </c>
    </row>
    <row r="129" customFormat="false" ht="12.75" hidden="false" customHeight="false" outlineLevel="0" collapsed="false">
      <c r="A129" s="346" t="n">
        <f aca="false">+DATE(YEAR(A128),MONTH(A128)+1,1)</f>
        <v>40087</v>
      </c>
      <c r="B129" s="327" t="n">
        <f aca="false">+IF(AND($A129&gt;=$C$8,$A129&lt;=$C$9),1,0)*PORTS!$I$5/(365.25)*(A130-A129)</f>
        <v>5339105.98184763</v>
      </c>
      <c r="C129" s="328" t="n">
        <f aca="false">+B129-(SUMIF($F$17:$IV$17,$H$17,$F129:$IV129))</f>
        <v>0</v>
      </c>
      <c r="D129" s="0" t="n">
        <f aca="false">+YEAR(E129)</f>
        <v>2009</v>
      </c>
      <c r="E129" s="346" t="n">
        <f aca="false">+DATE(YEAR(E128),MONTH(E128)+1,1)</f>
        <v>40087</v>
      </c>
      <c r="F129" s="327" t="n">
        <f aca="false">+IF(AND(G$8&lt;=E129,G$9&gt;=E129),INDEX(ROUTE_PER_DAY_BY_SHIP,MATCH(CONCATENATE(G$4,G$5,G$7),ROUTE_PER_DAY_ROUTES,0),MATCH(G$6,ROUTE_PER_DAY_SHIPS,0))*(E130-E129),0)</f>
        <v>0</v>
      </c>
      <c r="G129" s="347" t="n">
        <f aca="false">-F129*HLOOKUP(G$6,SHIPS,7,0)*INDEX(LADEN_VOYAGE_DAYS,MATCH(CONCATENATE(G$4,G$5,G$7),LADEN_VOYAGE_ROUTES,0),MATCH(G$6,LADEN_VOYAGE_SHIPS,0))</f>
        <v>-0</v>
      </c>
      <c r="H129" s="348" t="n">
        <f aca="false">SUM(F129:G129)</f>
        <v>0</v>
      </c>
      <c r="I129" s="349" t="n">
        <f aca="false">-(H129)*HLOOKUP(G$5,TERMINAL_CHARGES,3,0)</f>
        <v>-0</v>
      </c>
      <c r="J129" s="327" t="n">
        <f aca="false">+H129+I129</f>
        <v>0</v>
      </c>
      <c r="K129" s="333"/>
      <c r="L129" s="346" t="n">
        <f aca="false">+DATE(YEAR(L128),MONTH(L128)+1,1)</f>
        <v>40087</v>
      </c>
      <c r="M129" s="334" t="n">
        <f aca="false">+J129*(VLOOKUP(L129,CURVECALC!$C$6:$J$312,4,0)+N$5)</f>
        <v>0</v>
      </c>
      <c r="N129" s="350" t="n">
        <f aca="false">-F129*INDEX(ship_curves,MATCH(L129,'SHIP CURVES'!$A$9:$A$316,0),MATCH(CONCATENATE(P$4,P$5,P$6,P$7),'SHIP CURVES'!$A$9:$AZ$9,0))</f>
        <v>-0</v>
      </c>
      <c r="O129" s="351" t="n">
        <f aca="false">-H129*INDEX(port_processing_fee,MATCH(L129,PORTS!$H$626:$H$933,0),MATCH(P$5,PORTS!$H$626:$Z$626,0))</f>
        <v>-0</v>
      </c>
      <c r="P129" s="352" t="n">
        <f aca="false">(((VLOOKUP(L129,curvecalc,4,0))*IF(F129=0,0,J129/F129)-INDEX(ship_curves,MATCH(L129,'SHIP CURVES'!$A$9:$A$316,0),MATCH(CONCATENATE(P$4,P$5,P$6,P$7),'SHIP CURVES'!$A$9:$Z$9,0))-INDEX(terminal_curves,MATCH(L129,'TERMINAL CURVES'!$A$4:$A$313,0),MATCH(P$5,'TERMINAL CURVES'!$A$4:$N$4,0))*IF(F129=0,0,H129/F129))-(N$8)*((N$7-$N$5)-(INDEX(ship_curves,MATCH(L129,'SHIP CURVES'!$A$9:$A$316,0),MATCH(CONCATENATE(P$4,P$5,P$6,P$7),'SHIP CURVES'!$A$9:$Z$9,0))-INDEX(ship_curves,MATCH(L129,'SHIP CURVES'!$A$9:$A$316,0),MATCH(CONCATENATE(P$4,N$6,P$6,P$7),'SHIP CURVES'!$A$9:$Z$9,0)))-(INDEX(terminal_curves,MATCH(L129,'TERMINAL CURVES'!$A$4:$A$313,0),MATCH(P$5,'TERMINAL CURVES'!$A$4:$N$4,0))-INDEX(terminal_curves,MATCH(L129,'TERMINAL CURVES'!$A$4:$A$313,0),MATCH(N$6,'TERMINAL CURVES'!$A$4:$N$4,0)))*IF(F129=0,0,H129/F129)))*-F129</f>
        <v>0</v>
      </c>
      <c r="Q129" s="353" t="n">
        <f aca="false">SUM(N129:P129)</f>
        <v>0</v>
      </c>
      <c r="R129" s="357" t="n">
        <f aca="false">(-H129/((HLOOKUP(P$5,port_specs,2,0)/(365.25))*(L130-L129)))*(INDEX(fixed_capacity_charge,MATCH(L129,PORTS!$H$11:$H$317,0),MATCH(P$5,PORTS!$H$11:$N$11,0))+INDEX(variable_om_charge,MATCH(L129,PORTS!$H$318:$H$625,0),MATCH(P$5,PORTS!$H$318:$N$318,0)))</f>
        <v>-0</v>
      </c>
      <c r="S129" s="343" t="n">
        <f aca="false">+R129+Q129</f>
        <v>0</v>
      </c>
      <c r="T129" s="355" t="n">
        <f aca="false">+S129+M129</f>
        <v>0</v>
      </c>
      <c r="V129" s="346" t="n">
        <f aca="false">+DATE(YEAR(V128),MONTH(V128)+1,1)</f>
        <v>40087</v>
      </c>
      <c r="W129" s="327" t="n">
        <f aca="false">+Y129/(1-HLOOKUP(X$6,SHIPS,7,0)*INDEX(LADEN_VOYAGE_DAYS,MATCH(CONCATENATE(X$4,X$5),LADEN_VOYAGE_ROUTES,0),MATCH(X$6,LADEN_VOYAGE_SHIPS,0)))</f>
        <v>0</v>
      </c>
      <c r="X129" s="347" t="n">
        <f aca="false">+Y129-W129</f>
        <v>0</v>
      </c>
      <c r="Y129" s="348" t="n">
        <f aca="false">+IF(AND(X$8&lt;=V129,X$9&gt;=V129),+MIN($B129-SUMIF($H$17:X$17,Y$17,$H129:X129),((INDEX(ROUTE_PER_DAY_BY_SHIP,MATCH(CONCATENATE(X$4,X$5,X$7),ROUTE_PER_DAY_ROUTES,0),MATCH(X$6,ROUTE_PER_DAY_SHIPS,0))*(V130-V129))-(INDEX(ROUTE_PER_DAY_BY_SHIP,MATCH(CONCATENATE(X$4,X$5,X$7),ROUTE_PER_DAY_ROUTES,0),MATCH(X$6,ROUTE_PER_DAY_SHIPS,0))*(V130-V129))*HLOOKUP(X$6,SHIPS,7,0)*INDEX(LADEN_VOYAGE_DAYS,MATCH(CONCATENATE(X$4,X$5,X$7),LADEN_VOYAGE_ROUTES,0),MATCH(X$6,LADEN_VOYAGE_SHIPS,0)))),0)</f>
        <v>0</v>
      </c>
      <c r="Z129" s="349" t="n">
        <f aca="false">-(Y129)*HLOOKUP(X$5,TERMINAL_CHARGES,3,0)</f>
        <v>-0</v>
      </c>
      <c r="AA129" s="327" t="n">
        <f aca="false">+Y129+Z129</f>
        <v>0</v>
      </c>
      <c r="AB129" s="333"/>
      <c r="AC129" s="346" t="n">
        <f aca="false">+DATE(YEAR(AC128),MONTH(AC128)+1,1)</f>
        <v>40087</v>
      </c>
      <c r="AD129" s="343" t="n">
        <f aca="false">+AA129*(VLOOKUP(AC129,CURVECALC!$C$6:$J$312,4,0)+AE$5)</f>
        <v>0</v>
      </c>
      <c r="AE129" s="350" t="n">
        <f aca="false">-W129*INDEX(ship_curves,MATCH(AC129,'SHIP CURVES'!$A$9:$A$316,0),MATCH(CONCATENATE(AG$4,AG$5,AG$6,AG$7),'SHIP CURVES'!$A$9:$AZ$9,0))</f>
        <v>-0</v>
      </c>
      <c r="AF129" s="351" t="n">
        <f aca="false">-Y129*INDEX(port_processing_fee,MATCH(AC129,PORTS!$H$626:$H$933,0),MATCH(AG$5,PORTS!$H$626:$Z$626,0))</f>
        <v>-0</v>
      </c>
      <c r="AG129" s="352" t="n">
        <f aca="false">(((VLOOKUP(AC129,curvecalc,4,0))*IF(W129=0,0,AA129/W129)-INDEX(ship_curves,MATCH(AC129,'SHIP CURVES'!$A$9:$A$316,0),MATCH(CONCATENATE(AG$4,AG$5,AG$6,AG$7),'SHIP CURVES'!$A$9:$Z$9,0))-INDEX(terminal_curves,MATCH(AC129,'TERMINAL CURVES'!$A$4:$A$313,0),MATCH(AG$5,'TERMINAL CURVES'!$A$4:$N$4,0))*IF(W129=0,0,Y129/W129))-(AE$8)*((AE$7-$N$5)-(INDEX(ship_curves,MATCH(AC129,'SHIP CURVES'!$A$9:$A$316,0),MATCH(CONCATENATE(AG$4,AG$5,AG$6,AG$7),'SHIP CURVES'!$A$9:$Z$9,0))-INDEX(ship_curves,MATCH(AC129,'SHIP CURVES'!$A$9:$A$316,0),MATCH(CONCATENATE(AG$4,AE$6,AG$6,AG$7),'SHIP CURVES'!$A$9:$Z$9,0)))-(INDEX(terminal_curves,MATCH(AC129,'TERMINAL CURVES'!$A$4:$A$313,0),MATCH(AG$5,'TERMINAL CURVES'!$A$4:$N$4,0))-INDEX(terminal_curves,MATCH(AC129,'TERMINAL CURVES'!$A$4:$A$313,0),MATCH(AE$6,'TERMINAL CURVES'!$A$4:$N$4,0)))*IF(W129=0,0,Y129/W129)))*-W129</f>
        <v>0</v>
      </c>
      <c r="AH129" s="356" t="n">
        <f aca="false">SUM(AE129:AG129)</f>
        <v>0</v>
      </c>
      <c r="AI129" s="357" t="n">
        <f aca="false">(-Y129/((HLOOKUP(AG$5,port_specs,2,0)/(365.25))*(AC130-AC129)))*(INDEX(fixed_capacity_charge,MATCH(AC129,PORTS!$H$11:$H$317,0),MATCH(AG$5,PORTS!$H$11:$N$11,0))+INDEX(variable_om_charge,MATCH(AC129,PORTS!$H$318:$H$625,0),MATCH(AG$5,PORTS!$H$318:$N$318,0)))</f>
        <v>-0</v>
      </c>
      <c r="AJ129" s="343" t="n">
        <f aca="false">+AI129+AH129</f>
        <v>0</v>
      </c>
      <c r="AK129" s="355" t="n">
        <f aca="false">+AJ129+AD129</f>
        <v>0</v>
      </c>
      <c r="AM129" s="346" t="n">
        <f aca="false">+DATE(YEAR(AM128),MONTH(AM128)+1,1)</f>
        <v>40087</v>
      </c>
      <c r="AN129" s="327" t="n">
        <f aca="false">+AP129/(1-HLOOKUP(AO$6,SHIPS,7,0)*INDEX(LADEN_VOYAGE_DAYS,MATCH(CONCATENATE(AO$4,AO$5),LADEN_VOYAGE_ROUTES,0),MATCH(AO$6,LADEN_VOYAGE_SHIPS,0)))</f>
        <v>5395761.47735991</v>
      </c>
      <c r="AO129" s="347" t="n">
        <f aca="false">+AP129-AN129</f>
        <v>-56655.4955122788</v>
      </c>
      <c r="AP129" s="348" t="n">
        <f aca="false">+IF(AND(AO$8&lt;=AM129,AO$9&gt;=AM129),+MIN($B129-SUMIF($H$17:AO$17,AP$17,$H129:AO129),((INDEX(ROUTE_PER_DAY_BY_SHIP,MATCH(CONCATENATE(AO$4,AO$5,AO$7),ROUTE_PER_DAY_ROUTES,0),MATCH(AO$6,ROUTE_PER_DAY_SHIPS,0))*(AM130-AM129))-(INDEX(ROUTE_PER_DAY_BY_SHIP,MATCH(CONCATENATE(AO$4,AO$5,AO$7),ROUTE_PER_DAY_ROUTES,0),MATCH(AO$6,ROUTE_PER_DAY_SHIPS,0))*(AM130-AM129))*HLOOKUP(AO$6,SHIPS,7,0)*INDEX(LADEN_VOYAGE_DAYS,MATCH(CONCATENATE(AO$4,AO$5,AO$7),LADEN_VOYAGE_ROUTES,0),MATCH(AO$6,LADEN_VOYAGE_SHIPS,0)))),0)</f>
        <v>5339105.98184763</v>
      </c>
      <c r="AQ129" s="349" t="n">
        <f aca="false">-(AP129)*PORTS!$I$6</f>
        <v>-133477.649546191</v>
      </c>
      <c r="AR129" s="327" t="n">
        <f aca="false">+AP129+AQ129</f>
        <v>5205628.33230144</v>
      </c>
      <c r="AS129" s="333"/>
      <c r="AT129" s="346" t="n">
        <f aca="false">+DATE(YEAR(AT128),MONTH(AT128)+1,1)</f>
        <v>40087</v>
      </c>
      <c r="AU129" s="343" t="n">
        <f aca="false">+AR129*(VLOOKUP(AT129,CURVECALC!$C$6:$J$312,4,0)+AV$5)</f>
        <v>17241041.0365824</v>
      </c>
      <c r="AV129" s="350" t="n">
        <f aca="false">-AN129*INDEX(ship_curves,MATCH(AT129,'SHIP CURVES'!$A$9:$A$316,0),MATCH(CONCATENATE(AX$4,AX$5,AX$6,AX$7),'SHIP CURVES'!$A$9:$AZ$9,0))</f>
        <v>-1791104.28847696</v>
      </c>
      <c r="AW129" s="351" t="n">
        <f aca="false">-AP129*INDEX(port_processing_fee,MATCH(AT129,PORTS!$H$626:$H$933,0),MATCH(AX$5,PORTS!$H$626:$Z$626,0))</f>
        <v>-158756.210459747</v>
      </c>
      <c r="AX129" s="352" t="n">
        <f aca="false">(((VLOOKUP(AT129,curvecalc,4,0))*IF(AN129=0,0,AR129/AN129)-INDEX(ship_curves,MATCH(AT129,'SHIP CURVES'!$A$9:$A$316,0),MATCH(CONCATENATE(AX$4,AX$5,AX$6,AX$7),'SHIP CURVES'!$A$9:$Z$9,0))-INDEX(terminal_curves,MATCH(AT129,'TERMINAL CURVES'!$A$4:$A$313,0),MATCH(AX$5,'TERMINAL CURVES'!$A$4:$N$4,0))*IF(AN129=0,0,AP129/AN129))-(AV$8)*((AV$7-$N$5)-(INDEX(ship_curves,MATCH(AT129,'SHIP CURVES'!$A$9:$A$316,0),MATCH(CONCATENATE(AX$4,AX$5,AX$6,AX$7),'SHIP CURVES'!$A$9:$Z$9,0))-INDEX(ship_curves,MATCH(AT129,'SHIP CURVES'!$A$9:$A$316,0),MATCH(CONCATENATE(AX$4,AV$6,AX$6,AX$7),'SHIP CURVES'!$A$9:$Z$9,0)))-(INDEX(terminal_curves,MATCH(AT129,'TERMINAL CURVES'!$A$4:$A$313,0),MATCH(AX$5,'TERMINAL CURVES'!$A$4:$N$4,0))-INDEX(terminal_curves,MATCH(AT129,'TERMINAL CURVES'!$A$4:$A$313,0),MATCH(AV$6,'TERMINAL CURVES'!$A$4:$N$4,0)))*IF(AN129=0,0,AP129/AN129)))*-AN129</f>
        <v>-14190433.4048609</v>
      </c>
      <c r="AY129" s="356" t="n">
        <f aca="false">SUM(AV129:AX129)</f>
        <v>-16140293.9037976</v>
      </c>
      <c r="AZ129" s="357" t="n">
        <f aca="false">(-AP129/((HLOOKUP(AX$5,port_specs,2,0)/(365.25))*(AT130-AT129)))*(INDEX(fixed_capacity_charge,MATCH(AT129,PORTS!$H$11:$H$317,0),MATCH(AX$5,PORTS!$H$11:$N$11,0))+INDEX(variable_om_charge,MATCH(AT129,PORTS!$H$318:$H$625,0),MATCH(AX$5,PORTS!$H$318:$N$318,0)))</f>
        <v>-996634.566138749</v>
      </c>
      <c r="BA129" s="343" t="n">
        <f aca="false">+AZ129+AY129</f>
        <v>-17136928.4699364</v>
      </c>
      <c r="BB129" s="355" t="n">
        <f aca="false">+BA129+AU129</f>
        <v>104112.566646028</v>
      </c>
      <c r="BC129" s="99"/>
      <c r="BD129" s="357" t="n">
        <f aca="false">+PORTS!I123+PORTS!I431</f>
        <v>996634.566138749</v>
      </c>
    </row>
    <row r="130" customFormat="false" ht="12.75" hidden="false" customHeight="false" outlineLevel="0" collapsed="false">
      <c r="A130" s="346" t="n">
        <f aca="false">+DATE(YEAR(A129),MONTH(A129)+1,1)</f>
        <v>40118</v>
      </c>
      <c r="B130" s="327" t="n">
        <f aca="false">+IF(AND($A130&gt;=$C$8,$A130&lt;=$C$9),1,0)*PORTS!$I$5/(365.25)*(A131-A130)</f>
        <v>5166876.75662674</v>
      </c>
      <c r="C130" s="328" t="n">
        <f aca="false">+B130-(SUMIF($F$17:$IV$17,$H$17,$F130:$IV130))</f>
        <v>0</v>
      </c>
      <c r="D130" s="0" t="n">
        <f aca="false">+YEAR(E130)</f>
        <v>2009</v>
      </c>
      <c r="E130" s="346" t="n">
        <f aca="false">+DATE(YEAR(E129),MONTH(E129)+1,1)</f>
        <v>40118</v>
      </c>
      <c r="F130" s="327" t="n">
        <f aca="false">+IF(AND(G$8&lt;=E130,G$9&gt;=E130),INDEX(ROUTE_PER_DAY_BY_SHIP,MATCH(CONCATENATE(G$4,G$5,G$7),ROUTE_PER_DAY_ROUTES,0),MATCH(G$6,ROUTE_PER_DAY_SHIPS,0))*(E131-E130),0)</f>
        <v>0</v>
      </c>
      <c r="G130" s="347" t="n">
        <f aca="false">-F130*HLOOKUP(G$6,SHIPS,7,0)*INDEX(LADEN_VOYAGE_DAYS,MATCH(CONCATENATE(G$4,G$5,G$7),LADEN_VOYAGE_ROUTES,0),MATCH(G$6,LADEN_VOYAGE_SHIPS,0))</f>
        <v>-0</v>
      </c>
      <c r="H130" s="348" t="n">
        <f aca="false">SUM(F130:G130)</f>
        <v>0</v>
      </c>
      <c r="I130" s="349" t="n">
        <f aca="false">-(H130)*HLOOKUP(G$5,TERMINAL_CHARGES,3,0)</f>
        <v>-0</v>
      </c>
      <c r="J130" s="327" t="n">
        <f aca="false">+H130+I130</f>
        <v>0</v>
      </c>
      <c r="K130" s="333"/>
      <c r="L130" s="346" t="n">
        <f aca="false">+DATE(YEAR(L129),MONTH(L129)+1,1)</f>
        <v>40118</v>
      </c>
      <c r="M130" s="334" t="n">
        <f aca="false">+J130*(VLOOKUP(L130,CURVECALC!$C$6:$J$312,4,0)+N$5)</f>
        <v>0</v>
      </c>
      <c r="N130" s="350" t="n">
        <f aca="false">-F130*INDEX(ship_curves,MATCH(L130,'SHIP CURVES'!$A$9:$A$316,0),MATCH(CONCATENATE(P$4,P$5,P$6,P$7),'SHIP CURVES'!$A$9:$AZ$9,0))</f>
        <v>-0</v>
      </c>
      <c r="O130" s="351" t="n">
        <f aca="false">-H130*INDEX(port_processing_fee,MATCH(L130,PORTS!$H$626:$H$933,0),MATCH(P$5,PORTS!$H$626:$Z$626,0))</f>
        <v>-0</v>
      </c>
      <c r="P130" s="352" t="n">
        <f aca="false">(((VLOOKUP(L130,curvecalc,4,0))*IF(F130=0,0,J130/F130)-INDEX(ship_curves,MATCH(L130,'SHIP CURVES'!$A$9:$A$316,0),MATCH(CONCATENATE(P$4,P$5,P$6,P$7),'SHIP CURVES'!$A$9:$Z$9,0))-INDEX(terminal_curves,MATCH(L130,'TERMINAL CURVES'!$A$4:$A$313,0),MATCH(P$5,'TERMINAL CURVES'!$A$4:$N$4,0))*IF(F130=0,0,H130/F130))-(N$8)*((N$7-$N$5)-(INDEX(ship_curves,MATCH(L130,'SHIP CURVES'!$A$9:$A$316,0),MATCH(CONCATENATE(P$4,P$5,P$6,P$7),'SHIP CURVES'!$A$9:$Z$9,0))-INDEX(ship_curves,MATCH(L130,'SHIP CURVES'!$A$9:$A$316,0),MATCH(CONCATENATE(P$4,N$6,P$6,P$7),'SHIP CURVES'!$A$9:$Z$9,0)))-(INDEX(terminal_curves,MATCH(L130,'TERMINAL CURVES'!$A$4:$A$313,0),MATCH(P$5,'TERMINAL CURVES'!$A$4:$N$4,0))-INDEX(terminal_curves,MATCH(L130,'TERMINAL CURVES'!$A$4:$A$313,0),MATCH(N$6,'TERMINAL CURVES'!$A$4:$N$4,0)))*IF(F130=0,0,H130/F130)))*-F130</f>
        <v>0</v>
      </c>
      <c r="Q130" s="353" t="n">
        <f aca="false">SUM(N130:P130)</f>
        <v>0</v>
      </c>
      <c r="R130" s="357" t="n">
        <f aca="false">(-H130/((HLOOKUP(P$5,port_specs,2,0)/(365.25))*(L131-L130)))*(INDEX(fixed_capacity_charge,MATCH(L130,PORTS!$H$11:$H$317,0),MATCH(P$5,PORTS!$H$11:$N$11,0))+INDEX(variable_om_charge,MATCH(L130,PORTS!$H$318:$H$625,0),MATCH(P$5,PORTS!$H$318:$N$318,0)))</f>
        <v>-0</v>
      </c>
      <c r="S130" s="343" t="n">
        <f aca="false">+R130+Q130</f>
        <v>0</v>
      </c>
      <c r="T130" s="355" t="n">
        <f aca="false">+S130+M130</f>
        <v>0</v>
      </c>
      <c r="V130" s="346" t="n">
        <f aca="false">+DATE(YEAR(V129),MONTH(V129)+1,1)</f>
        <v>40118</v>
      </c>
      <c r="W130" s="327" t="n">
        <f aca="false">+Y130/(1-HLOOKUP(X$6,SHIPS,7,0)*INDEX(LADEN_VOYAGE_DAYS,MATCH(CONCATENATE(X$4,X$5),LADEN_VOYAGE_ROUTES,0),MATCH(X$6,LADEN_VOYAGE_SHIPS,0)))</f>
        <v>0</v>
      </c>
      <c r="X130" s="347" t="n">
        <f aca="false">+Y130-W130</f>
        <v>0</v>
      </c>
      <c r="Y130" s="348" t="n">
        <f aca="false">+IF(AND(X$8&lt;=V130,X$9&gt;=V130),+MIN($B130-SUMIF($H$17:X$17,Y$17,$H130:X130),((INDEX(ROUTE_PER_DAY_BY_SHIP,MATCH(CONCATENATE(X$4,X$5,X$7),ROUTE_PER_DAY_ROUTES,0),MATCH(X$6,ROUTE_PER_DAY_SHIPS,0))*(V131-V130))-(INDEX(ROUTE_PER_DAY_BY_SHIP,MATCH(CONCATENATE(X$4,X$5,X$7),ROUTE_PER_DAY_ROUTES,0),MATCH(X$6,ROUTE_PER_DAY_SHIPS,0))*(V131-V130))*HLOOKUP(X$6,SHIPS,7,0)*INDEX(LADEN_VOYAGE_DAYS,MATCH(CONCATENATE(X$4,X$5,X$7),LADEN_VOYAGE_ROUTES,0),MATCH(X$6,LADEN_VOYAGE_SHIPS,0)))),0)</f>
        <v>0</v>
      </c>
      <c r="Z130" s="349" t="n">
        <f aca="false">-(Y130)*HLOOKUP(X$5,TERMINAL_CHARGES,3,0)</f>
        <v>-0</v>
      </c>
      <c r="AA130" s="327" t="n">
        <f aca="false">+Y130+Z130</f>
        <v>0</v>
      </c>
      <c r="AB130" s="333"/>
      <c r="AC130" s="346" t="n">
        <f aca="false">+DATE(YEAR(AC129),MONTH(AC129)+1,1)</f>
        <v>40118</v>
      </c>
      <c r="AD130" s="343" t="n">
        <f aca="false">+AA130*(VLOOKUP(AC130,CURVECALC!$C$6:$J$312,4,0)+AE$5)</f>
        <v>0</v>
      </c>
      <c r="AE130" s="350" t="n">
        <f aca="false">-W130*INDEX(ship_curves,MATCH(AC130,'SHIP CURVES'!$A$9:$A$316,0),MATCH(CONCATENATE(AG$4,AG$5,AG$6,AG$7),'SHIP CURVES'!$A$9:$AZ$9,0))</f>
        <v>-0</v>
      </c>
      <c r="AF130" s="351" t="n">
        <f aca="false">-Y130*INDEX(port_processing_fee,MATCH(AC130,PORTS!$H$626:$H$933,0),MATCH(AG$5,PORTS!$H$626:$Z$626,0))</f>
        <v>-0</v>
      </c>
      <c r="AG130" s="352" t="n">
        <f aca="false">(((VLOOKUP(AC130,curvecalc,4,0))*IF(W130=0,0,AA130/W130)-INDEX(ship_curves,MATCH(AC130,'SHIP CURVES'!$A$9:$A$316,0),MATCH(CONCATENATE(AG$4,AG$5,AG$6,AG$7),'SHIP CURVES'!$A$9:$Z$9,0))-INDEX(terminal_curves,MATCH(AC130,'TERMINAL CURVES'!$A$4:$A$313,0),MATCH(AG$5,'TERMINAL CURVES'!$A$4:$N$4,0))*IF(W130=0,0,Y130/W130))-(AE$8)*((AE$7-$N$5)-(INDEX(ship_curves,MATCH(AC130,'SHIP CURVES'!$A$9:$A$316,0),MATCH(CONCATENATE(AG$4,AG$5,AG$6,AG$7),'SHIP CURVES'!$A$9:$Z$9,0))-INDEX(ship_curves,MATCH(AC130,'SHIP CURVES'!$A$9:$A$316,0),MATCH(CONCATENATE(AG$4,AE$6,AG$6,AG$7),'SHIP CURVES'!$A$9:$Z$9,0)))-(INDEX(terminal_curves,MATCH(AC130,'TERMINAL CURVES'!$A$4:$A$313,0),MATCH(AG$5,'TERMINAL CURVES'!$A$4:$N$4,0))-INDEX(terminal_curves,MATCH(AC130,'TERMINAL CURVES'!$A$4:$A$313,0),MATCH(AE$6,'TERMINAL CURVES'!$A$4:$N$4,0)))*IF(W130=0,0,Y130/W130)))*-W130</f>
        <v>0</v>
      </c>
      <c r="AH130" s="356" t="n">
        <f aca="false">SUM(AE130:AG130)</f>
        <v>0</v>
      </c>
      <c r="AI130" s="357" t="n">
        <f aca="false">(-Y130/((HLOOKUP(AG$5,port_specs,2,0)/(365.25))*(AC131-AC130)))*(INDEX(fixed_capacity_charge,MATCH(AC130,PORTS!$H$11:$H$317,0),MATCH(AG$5,PORTS!$H$11:$N$11,0))+INDEX(variable_om_charge,MATCH(AC130,PORTS!$H$318:$H$625,0),MATCH(AG$5,PORTS!$H$318:$N$318,0)))</f>
        <v>-0</v>
      </c>
      <c r="AJ130" s="343" t="n">
        <f aca="false">+AI130+AH130</f>
        <v>0</v>
      </c>
      <c r="AK130" s="355" t="n">
        <f aca="false">+AJ130+AD130</f>
        <v>0</v>
      </c>
      <c r="AM130" s="346" t="n">
        <f aca="false">+DATE(YEAR(AM129),MONTH(AM129)+1,1)</f>
        <v>40118</v>
      </c>
      <c r="AN130" s="327" t="n">
        <f aca="false">+AP130/(1-HLOOKUP(AO$6,SHIPS,7,0)*INDEX(LADEN_VOYAGE_DAYS,MATCH(CONCATENATE(AO$4,AO$5),LADEN_VOYAGE_ROUTES,0),MATCH(AO$6,LADEN_VOYAGE_SHIPS,0)))</f>
        <v>5221704.65550959</v>
      </c>
      <c r="AO130" s="347" t="n">
        <f aca="false">+AP130-AN130</f>
        <v>-54827.8988828501</v>
      </c>
      <c r="AP130" s="348" t="n">
        <f aca="false">+IF(AND(AO$8&lt;=AM130,AO$9&gt;=AM130),+MIN($B130-SUMIF($H$17:AO$17,AP$17,$H130:AO130),((INDEX(ROUTE_PER_DAY_BY_SHIP,MATCH(CONCATENATE(AO$4,AO$5,AO$7),ROUTE_PER_DAY_ROUTES,0),MATCH(AO$6,ROUTE_PER_DAY_SHIPS,0))*(AM131-AM130))-(INDEX(ROUTE_PER_DAY_BY_SHIP,MATCH(CONCATENATE(AO$4,AO$5,AO$7),ROUTE_PER_DAY_ROUTES,0),MATCH(AO$6,ROUTE_PER_DAY_SHIPS,0))*(AM131-AM130))*HLOOKUP(AO$6,SHIPS,7,0)*INDEX(LADEN_VOYAGE_DAYS,MATCH(CONCATENATE(AO$4,AO$5,AO$7),LADEN_VOYAGE_ROUTES,0),MATCH(AO$6,LADEN_VOYAGE_SHIPS,0)))),0)</f>
        <v>5166876.75662674</v>
      </c>
      <c r="AQ130" s="349" t="n">
        <f aca="false">-(AP130)*PORTS!$I$6</f>
        <v>-129171.918915669</v>
      </c>
      <c r="AR130" s="327" t="n">
        <f aca="false">+AP130+AQ130</f>
        <v>5037704.83771107</v>
      </c>
      <c r="AS130" s="333"/>
      <c r="AT130" s="346" t="n">
        <f aca="false">+DATE(YEAR(AT129),MONTH(AT129)+1,1)</f>
        <v>40118</v>
      </c>
      <c r="AU130" s="343" t="n">
        <f aca="false">+AR130*(VLOOKUP(AT130,CURVECALC!$C$6:$J$312,4,0)+AV$5)</f>
        <v>17082857.1046783</v>
      </c>
      <c r="AV130" s="350" t="n">
        <f aca="false">-AN130*INDEX(ship_curves,MATCH(AT130,'SHIP CURVES'!$A$9:$A$316,0),MATCH(CONCATENATE(AX$4,AX$5,AX$6,AX$7),'SHIP CURVES'!$A$9:$AZ$9,0))</f>
        <v>-1733845.23191613</v>
      </c>
      <c r="AW130" s="351" t="n">
        <f aca="false">-AP130*INDEX(port_processing_fee,MATCH(AT130,PORTS!$H$626:$H$933,0),MATCH(AX$5,PORTS!$H$626:$Z$626,0))</f>
        <v>-153795.07888288</v>
      </c>
      <c r="AX130" s="352" t="n">
        <f aca="false">(((VLOOKUP(AT130,curvecalc,4,0))*IF(AN130=0,0,AR130/AN130)-INDEX(ship_curves,MATCH(AT130,'SHIP CURVES'!$A$9:$A$316,0),MATCH(CONCATENATE(AX$4,AX$5,AX$6,AX$7),'SHIP CURVES'!$A$9:$Z$9,0))-INDEX(terminal_curves,MATCH(AT130,'TERMINAL CURVES'!$A$4:$A$313,0),MATCH(AX$5,'TERMINAL CURVES'!$A$4:$N$4,0))*IF(AN130=0,0,AP130/AN130))-(AV$8)*((AV$7-$N$5)-(INDEX(ship_curves,MATCH(AT130,'SHIP CURVES'!$A$9:$A$316,0),MATCH(CONCATENATE(AX$4,AX$5,AX$6,AX$7),'SHIP CURVES'!$A$9:$Z$9,0))-INDEX(ship_curves,MATCH(AT130,'SHIP CURVES'!$A$9:$A$316,0),MATCH(CONCATENATE(AX$4,AV$6,AX$6,AX$7),'SHIP CURVES'!$A$9:$Z$9,0)))-(INDEX(terminal_curves,MATCH(AT130,'TERMINAL CURVES'!$A$4:$A$313,0),MATCH(AX$5,'TERMINAL CURVES'!$A$4:$N$4,0))-INDEX(terminal_curves,MATCH(AT130,'TERMINAL CURVES'!$A$4:$A$313,0),MATCH(AV$6,'TERMINAL CURVES'!$A$4:$N$4,0)))*IF(AN130=0,0,AP130/AN130)))*-AN130</f>
        <v>-14097295.3726579</v>
      </c>
      <c r="AY130" s="356" t="n">
        <f aca="false">SUM(AV130:AX130)</f>
        <v>-15984935.6834569</v>
      </c>
      <c r="AZ130" s="357" t="n">
        <f aca="false">(-AP130/((HLOOKUP(AX$5,port_specs,2,0)/(365.25))*(AT131-AT130)))*(INDEX(fixed_capacity_charge,MATCH(AT130,PORTS!$H$11:$H$317,0),MATCH(AX$5,PORTS!$H$11:$N$11,0))+INDEX(variable_om_charge,MATCH(AT130,PORTS!$H$318:$H$625,0),MATCH(AX$5,PORTS!$H$318:$N$318,0)))</f>
        <v>-997167.324467114</v>
      </c>
      <c r="BA130" s="343" t="n">
        <f aca="false">+AZ130+AY130</f>
        <v>-16982103.007924</v>
      </c>
      <c r="BB130" s="355" t="n">
        <f aca="false">+BA130+AU130</f>
        <v>100754.096754219</v>
      </c>
      <c r="BC130" s="99"/>
      <c r="BD130" s="357" t="n">
        <f aca="false">+PORTS!I124+PORTS!I432</f>
        <v>997167.324467114</v>
      </c>
    </row>
    <row r="131" customFormat="false" ht="12.75" hidden="false" customHeight="false" outlineLevel="0" collapsed="false">
      <c r="A131" s="346" t="n">
        <f aca="false">+DATE(YEAR(A130),MONTH(A130)+1,1)</f>
        <v>40148</v>
      </c>
      <c r="B131" s="327" t="n">
        <f aca="false">+IF(AND($A131&gt;=$C$8,$A131&lt;=$C$9),1,0)*PORTS!$I$5/(365.25)*(A132-A131)</f>
        <v>5339105.98184763</v>
      </c>
      <c r="C131" s="328" t="n">
        <f aca="false">+B131-(SUMIF($F$17:$IV$17,$H$17,$F131:$IV131))</f>
        <v>0</v>
      </c>
      <c r="D131" s="0" t="n">
        <f aca="false">+YEAR(E131)</f>
        <v>2009</v>
      </c>
      <c r="E131" s="346" t="n">
        <f aca="false">+DATE(YEAR(E130),MONTH(E130)+1,1)</f>
        <v>40148</v>
      </c>
      <c r="F131" s="327" t="n">
        <f aca="false">+IF(AND(G$8&lt;=E131,G$9&gt;=E131),INDEX(ROUTE_PER_DAY_BY_SHIP,MATCH(CONCATENATE(G$4,G$5,G$7),ROUTE_PER_DAY_ROUTES,0),MATCH(G$6,ROUTE_PER_DAY_SHIPS,0))*(E132-E131),0)</f>
        <v>0</v>
      </c>
      <c r="G131" s="347" t="n">
        <f aca="false">-F131*HLOOKUP(G$6,SHIPS,7,0)*INDEX(LADEN_VOYAGE_DAYS,MATCH(CONCATENATE(G$4,G$5,G$7),LADEN_VOYAGE_ROUTES,0),MATCH(G$6,LADEN_VOYAGE_SHIPS,0))</f>
        <v>-0</v>
      </c>
      <c r="H131" s="348" t="n">
        <f aca="false">SUM(F131:G131)</f>
        <v>0</v>
      </c>
      <c r="I131" s="349" t="n">
        <f aca="false">-(H131)*HLOOKUP(G$5,TERMINAL_CHARGES,3,0)</f>
        <v>-0</v>
      </c>
      <c r="J131" s="327" t="n">
        <f aca="false">+H131+I131</f>
        <v>0</v>
      </c>
      <c r="K131" s="333"/>
      <c r="L131" s="346" t="n">
        <f aca="false">+DATE(YEAR(L130),MONTH(L130)+1,1)</f>
        <v>40148</v>
      </c>
      <c r="M131" s="334" t="n">
        <f aca="false">+J131*(VLOOKUP(L131,CURVECALC!$C$6:$J$312,4,0)+N$5)</f>
        <v>0</v>
      </c>
      <c r="N131" s="350" t="n">
        <f aca="false">-F131*INDEX(ship_curves,MATCH(L131,'SHIP CURVES'!$A$9:$A$316,0),MATCH(CONCATENATE(P$4,P$5,P$6,P$7),'SHIP CURVES'!$A$9:$AZ$9,0))</f>
        <v>-0</v>
      </c>
      <c r="O131" s="351" t="n">
        <f aca="false">-H131*INDEX(port_processing_fee,MATCH(L131,PORTS!$H$626:$H$933,0),MATCH(P$5,PORTS!$H$626:$Z$626,0))</f>
        <v>-0</v>
      </c>
      <c r="P131" s="352" t="n">
        <f aca="false">(((VLOOKUP(L131,curvecalc,4,0))*IF(F131=0,0,J131/F131)-INDEX(ship_curves,MATCH(L131,'SHIP CURVES'!$A$9:$A$316,0),MATCH(CONCATENATE(P$4,P$5,P$6,P$7),'SHIP CURVES'!$A$9:$Z$9,0))-INDEX(terminal_curves,MATCH(L131,'TERMINAL CURVES'!$A$4:$A$313,0),MATCH(P$5,'TERMINAL CURVES'!$A$4:$N$4,0))*IF(F131=0,0,H131/F131))-(N$8)*((N$7-$N$5)-(INDEX(ship_curves,MATCH(L131,'SHIP CURVES'!$A$9:$A$316,0),MATCH(CONCATENATE(P$4,P$5,P$6,P$7),'SHIP CURVES'!$A$9:$Z$9,0))-INDEX(ship_curves,MATCH(L131,'SHIP CURVES'!$A$9:$A$316,0),MATCH(CONCATENATE(P$4,N$6,P$6,P$7),'SHIP CURVES'!$A$9:$Z$9,0)))-(INDEX(terminal_curves,MATCH(L131,'TERMINAL CURVES'!$A$4:$A$313,0),MATCH(P$5,'TERMINAL CURVES'!$A$4:$N$4,0))-INDEX(terminal_curves,MATCH(L131,'TERMINAL CURVES'!$A$4:$A$313,0),MATCH(N$6,'TERMINAL CURVES'!$A$4:$N$4,0)))*IF(F131=0,0,H131/F131)))*-F131</f>
        <v>0</v>
      </c>
      <c r="Q131" s="353" t="n">
        <f aca="false">SUM(N131:P131)</f>
        <v>0</v>
      </c>
      <c r="R131" s="357" t="n">
        <f aca="false">(-H131/((HLOOKUP(P$5,port_specs,2,0)/(365.25))*(L132-L131)))*(INDEX(fixed_capacity_charge,MATCH(L131,PORTS!$H$11:$H$317,0),MATCH(P$5,PORTS!$H$11:$N$11,0))+INDEX(variable_om_charge,MATCH(L131,PORTS!$H$318:$H$625,0),MATCH(P$5,PORTS!$H$318:$N$318,0)))</f>
        <v>-0</v>
      </c>
      <c r="S131" s="343" t="n">
        <f aca="false">+R131+Q131</f>
        <v>0</v>
      </c>
      <c r="T131" s="355" t="n">
        <f aca="false">+S131+M131</f>
        <v>0</v>
      </c>
      <c r="V131" s="346" t="n">
        <f aca="false">+DATE(YEAR(V130),MONTH(V130)+1,1)</f>
        <v>40148</v>
      </c>
      <c r="W131" s="327" t="n">
        <f aca="false">+Y131/(1-HLOOKUP(X$6,SHIPS,7,0)*INDEX(LADEN_VOYAGE_DAYS,MATCH(CONCATENATE(X$4,X$5),LADEN_VOYAGE_ROUTES,0),MATCH(X$6,LADEN_VOYAGE_SHIPS,0)))</f>
        <v>0</v>
      </c>
      <c r="X131" s="347" t="n">
        <f aca="false">+Y131-W131</f>
        <v>0</v>
      </c>
      <c r="Y131" s="348" t="n">
        <f aca="false">+IF(AND(X$8&lt;=V131,X$9&gt;=V131),+MIN($B131-SUMIF($H$17:X$17,Y$17,$H131:X131),((INDEX(ROUTE_PER_DAY_BY_SHIP,MATCH(CONCATENATE(X$4,X$5,X$7),ROUTE_PER_DAY_ROUTES,0),MATCH(X$6,ROUTE_PER_DAY_SHIPS,0))*(V132-V131))-(INDEX(ROUTE_PER_DAY_BY_SHIP,MATCH(CONCATENATE(X$4,X$5,X$7),ROUTE_PER_DAY_ROUTES,0),MATCH(X$6,ROUTE_PER_DAY_SHIPS,0))*(V132-V131))*HLOOKUP(X$6,SHIPS,7,0)*INDEX(LADEN_VOYAGE_DAYS,MATCH(CONCATENATE(X$4,X$5,X$7),LADEN_VOYAGE_ROUTES,0),MATCH(X$6,LADEN_VOYAGE_SHIPS,0)))),0)</f>
        <v>0</v>
      </c>
      <c r="Z131" s="349" t="n">
        <f aca="false">-(Y131)*HLOOKUP(X$5,TERMINAL_CHARGES,3,0)</f>
        <v>-0</v>
      </c>
      <c r="AA131" s="327" t="n">
        <f aca="false">+Y131+Z131</f>
        <v>0</v>
      </c>
      <c r="AB131" s="333"/>
      <c r="AC131" s="346" t="n">
        <f aca="false">+DATE(YEAR(AC130),MONTH(AC130)+1,1)</f>
        <v>40148</v>
      </c>
      <c r="AD131" s="343" t="n">
        <f aca="false">+AA131*(VLOOKUP(AC131,CURVECALC!$C$6:$J$312,4,0)+AE$5)</f>
        <v>0</v>
      </c>
      <c r="AE131" s="350" t="n">
        <f aca="false">-W131*INDEX(ship_curves,MATCH(AC131,'SHIP CURVES'!$A$9:$A$316,0),MATCH(CONCATENATE(AG$4,AG$5,AG$6,AG$7),'SHIP CURVES'!$A$9:$AZ$9,0))</f>
        <v>-0</v>
      </c>
      <c r="AF131" s="351" t="n">
        <f aca="false">-Y131*INDEX(port_processing_fee,MATCH(AC131,PORTS!$H$626:$H$933,0),MATCH(AG$5,PORTS!$H$626:$Z$626,0))</f>
        <v>-0</v>
      </c>
      <c r="AG131" s="352" t="n">
        <f aca="false">(((VLOOKUP(AC131,curvecalc,4,0))*IF(W131=0,0,AA131/W131)-INDEX(ship_curves,MATCH(AC131,'SHIP CURVES'!$A$9:$A$316,0),MATCH(CONCATENATE(AG$4,AG$5,AG$6,AG$7),'SHIP CURVES'!$A$9:$Z$9,0))-INDEX(terminal_curves,MATCH(AC131,'TERMINAL CURVES'!$A$4:$A$313,0),MATCH(AG$5,'TERMINAL CURVES'!$A$4:$N$4,0))*IF(W131=0,0,Y131/W131))-(AE$8)*((AE$7-$N$5)-(INDEX(ship_curves,MATCH(AC131,'SHIP CURVES'!$A$9:$A$316,0),MATCH(CONCATENATE(AG$4,AG$5,AG$6,AG$7),'SHIP CURVES'!$A$9:$Z$9,0))-INDEX(ship_curves,MATCH(AC131,'SHIP CURVES'!$A$9:$A$316,0),MATCH(CONCATENATE(AG$4,AE$6,AG$6,AG$7),'SHIP CURVES'!$A$9:$Z$9,0)))-(INDEX(terminal_curves,MATCH(AC131,'TERMINAL CURVES'!$A$4:$A$313,0),MATCH(AG$5,'TERMINAL CURVES'!$A$4:$N$4,0))-INDEX(terminal_curves,MATCH(AC131,'TERMINAL CURVES'!$A$4:$A$313,0),MATCH(AE$6,'TERMINAL CURVES'!$A$4:$N$4,0)))*IF(W131=0,0,Y131/W131)))*-W131</f>
        <v>0</v>
      </c>
      <c r="AH131" s="356" t="n">
        <f aca="false">SUM(AE131:AG131)</f>
        <v>0</v>
      </c>
      <c r="AI131" s="357" t="n">
        <f aca="false">(-Y131/((HLOOKUP(AG$5,port_specs,2,0)/(365.25))*(AC132-AC131)))*(INDEX(fixed_capacity_charge,MATCH(AC131,PORTS!$H$11:$H$317,0),MATCH(AG$5,PORTS!$H$11:$N$11,0))+INDEX(variable_om_charge,MATCH(AC131,PORTS!$H$318:$H$625,0),MATCH(AG$5,PORTS!$H$318:$N$318,0)))</f>
        <v>-0</v>
      </c>
      <c r="AJ131" s="343" t="n">
        <f aca="false">+AI131+AH131</f>
        <v>0</v>
      </c>
      <c r="AK131" s="355" t="n">
        <f aca="false">+AJ131+AD131</f>
        <v>0</v>
      </c>
      <c r="AM131" s="346" t="n">
        <f aca="false">+DATE(YEAR(AM130),MONTH(AM130)+1,1)</f>
        <v>40148</v>
      </c>
      <c r="AN131" s="327" t="n">
        <f aca="false">+AP131/(1-HLOOKUP(AO$6,SHIPS,7,0)*INDEX(LADEN_VOYAGE_DAYS,MATCH(CONCATENATE(AO$4,AO$5),LADEN_VOYAGE_ROUTES,0),MATCH(AO$6,LADEN_VOYAGE_SHIPS,0)))</f>
        <v>5395761.47735991</v>
      </c>
      <c r="AO131" s="347" t="n">
        <f aca="false">+AP131-AN131</f>
        <v>-56655.4955122788</v>
      </c>
      <c r="AP131" s="348" t="n">
        <f aca="false">+IF(AND(AO$8&lt;=AM131,AO$9&gt;=AM131),+MIN($B131-SUMIF($H$17:AO$17,AP$17,$H131:AO131),((INDEX(ROUTE_PER_DAY_BY_SHIP,MATCH(CONCATENATE(AO$4,AO$5,AO$7),ROUTE_PER_DAY_ROUTES,0),MATCH(AO$6,ROUTE_PER_DAY_SHIPS,0))*(AM132-AM131))-(INDEX(ROUTE_PER_DAY_BY_SHIP,MATCH(CONCATENATE(AO$4,AO$5,AO$7),ROUTE_PER_DAY_ROUTES,0),MATCH(AO$6,ROUTE_PER_DAY_SHIPS,0))*(AM132-AM131))*HLOOKUP(AO$6,SHIPS,7,0)*INDEX(LADEN_VOYAGE_DAYS,MATCH(CONCATENATE(AO$4,AO$5,AO$7),LADEN_VOYAGE_ROUTES,0),MATCH(AO$6,LADEN_VOYAGE_SHIPS,0)))),0)</f>
        <v>5339105.98184763</v>
      </c>
      <c r="AQ131" s="349" t="n">
        <f aca="false">-(AP131)*PORTS!$I$6</f>
        <v>-133477.649546191</v>
      </c>
      <c r="AR131" s="327" t="n">
        <f aca="false">+AP131+AQ131</f>
        <v>5205628.33230144</v>
      </c>
      <c r="AS131" s="333"/>
      <c r="AT131" s="346" t="n">
        <f aca="false">+DATE(YEAR(AT130),MONTH(AT130)+1,1)</f>
        <v>40148</v>
      </c>
      <c r="AU131" s="343" t="n">
        <f aca="false">+AR131*(VLOOKUP(AT131,CURVECALC!$C$6:$J$312,4,0)+AV$5)</f>
        <v>18105175.3397444</v>
      </c>
      <c r="AV131" s="350" t="n">
        <f aca="false">-AN131*INDEX(ship_curves,MATCH(AT131,'SHIP CURVES'!$A$9:$A$316,0),MATCH(CONCATENATE(AX$4,AX$5,AX$6,AX$7),'SHIP CURVES'!$A$9:$AZ$9,0))</f>
        <v>-1792176.97370076</v>
      </c>
      <c r="AW131" s="351" t="n">
        <f aca="false">-AP131*INDEX(port_processing_fee,MATCH(AT131,PORTS!$H$626:$H$933,0),MATCH(AX$5,PORTS!$H$626:$Z$626,0))</f>
        <v>-159087.124826385</v>
      </c>
      <c r="AX131" s="352" t="n">
        <f aca="false">(((VLOOKUP(AT131,curvecalc,4,0))*IF(AN131=0,0,AR131/AN131)-INDEX(ship_curves,MATCH(AT131,'SHIP CURVES'!$A$9:$A$316,0),MATCH(CONCATENATE(AX$4,AX$5,AX$6,AX$7),'SHIP CURVES'!$A$9:$Z$9,0))-INDEX(terminal_curves,MATCH(AT131,'TERMINAL CURVES'!$A$4:$A$313,0),MATCH(AX$5,'TERMINAL CURVES'!$A$4:$N$4,0))*IF(AN131=0,0,AP131/AN131))-(AV$8)*((AV$7-$N$5)-(INDEX(ship_curves,MATCH(AT131,'SHIP CURVES'!$A$9:$A$316,0),MATCH(CONCATENATE(AX$4,AX$5,AX$6,AX$7),'SHIP CURVES'!$A$9:$Z$9,0))-INDEX(ship_curves,MATCH(AT131,'SHIP CURVES'!$A$9:$A$316,0),MATCH(CONCATENATE(AX$4,AV$6,AX$6,AX$7),'SHIP CURVES'!$A$9:$Z$9,0)))-(INDEX(terminal_curves,MATCH(AT131,'TERMINAL CURVES'!$A$4:$A$313,0),MATCH(AX$5,'TERMINAL CURVES'!$A$4:$N$4,0))-INDEX(terminal_curves,MATCH(AT131,'TERMINAL CURVES'!$A$4:$A$313,0),MATCH(AV$6,'TERMINAL CURVES'!$A$4:$N$4,0)))*IF(AN131=0,0,AP131/AN131)))*-AN131</f>
        <v>-15052098.0368192</v>
      </c>
      <c r="AY131" s="356" t="n">
        <f aca="false">SUM(AV131:AX131)</f>
        <v>-17003362.1353463</v>
      </c>
      <c r="AZ131" s="357" t="n">
        <f aca="false">(-AP131/((HLOOKUP(AX$5,port_specs,2,0)/(365.25))*(AT132-AT131)))*(INDEX(fixed_capacity_charge,MATCH(AT131,PORTS!$H$11:$H$317,0),MATCH(AX$5,PORTS!$H$11:$N$11,0))+INDEX(variable_om_charge,MATCH(AT131,PORTS!$H$318:$H$625,0),MATCH(AX$5,PORTS!$H$318:$N$318,0)))</f>
        <v>-997700.637752071</v>
      </c>
      <c r="BA131" s="343" t="n">
        <f aca="false">+AZ131+AY131</f>
        <v>-18001062.7730984</v>
      </c>
      <c r="BB131" s="355" t="n">
        <f aca="false">+BA131+AU131</f>
        <v>104112.566646032</v>
      </c>
      <c r="BC131" s="99"/>
      <c r="BD131" s="357" t="n">
        <f aca="false">+PORTS!I125+PORTS!I433</f>
        <v>997700.637752071</v>
      </c>
    </row>
    <row r="132" customFormat="false" ht="12.75" hidden="false" customHeight="false" outlineLevel="0" collapsed="false">
      <c r="A132" s="346" t="n">
        <f aca="false">+DATE(YEAR(A131),MONTH(A131)+1,1)</f>
        <v>40179</v>
      </c>
      <c r="B132" s="327" t="n">
        <f aca="false">+IF(AND($A132&gt;=$C$8,$A132&lt;=$C$9),1,0)*PORTS!$I$5/(365.25)*(A133-A132)</f>
        <v>5339105.98184763</v>
      </c>
      <c r="C132" s="328" t="n">
        <f aca="false">+B132-(SUMIF($F$17:$IV$17,$H$17,$F132:$IV132))</f>
        <v>0</v>
      </c>
      <c r="D132" s="0" t="n">
        <f aca="false">+YEAR(E132)</f>
        <v>2010</v>
      </c>
      <c r="E132" s="346" t="n">
        <f aca="false">+DATE(YEAR(E131),MONTH(E131)+1,1)</f>
        <v>40179</v>
      </c>
      <c r="F132" s="327" t="n">
        <f aca="false">+IF(AND(G$8&lt;=E132,G$9&gt;=E132),INDEX(ROUTE_PER_DAY_BY_SHIP,MATCH(CONCATENATE(G$4,G$5,G$7),ROUTE_PER_DAY_ROUTES,0),MATCH(G$6,ROUTE_PER_DAY_SHIPS,0))*(E133-E132),0)</f>
        <v>0</v>
      </c>
      <c r="G132" s="347" t="n">
        <f aca="false">-F132*HLOOKUP(G$6,SHIPS,7,0)*INDEX(LADEN_VOYAGE_DAYS,MATCH(CONCATENATE(G$4,G$5,G$7),LADEN_VOYAGE_ROUTES,0),MATCH(G$6,LADEN_VOYAGE_SHIPS,0))</f>
        <v>-0</v>
      </c>
      <c r="H132" s="348" t="n">
        <f aca="false">SUM(F132:G132)</f>
        <v>0</v>
      </c>
      <c r="I132" s="349" t="n">
        <f aca="false">-(H132)*HLOOKUP(G$5,TERMINAL_CHARGES,3,0)</f>
        <v>-0</v>
      </c>
      <c r="J132" s="327" t="n">
        <f aca="false">+H132+I132</f>
        <v>0</v>
      </c>
      <c r="K132" s="333"/>
      <c r="L132" s="346" t="n">
        <f aca="false">+DATE(YEAR(L131),MONTH(L131)+1,1)</f>
        <v>40179</v>
      </c>
      <c r="M132" s="334" t="n">
        <f aca="false">+J132*(VLOOKUP(L132,CURVECALC!$C$6:$J$312,4,0)+N$5)</f>
        <v>0</v>
      </c>
      <c r="N132" s="350" t="n">
        <f aca="false">-F132*INDEX(ship_curves,MATCH(L132,'SHIP CURVES'!$A$9:$A$316,0),MATCH(CONCATENATE(P$4,P$5,P$6,P$7),'SHIP CURVES'!$A$9:$AZ$9,0))</f>
        <v>-0</v>
      </c>
      <c r="O132" s="351" t="n">
        <f aca="false">-H132*INDEX(port_processing_fee,MATCH(L132,PORTS!$H$626:$H$933,0),MATCH(P$5,PORTS!$H$626:$Z$626,0))</f>
        <v>-0</v>
      </c>
      <c r="P132" s="352" t="n">
        <f aca="false">(((VLOOKUP(L132,curvecalc,4,0))*IF(F132=0,0,J132/F132)-INDEX(ship_curves,MATCH(L132,'SHIP CURVES'!$A$9:$A$316,0),MATCH(CONCATENATE(P$4,P$5,P$6,P$7),'SHIP CURVES'!$A$9:$Z$9,0))-INDEX(terminal_curves,MATCH(L132,'TERMINAL CURVES'!$A$4:$A$313,0),MATCH(P$5,'TERMINAL CURVES'!$A$4:$N$4,0))*IF(F132=0,0,H132/F132))-(N$8)*((N$7-$N$5)-(INDEX(ship_curves,MATCH(L132,'SHIP CURVES'!$A$9:$A$316,0),MATCH(CONCATENATE(P$4,P$5,P$6,P$7),'SHIP CURVES'!$A$9:$Z$9,0))-INDEX(ship_curves,MATCH(L132,'SHIP CURVES'!$A$9:$A$316,0),MATCH(CONCATENATE(P$4,N$6,P$6,P$7),'SHIP CURVES'!$A$9:$Z$9,0)))-(INDEX(terminal_curves,MATCH(L132,'TERMINAL CURVES'!$A$4:$A$313,0),MATCH(P$5,'TERMINAL CURVES'!$A$4:$N$4,0))-INDEX(terminal_curves,MATCH(L132,'TERMINAL CURVES'!$A$4:$A$313,0),MATCH(N$6,'TERMINAL CURVES'!$A$4:$N$4,0)))*IF(F132=0,0,H132/F132)))*-F132</f>
        <v>0</v>
      </c>
      <c r="Q132" s="353" t="n">
        <f aca="false">SUM(N132:P132)</f>
        <v>0</v>
      </c>
      <c r="R132" s="357" t="n">
        <f aca="false">(-H132/((HLOOKUP(P$5,port_specs,2,0)/(365.25))*(L133-L132)))*(INDEX(fixed_capacity_charge,MATCH(L132,PORTS!$H$11:$H$317,0),MATCH(P$5,PORTS!$H$11:$N$11,0))+INDEX(variable_om_charge,MATCH(L132,PORTS!$H$318:$H$625,0),MATCH(P$5,PORTS!$H$318:$N$318,0)))</f>
        <v>-0</v>
      </c>
      <c r="S132" s="343" t="n">
        <f aca="false">+R132+Q132</f>
        <v>0</v>
      </c>
      <c r="T132" s="355" t="n">
        <f aca="false">+S132+M132</f>
        <v>0</v>
      </c>
      <c r="V132" s="346" t="n">
        <f aca="false">+DATE(YEAR(V131),MONTH(V131)+1,1)</f>
        <v>40179</v>
      </c>
      <c r="W132" s="327" t="n">
        <f aca="false">+Y132/(1-HLOOKUP(X$6,SHIPS,7,0)*INDEX(LADEN_VOYAGE_DAYS,MATCH(CONCATENATE(X$4,X$5),LADEN_VOYAGE_ROUTES,0),MATCH(X$6,LADEN_VOYAGE_SHIPS,0)))</f>
        <v>0</v>
      </c>
      <c r="X132" s="347" t="n">
        <f aca="false">+Y132-W132</f>
        <v>0</v>
      </c>
      <c r="Y132" s="348" t="n">
        <f aca="false">+IF(AND(X$8&lt;=V132,X$9&gt;=V132),+MIN($B132-SUMIF($H$17:X$17,Y$17,$H132:X132),((INDEX(ROUTE_PER_DAY_BY_SHIP,MATCH(CONCATENATE(X$4,X$5,X$7),ROUTE_PER_DAY_ROUTES,0),MATCH(X$6,ROUTE_PER_DAY_SHIPS,0))*(V133-V132))-(INDEX(ROUTE_PER_DAY_BY_SHIP,MATCH(CONCATENATE(X$4,X$5,X$7),ROUTE_PER_DAY_ROUTES,0),MATCH(X$6,ROUTE_PER_DAY_SHIPS,0))*(V133-V132))*HLOOKUP(X$6,SHIPS,7,0)*INDEX(LADEN_VOYAGE_DAYS,MATCH(CONCATENATE(X$4,X$5,X$7),LADEN_VOYAGE_ROUTES,0),MATCH(X$6,LADEN_VOYAGE_SHIPS,0)))),0)</f>
        <v>0</v>
      </c>
      <c r="Z132" s="349" t="n">
        <f aca="false">-(Y132)*HLOOKUP(X$5,TERMINAL_CHARGES,3,0)</f>
        <v>-0</v>
      </c>
      <c r="AA132" s="327" t="n">
        <f aca="false">+Y132+Z132</f>
        <v>0</v>
      </c>
      <c r="AB132" s="333"/>
      <c r="AC132" s="346" t="n">
        <f aca="false">+DATE(YEAR(AC131),MONTH(AC131)+1,1)</f>
        <v>40179</v>
      </c>
      <c r="AD132" s="343" t="n">
        <f aca="false">+AA132*(VLOOKUP(AC132,CURVECALC!$C$6:$J$312,4,0)+AE$5)</f>
        <v>0</v>
      </c>
      <c r="AE132" s="350" t="n">
        <f aca="false">-W132*INDEX(ship_curves,MATCH(AC132,'SHIP CURVES'!$A$9:$A$316,0),MATCH(CONCATENATE(AG$4,AG$5,AG$6,AG$7),'SHIP CURVES'!$A$9:$AZ$9,0))</f>
        <v>-0</v>
      </c>
      <c r="AF132" s="351" t="n">
        <f aca="false">-Y132*INDEX(port_processing_fee,MATCH(AC132,PORTS!$H$626:$H$933,0),MATCH(AG$5,PORTS!$H$626:$Z$626,0))</f>
        <v>-0</v>
      </c>
      <c r="AG132" s="352" t="n">
        <f aca="false">(((VLOOKUP(AC132,curvecalc,4,0))*IF(W132=0,0,AA132/W132)-INDEX(ship_curves,MATCH(AC132,'SHIP CURVES'!$A$9:$A$316,0),MATCH(CONCATENATE(AG$4,AG$5,AG$6,AG$7),'SHIP CURVES'!$A$9:$Z$9,0))-INDEX(terminal_curves,MATCH(AC132,'TERMINAL CURVES'!$A$4:$A$313,0),MATCH(AG$5,'TERMINAL CURVES'!$A$4:$N$4,0))*IF(W132=0,0,Y132/W132))-(AE$8)*((AE$7-$N$5)-(INDEX(ship_curves,MATCH(AC132,'SHIP CURVES'!$A$9:$A$316,0),MATCH(CONCATENATE(AG$4,AG$5,AG$6,AG$7),'SHIP CURVES'!$A$9:$Z$9,0))-INDEX(ship_curves,MATCH(AC132,'SHIP CURVES'!$A$9:$A$316,0),MATCH(CONCATENATE(AG$4,AE$6,AG$6,AG$7),'SHIP CURVES'!$A$9:$Z$9,0)))-(INDEX(terminal_curves,MATCH(AC132,'TERMINAL CURVES'!$A$4:$A$313,0),MATCH(AG$5,'TERMINAL CURVES'!$A$4:$N$4,0))-INDEX(terminal_curves,MATCH(AC132,'TERMINAL CURVES'!$A$4:$A$313,0),MATCH(AE$6,'TERMINAL CURVES'!$A$4:$N$4,0)))*IF(W132=0,0,Y132/W132)))*-W132</f>
        <v>0</v>
      </c>
      <c r="AH132" s="356" t="n">
        <f aca="false">SUM(AE132:AG132)</f>
        <v>0</v>
      </c>
      <c r="AI132" s="357" t="n">
        <f aca="false">(-Y132/((HLOOKUP(AG$5,port_specs,2,0)/(365.25))*(AC133-AC132)))*(INDEX(fixed_capacity_charge,MATCH(AC132,PORTS!$H$11:$H$317,0),MATCH(AG$5,PORTS!$H$11:$N$11,0))+INDEX(variable_om_charge,MATCH(AC132,PORTS!$H$318:$H$625,0),MATCH(AG$5,PORTS!$H$318:$N$318,0)))</f>
        <v>-0</v>
      </c>
      <c r="AJ132" s="343" t="n">
        <f aca="false">+AI132+AH132</f>
        <v>0</v>
      </c>
      <c r="AK132" s="355" t="n">
        <f aca="false">+AJ132+AD132</f>
        <v>0</v>
      </c>
      <c r="AM132" s="346" t="n">
        <f aca="false">+DATE(YEAR(AM131),MONTH(AM131)+1,1)</f>
        <v>40179</v>
      </c>
      <c r="AN132" s="327" t="n">
        <f aca="false">+AP132/(1-HLOOKUP(AO$6,SHIPS,7,0)*INDEX(LADEN_VOYAGE_DAYS,MATCH(CONCATENATE(AO$4,AO$5),LADEN_VOYAGE_ROUTES,0),MATCH(AO$6,LADEN_VOYAGE_SHIPS,0)))</f>
        <v>5395761.47735991</v>
      </c>
      <c r="AO132" s="347" t="n">
        <f aca="false">+AP132-AN132</f>
        <v>-56655.4955122788</v>
      </c>
      <c r="AP132" s="348" t="n">
        <f aca="false">+IF(AND(AO$8&lt;=AM132,AO$9&gt;=AM132),+MIN($B132-SUMIF($H$17:AO$17,AP$17,$H132:AO132),((INDEX(ROUTE_PER_DAY_BY_SHIP,MATCH(CONCATENATE(AO$4,AO$5,AO$7),ROUTE_PER_DAY_ROUTES,0),MATCH(AO$6,ROUTE_PER_DAY_SHIPS,0))*(AM133-AM132))-(INDEX(ROUTE_PER_DAY_BY_SHIP,MATCH(CONCATENATE(AO$4,AO$5,AO$7),ROUTE_PER_DAY_ROUTES,0),MATCH(AO$6,ROUTE_PER_DAY_SHIPS,0))*(AM133-AM132))*HLOOKUP(AO$6,SHIPS,7,0)*INDEX(LADEN_VOYAGE_DAYS,MATCH(CONCATENATE(AO$4,AO$5,AO$7),LADEN_VOYAGE_ROUTES,0),MATCH(AO$6,LADEN_VOYAGE_SHIPS,0)))),0)</f>
        <v>5339105.98184763</v>
      </c>
      <c r="AQ132" s="349" t="n">
        <f aca="false">-(AP132)*PORTS!$I$6</f>
        <v>-133477.649546191</v>
      </c>
      <c r="AR132" s="327" t="n">
        <f aca="false">+AP132+AQ132</f>
        <v>5205628.33230144</v>
      </c>
      <c r="AS132" s="333"/>
      <c r="AT132" s="346" t="n">
        <f aca="false">+DATE(YEAR(AT131),MONTH(AT131)+1,1)</f>
        <v>40179</v>
      </c>
      <c r="AU132" s="343" t="n">
        <f aca="false">+AR132*(VLOOKUP(AT132,CURVECALC!$C$6:$J$312,4,0)+AV$5)</f>
        <v>18943281.501245</v>
      </c>
      <c r="AV132" s="350" t="n">
        <f aca="false">-AN132*INDEX(ship_curves,MATCH(AT132,'SHIP CURVES'!$A$9:$A$316,0),MATCH(CONCATENATE(AX$4,AX$5,AX$6,AX$7),'SHIP CURVES'!$A$9:$AZ$9,0))</f>
        <v>-1792714.99296469</v>
      </c>
      <c r="AW132" s="351" t="n">
        <f aca="false">-AP132*INDEX(port_processing_fee,MATCH(AT132,PORTS!$H$626:$H$933,0),MATCH(AX$5,PORTS!$H$626:$Z$626,0))</f>
        <v>-159252.840581412</v>
      </c>
      <c r="AX132" s="352" t="n">
        <f aca="false">(((VLOOKUP(AT132,curvecalc,4,0))*IF(AN132=0,0,AR132/AN132)-INDEX(ship_curves,MATCH(AT132,'SHIP CURVES'!$A$9:$A$316,0),MATCH(CONCATENATE(AX$4,AX$5,AX$6,AX$7),'SHIP CURVES'!$A$9:$Z$9,0))-INDEX(terminal_curves,MATCH(AT132,'TERMINAL CURVES'!$A$4:$A$313,0),MATCH(AX$5,'TERMINAL CURVES'!$A$4:$N$4,0))*IF(AN132=0,0,AP132/AN132))-(AV$8)*((AV$7-$N$5)-(INDEX(ship_curves,MATCH(AT132,'SHIP CURVES'!$A$9:$A$316,0),MATCH(CONCATENATE(AX$4,AX$5,AX$6,AX$7),'SHIP CURVES'!$A$9:$Z$9,0))-INDEX(ship_curves,MATCH(AT132,'SHIP CURVES'!$A$9:$A$316,0),MATCH(CONCATENATE(AX$4,AV$6,AX$6,AX$7),'SHIP CURVES'!$A$9:$Z$9,0)))-(INDEX(terminal_curves,MATCH(AT132,'TERMINAL CURVES'!$A$4:$A$313,0),MATCH(AX$5,'TERMINAL CURVES'!$A$4:$N$4,0))-INDEX(terminal_curves,MATCH(AT132,'TERMINAL CURVES'!$A$4:$A$313,0),MATCH(AV$6,'TERMINAL CURVES'!$A$4:$N$4,0)))*IF(AN132=0,0,AP132/AN132)))*-AN132</f>
        <v>-15888966.5944811</v>
      </c>
      <c r="AY132" s="356" t="n">
        <f aca="false">SUM(AV132:AX132)</f>
        <v>-17840934.4280272</v>
      </c>
      <c r="AZ132" s="357" t="n">
        <f aca="false">(-AP132/((HLOOKUP(AX$5,port_specs,2,0)/(365.25))*(AT133-AT132)))*(INDEX(fixed_capacity_charge,MATCH(AT132,PORTS!$H$11:$H$317,0),MATCH(AX$5,PORTS!$H$11:$N$11,0))+INDEX(variable_om_charge,MATCH(AT132,PORTS!$H$318:$H$625,0),MATCH(AX$5,PORTS!$H$318:$N$318,0)))</f>
        <v>-998234.5065717</v>
      </c>
      <c r="BA132" s="343" t="n">
        <f aca="false">+AZ132+AY132</f>
        <v>-18839168.9345989</v>
      </c>
      <c r="BB132" s="355" t="n">
        <f aca="false">+BA132+AU132</f>
        <v>104112.566646032</v>
      </c>
      <c r="BC132" s="99"/>
      <c r="BD132" s="357" t="n">
        <f aca="false">+PORTS!I126+PORTS!I434</f>
        <v>998234.5065717</v>
      </c>
    </row>
    <row r="133" customFormat="false" ht="12.75" hidden="false" customHeight="false" outlineLevel="0" collapsed="false">
      <c r="A133" s="346" t="n">
        <f aca="false">+DATE(YEAR(A132),MONTH(A132)+1,1)</f>
        <v>40210</v>
      </c>
      <c r="B133" s="327" t="n">
        <f aca="false">+IF(AND($A133&gt;=$C$8,$A133&lt;=$C$9),1,0)*PORTS!$I$5/(365.25)*(A134-A133)</f>
        <v>4822418.30618496</v>
      </c>
      <c r="C133" s="328" t="n">
        <f aca="false">+B133-(SUMIF($F$17:$IV$17,$H$17,$F133:$IV133))</f>
        <v>0</v>
      </c>
      <c r="D133" s="0" t="n">
        <f aca="false">+YEAR(E133)</f>
        <v>2010</v>
      </c>
      <c r="E133" s="346" t="n">
        <f aca="false">+DATE(YEAR(E132),MONTH(E132)+1,1)</f>
        <v>40210</v>
      </c>
      <c r="F133" s="327" t="n">
        <f aca="false">+IF(AND(G$8&lt;=E133,G$9&gt;=E133),INDEX(ROUTE_PER_DAY_BY_SHIP,MATCH(CONCATENATE(G$4,G$5,G$7),ROUTE_PER_DAY_ROUTES,0),MATCH(G$6,ROUTE_PER_DAY_SHIPS,0))*(E134-E133),0)</f>
        <v>0</v>
      </c>
      <c r="G133" s="347" t="n">
        <f aca="false">-F133*HLOOKUP(G$6,SHIPS,7,0)*INDEX(LADEN_VOYAGE_DAYS,MATCH(CONCATENATE(G$4,G$5,G$7),LADEN_VOYAGE_ROUTES,0),MATCH(G$6,LADEN_VOYAGE_SHIPS,0))</f>
        <v>-0</v>
      </c>
      <c r="H133" s="348" t="n">
        <f aca="false">SUM(F133:G133)</f>
        <v>0</v>
      </c>
      <c r="I133" s="349" t="n">
        <f aca="false">-(H133)*HLOOKUP(G$5,TERMINAL_CHARGES,3,0)</f>
        <v>-0</v>
      </c>
      <c r="J133" s="327" t="n">
        <f aca="false">+H133+I133</f>
        <v>0</v>
      </c>
      <c r="K133" s="333"/>
      <c r="L133" s="346" t="n">
        <f aca="false">+DATE(YEAR(L132),MONTH(L132)+1,1)</f>
        <v>40210</v>
      </c>
      <c r="M133" s="334" t="n">
        <f aca="false">+J133*(VLOOKUP(L133,CURVECALC!$C$6:$J$312,4,0)+N$5)</f>
        <v>0</v>
      </c>
      <c r="N133" s="350" t="n">
        <f aca="false">-F133*INDEX(ship_curves,MATCH(L133,'SHIP CURVES'!$A$9:$A$316,0),MATCH(CONCATENATE(P$4,P$5,P$6,P$7),'SHIP CURVES'!$A$9:$AZ$9,0))</f>
        <v>-0</v>
      </c>
      <c r="O133" s="351" t="n">
        <f aca="false">-H133*INDEX(port_processing_fee,MATCH(L133,PORTS!$H$626:$H$933,0),MATCH(P$5,PORTS!$H$626:$Z$626,0))</f>
        <v>-0</v>
      </c>
      <c r="P133" s="352" t="n">
        <f aca="false">(((VLOOKUP(L133,curvecalc,4,0))*IF(F133=0,0,J133/F133)-INDEX(ship_curves,MATCH(L133,'SHIP CURVES'!$A$9:$A$316,0),MATCH(CONCATENATE(P$4,P$5,P$6,P$7),'SHIP CURVES'!$A$9:$Z$9,0))-INDEX(terminal_curves,MATCH(L133,'TERMINAL CURVES'!$A$4:$A$313,0),MATCH(P$5,'TERMINAL CURVES'!$A$4:$N$4,0))*IF(F133=0,0,H133/F133))-(N$8)*((N$7-$N$5)-(INDEX(ship_curves,MATCH(L133,'SHIP CURVES'!$A$9:$A$316,0),MATCH(CONCATENATE(P$4,P$5,P$6,P$7),'SHIP CURVES'!$A$9:$Z$9,0))-INDEX(ship_curves,MATCH(L133,'SHIP CURVES'!$A$9:$A$316,0),MATCH(CONCATENATE(P$4,N$6,P$6,P$7),'SHIP CURVES'!$A$9:$Z$9,0)))-(INDEX(terminal_curves,MATCH(L133,'TERMINAL CURVES'!$A$4:$A$313,0),MATCH(P$5,'TERMINAL CURVES'!$A$4:$N$4,0))-INDEX(terminal_curves,MATCH(L133,'TERMINAL CURVES'!$A$4:$A$313,0),MATCH(N$6,'TERMINAL CURVES'!$A$4:$N$4,0)))*IF(F133=0,0,H133/F133)))*-F133</f>
        <v>0</v>
      </c>
      <c r="Q133" s="353" t="n">
        <f aca="false">SUM(N133:P133)</f>
        <v>0</v>
      </c>
      <c r="R133" s="357" t="n">
        <f aca="false">(-H133/((HLOOKUP(P$5,port_specs,2,0)/(365.25))*(L134-L133)))*(INDEX(fixed_capacity_charge,MATCH(L133,PORTS!$H$11:$H$317,0),MATCH(P$5,PORTS!$H$11:$N$11,0))+INDEX(variable_om_charge,MATCH(L133,PORTS!$H$318:$H$625,0),MATCH(P$5,PORTS!$H$318:$N$318,0)))</f>
        <v>-0</v>
      </c>
      <c r="S133" s="343" t="n">
        <f aca="false">+R133+Q133</f>
        <v>0</v>
      </c>
      <c r="T133" s="355" t="n">
        <f aca="false">+S133+M133</f>
        <v>0</v>
      </c>
      <c r="V133" s="346" t="n">
        <f aca="false">+DATE(YEAR(V132),MONTH(V132)+1,1)</f>
        <v>40210</v>
      </c>
      <c r="W133" s="327" t="n">
        <f aca="false">+Y133/(1-HLOOKUP(X$6,SHIPS,7,0)*INDEX(LADEN_VOYAGE_DAYS,MATCH(CONCATENATE(X$4,X$5),LADEN_VOYAGE_ROUTES,0),MATCH(X$6,LADEN_VOYAGE_SHIPS,0)))</f>
        <v>0</v>
      </c>
      <c r="X133" s="347" t="n">
        <f aca="false">+Y133-W133</f>
        <v>0</v>
      </c>
      <c r="Y133" s="348" t="n">
        <f aca="false">+IF(AND(X$8&lt;=V133,X$9&gt;=V133),+MIN($B133-SUMIF($H$17:X$17,Y$17,$H133:X133),((INDEX(ROUTE_PER_DAY_BY_SHIP,MATCH(CONCATENATE(X$4,X$5,X$7),ROUTE_PER_DAY_ROUTES,0),MATCH(X$6,ROUTE_PER_DAY_SHIPS,0))*(V134-V133))-(INDEX(ROUTE_PER_DAY_BY_SHIP,MATCH(CONCATENATE(X$4,X$5,X$7),ROUTE_PER_DAY_ROUTES,0),MATCH(X$6,ROUTE_PER_DAY_SHIPS,0))*(V134-V133))*HLOOKUP(X$6,SHIPS,7,0)*INDEX(LADEN_VOYAGE_DAYS,MATCH(CONCATENATE(X$4,X$5,X$7),LADEN_VOYAGE_ROUTES,0),MATCH(X$6,LADEN_VOYAGE_SHIPS,0)))),0)</f>
        <v>0</v>
      </c>
      <c r="Z133" s="349" t="n">
        <f aca="false">-(Y133)*HLOOKUP(X$5,TERMINAL_CHARGES,3,0)</f>
        <v>-0</v>
      </c>
      <c r="AA133" s="327" t="n">
        <f aca="false">+Y133+Z133</f>
        <v>0</v>
      </c>
      <c r="AB133" s="333"/>
      <c r="AC133" s="346" t="n">
        <f aca="false">+DATE(YEAR(AC132),MONTH(AC132)+1,1)</f>
        <v>40210</v>
      </c>
      <c r="AD133" s="343" t="n">
        <f aca="false">+AA133*(VLOOKUP(AC133,CURVECALC!$C$6:$J$312,4,0)+AE$5)</f>
        <v>0</v>
      </c>
      <c r="AE133" s="350" t="n">
        <f aca="false">-W133*INDEX(ship_curves,MATCH(AC133,'SHIP CURVES'!$A$9:$A$316,0),MATCH(CONCATENATE(AG$4,AG$5,AG$6,AG$7),'SHIP CURVES'!$A$9:$AZ$9,0))</f>
        <v>-0</v>
      </c>
      <c r="AF133" s="351" t="n">
        <f aca="false">-Y133*INDEX(port_processing_fee,MATCH(AC133,PORTS!$H$626:$H$933,0),MATCH(AG$5,PORTS!$H$626:$Z$626,0))</f>
        <v>-0</v>
      </c>
      <c r="AG133" s="352" t="n">
        <f aca="false">(((VLOOKUP(AC133,curvecalc,4,0))*IF(W133=0,0,AA133/W133)-INDEX(ship_curves,MATCH(AC133,'SHIP CURVES'!$A$9:$A$316,0),MATCH(CONCATENATE(AG$4,AG$5,AG$6,AG$7),'SHIP CURVES'!$A$9:$Z$9,0))-INDEX(terminal_curves,MATCH(AC133,'TERMINAL CURVES'!$A$4:$A$313,0),MATCH(AG$5,'TERMINAL CURVES'!$A$4:$N$4,0))*IF(W133=0,0,Y133/W133))-(AE$8)*((AE$7-$N$5)-(INDEX(ship_curves,MATCH(AC133,'SHIP CURVES'!$A$9:$A$316,0),MATCH(CONCATENATE(AG$4,AG$5,AG$6,AG$7),'SHIP CURVES'!$A$9:$Z$9,0))-INDEX(ship_curves,MATCH(AC133,'SHIP CURVES'!$A$9:$A$316,0),MATCH(CONCATENATE(AG$4,AE$6,AG$6,AG$7),'SHIP CURVES'!$A$9:$Z$9,0)))-(INDEX(terminal_curves,MATCH(AC133,'TERMINAL CURVES'!$A$4:$A$313,0),MATCH(AG$5,'TERMINAL CURVES'!$A$4:$N$4,0))-INDEX(terminal_curves,MATCH(AC133,'TERMINAL CURVES'!$A$4:$A$313,0),MATCH(AE$6,'TERMINAL CURVES'!$A$4:$N$4,0)))*IF(W133=0,0,Y133/W133)))*-W133</f>
        <v>0</v>
      </c>
      <c r="AH133" s="356" t="n">
        <f aca="false">SUM(AE133:AG133)</f>
        <v>0</v>
      </c>
      <c r="AI133" s="357" t="n">
        <f aca="false">(-Y133/((HLOOKUP(AG$5,port_specs,2,0)/(365.25))*(AC134-AC133)))*(INDEX(fixed_capacity_charge,MATCH(AC133,PORTS!$H$11:$H$317,0),MATCH(AG$5,PORTS!$H$11:$N$11,0))+INDEX(variable_om_charge,MATCH(AC133,PORTS!$H$318:$H$625,0),MATCH(AG$5,PORTS!$H$318:$N$318,0)))</f>
        <v>-0</v>
      </c>
      <c r="AJ133" s="343" t="n">
        <f aca="false">+AI133+AH133</f>
        <v>0</v>
      </c>
      <c r="AK133" s="355" t="n">
        <f aca="false">+AJ133+AD133</f>
        <v>0</v>
      </c>
      <c r="AM133" s="346" t="n">
        <f aca="false">+DATE(YEAR(AM132),MONTH(AM132)+1,1)</f>
        <v>40210</v>
      </c>
      <c r="AN133" s="327" t="n">
        <f aca="false">+AP133/(1-HLOOKUP(AO$6,SHIPS,7,0)*INDEX(LADEN_VOYAGE_DAYS,MATCH(CONCATENATE(AO$4,AO$5),LADEN_VOYAGE_ROUTES,0),MATCH(AO$6,LADEN_VOYAGE_SHIPS,0)))</f>
        <v>4873591.01180895</v>
      </c>
      <c r="AO133" s="347" t="n">
        <f aca="false">+AP133-AN133</f>
        <v>-51172.7056239937</v>
      </c>
      <c r="AP133" s="348" t="n">
        <f aca="false">+IF(AND(AO$8&lt;=AM133,AO$9&gt;=AM133),+MIN($B133-SUMIF($H$17:AO$17,AP$17,$H133:AO133),((INDEX(ROUTE_PER_DAY_BY_SHIP,MATCH(CONCATENATE(AO$4,AO$5,AO$7),ROUTE_PER_DAY_ROUTES,0),MATCH(AO$6,ROUTE_PER_DAY_SHIPS,0))*(AM134-AM133))-(INDEX(ROUTE_PER_DAY_BY_SHIP,MATCH(CONCATENATE(AO$4,AO$5,AO$7),ROUTE_PER_DAY_ROUTES,0),MATCH(AO$6,ROUTE_PER_DAY_SHIPS,0))*(AM134-AM133))*HLOOKUP(AO$6,SHIPS,7,0)*INDEX(LADEN_VOYAGE_DAYS,MATCH(CONCATENATE(AO$4,AO$5,AO$7),LADEN_VOYAGE_ROUTES,0),MATCH(AO$6,LADEN_VOYAGE_SHIPS,0)))),0)</f>
        <v>4822418.30618496</v>
      </c>
      <c r="AQ133" s="349" t="n">
        <f aca="false">-(AP133)*PORTS!$I$6</f>
        <v>-120560.457654624</v>
      </c>
      <c r="AR133" s="327" t="n">
        <f aca="false">+AP133+AQ133</f>
        <v>4701857.84853034</v>
      </c>
      <c r="AS133" s="333"/>
      <c r="AT133" s="346" t="n">
        <f aca="false">+DATE(YEAR(AT132),MONTH(AT132)+1,1)</f>
        <v>40210</v>
      </c>
      <c r="AU133" s="343" t="n">
        <f aca="false">+AR133*(VLOOKUP(AT133,CURVECALC!$C$6:$J$312,4,0)+AV$5)</f>
        <v>16630471.2102518</v>
      </c>
      <c r="AV133" s="350" t="n">
        <f aca="false">-AN133*INDEX(ship_curves,MATCH(AT133,'SHIP CURVES'!$A$9:$A$316,0),MATCH(CONCATENATE(AX$4,AX$5,AX$6,AX$7),'SHIP CURVES'!$A$9:$AZ$9,0))</f>
        <v>-1619713.41054381</v>
      </c>
      <c r="AW133" s="351" t="n">
        <f aca="false">-AP133*INDEX(port_processing_fee,MATCH(AT133,PORTS!$H$626:$H$933,0),MATCH(AX$5,PORTS!$H$626:$Z$626,0))</f>
        <v>-143991.110025694</v>
      </c>
      <c r="AX133" s="352" t="n">
        <f aca="false">(((VLOOKUP(AT133,curvecalc,4,0))*IF(AN133=0,0,AR133/AN133)-INDEX(ship_curves,MATCH(AT133,'SHIP CURVES'!$A$9:$A$316,0),MATCH(CONCATENATE(AX$4,AX$5,AX$6,AX$7),'SHIP CURVES'!$A$9:$Z$9,0))-INDEX(terminal_curves,MATCH(AT133,'TERMINAL CURVES'!$A$4:$A$313,0),MATCH(AX$5,'TERMINAL CURVES'!$A$4:$N$4,0))*IF(AN133=0,0,AP133/AN133))-(AV$8)*((AV$7-$N$5)-(INDEX(ship_curves,MATCH(AT133,'SHIP CURVES'!$A$9:$A$316,0),MATCH(CONCATENATE(AX$4,AX$5,AX$6,AX$7),'SHIP CURVES'!$A$9:$Z$9,0))-INDEX(ship_curves,MATCH(AT133,'SHIP CURVES'!$A$9:$A$316,0),MATCH(CONCATENATE(AX$4,AV$6,AX$6,AX$7),'SHIP CURVES'!$A$9:$Z$9,0)))-(INDEX(terminal_curves,MATCH(AT133,'TERMINAL CURVES'!$A$4:$A$313,0),MATCH(AX$5,'TERMINAL CURVES'!$A$4:$N$4,0))-INDEX(terminal_curves,MATCH(AT133,'TERMINAL CURVES'!$A$4:$A$313,0),MATCH(AV$6,'TERMINAL CURVES'!$A$4:$N$4,0)))*IF(AN133=0,0,AP133/AN133)))*-AN133</f>
        <v>-13773960.601207</v>
      </c>
      <c r="AY133" s="356" t="n">
        <f aca="false">SUM(AV133:AX133)</f>
        <v>-15537665.1217765</v>
      </c>
      <c r="AZ133" s="357" t="n">
        <f aca="false">(-AP133/((HLOOKUP(AX$5,port_specs,2,0)/(365.25))*(AT134-AT133)))*(INDEX(fixed_capacity_charge,MATCH(AT133,PORTS!$H$11:$H$317,0),MATCH(AX$5,PORTS!$H$11:$N$11,0))+INDEX(variable_om_charge,MATCH(AT133,PORTS!$H$318:$H$625,0),MATCH(AX$5,PORTS!$H$318:$N$318,0)))</f>
        <v>-998768.931504683</v>
      </c>
      <c r="BA133" s="343" t="n">
        <f aca="false">+AZ133+AY133</f>
        <v>-16536434.0532812</v>
      </c>
      <c r="BB133" s="355" t="n">
        <f aca="false">+BA133+AU133</f>
        <v>94037.1569706053</v>
      </c>
      <c r="BC133" s="99"/>
      <c r="BD133" s="357" t="n">
        <f aca="false">+PORTS!I127+PORTS!I435</f>
        <v>998768.931504683</v>
      </c>
    </row>
    <row r="134" customFormat="false" ht="12.75" hidden="false" customHeight="false" outlineLevel="0" collapsed="false">
      <c r="A134" s="346" t="n">
        <f aca="false">+DATE(YEAR(A133),MONTH(A133)+1,1)</f>
        <v>40238</v>
      </c>
      <c r="B134" s="327" t="n">
        <f aca="false">+IF(AND($A134&gt;=$C$8,$A134&lt;=$C$9),1,0)*PORTS!$I$5/(365.25)*(A135-A134)</f>
        <v>5339105.98184763</v>
      </c>
      <c r="C134" s="328" t="n">
        <f aca="false">+B134-(SUMIF($F$17:$IV$17,$H$17,$F134:$IV134))</f>
        <v>0</v>
      </c>
      <c r="D134" s="0" t="n">
        <f aca="false">+YEAR(E134)</f>
        <v>2010</v>
      </c>
      <c r="E134" s="346" t="n">
        <f aca="false">+DATE(YEAR(E133),MONTH(E133)+1,1)</f>
        <v>40238</v>
      </c>
      <c r="F134" s="327" t="n">
        <f aca="false">+IF(AND(G$8&lt;=E134,G$9&gt;=E134),INDEX(ROUTE_PER_DAY_BY_SHIP,MATCH(CONCATENATE(G$4,G$5,G$7),ROUTE_PER_DAY_ROUTES,0),MATCH(G$6,ROUTE_PER_DAY_SHIPS,0))*(E135-E134),0)</f>
        <v>0</v>
      </c>
      <c r="G134" s="347" t="n">
        <f aca="false">-F134*HLOOKUP(G$6,SHIPS,7,0)*INDEX(LADEN_VOYAGE_DAYS,MATCH(CONCATENATE(G$4,G$5,G$7),LADEN_VOYAGE_ROUTES,0),MATCH(G$6,LADEN_VOYAGE_SHIPS,0))</f>
        <v>-0</v>
      </c>
      <c r="H134" s="348" t="n">
        <f aca="false">SUM(F134:G134)</f>
        <v>0</v>
      </c>
      <c r="I134" s="349" t="n">
        <f aca="false">-(H134)*HLOOKUP(G$5,TERMINAL_CHARGES,3,0)</f>
        <v>-0</v>
      </c>
      <c r="J134" s="327" t="n">
        <f aca="false">+H134+I134</f>
        <v>0</v>
      </c>
      <c r="K134" s="333"/>
      <c r="L134" s="346" t="n">
        <f aca="false">+DATE(YEAR(L133),MONTH(L133)+1,1)</f>
        <v>40238</v>
      </c>
      <c r="M134" s="334" t="n">
        <f aca="false">+J134*(VLOOKUP(L134,CURVECALC!$C$6:$J$312,4,0)+N$5)</f>
        <v>0</v>
      </c>
      <c r="N134" s="350" t="n">
        <f aca="false">-F134*INDEX(ship_curves,MATCH(L134,'SHIP CURVES'!$A$9:$A$316,0),MATCH(CONCATENATE(P$4,P$5,P$6,P$7),'SHIP CURVES'!$A$9:$AZ$9,0))</f>
        <v>-0</v>
      </c>
      <c r="O134" s="351" t="n">
        <f aca="false">-H134*INDEX(port_processing_fee,MATCH(L134,PORTS!$H$626:$H$933,0),MATCH(P$5,PORTS!$H$626:$Z$626,0))</f>
        <v>-0</v>
      </c>
      <c r="P134" s="352" t="n">
        <f aca="false">(((VLOOKUP(L134,curvecalc,4,0))*IF(F134=0,0,J134/F134)-INDEX(ship_curves,MATCH(L134,'SHIP CURVES'!$A$9:$A$316,0),MATCH(CONCATENATE(P$4,P$5,P$6,P$7),'SHIP CURVES'!$A$9:$Z$9,0))-INDEX(terminal_curves,MATCH(L134,'TERMINAL CURVES'!$A$4:$A$313,0),MATCH(P$5,'TERMINAL CURVES'!$A$4:$N$4,0))*IF(F134=0,0,H134/F134))-(N$8)*((N$7-$N$5)-(INDEX(ship_curves,MATCH(L134,'SHIP CURVES'!$A$9:$A$316,0),MATCH(CONCATENATE(P$4,P$5,P$6,P$7),'SHIP CURVES'!$A$9:$Z$9,0))-INDEX(ship_curves,MATCH(L134,'SHIP CURVES'!$A$9:$A$316,0),MATCH(CONCATENATE(P$4,N$6,P$6,P$7),'SHIP CURVES'!$A$9:$Z$9,0)))-(INDEX(terminal_curves,MATCH(L134,'TERMINAL CURVES'!$A$4:$A$313,0),MATCH(P$5,'TERMINAL CURVES'!$A$4:$N$4,0))-INDEX(terminal_curves,MATCH(L134,'TERMINAL CURVES'!$A$4:$A$313,0),MATCH(N$6,'TERMINAL CURVES'!$A$4:$N$4,0)))*IF(F134=0,0,H134/F134)))*-F134</f>
        <v>0</v>
      </c>
      <c r="Q134" s="353" t="n">
        <f aca="false">SUM(N134:P134)</f>
        <v>0</v>
      </c>
      <c r="R134" s="357" t="n">
        <f aca="false">(-H134/((HLOOKUP(P$5,port_specs,2,0)/(365.25))*(L135-L134)))*(INDEX(fixed_capacity_charge,MATCH(L134,PORTS!$H$11:$H$317,0),MATCH(P$5,PORTS!$H$11:$N$11,0))+INDEX(variable_om_charge,MATCH(L134,PORTS!$H$318:$H$625,0),MATCH(P$5,PORTS!$H$318:$N$318,0)))</f>
        <v>-0</v>
      </c>
      <c r="S134" s="343" t="n">
        <f aca="false">+R134+Q134</f>
        <v>0</v>
      </c>
      <c r="T134" s="355" t="n">
        <f aca="false">+S134+M134</f>
        <v>0</v>
      </c>
      <c r="V134" s="346" t="n">
        <f aca="false">+DATE(YEAR(V133),MONTH(V133)+1,1)</f>
        <v>40238</v>
      </c>
      <c r="W134" s="327" t="n">
        <f aca="false">+Y134/(1-HLOOKUP(X$6,SHIPS,7,0)*INDEX(LADEN_VOYAGE_DAYS,MATCH(CONCATENATE(X$4,X$5),LADEN_VOYAGE_ROUTES,0),MATCH(X$6,LADEN_VOYAGE_SHIPS,0)))</f>
        <v>0</v>
      </c>
      <c r="X134" s="347" t="n">
        <f aca="false">+Y134-W134</f>
        <v>0</v>
      </c>
      <c r="Y134" s="348" t="n">
        <f aca="false">+IF(AND(X$8&lt;=V134,X$9&gt;=V134),+MIN($B134-SUMIF($H$17:X$17,Y$17,$H134:X134),((INDEX(ROUTE_PER_DAY_BY_SHIP,MATCH(CONCATENATE(X$4,X$5,X$7),ROUTE_PER_DAY_ROUTES,0),MATCH(X$6,ROUTE_PER_DAY_SHIPS,0))*(V135-V134))-(INDEX(ROUTE_PER_DAY_BY_SHIP,MATCH(CONCATENATE(X$4,X$5,X$7),ROUTE_PER_DAY_ROUTES,0),MATCH(X$6,ROUTE_PER_DAY_SHIPS,0))*(V135-V134))*HLOOKUP(X$6,SHIPS,7,0)*INDEX(LADEN_VOYAGE_DAYS,MATCH(CONCATENATE(X$4,X$5,X$7),LADEN_VOYAGE_ROUTES,0),MATCH(X$6,LADEN_VOYAGE_SHIPS,0)))),0)</f>
        <v>0</v>
      </c>
      <c r="Z134" s="349" t="n">
        <f aca="false">-(Y134)*HLOOKUP(X$5,TERMINAL_CHARGES,3,0)</f>
        <v>-0</v>
      </c>
      <c r="AA134" s="327" t="n">
        <f aca="false">+Y134+Z134</f>
        <v>0</v>
      </c>
      <c r="AB134" s="333"/>
      <c r="AC134" s="346" t="n">
        <f aca="false">+DATE(YEAR(AC133),MONTH(AC133)+1,1)</f>
        <v>40238</v>
      </c>
      <c r="AD134" s="343" t="n">
        <f aca="false">+AA134*(VLOOKUP(AC134,CURVECALC!$C$6:$J$312,4,0)+AE$5)</f>
        <v>0</v>
      </c>
      <c r="AE134" s="350" t="n">
        <f aca="false">-W134*INDEX(ship_curves,MATCH(AC134,'SHIP CURVES'!$A$9:$A$316,0),MATCH(CONCATENATE(AG$4,AG$5,AG$6,AG$7),'SHIP CURVES'!$A$9:$AZ$9,0))</f>
        <v>-0</v>
      </c>
      <c r="AF134" s="351" t="n">
        <f aca="false">-Y134*INDEX(port_processing_fee,MATCH(AC134,PORTS!$H$626:$H$933,0),MATCH(AG$5,PORTS!$H$626:$Z$626,0))</f>
        <v>-0</v>
      </c>
      <c r="AG134" s="352" t="n">
        <f aca="false">(((VLOOKUP(AC134,curvecalc,4,0))*IF(W134=0,0,AA134/W134)-INDEX(ship_curves,MATCH(AC134,'SHIP CURVES'!$A$9:$A$316,0),MATCH(CONCATENATE(AG$4,AG$5,AG$6,AG$7),'SHIP CURVES'!$A$9:$Z$9,0))-INDEX(terminal_curves,MATCH(AC134,'TERMINAL CURVES'!$A$4:$A$313,0),MATCH(AG$5,'TERMINAL CURVES'!$A$4:$N$4,0))*IF(W134=0,0,Y134/W134))-(AE$8)*((AE$7-$N$5)-(INDEX(ship_curves,MATCH(AC134,'SHIP CURVES'!$A$9:$A$316,0),MATCH(CONCATENATE(AG$4,AG$5,AG$6,AG$7),'SHIP CURVES'!$A$9:$Z$9,0))-INDEX(ship_curves,MATCH(AC134,'SHIP CURVES'!$A$9:$A$316,0),MATCH(CONCATENATE(AG$4,AE$6,AG$6,AG$7),'SHIP CURVES'!$A$9:$Z$9,0)))-(INDEX(terminal_curves,MATCH(AC134,'TERMINAL CURVES'!$A$4:$A$313,0),MATCH(AG$5,'TERMINAL CURVES'!$A$4:$N$4,0))-INDEX(terminal_curves,MATCH(AC134,'TERMINAL CURVES'!$A$4:$A$313,0),MATCH(AE$6,'TERMINAL CURVES'!$A$4:$N$4,0)))*IF(W134=0,0,Y134/W134)))*-W134</f>
        <v>0</v>
      </c>
      <c r="AH134" s="356" t="n">
        <f aca="false">SUM(AE134:AG134)</f>
        <v>0</v>
      </c>
      <c r="AI134" s="357" t="n">
        <f aca="false">(-Y134/((HLOOKUP(AG$5,port_specs,2,0)/(365.25))*(AC135-AC134)))*(INDEX(fixed_capacity_charge,MATCH(AC134,PORTS!$H$11:$H$317,0),MATCH(AG$5,PORTS!$H$11:$N$11,0))+INDEX(variable_om_charge,MATCH(AC134,PORTS!$H$318:$H$625,0),MATCH(AG$5,PORTS!$H$318:$N$318,0)))</f>
        <v>-0</v>
      </c>
      <c r="AJ134" s="343" t="n">
        <f aca="false">+AI134+AH134</f>
        <v>0</v>
      </c>
      <c r="AK134" s="355" t="n">
        <f aca="false">+AJ134+AD134</f>
        <v>0</v>
      </c>
      <c r="AM134" s="346" t="n">
        <f aca="false">+DATE(YEAR(AM133),MONTH(AM133)+1,1)</f>
        <v>40238</v>
      </c>
      <c r="AN134" s="327" t="n">
        <f aca="false">+AP134/(1-HLOOKUP(AO$6,SHIPS,7,0)*INDEX(LADEN_VOYAGE_DAYS,MATCH(CONCATENATE(AO$4,AO$5),LADEN_VOYAGE_ROUTES,0),MATCH(AO$6,LADEN_VOYAGE_SHIPS,0)))</f>
        <v>5395761.47735991</v>
      </c>
      <c r="AO134" s="347" t="n">
        <f aca="false">+AP134-AN134</f>
        <v>-56655.4955122788</v>
      </c>
      <c r="AP134" s="348" t="n">
        <f aca="false">+IF(AND(AO$8&lt;=AM134,AO$9&gt;=AM134),+MIN($B134-SUMIF($H$17:AO$17,AP$17,$H134:AO134),((INDEX(ROUTE_PER_DAY_BY_SHIP,MATCH(CONCATENATE(AO$4,AO$5,AO$7),ROUTE_PER_DAY_ROUTES,0),MATCH(AO$6,ROUTE_PER_DAY_SHIPS,0))*(AM135-AM134))-(INDEX(ROUTE_PER_DAY_BY_SHIP,MATCH(CONCATENATE(AO$4,AO$5,AO$7),ROUTE_PER_DAY_ROUTES,0),MATCH(AO$6,ROUTE_PER_DAY_SHIPS,0))*(AM135-AM134))*HLOOKUP(AO$6,SHIPS,7,0)*INDEX(LADEN_VOYAGE_DAYS,MATCH(CONCATENATE(AO$4,AO$5,AO$7),LADEN_VOYAGE_ROUTES,0),MATCH(AO$6,LADEN_VOYAGE_SHIPS,0)))),0)</f>
        <v>5339105.98184763</v>
      </c>
      <c r="AQ134" s="349" t="n">
        <f aca="false">-(AP134)*PORTS!$I$6</f>
        <v>-133477.649546191</v>
      </c>
      <c r="AR134" s="327" t="n">
        <f aca="false">+AP134+AQ134</f>
        <v>5205628.33230144</v>
      </c>
      <c r="AS134" s="333"/>
      <c r="AT134" s="346" t="n">
        <f aca="false">+DATE(YEAR(AT133),MONTH(AT133)+1,1)</f>
        <v>40238</v>
      </c>
      <c r="AU134" s="343" t="n">
        <f aca="false">+AR134*(VLOOKUP(AT134,CURVECALC!$C$6:$J$312,4,0)+AV$5)</f>
        <v>17792837.6398063</v>
      </c>
      <c r="AV134" s="350" t="n">
        <f aca="false">-AN134*INDEX(ship_curves,MATCH(AT134,'SHIP CURVES'!$A$9:$A$316,0),MATCH(CONCATENATE(AX$4,AX$5,AX$6,AX$7),'SHIP CURVES'!$A$9:$AZ$9,0))</f>
        <v>-1793794.39644809</v>
      </c>
      <c r="AW134" s="351" t="n">
        <f aca="false">-AP134*INDEX(port_processing_fee,MATCH(AT134,PORTS!$H$626:$H$933,0),MATCH(AX$5,PORTS!$H$626:$Z$626,0))</f>
        <v>-159584.790133015</v>
      </c>
      <c r="AX134" s="352" t="n">
        <f aca="false">(((VLOOKUP(AT134,curvecalc,4,0))*IF(AN134=0,0,AR134/AN134)-INDEX(ship_curves,MATCH(AT134,'SHIP CURVES'!$A$9:$A$316,0),MATCH(CONCATENATE(AX$4,AX$5,AX$6,AX$7),'SHIP CURVES'!$A$9:$Z$9,0))-INDEX(terminal_curves,MATCH(AT134,'TERMINAL CURVES'!$A$4:$A$313,0),MATCH(AX$5,'TERMINAL CURVES'!$A$4:$N$4,0))*IF(AN134=0,0,AP134/AN134))-(AV$8)*((AV$7-$N$5)-(INDEX(ship_curves,MATCH(AT134,'SHIP CURVES'!$A$9:$A$316,0),MATCH(CONCATENATE(AX$4,AX$5,AX$6,AX$7),'SHIP CURVES'!$A$9:$Z$9,0))-INDEX(ship_curves,MATCH(AT134,'SHIP CURVES'!$A$9:$A$316,0),MATCH(CONCATENATE(AX$4,AV$6,AX$6,AX$7),'SHIP CURVES'!$A$9:$Z$9,0)))-(INDEX(terminal_curves,MATCH(AT134,'TERMINAL CURVES'!$A$4:$A$313,0),MATCH(AX$5,'TERMINAL CURVES'!$A$4:$N$4,0))-INDEX(terminal_curves,MATCH(AT134,'TERMINAL CURVES'!$A$4:$A$313,0),MATCH(AV$6,'TERMINAL CURVES'!$A$4:$N$4,0)))*IF(AN134=0,0,AP134/AN134)))*-AN134</f>
        <v>-14736041.9734489</v>
      </c>
      <c r="AY134" s="356" t="n">
        <f aca="false">SUM(AV134:AX134)</f>
        <v>-16689421.16003</v>
      </c>
      <c r="AZ134" s="357" t="n">
        <f aca="false">(-AP134/((HLOOKUP(AX$5,port_specs,2,0)/(365.25))*(AT135-AT134)))*(INDEX(fixed_capacity_charge,MATCH(AT134,PORTS!$H$11:$H$317,0),MATCH(AX$5,PORTS!$H$11:$N$11,0))+INDEX(variable_om_charge,MATCH(AT134,PORTS!$H$318:$H$625,0),MATCH(AX$5,PORTS!$H$318:$N$318,0)))</f>
        <v>-999303.913130304</v>
      </c>
      <c r="BA134" s="343" t="n">
        <f aca="false">+AZ134+AY134</f>
        <v>-17688725.0731603</v>
      </c>
      <c r="BB134" s="355" t="n">
        <f aca="false">+BA134+AU134</f>
        <v>104112.566646028</v>
      </c>
      <c r="BC134" s="99"/>
      <c r="BD134" s="357" t="n">
        <f aca="false">+PORTS!I128+PORTS!I436</f>
        <v>999303.913130304</v>
      </c>
    </row>
    <row r="135" customFormat="false" ht="12.75" hidden="false" customHeight="false" outlineLevel="0" collapsed="false">
      <c r="A135" s="346" t="n">
        <f aca="false">+DATE(YEAR(A134),MONTH(A134)+1,1)</f>
        <v>40269</v>
      </c>
      <c r="B135" s="327" t="n">
        <f aca="false">+IF(AND($A135&gt;=$C$8,$A135&lt;=$C$9),1,0)*PORTS!$I$5/(365.25)*(A136-A135)</f>
        <v>5166876.75662674</v>
      </c>
      <c r="C135" s="328" t="n">
        <f aca="false">+B135-(SUMIF($F$17:$IV$17,$H$17,$F135:$IV135))</f>
        <v>0</v>
      </c>
      <c r="D135" s="0" t="n">
        <f aca="false">+YEAR(E135)</f>
        <v>2010</v>
      </c>
      <c r="E135" s="346" t="n">
        <f aca="false">+DATE(YEAR(E134),MONTH(E134)+1,1)</f>
        <v>40269</v>
      </c>
      <c r="F135" s="327" t="n">
        <f aca="false">+IF(AND(G$8&lt;=E135,G$9&gt;=E135),INDEX(ROUTE_PER_DAY_BY_SHIP,MATCH(CONCATENATE(G$4,G$5,G$7),ROUTE_PER_DAY_ROUTES,0),MATCH(G$6,ROUTE_PER_DAY_SHIPS,0))*(E136-E135),0)</f>
        <v>0</v>
      </c>
      <c r="G135" s="347" t="n">
        <f aca="false">-F135*HLOOKUP(G$6,SHIPS,7,0)*INDEX(LADEN_VOYAGE_DAYS,MATCH(CONCATENATE(G$4,G$5,G$7),LADEN_VOYAGE_ROUTES,0),MATCH(G$6,LADEN_VOYAGE_SHIPS,0))</f>
        <v>-0</v>
      </c>
      <c r="H135" s="348" t="n">
        <f aca="false">SUM(F135:G135)</f>
        <v>0</v>
      </c>
      <c r="I135" s="349" t="n">
        <f aca="false">-(H135)*HLOOKUP(G$5,TERMINAL_CHARGES,3,0)</f>
        <v>-0</v>
      </c>
      <c r="J135" s="327" t="n">
        <f aca="false">+H135+I135</f>
        <v>0</v>
      </c>
      <c r="K135" s="333"/>
      <c r="L135" s="346" t="n">
        <f aca="false">+DATE(YEAR(L134),MONTH(L134)+1,1)</f>
        <v>40269</v>
      </c>
      <c r="M135" s="334" t="n">
        <f aca="false">+J135*(VLOOKUP(L135,CURVECALC!$C$6:$J$312,4,0)+N$5)</f>
        <v>0</v>
      </c>
      <c r="N135" s="350" t="n">
        <f aca="false">-F135*INDEX(ship_curves,MATCH(L135,'SHIP CURVES'!$A$9:$A$316,0),MATCH(CONCATENATE(P$4,P$5,P$6,P$7),'SHIP CURVES'!$A$9:$AZ$9,0))</f>
        <v>-0</v>
      </c>
      <c r="O135" s="351" t="n">
        <f aca="false">-H135*INDEX(port_processing_fee,MATCH(L135,PORTS!$H$626:$H$933,0),MATCH(P$5,PORTS!$H$626:$Z$626,0))</f>
        <v>-0</v>
      </c>
      <c r="P135" s="352" t="n">
        <f aca="false">(((VLOOKUP(L135,curvecalc,4,0))*IF(F135=0,0,J135/F135)-INDEX(ship_curves,MATCH(L135,'SHIP CURVES'!$A$9:$A$316,0),MATCH(CONCATENATE(P$4,P$5,P$6,P$7),'SHIP CURVES'!$A$9:$Z$9,0))-INDEX(terminal_curves,MATCH(L135,'TERMINAL CURVES'!$A$4:$A$313,0),MATCH(P$5,'TERMINAL CURVES'!$A$4:$N$4,0))*IF(F135=0,0,H135/F135))-(N$8)*((N$7-$N$5)-(INDEX(ship_curves,MATCH(L135,'SHIP CURVES'!$A$9:$A$316,0),MATCH(CONCATENATE(P$4,P$5,P$6,P$7),'SHIP CURVES'!$A$9:$Z$9,0))-INDEX(ship_curves,MATCH(L135,'SHIP CURVES'!$A$9:$A$316,0),MATCH(CONCATENATE(P$4,N$6,P$6,P$7),'SHIP CURVES'!$A$9:$Z$9,0)))-(INDEX(terminal_curves,MATCH(L135,'TERMINAL CURVES'!$A$4:$A$313,0),MATCH(P$5,'TERMINAL CURVES'!$A$4:$N$4,0))-INDEX(terminal_curves,MATCH(L135,'TERMINAL CURVES'!$A$4:$A$313,0),MATCH(N$6,'TERMINAL CURVES'!$A$4:$N$4,0)))*IF(F135=0,0,H135/F135)))*-F135</f>
        <v>0</v>
      </c>
      <c r="Q135" s="353" t="n">
        <f aca="false">SUM(N135:P135)</f>
        <v>0</v>
      </c>
      <c r="R135" s="357" t="n">
        <f aca="false">(-H135/((HLOOKUP(P$5,port_specs,2,0)/(365.25))*(L136-L135)))*(INDEX(fixed_capacity_charge,MATCH(L135,PORTS!$H$11:$H$317,0),MATCH(P$5,PORTS!$H$11:$N$11,0))+INDEX(variable_om_charge,MATCH(L135,PORTS!$H$318:$H$625,0),MATCH(P$5,PORTS!$H$318:$N$318,0)))</f>
        <v>-0</v>
      </c>
      <c r="S135" s="343" t="n">
        <f aca="false">+R135+Q135</f>
        <v>0</v>
      </c>
      <c r="T135" s="355" t="n">
        <f aca="false">+S135+M135</f>
        <v>0</v>
      </c>
      <c r="V135" s="346" t="n">
        <f aca="false">+DATE(YEAR(V134),MONTH(V134)+1,1)</f>
        <v>40269</v>
      </c>
      <c r="W135" s="327" t="n">
        <f aca="false">+Y135/(1-HLOOKUP(X$6,SHIPS,7,0)*INDEX(LADEN_VOYAGE_DAYS,MATCH(CONCATENATE(X$4,X$5),LADEN_VOYAGE_ROUTES,0),MATCH(X$6,LADEN_VOYAGE_SHIPS,0)))</f>
        <v>0</v>
      </c>
      <c r="X135" s="347" t="n">
        <f aca="false">+Y135-W135</f>
        <v>0</v>
      </c>
      <c r="Y135" s="348" t="n">
        <f aca="false">+IF(AND(X$8&lt;=V135,X$9&gt;=V135),+MIN($B135-SUMIF($H$17:X$17,Y$17,$H135:X135),((INDEX(ROUTE_PER_DAY_BY_SHIP,MATCH(CONCATENATE(X$4,X$5,X$7),ROUTE_PER_DAY_ROUTES,0),MATCH(X$6,ROUTE_PER_DAY_SHIPS,0))*(V136-V135))-(INDEX(ROUTE_PER_DAY_BY_SHIP,MATCH(CONCATENATE(X$4,X$5,X$7),ROUTE_PER_DAY_ROUTES,0),MATCH(X$6,ROUTE_PER_DAY_SHIPS,0))*(V136-V135))*HLOOKUP(X$6,SHIPS,7,0)*INDEX(LADEN_VOYAGE_DAYS,MATCH(CONCATENATE(X$4,X$5,X$7),LADEN_VOYAGE_ROUTES,0),MATCH(X$6,LADEN_VOYAGE_SHIPS,0)))),0)</f>
        <v>0</v>
      </c>
      <c r="Z135" s="349" t="n">
        <f aca="false">-(Y135)*HLOOKUP(X$5,TERMINAL_CHARGES,3,0)</f>
        <v>-0</v>
      </c>
      <c r="AA135" s="327" t="n">
        <f aca="false">+Y135+Z135</f>
        <v>0</v>
      </c>
      <c r="AB135" s="333"/>
      <c r="AC135" s="346" t="n">
        <f aca="false">+DATE(YEAR(AC134),MONTH(AC134)+1,1)</f>
        <v>40269</v>
      </c>
      <c r="AD135" s="343" t="n">
        <f aca="false">+AA135*(VLOOKUP(AC135,CURVECALC!$C$6:$J$312,4,0)+AE$5)</f>
        <v>0</v>
      </c>
      <c r="AE135" s="350" t="n">
        <f aca="false">-W135*INDEX(ship_curves,MATCH(AC135,'SHIP CURVES'!$A$9:$A$316,0),MATCH(CONCATENATE(AG$4,AG$5,AG$6,AG$7),'SHIP CURVES'!$A$9:$AZ$9,0))</f>
        <v>-0</v>
      </c>
      <c r="AF135" s="351" t="n">
        <f aca="false">-Y135*INDEX(port_processing_fee,MATCH(AC135,PORTS!$H$626:$H$933,0),MATCH(AG$5,PORTS!$H$626:$Z$626,0))</f>
        <v>-0</v>
      </c>
      <c r="AG135" s="352" t="n">
        <f aca="false">(((VLOOKUP(AC135,curvecalc,4,0))*IF(W135=0,0,AA135/W135)-INDEX(ship_curves,MATCH(AC135,'SHIP CURVES'!$A$9:$A$316,0),MATCH(CONCATENATE(AG$4,AG$5,AG$6,AG$7),'SHIP CURVES'!$A$9:$Z$9,0))-INDEX(terminal_curves,MATCH(AC135,'TERMINAL CURVES'!$A$4:$A$313,0),MATCH(AG$5,'TERMINAL CURVES'!$A$4:$N$4,0))*IF(W135=0,0,Y135/W135))-(AE$8)*((AE$7-$N$5)-(INDEX(ship_curves,MATCH(AC135,'SHIP CURVES'!$A$9:$A$316,0),MATCH(CONCATENATE(AG$4,AG$5,AG$6,AG$7),'SHIP CURVES'!$A$9:$Z$9,0))-INDEX(ship_curves,MATCH(AC135,'SHIP CURVES'!$A$9:$A$316,0),MATCH(CONCATENATE(AG$4,AE$6,AG$6,AG$7),'SHIP CURVES'!$A$9:$Z$9,0)))-(INDEX(terminal_curves,MATCH(AC135,'TERMINAL CURVES'!$A$4:$A$313,0),MATCH(AG$5,'TERMINAL CURVES'!$A$4:$N$4,0))-INDEX(terminal_curves,MATCH(AC135,'TERMINAL CURVES'!$A$4:$A$313,0),MATCH(AE$6,'TERMINAL CURVES'!$A$4:$N$4,0)))*IF(W135=0,0,Y135/W135)))*-W135</f>
        <v>0</v>
      </c>
      <c r="AH135" s="356" t="n">
        <f aca="false">SUM(AE135:AG135)</f>
        <v>0</v>
      </c>
      <c r="AI135" s="357" t="n">
        <f aca="false">(-Y135/((HLOOKUP(AG$5,port_specs,2,0)/(365.25))*(AC136-AC135)))*(INDEX(fixed_capacity_charge,MATCH(AC135,PORTS!$H$11:$H$317,0),MATCH(AG$5,PORTS!$H$11:$N$11,0))+INDEX(variable_om_charge,MATCH(AC135,PORTS!$H$318:$H$625,0),MATCH(AG$5,PORTS!$H$318:$N$318,0)))</f>
        <v>-0</v>
      </c>
      <c r="AJ135" s="343" t="n">
        <f aca="false">+AI135+AH135</f>
        <v>0</v>
      </c>
      <c r="AK135" s="355" t="n">
        <f aca="false">+AJ135+AD135</f>
        <v>0</v>
      </c>
      <c r="AM135" s="346" t="n">
        <f aca="false">+DATE(YEAR(AM134),MONTH(AM134)+1,1)</f>
        <v>40269</v>
      </c>
      <c r="AN135" s="327" t="n">
        <f aca="false">+AP135/(1-HLOOKUP(AO$6,SHIPS,7,0)*INDEX(LADEN_VOYAGE_DAYS,MATCH(CONCATENATE(AO$4,AO$5),LADEN_VOYAGE_ROUTES,0),MATCH(AO$6,LADEN_VOYAGE_SHIPS,0)))</f>
        <v>5221704.65550959</v>
      </c>
      <c r="AO135" s="347" t="n">
        <f aca="false">+AP135-AN135</f>
        <v>-54827.8988828501</v>
      </c>
      <c r="AP135" s="348" t="n">
        <f aca="false">+IF(AND(AO$8&lt;=AM135,AO$9&gt;=AM135),+MIN($B135-SUMIF($H$17:AO$17,AP$17,$H135:AO135),((INDEX(ROUTE_PER_DAY_BY_SHIP,MATCH(CONCATENATE(AO$4,AO$5,AO$7),ROUTE_PER_DAY_ROUTES,0),MATCH(AO$6,ROUTE_PER_DAY_SHIPS,0))*(AM136-AM135))-(INDEX(ROUTE_PER_DAY_BY_SHIP,MATCH(CONCATENATE(AO$4,AO$5,AO$7),ROUTE_PER_DAY_ROUTES,0),MATCH(AO$6,ROUTE_PER_DAY_SHIPS,0))*(AM136-AM135))*HLOOKUP(AO$6,SHIPS,7,0)*INDEX(LADEN_VOYAGE_DAYS,MATCH(CONCATENATE(AO$4,AO$5,AO$7),LADEN_VOYAGE_ROUTES,0),MATCH(AO$6,LADEN_VOYAGE_SHIPS,0)))),0)</f>
        <v>5166876.75662674</v>
      </c>
      <c r="AQ135" s="349" t="n">
        <f aca="false">-(AP135)*PORTS!$I$6</f>
        <v>-129171.918915669</v>
      </c>
      <c r="AR135" s="327" t="n">
        <f aca="false">+AP135+AQ135</f>
        <v>5037704.83771107</v>
      </c>
      <c r="AS135" s="333"/>
      <c r="AT135" s="346" t="n">
        <f aca="false">+DATE(YEAR(AT134),MONTH(AT134)+1,1)</f>
        <v>40269</v>
      </c>
      <c r="AU135" s="343" t="n">
        <f aca="false">+AR135*(VLOOKUP(AT135,CURVECALC!$C$6:$J$312,4,0)+AV$5)</f>
        <v>16619388.2596088</v>
      </c>
      <c r="AV135" s="350" t="n">
        <f aca="false">-AN135*INDEX(ship_curves,MATCH(AT135,'SHIP CURVES'!$A$9:$A$316,0),MATCH(CONCATENATE(AX$4,AX$5,AX$6,AX$7),'SHIP CURVES'!$A$9:$AZ$9,0))</f>
        <v>-1736453.98581556</v>
      </c>
      <c r="AW135" s="351" t="n">
        <f aca="false">-AP135*INDEX(port_processing_fee,MATCH(AT135,PORTS!$H$626:$H$933,0),MATCH(AX$5,PORTS!$H$626:$Z$626,0))</f>
        <v>-154597.765441358</v>
      </c>
      <c r="AX135" s="352" t="n">
        <f aca="false">(((VLOOKUP(AT135,curvecalc,4,0))*IF(AN135=0,0,AR135/AN135)-INDEX(ship_curves,MATCH(AT135,'SHIP CURVES'!$A$9:$A$316,0),MATCH(CONCATENATE(AX$4,AX$5,AX$6,AX$7),'SHIP CURVES'!$A$9:$Z$9,0))-INDEX(terminal_curves,MATCH(AT135,'TERMINAL CURVES'!$A$4:$A$313,0),MATCH(AX$5,'TERMINAL CURVES'!$A$4:$N$4,0))*IF(AN135=0,0,AP135/AN135))-(AV$8)*((AV$7-$N$5)-(INDEX(ship_curves,MATCH(AT135,'SHIP CURVES'!$A$9:$A$316,0),MATCH(CONCATENATE(AX$4,AX$5,AX$6,AX$7),'SHIP CURVES'!$A$9:$Z$9,0))-INDEX(ship_curves,MATCH(AT135,'SHIP CURVES'!$A$9:$A$316,0),MATCH(CONCATENATE(AX$4,AV$6,AX$6,AX$7),'SHIP CURVES'!$A$9:$Z$9,0)))-(INDEX(terminal_curves,MATCH(AT135,'TERMINAL CURVES'!$A$4:$A$313,0),MATCH(AX$5,'TERMINAL CURVES'!$A$4:$N$4,0))-INDEX(terminal_curves,MATCH(AT135,'TERMINAL CURVES'!$A$4:$A$313,0),MATCH(AV$6,'TERMINAL CURVES'!$A$4:$N$4,0)))*IF(AN135=0,0,AP135/AN135)))*-AN135</f>
        <v>-13627742.9595692</v>
      </c>
      <c r="AY135" s="356" t="n">
        <f aca="false">SUM(AV135:AX135)</f>
        <v>-15518794.7108262</v>
      </c>
      <c r="AZ135" s="357" t="n">
        <f aca="false">(-AP135/((HLOOKUP(AX$5,port_specs,2,0)/(365.25))*(AT136-AT135)))*(INDEX(fixed_capacity_charge,MATCH(AT135,PORTS!$H$11:$H$317,0),MATCH(AX$5,PORTS!$H$11:$N$11,0))+INDEX(variable_om_charge,MATCH(AT135,PORTS!$H$318:$H$625,0),MATCH(AX$5,PORTS!$H$318:$N$318,0)))</f>
        <v>-999839.452028452</v>
      </c>
      <c r="BA135" s="343" t="n">
        <f aca="false">+AZ135+AY135</f>
        <v>-16518634.1628546</v>
      </c>
      <c r="BB135" s="355" t="n">
        <f aca="false">+BA135+AU135</f>
        <v>100754.096754223</v>
      </c>
      <c r="BC135" s="99"/>
      <c r="BD135" s="357" t="n">
        <f aca="false">+PORTS!I129+PORTS!I437</f>
        <v>999839.452028452</v>
      </c>
    </row>
    <row r="136" customFormat="false" ht="12.75" hidden="false" customHeight="false" outlineLevel="0" collapsed="false">
      <c r="A136" s="346" t="n">
        <f aca="false">+DATE(YEAR(A135),MONTH(A135)+1,1)</f>
        <v>40299</v>
      </c>
      <c r="B136" s="327" t="n">
        <f aca="false">+IF(AND($A136&gt;=$C$8,$A136&lt;=$C$9),1,0)*PORTS!$I$5/(365.25)*(A137-A136)</f>
        <v>5339105.98184763</v>
      </c>
      <c r="C136" s="328" t="n">
        <f aca="false">+B136-(SUMIF($F$17:$IV$17,$H$17,$F136:$IV136))</f>
        <v>0</v>
      </c>
      <c r="D136" s="0" t="n">
        <f aca="false">+YEAR(E136)</f>
        <v>2010</v>
      </c>
      <c r="E136" s="346" t="n">
        <f aca="false">+DATE(YEAR(E135),MONTH(E135)+1,1)</f>
        <v>40299</v>
      </c>
      <c r="F136" s="327" t="n">
        <f aca="false">+IF(AND(G$8&lt;=E136,G$9&gt;=E136),INDEX(ROUTE_PER_DAY_BY_SHIP,MATCH(CONCATENATE(G$4,G$5,G$7),ROUTE_PER_DAY_ROUTES,0),MATCH(G$6,ROUTE_PER_DAY_SHIPS,0))*(E137-E136),0)</f>
        <v>0</v>
      </c>
      <c r="G136" s="347" t="n">
        <f aca="false">-F136*HLOOKUP(G$6,SHIPS,7,0)*INDEX(LADEN_VOYAGE_DAYS,MATCH(CONCATENATE(G$4,G$5,G$7),LADEN_VOYAGE_ROUTES,0),MATCH(G$6,LADEN_VOYAGE_SHIPS,0))</f>
        <v>-0</v>
      </c>
      <c r="H136" s="348" t="n">
        <f aca="false">SUM(F136:G136)</f>
        <v>0</v>
      </c>
      <c r="I136" s="349" t="n">
        <f aca="false">-(H136)*HLOOKUP(G$5,TERMINAL_CHARGES,3,0)</f>
        <v>-0</v>
      </c>
      <c r="J136" s="327" t="n">
        <f aca="false">+H136+I136</f>
        <v>0</v>
      </c>
      <c r="K136" s="333"/>
      <c r="L136" s="346" t="n">
        <f aca="false">+DATE(YEAR(L135),MONTH(L135)+1,1)</f>
        <v>40299</v>
      </c>
      <c r="M136" s="334" t="n">
        <f aca="false">+J136*(VLOOKUP(L136,CURVECALC!$C$6:$J$312,4,0)+N$5)</f>
        <v>0</v>
      </c>
      <c r="N136" s="350" t="n">
        <f aca="false">-F136*INDEX(ship_curves,MATCH(L136,'SHIP CURVES'!$A$9:$A$316,0),MATCH(CONCATENATE(P$4,P$5,P$6,P$7),'SHIP CURVES'!$A$9:$AZ$9,0))</f>
        <v>-0</v>
      </c>
      <c r="O136" s="351" t="n">
        <f aca="false">-H136*INDEX(port_processing_fee,MATCH(L136,PORTS!$H$626:$H$933,0),MATCH(P$5,PORTS!$H$626:$Z$626,0))</f>
        <v>-0</v>
      </c>
      <c r="P136" s="352" t="n">
        <f aca="false">(((VLOOKUP(L136,curvecalc,4,0))*IF(F136=0,0,J136/F136)-INDEX(ship_curves,MATCH(L136,'SHIP CURVES'!$A$9:$A$316,0),MATCH(CONCATENATE(P$4,P$5,P$6,P$7),'SHIP CURVES'!$A$9:$Z$9,0))-INDEX(terminal_curves,MATCH(L136,'TERMINAL CURVES'!$A$4:$A$313,0),MATCH(P$5,'TERMINAL CURVES'!$A$4:$N$4,0))*IF(F136=0,0,H136/F136))-(N$8)*((N$7-$N$5)-(INDEX(ship_curves,MATCH(L136,'SHIP CURVES'!$A$9:$A$316,0),MATCH(CONCATENATE(P$4,P$5,P$6,P$7),'SHIP CURVES'!$A$9:$Z$9,0))-INDEX(ship_curves,MATCH(L136,'SHIP CURVES'!$A$9:$A$316,0),MATCH(CONCATENATE(P$4,N$6,P$6,P$7),'SHIP CURVES'!$A$9:$Z$9,0)))-(INDEX(terminal_curves,MATCH(L136,'TERMINAL CURVES'!$A$4:$A$313,0),MATCH(P$5,'TERMINAL CURVES'!$A$4:$N$4,0))-INDEX(terminal_curves,MATCH(L136,'TERMINAL CURVES'!$A$4:$A$313,0),MATCH(N$6,'TERMINAL CURVES'!$A$4:$N$4,0)))*IF(F136=0,0,H136/F136)))*-F136</f>
        <v>0</v>
      </c>
      <c r="Q136" s="353" t="n">
        <f aca="false">SUM(N136:P136)</f>
        <v>0</v>
      </c>
      <c r="R136" s="357" t="n">
        <f aca="false">(-H136/((HLOOKUP(P$5,port_specs,2,0)/(365.25))*(L137-L136)))*(INDEX(fixed_capacity_charge,MATCH(L136,PORTS!$H$11:$H$317,0),MATCH(P$5,PORTS!$H$11:$N$11,0))+INDEX(variable_om_charge,MATCH(L136,PORTS!$H$318:$H$625,0),MATCH(P$5,PORTS!$H$318:$N$318,0)))</f>
        <v>-0</v>
      </c>
      <c r="S136" s="343" t="n">
        <f aca="false">+R136+Q136</f>
        <v>0</v>
      </c>
      <c r="T136" s="355" t="n">
        <f aca="false">+S136+M136</f>
        <v>0</v>
      </c>
      <c r="V136" s="346" t="n">
        <f aca="false">+DATE(YEAR(V135),MONTH(V135)+1,1)</f>
        <v>40299</v>
      </c>
      <c r="W136" s="327" t="n">
        <f aca="false">+Y136/(1-HLOOKUP(X$6,SHIPS,7,0)*INDEX(LADEN_VOYAGE_DAYS,MATCH(CONCATENATE(X$4,X$5),LADEN_VOYAGE_ROUTES,0),MATCH(X$6,LADEN_VOYAGE_SHIPS,0)))</f>
        <v>0</v>
      </c>
      <c r="X136" s="347" t="n">
        <f aca="false">+Y136-W136</f>
        <v>0</v>
      </c>
      <c r="Y136" s="348" t="n">
        <f aca="false">+IF(AND(X$8&lt;=V136,X$9&gt;=V136),+MIN($B136-SUMIF($H$17:X$17,Y$17,$H136:X136),((INDEX(ROUTE_PER_DAY_BY_SHIP,MATCH(CONCATENATE(X$4,X$5,X$7),ROUTE_PER_DAY_ROUTES,0),MATCH(X$6,ROUTE_PER_DAY_SHIPS,0))*(V137-V136))-(INDEX(ROUTE_PER_DAY_BY_SHIP,MATCH(CONCATENATE(X$4,X$5,X$7),ROUTE_PER_DAY_ROUTES,0),MATCH(X$6,ROUTE_PER_DAY_SHIPS,0))*(V137-V136))*HLOOKUP(X$6,SHIPS,7,0)*INDEX(LADEN_VOYAGE_DAYS,MATCH(CONCATENATE(X$4,X$5,X$7),LADEN_VOYAGE_ROUTES,0),MATCH(X$6,LADEN_VOYAGE_SHIPS,0)))),0)</f>
        <v>0</v>
      </c>
      <c r="Z136" s="349" t="n">
        <f aca="false">-(Y136)*HLOOKUP(X$5,TERMINAL_CHARGES,3,0)</f>
        <v>-0</v>
      </c>
      <c r="AA136" s="327" t="n">
        <f aca="false">+Y136+Z136</f>
        <v>0</v>
      </c>
      <c r="AB136" s="333"/>
      <c r="AC136" s="346" t="n">
        <f aca="false">+DATE(YEAR(AC135),MONTH(AC135)+1,1)</f>
        <v>40299</v>
      </c>
      <c r="AD136" s="343" t="n">
        <f aca="false">+AA136*(VLOOKUP(AC136,CURVECALC!$C$6:$J$312,4,0)+AE$5)</f>
        <v>0</v>
      </c>
      <c r="AE136" s="350" t="n">
        <f aca="false">-W136*INDEX(ship_curves,MATCH(AC136,'SHIP CURVES'!$A$9:$A$316,0),MATCH(CONCATENATE(AG$4,AG$5,AG$6,AG$7),'SHIP CURVES'!$A$9:$AZ$9,0))</f>
        <v>-0</v>
      </c>
      <c r="AF136" s="351" t="n">
        <f aca="false">-Y136*INDEX(port_processing_fee,MATCH(AC136,PORTS!$H$626:$H$933,0),MATCH(AG$5,PORTS!$H$626:$Z$626,0))</f>
        <v>-0</v>
      </c>
      <c r="AG136" s="352" t="n">
        <f aca="false">(((VLOOKUP(AC136,curvecalc,4,0))*IF(W136=0,0,AA136/W136)-INDEX(ship_curves,MATCH(AC136,'SHIP CURVES'!$A$9:$A$316,0),MATCH(CONCATENATE(AG$4,AG$5,AG$6,AG$7),'SHIP CURVES'!$A$9:$Z$9,0))-INDEX(terminal_curves,MATCH(AC136,'TERMINAL CURVES'!$A$4:$A$313,0),MATCH(AG$5,'TERMINAL CURVES'!$A$4:$N$4,0))*IF(W136=0,0,Y136/W136))-(AE$8)*((AE$7-$N$5)-(INDEX(ship_curves,MATCH(AC136,'SHIP CURVES'!$A$9:$A$316,0),MATCH(CONCATENATE(AG$4,AG$5,AG$6,AG$7),'SHIP CURVES'!$A$9:$Z$9,0))-INDEX(ship_curves,MATCH(AC136,'SHIP CURVES'!$A$9:$A$316,0),MATCH(CONCATENATE(AG$4,AE$6,AG$6,AG$7),'SHIP CURVES'!$A$9:$Z$9,0)))-(INDEX(terminal_curves,MATCH(AC136,'TERMINAL CURVES'!$A$4:$A$313,0),MATCH(AG$5,'TERMINAL CURVES'!$A$4:$N$4,0))-INDEX(terminal_curves,MATCH(AC136,'TERMINAL CURVES'!$A$4:$A$313,0),MATCH(AE$6,'TERMINAL CURVES'!$A$4:$N$4,0)))*IF(W136=0,0,Y136/W136)))*-W136</f>
        <v>0</v>
      </c>
      <c r="AH136" s="356" t="n">
        <f aca="false">SUM(AE136:AG136)</f>
        <v>0</v>
      </c>
      <c r="AI136" s="357" t="n">
        <f aca="false">(-Y136/((HLOOKUP(AG$5,port_specs,2,0)/(365.25))*(AC137-AC136)))*(INDEX(fixed_capacity_charge,MATCH(AC136,PORTS!$H$11:$H$317,0),MATCH(AG$5,PORTS!$H$11:$N$11,0))+INDEX(variable_om_charge,MATCH(AC136,PORTS!$H$318:$H$625,0),MATCH(AG$5,PORTS!$H$318:$N$318,0)))</f>
        <v>-0</v>
      </c>
      <c r="AJ136" s="343" t="n">
        <f aca="false">+AI136+AH136</f>
        <v>0</v>
      </c>
      <c r="AK136" s="355" t="n">
        <f aca="false">+AJ136+AD136</f>
        <v>0</v>
      </c>
      <c r="AM136" s="346" t="n">
        <f aca="false">+DATE(YEAR(AM135),MONTH(AM135)+1,1)</f>
        <v>40299</v>
      </c>
      <c r="AN136" s="327" t="n">
        <f aca="false">+AP136/(1-HLOOKUP(AO$6,SHIPS,7,0)*INDEX(LADEN_VOYAGE_DAYS,MATCH(CONCATENATE(AO$4,AO$5),LADEN_VOYAGE_ROUTES,0),MATCH(AO$6,LADEN_VOYAGE_SHIPS,0)))</f>
        <v>5395761.47735991</v>
      </c>
      <c r="AO136" s="347" t="n">
        <f aca="false">+AP136-AN136</f>
        <v>-56655.4955122788</v>
      </c>
      <c r="AP136" s="348" t="n">
        <f aca="false">+IF(AND(AO$8&lt;=AM136,AO$9&gt;=AM136),+MIN($B136-SUMIF($H$17:AO$17,AP$17,$H136:AO136),((INDEX(ROUTE_PER_DAY_BY_SHIP,MATCH(CONCATENATE(AO$4,AO$5,AO$7),ROUTE_PER_DAY_ROUTES,0),MATCH(AO$6,ROUTE_PER_DAY_SHIPS,0))*(AM137-AM136))-(INDEX(ROUTE_PER_DAY_BY_SHIP,MATCH(CONCATENATE(AO$4,AO$5,AO$7),ROUTE_PER_DAY_ROUTES,0),MATCH(AO$6,ROUTE_PER_DAY_SHIPS,0))*(AM137-AM136))*HLOOKUP(AO$6,SHIPS,7,0)*INDEX(LADEN_VOYAGE_DAYS,MATCH(CONCATENATE(AO$4,AO$5,AO$7),LADEN_VOYAGE_ROUTES,0),MATCH(AO$6,LADEN_VOYAGE_SHIPS,0)))),0)</f>
        <v>5339105.98184763</v>
      </c>
      <c r="AQ136" s="349" t="n">
        <f aca="false">-(AP136)*PORTS!$I$6</f>
        <v>-133477.649546191</v>
      </c>
      <c r="AR136" s="327" t="n">
        <f aca="false">+AP136+AQ136</f>
        <v>5205628.33230144</v>
      </c>
      <c r="AS136" s="333"/>
      <c r="AT136" s="346" t="n">
        <f aca="false">+DATE(YEAR(AT135),MONTH(AT135)+1,1)</f>
        <v>40299</v>
      </c>
      <c r="AU136" s="343" t="n">
        <f aca="false">+AR136*(VLOOKUP(AT136,CURVECALC!$C$6:$J$312,4,0)+AV$5)</f>
        <v>17131722.841604</v>
      </c>
      <c r="AV136" s="350" t="n">
        <f aca="false">-AN136*INDEX(ship_curves,MATCH(AT136,'SHIP CURVES'!$A$9:$A$316,0),MATCH(CONCATENATE(AX$4,AX$5,AX$6,AX$7),'SHIP CURVES'!$A$9:$AZ$9,0))</f>
        <v>-1794878.30213092</v>
      </c>
      <c r="AW136" s="351" t="n">
        <f aca="false">-AP136*INDEX(port_processing_fee,MATCH(AT136,PORTS!$H$626:$H$933,0),MATCH(AX$5,PORTS!$H$626:$Z$626,0))</f>
        <v>-159917.431606372</v>
      </c>
      <c r="AX136" s="352" t="n">
        <f aca="false">(((VLOOKUP(AT136,curvecalc,4,0))*IF(AN136=0,0,AR136/AN136)-INDEX(ship_curves,MATCH(AT136,'SHIP CURVES'!$A$9:$A$316,0),MATCH(CONCATENATE(AX$4,AX$5,AX$6,AX$7),'SHIP CURVES'!$A$9:$Z$9,0))-INDEX(terminal_curves,MATCH(AT136,'TERMINAL CURVES'!$A$4:$A$313,0),MATCH(AX$5,'TERMINAL CURVES'!$A$4:$N$4,0))*IF(AN136=0,0,AP136/AN136))-(AV$8)*((AV$7-$N$5)-(INDEX(ship_curves,MATCH(AT136,'SHIP CURVES'!$A$9:$A$316,0),MATCH(CONCATENATE(AX$4,AX$5,AX$6,AX$7),'SHIP CURVES'!$A$9:$Z$9,0))-INDEX(ship_curves,MATCH(AT136,'SHIP CURVES'!$A$9:$A$316,0),MATCH(CONCATENATE(AX$4,AV$6,AX$6,AX$7),'SHIP CURVES'!$A$9:$Z$9,0)))-(INDEX(terminal_curves,MATCH(AT136,'TERMINAL CURVES'!$A$4:$A$313,0),MATCH(AX$5,'TERMINAL CURVES'!$A$4:$N$4,0))-INDEX(terminal_curves,MATCH(AT136,'TERMINAL CURVES'!$A$4:$A$313,0),MATCH(AV$6,'TERMINAL CURVES'!$A$4:$N$4,0)))*IF(AN136=0,0,AP136/AN136)))*-AN136</f>
        <v>-14072438.9924411</v>
      </c>
      <c r="AY136" s="356" t="n">
        <f aca="false">SUM(AV136:AX136)</f>
        <v>-16027234.7261784</v>
      </c>
      <c r="AZ136" s="357" t="n">
        <f aca="false">(-AP136/((HLOOKUP(AX$5,port_specs,2,0)/(365.25))*(AT137-AT136)))*(INDEX(fixed_capacity_charge,MATCH(AT136,PORTS!$H$11:$H$317,0),MATCH(AX$5,PORTS!$H$11:$N$11,0))+INDEX(variable_om_charge,MATCH(AT136,PORTS!$H$318:$H$625,0),MATCH(AX$5,PORTS!$H$318:$N$318,0)))</f>
        <v>-1000375.54877962</v>
      </c>
      <c r="BA136" s="343" t="n">
        <f aca="false">+AZ136+AY136</f>
        <v>-17027610.274958</v>
      </c>
      <c r="BB136" s="355" t="n">
        <f aca="false">+BA136+AU136</f>
        <v>104112.566646028</v>
      </c>
      <c r="BC136" s="99"/>
      <c r="BD136" s="357" t="n">
        <f aca="false">+PORTS!I130+PORTS!I438</f>
        <v>1000375.54877962</v>
      </c>
    </row>
    <row r="137" customFormat="false" ht="12.75" hidden="false" customHeight="false" outlineLevel="0" collapsed="false">
      <c r="A137" s="346" t="n">
        <f aca="false">+DATE(YEAR(A136),MONTH(A136)+1,1)</f>
        <v>40330</v>
      </c>
      <c r="B137" s="327" t="n">
        <f aca="false">+IF(AND($A137&gt;=$C$8,$A137&lt;=$C$9),1,0)*PORTS!$I$5/(365.25)*(A138-A137)</f>
        <v>5166876.75662674</v>
      </c>
      <c r="C137" s="328" t="n">
        <f aca="false">+B137-(SUMIF($F$17:$IV$17,$H$17,$F137:$IV137))</f>
        <v>0</v>
      </c>
      <c r="D137" s="0" t="n">
        <f aca="false">+YEAR(E137)</f>
        <v>2010</v>
      </c>
      <c r="E137" s="346" t="n">
        <f aca="false">+DATE(YEAR(E136),MONTH(E136)+1,1)</f>
        <v>40330</v>
      </c>
      <c r="F137" s="327" t="n">
        <f aca="false">+IF(AND(G$8&lt;=E137,G$9&gt;=E137),INDEX(ROUTE_PER_DAY_BY_SHIP,MATCH(CONCATENATE(G$4,G$5,G$7),ROUTE_PER_DAY_ROUTES,0),MATCH(G$6,ROUTE_PER_DAY_SHIPS,0))*(E138-E137),0)</f>
        <v>0</v>
      </c>
      <c r="G137" s="347" t="n">
        <f aca="false">-F137*HLOOKUP(G$6,SHIPS,7,0)*INDEX(LADEN_VOYAGE_DAYS,MATCH(CONCATENATE(G$4,G$5,G$7),LADEN_VOYAGE_ROUTES,0),MATCH(G$6,LADEN_VOYAGE_SHIPS,0))</f>
        <v>-0</v>
      </c>
      <c r="H137" s="348" t="n">
        <f aca="false">SUM(F137:G137)</f>
        <v>0</v>
      </c>
      <c r="I137" s="349" t="n">
        <f aca="false">-(H137)*HLOOKUP(G$5,TERMINAL_CHARGES,3,0)</f>
        <v>-0</v>
      </c>
      <c r="J137" s="327" t="n">
        <f aca="false">+H137+I137</f>
        <v>0</v>
      </c>
      <c r="K137" s="333"/>
      <c r="L137" s="346" t="n">
        <f aca="false">+DATE(YEAR(L136),MONTH(L136)+1,1)</f>
        <v>40330</v>
      </c>
      <c r="M137" s="334" t="n">
        <f aca="false">+J137*(VLOOKUP(L137,CURVECALC!$C$6:$J$312,4,0)+N$5)</f>
        <v>0</v>
      </c>
      <c r="N137" s="350" t="n">
        <f aca="false">-F137*INDEX(ship_curves,MATCH(L137,'SHIP CURVES'!$A$9:$A$316,0),MATCH(CONCATENATE(P$4,P$5,P$6,P$7),'SHIP CURVES'!$A$9:$AZ$9,0))</f>
        <v>-0</v>
      </c>
      <c r="O137" s="351" t="n">
        <f aca="false">-H137*INDEX(port_processing_fee,MATCH(L137,PORTS!$H$626:$H$933,0),MATCH(P$5,PORTS!$H$626:$Z$626,0))</f>
        <v>-0</v>
      </c>
      <c r="P137" s="352" t="n">
        <f aca="false">(((VLOOKUP(L137,curvecalc,4,0))*IF(F137=0,0,J137/F137)-INDEX(ship_curves,MATCH(L137,'SHIP CURVES'!$A$9:$A$316,0),MATCH(CONCATENATE(P$4,P$5,P$6,P$7),'SHIP CURVES'!$A$9:$Z$9,0))-INDEX(terminal_curves,MATCH(L137,'TERMINAL CURVES'!$A$4:$A$313,0),MATCH(P$5,'TERMINAL CURVES'!$A$4:$N$4,0))*IF(F137=0,0,H137/F137))-(N$8)*((N$7-$N$5)-(INDEX(ship_curves,MATCH(L137,'SHIP CURVES'!$A$9:$A$316,0),MATCH(CONCATENATE(P$4,P$5,P$6,P$7),'SHIP CURVES'!$A$9:$Z$9,0))-INDEX(ship_curves,MATCH(L137,'SHIP CURVES'!$A$9:$A$316,0),MATCH(CONCATENATE(P$4,N$6,P$6,P$7),'SHIP CURVES'!$A$9:$Z$9,0)))-(INDEX(terminal_curves,MATCH(L137,'TERMINAL CURVES'!$A$4:$A$313,0),MATCH(P$5,'TERMINAL CURVES'!$A$4:$N$4,0))-INDEX(terminal_curves,MATCH(L137,'TERMINAL CURVES'!$A$4:$A$313,0),MATCH(N$6,'TERMINAL CURVES'!$A$4:$N$4,0)))*IF(F137=0,0,H137/F137)))*-F137</f>
        <v>0</v>
      </c>
      <c r="Q137" s="353" t="n">
        <f aca="false">SUM(N137:P137)</f>
        <v>0</v>
      </c>
      <c r="R137" s="357" t="n">
        <f aca="false">(-H137/((HLOOKUP(P$5,port_specs,2,0)/(365.25))*(L138-L137)))*(INDEX(fixed_capacity_charge,MATCH(L137,PORTS!$H$11:$H$317,0),MATCH(P$5,PORTS!$H$11:$N$11,0))+INDEX(variable_om_charge,MATCH(L137,PORTS!$H$318:$H$625,0),MATCH(P$5,PORTS!$H$318:$N$318,0)))</f>
        <v>-0</v>
      </c>
      <c r="S137" s="343" t="n">
        <f aca="false">+R137+Q137</f>
        <v>0</v>
      </c>
      <c r="T137" s="355" t="n">
        <f aca="false">+S137+M137</f>
        <v>0</v>
      </c>
      <c r="V137" s="346" t="n">
        <f aca="false">+DATE(YEAR(V136),MONTH(V136)+1,1)</f>
        <v>40330</v>
      </c>
      <c r="W137" s="327" t="n">
        <f aca="false">+Y137/(1-HLOOKUP(X$6,SHIPS,7,0)*INDEX(LADEN_VOYAGE_DAYS,MATCH(CONCATENATE(X$4,X$5),LADEN_VOYAGE_ROUTES,0),MATCH(X$6,LADEN_VOYAGE_SHIPS,0)))</f>
        <v>0</v>
      </c>
      <c r="X137" s="347" t="n">
        <f aca="false">+Y137-W137</f>
        <v>0</v>
      </c>
      <c r="Y137" s="348" t="n">
        <f aca="false">+IF(AND(X$8&lt;=V137,X$9&gt;=V137),+MIN($B137-SUMIF($H$17:X$17,Y$17,$H137:X137),((INDEX(ROUTE_PER_DAY_BY_SHIP,MATCH(CONCATENATE(X$4,X$5,X$7),ROUTE_PER_DAY_ROUTES,0),MATCH(X$6,ROUTE_PER_DAY_SHIPS,0))*(V138-V137))-(INDEX(ROUTE_PER_DAY_BY_SHIP,MATCH(CONCATENATE(X$4,X$5,X$7),ROUTE_PER_DAY_ROUTES,0),MATCH(X$6,ROUTE_PER_DAY_SHIPS,0))*(V138-V137))*HLOOKUP(X$6,SHIPS,7,0)*INDEX(LADEN_VOYAGE_DAYS,MATCH(CONCATENATE(X$4,X$5,X$7),LADEN_VOYAGE_ROUTES,0),MATCH(X$6,LADEN_VOYAGE_SHIPS,0)))),0)</f>
        <v>0</v>
      </c>
      <c r="Z137" s="349" t="n">
        <f aca="false">-(Y137)*HLOOKUP(X$5,TERMINAL_CHARGES,3,0)</f>
        <v>-0</v>
      </c>
      <c r="AA137" s="327" t="n">
        <f aca="false">+Y137+Z137</f>
        <v>0</v>
      </c>
      <c r="AB137" s="333"/>
      <c r="AC137" s="346" t="n">
        <f aca="false">+DATE(YEAR(AC136),MONTH(AC136)+1,1)</f>
        <v>40330</v>
      </c>
      <c r="AD137" s="343" t="n">
        <f aca="false">+AA137*(VLOOKUP(AC137,CURVECALC!$C$6:$J$312,4,0)+AE$5)</f>
        <v>0</v>
      </c>
      <c r="AE137" s="350" t="n">
        <f aca="false">-W137*INDEX(ship_curves,MATCH(AC137,'SHIP CURVES'!$A$9:$A$316,0),MATCH(CONCATENATE(AG$4,AG$5,AG$6,AG$7),'SHIP CURVES'!$A$9:$AZ$9,0))</f>
        <v>-0</v>
      </c>
      <c r="AF137" s="351" t="n">
        <f aca="false">-Y137*INDEX(port_processing_fee,MATCH(AC137,PORTS!$H$626:$H$933,0),MATCH(AG$5,PORTS!$H$626:$Z$626,0))</f>
        <v>-0</v>
      </c>
      <c r="AG137" s="352" t="n">
        <f aca="false">(((VLOOKUP(AC137,curvecalc,4,0))*IF(W137=0,0,AA137/W137)-INDEX(ship_curves,MATCH(AC137,'SHIP CURVES'!$A$9:$A$316,0),MATCH(CONCATENATE(AG$4,AG$5,AG$6,AG$7),'SHIP CURVES'!$A$9:$Z$9,0))-INDEX(terminal_curves,MATCH(AC137,'TERMINAL CURVES'!$A$4:$A$313,0),MATCH(AG$5,'TERMINAL CURVES'!$A$4:$N$4,0))*IF(W137=0,0,Y137/W137))-(AE$8)*((AE$7-$N$5)-(INDEX(ship_curves,MATCH(AC137,'SHIP CURVES'!$A$9:$A$316,0),MATCH(CONCATENATE(AG$4,AG$5,AG$6,AG$7),'SHIP CURVES'!$A$9:$Z$9,0))-INDEX(ship_curves,MATCH(AC137,'SHIP CURVES'!$A$9:$A$316,0),MATCH(CONCATENATE(AG$4,AE$6,AG$6,AG$7),'SHIP CURVES'!$A$9:$Z$9,0)))-(INDEX(terminal_curves,MATCH(AC137,'TERMINAL CURVES'!$A$4:$A$313,0),MATCH(AG$5,'TERMINAL CURVES'!$A$4:$N$4,0))-INDEX(terminal_curves,MATCH(AC137,'TERMINAL CURVES'!$A$4:$A$313,0),MATCH(AE$6,'TERMINAL CURVES'!$A$4:$N$4,0)))*IF(W137=0,0,Y137/W137)))*-W137</f>
        <v>0</v>
      </c>
      <c r="AH137" s="356" t="n">
        <f aca="false">SUM(AE137:AG137)</f>
        <v>0</v>
      </c>
      <c r="AI137" s="357" t="n">
        <f aca="false">(-Y137/((HLOOKUP(AG$5,port_specs,2,0)/(365.25))*(AC138-AC137)))*(INDEX(fixed_capacity_charge,MATCH(AC137,PORTS!$H$11:$H$317,0),MATCH(AG$5,PORTS!$H$11:$N$11,0))+INDEX(variable_om_charge,MATCH(AC137,PORTS!$H$318:$H$625,0),MATCH(AG$5,PORTS!$H$318:$N$318,0)))</f>
        <v>-0</v>
      </c>
      <c r="AJ137" s="343" t="n">
        <f aca="false">+AI137+AH137</f>
        <v>0</v>
      </c>
      <c r="AK137" s="355" t="n">
        <f aca="false">+AJ137+AD137</f>
        <v>0</v>
      </c>
      <c r="AM137" s="346" t="n">
        <f aca="false">+DATE(YEAR(AM136),MONTH(AM136)+1,1)</f>
        <v>40330</v>
      </c>
      <c r="AN137" s="327" t="n">
        <f aca="false">+AP137/(1-HLOOKUP(AO$6,SHIPS,7,0)*INDEX(LADEN_VOYAGE_DAYS,MATCH(CONCATENATE(AO$4,AO$5),LADEN_VOYAGE_ROUTES,0),MATCH(AO$6,LADEN_VOYAGE_SHIPS,0)))</f>
        <v>5221704.65550959</v>
      </c>
      <c r="AO137" s="347" t="n">
        <f aca="false">+AP137-AN137</f>
        <v>-54827.8988828501</v>
      </c>
      <c r="AP137" s="348" t="n">
        <f aca="false">+IF(AND(AO$8&lt;=AM137,AO$9&gt;=AM137),+MIN($B137-SUMIF($H$17:AO$17,AP$17,$H137:AO137),((INDEX(ROUTE_PER_DAY_BY_SHIP,MATCH(CONCATENATE(AO$4,AO$5,AO$7),ROUTE_PER_DAY_ROUTES,0),MATCH(AO$6,ROUTE_PER_DAY_SHIPS,0))*(AM138-AM137))-(INDEX(ROUTE_PER_DAY_BY_SHIP,MATCH(CONCATENATE(AO$4,AO$5,AO$7),ROUTE_PER_DAY_ROUTES,0),MATCH(AO$6,ROUTE_PER_DAY_SHIPS,0))*(AM138-AM137))*HLOOKUP(AO$6,SHIPS,7,0)*INDEX(LADEN_VOYAGE_DAYS,MATCH(CONCATENATE(AO$4,AO$5,AO$7),LADEN_VOYAGE_ROUTES,0),MATCH(AO$6,LADEN_VOYAGE_SHIPS,0)))),0)</f>
        <v>5166876.75662674</v>
      </c>
      <c r="AQ137" s="349" t="n">
        <f aca="false">-(AP137)*PORTS!$I$6</f>
        <v>-129171.918915669</v>
      </c>
      <c r="AR137" s="327" t="n">
        <f aca="false">+AP137+AQ137</f>
        <v>5037704.83771107</v>
      </c>
      <c r="AS137" s="333"/>
      <c r="AT137" s="346" t="n">
        <f aca="false">+DATE(YEAR(AT136),MONTH(AT136)+1,1)</f>
        <v>40330</v>
      </c>
      <c r="AU137" s="343" t="n">
        <f aca="false">+AR137*(VLOOKUP(AT137,CURVECALC!$C$6:$J$312,4,0)+AV$5)</f>
        <v>16765481.6999025</v>
      </c>
      <c r="AV137" s="350" t="n">
        <f aca="false">-AN137*INDEX(ship_curves,MATCH(AT137,'SHIP CURVES'!$A$9:$A$316,0),MATCH(CONCATENATE(AX$4,AX$5,AX$6,AX$7),'SHIP CURVES'!$A$9:$AZ$9,0))</f>
        <v>-1737505.11209266</v>
      </c>
      <c r="AW137" s="351" t="n">
        <f aca="false">-AP137*INDEX(port_processing_fee,MATCH(AT137,PORTS!$H$626:$H$933,0),MATCH(AX$5,PORTS!$H$626:$Z$626,0))</f>
        <v>-154920.011868673</v>
      </c>
      <c r="AX137" s="352" t="n">
        <f aca="false">(((VLOOKUP(AT137,curvecalc,4,0))*IF(AN137=0,0,AR137/AN137)-INDEX(ship_curves,MATCH(AT137,'SHIP CURVES'!$A$9:$A$316,0),MATCH(CONCATENATE(AX$4,AX$5,AX$6,AX$7),'SHIP CURVES'!$A$9:$Z$9,0))-INDEX(terminal_curves,MATCH(AT137,'TERMINAL CURVES'!$A$4:$A$313,0),MATCH(AX$5,'TERMINAL CURVES'!$A$4:$N$4,0))*IF(AN137=0,0,AP137/AN137))-(AV$8)*((AV$7-$N$5)-(INDEX(ship_curves,MATCH(AT137,'SHIP CURVES'!$A$9:$A$316,0),MATCH(CONCATENATE(AX$4,AX$5,AX$6,AX$7),'SHIP CURVES'!$A$9:$Z$9,0))-INDEX(ship_curves,MATCH(AT137,'SHIP CURVES'!$A$9:$A$316,0),MATCH(CONCATENATE(AX$4,AV$6,AX$6,AX$7),'SHIP CURVES'!$A$9:$Z$9,0)))-(INDEX(terminal_curves,MATCH(AT137,'TERMINAL CURVES'!$A$4:$A$313,0),MATCH(AX$5,'TERMINAL CURVES'!$A$4:$N$4,0))-INDEX(terminal_curves,MATCH(AT137,'TERMINAL CURVES'!$A$4:$A$313,0),MATCH(AV$6,'TERMINAL CURVES'!$A$4:$N$4,0)))*IF(AN137=0,0,AP137/AN137)))*-AN137</f>
        <v>-13771390.275222</v>
      </c>
      <c r="AY137" s="356" t="n">
        <f aca="false">SUM(AV137:AX137)</f>
        <v>-15663815.3991833</v>
      </c>
      <c r="AZ137" s="357" t="n">
        <f aca="false">(-AP137/((HLOOKUP(AX$5,port_specs,2,0)/(365.25))*(AT138-AT137)))*(INDEX(fixed_capacity_charge,MATCH(AT137,PORTS!$H$11:$H$317,0),MATCH(AX$5,PORTS!$H$11:$N$11,0))+INDEX(variable_om_charge,MATCH(AT137,PORTS!$H$318:$H$625,0),MATCH(AX$5,PORTS!$H$318:$N$318,0)))</f>
        <v>-1000912.2039649</v>
      </c>
      <c r="BA137" s="343" t="n">
        <f aca="false">+AZ137+AY137</f>
        <v>-16664727.6031482</v>
      </c>
      <c r="BB137" s="355" t="n">
        <f aca="false">+BA137+AU137</f>
        <v>100754.096754223</v>
      </c>
      <c r="BC137" s="99"/>
      <c r="BD137" s="357" t="n">
        <f aca="false">+PORTS!I131+PORTS!I439</f>
        <v>1000912.2039649</v>
      </c>
    </row>
    <row r="138" customFormat="false" ht="12.75" hidden="false" customHeight="false" outlineLevel="0" collapsed="false">
      <c r="A138" s="346" t="n">
        <f aca="false">+DATE(YEAR(A137),MONTH(A137)+1,1)</f>
        <v>40360</v>
      </c>
      <c r="B138" s="327" t="n">
        <f aca="false">+IF(AND($A138&gt;=$C$8,$A138&lt;=$C$9),1,0)*PORTS!$I$5/(365.25)*(A139-A138)</f>
        <v>5339105.98184763</v>
      </c>
      <c r="C138" s="328" t="n">
        <f aca="false">+B138-(SUMIF($F$17:$IV$17,$H$17,$F138:$IV138))</f>
        <v>0</v>
      </c>
      <c r="D138" s="0" t="n">
        <f aca="false">+YEAR(E138)</f>
        <v>2010</v>
      </c>
      <c r="E138" s="346" t="n">
        <f aca="false">+DATE(YEAR(E137),MONTH(E137)+1,1)</f>
        <v>40360</v>
      </c>
      <c r="F138" s="327" t="n">
        <f aca="false">+IF(AND(G$8&lt;=E138,G$9&gt;=E138),INDEX(ROUTE_PER_DAY_BY_SHIP,MATCH(CONCATENATE(G$4,G$5,G$7),ROUTE_PER_DAY_ROUTES,0),MATCH(G$6,ROUTE_PER_DAY_SHIPS,0))*(E139-E138),0)</f>
        <v>0</v>
      </c>
      <c r="G138" s="347" t="n">
        <f aca="false">-F138*HLOOKUP(G$6,SHIPS,7,0)*INDEX(LADEN_VOYAGE_DAYS,MATCH(CONCATENATE(G$4,G$5,G$7),LADEN_VOYAGE_ROUTES,0),MATCH(G$6,LADEN_VOYAGE_SHIPS,0))</f>
        <v>-0</v>
      </c>
      <c r="H138" s="348" t="n">
        <f aca="false">SUM(F138:G138)</f>
        <v>0</v>
      </c>
      <c r="I138" s="349" t="n">
        <f aca="false">-(H138)*HLOOKUP(G$5,TERMINAL_CHARGES,3,0)</f>
        <v>-0</v>
      </c>
      <c r="J138" s="327" t="n">
        <f aca="false">+H138+I138</f>
        <v>0</v>
      </c>
      <c r="K138" s="333"/>
      <c r="L138" s="346" t="n">
        <f aca="false">+DATE(YEAR(L137),MONTH(L137)+1,1)</f>
        <v>40360</v>
      </c>
      <c r="M138" s="334" t="n">
        <f aca="false">+J138*(VLOOKUP(L138,CURVECALC!$C$6:$J$312,4,0)+N$5)</f>
        <v>0</v>
      </c>
      <c r="N138" s="350" t="n">
        <f aca="false">-F138*INDEX(ship_curves,MATCH(L138,'SHIP CURVES'!$A$9:$A$316,0),MATCH(CONCATENATE(P$4,P$5,P$6,P$7),'SHIP CURVES'!$A$9:$AZ$9,0))</f>
        <v>-0</v>
      </c>
      <c r="O138" s="351" t="n">
        <f aca="false">-H138*INDEX(port_processing_fee,MATCH(L138,PORTS!$H$626:$H$933,0),MATCH(P$5,PORTS!$H$626:$Z$626,0))</f>
        <v>-0</v>
      </c>
      <c r="P138" s="352" t="n">
        <f aca="false">(((VLOOKUP(L138,curvecalc,4,0))*IF(F138=0,0,J138/F138)-INDEX(ship_curves,MATCH(L138,'SHIP CURVES'!$A$9:$A$316,0),MATCH(CONCATENATE(P$4,P$5,P$6,P$7),'SHIP CURVES'!$A$9:$Z$9,0))-INDEX(terminal_curves,MATCH(L138,'TERMINAL CURVES'!$A$4:$A$313,0),MATCH(P$5,'TERMINAL CURVES'!$A$4:$N$4,0))*IF(F138=0,0,H138/F138))-(N$8)*((N$7-$N$5)-(INDEX(ship_curves,MATCH(L138,'SHIP CURVES'!$A$9:$A$316,0),MATCH(CONCATENATE(P$4,P$5,P$6,P$7),'SHIP CURVES'!$A$9:$Z$9,0))-INDEX(ship_curves,MATCH(L138,'SHIP CURVES'!$A$9:$A$316,0),MATCH(CONCATENATE(P$4,N$6,P$6,P$7),'SHIP CURVES'!$A$9:$Z$9,0)))-(INDEX(terminal_curves,MATCH(L138,'TERMINAL CURVES'!$A$4:$A$313,0),MATCH(P$5,'TERMINAL CURVES'!$A$4:$N$4,0))-INDEX(terminal_curves,MATCH(L138,'TERMINAL CURVES'!$A$4:$A$313,0),MATCH(N$6,'TERMINAL CURVES'!$A$4:$N$4,0)))*IF(F138=0,0,H138/F138)))*-F138</f>
        <v>0</v>
      </c>
      <c r="Q138" s="353" t="n">
        <f aca="false">SUM(N138:P138)</f>
        <v>0</v>
      </c>
      <c r="R138" s="357" t="n">
        <f aca="false">(-H138/((HLOOKUP(P$5,port_specs,2,0)/(365.25))*(L139-L138)))*(INDEX(fixed_capacity_charge,MATCH(L138,PORTS!$H$11:$H$317,0),MATCH(P$5,PORTS!$H$11:$N$11,0))+INDEX(variable_om_charge,MATCH(L138,PORTS!$H$318:$H$625,0),MATCH(P$5,PORTS!$H$318:$N$318,0)))</f>
        <v>-0</v>
      </c>
      <c r="S138" s="343" t="n">
        <f aca="false">+R138+Q138</f>
        <v>0</v>
      </c>
      <c r="T138" s="355" t="n">
        <f aca="false">+S138+M138</f>
        <v>0</v>
      </c>
      <c r="V138" s="346" t="n">
        <f aca="false">+DATE(YEAR(V137),MONTH(V137)+1,1)</f>
        <v>40360</v>
      </c>
      <c r="W138" s="327" t="n">
        <f aca="false">+Y138/(1-HLOOKUP(X$6,SHIPS,7,0)*INDEX(LADEN_VOYAGE_DAYS,MATCH(CONCATENATE(X$4,X$5),LADEN_VOYAGE_ROUTES,0),MATCH(X$6,LADEN_VOYAGE_SHIPS,0)))</f>
        <v>0</v>
      </c>
      <c r="X138" s="347" t="n">
        <f aca="false">+Y138-W138</f>
        <v>0</v>
      </c>
      <c r="Y138" s="348" t="n">
        <f aca="false">+IF(AND(X$8&lt;=V138,X$9&gt;=V138),+MIN($B138-SUMIF($H$17:X$17,Y$17,$H138:X138),((INDEX(ROUTE_PER_DAY_BY_SHIP,MATCH(CONCATENATE(X$4,X$5,X$7),ROUTE_PER_DAY_ROUTES,0),MATCH(X$6,ROUTE_PER_DAY_SHIPS,0))*(V139-V138))-(INDEX(ROUTE_PER_DAY_BY_SHIP,MATCH(CONCATENATE(X$4,X$5,X$7),ROUTE_PER_DAY_ROUTES,0),MATCH(X$6,ROUTE_PER_DAY_SHIPS,0))*(V139-V138))*HLOOKUP(X$6,SHIPS,7,0)*INDEX(LADEN_VOYAGE_DAYS,MATCH(CONCATENATE(X$4,X$5,X$7),LADEN_VOYAGE_ROUTES,0),MATCH(X$6,LADEN_VOYAGE_SHIPS,0)))),0)</f>
        <v>0</v>
      </c>
      <c r="Z138" s="349" t="n">
        <f aca="false">-(Y138)*HLOOKUP(X$5,TERMINAL_CHARGES,3,0)</f>
        <v>-0</v>
      </c>
      <c r="AA138" s="327" t="n">
        <f aca="false">+Y138+Z138</f>
        <v>0</v>
      </c>
      <c r="AB138" s="333"/>
      <c r="AC138" s="346" t="n">
        <f aca="false">+DATE(YEAR(AC137),MONTH(AC137)+1,1)</f>
        <v>40360</v>
      </c>
      <c r="AD138" s="343" t="n">
        <f aca="false">+AA138*(VLOOKUP(AC138,CURVECALC!$C$6:$J$312,4,0)+AE$5)</f>
        <v>0</v>
      </c>
      <c r="AE138" s="350" t="n">
        <f aca="false">-W138*INDEX(ship_curves,MATCH(AC138,'SHIP CURVES'!$A$9:$A$316,0),MATCH(CONCATENATE(AG$4,AG$5,AG$6,AG$7),'SHIP CURVES'!$A$9:$AZ$9,0))</f>
        <v>-0</v>
      </c>
      <c r="AF138" s="351" t="n">
        <f aca="false">-Y138*INDEX(port_processing_fee,MATCH(AC138,PORTS!$H$626:$H$933,0),MATCH(AG$5,PORTS!$H$626:$Z$626,0))</f>
        <v>-0</v>
      </c>
      <c r="AG138" s="352" t="n">
        <f aca="false">(((VLOOKUP(AC138,curvecalc,4,0))*IF(W138=0,0,AA138/W138)-INDEX(ship_curves,MATCH(AC138,'SHIP CURVES'!$A$9:$A$316,0),MATCH(CONCATENATE(AG$4,AG$5,AG$6,AG$7),'SHIP CURVES'!$A$9:$Z$9,0))-INDEX(terminal_curves,MATCH(AC138,'TERMINAL CURVES'!$A$4:$A$313,0),MATCH(AG$5,'TERMINAL CURVES'!$A$4:$N$4,0))*IF(W138=0,0,Y138/W138))-(AE$8)*((AE$7-$N$5)-(INDEX(ship_curves,MATCH(AC138,'SHIP CURVES'!$A$9:$A$316,0),MATCH(CONCATENATE(AG$4,AG$5,AG$6,AG$7),'SHIP CURVES'!$A$9:$Z$9,0))-INDEX(ship_curves,MATCH(AC138,'SHIP CURVES'!$A$9:$A$316,0),MATCH(CONCATENATE(AG$4,AE$6,AG$6,AG$7),'SHIP CURVES'!$A$9:$Z$9,0)))-(INDEX(terminal_curves,MATCH(AC138,'TERMINAL CURVES'!$A$4:$A$313,0),MATCH(AG$5,'TERMINAL CURVES'!$A$4:$N$4,0))-INDEX(terminal_curves,MATCH(AC138,'TERMINAL CURVES'!$A$4:$A$313,0),MATCH(AE$6,'TERMINAL CURVES'!$A$4:$N$4,0)))*IF(W138=0,0,Y138/W138)))*-W138</f>
        <v>0</v>
      </c>
      <c r="AH138" s="356" t="n">
        <f aca="false">SUM(AE138:AG138)</f>
        <v>0</v>
      </c>
      <c r="AI138" s="357" t="n">
        <f aca="false">(-Y138/((HLOOKUP(AG$5,port_specs,2,0)/(365.25))*(AC139-AC138)))*(INDEX(fixed_capacity_charge,MATCH(AC138,PORTS!$H$11:$H$317,0),MATCH(AG$5,PORTS!$H$11:$N$11,0))+INDEX(variable_om_charge,MATCH(AC138,PORTS!$H$318:$H$625,0),MATCH(AG$5,PORTS!$H$318:$N$318,0)))</f>
        <v>-0</v>
      </c>
      <c r="AJ138" s="343" t="n">
        <f aca="false">+AI138+AH138</f>
        <v>0</v>
      </c>
      <c r="AK138" s="355" t="n">
        <f aca="false">+AJ138+AD138</f>
        <v>0</v>
      </c>
      <c r="AM138" s="346" t="n">
        <f aca="false">+DATE(YEAR(AM137),MONTH(AM137)+1,1)</f>
        <v>40360</v>
      </c>
      <c r="AN138" s="327" t="n">
        <f aca="false">+AP138/(1-HLOOKUP(AO$6,SHIPS,7,0)*INDEX(LADEN_VOYAGE_DAYS,MATCH(CONCATENATE(AO$4,AO$5),LADEN_VOYAGE_ROUTES,0),MATCH(AO$6,LADEN_VOYAGE_SHIPS,0)))</f>
        <v>5395761.47735991</v>
      </c>
      <c r="AO138" s="347" t="n">
        <f aca="false">+AP138-AN138</f>
        <v>-56655.4955122788</v>
      </c>
      <c r="AP138" s="348" t="n">
        <f aca="false">+IF(AND(AO$8&lt;=AM138,AO$9&gt;=AM138),+MIN($B138-SUMIF($H$17:AO$17,AP$17,$H138:AO138),((INDEX(ROUTE_PER_DAY_BY_SHIP,MATCH(CONCATENATE(AO$4,AO$5,AO$7),ROUTE_PER_DAY_ROUTES,0),MATCH(AO$6,ROUTE_PER_DAY_SHIPS,0))*(AM139-AM138))-(INDEX(ROUTE_PER_DAY_BY_SHIP,MATCH(CONCATENATE(AO$4,AO$5,AO$7),ROUTE_PER_DAY_ROUTES,0),MATCH(AO$6,ROUTE_PER_DAY_SHIPS,0))*(AM139-AM138))*HLOOKUP(AO$6,SHIPS,7,0)*INDEX(LADEN_VOYAGE_DAYS,MATCH(CONCATENATE(AO$4,AO$5,AO$7),LADEN_VOYAGE_ROUTES,0),MATCH(AO$6,LADEN_VOYAGE_SHIPS,0)))),0)</f>
        <v>5339105.98184763</v>
      </c>
      <c r="AQ138" s="349" t="n">
        <f aca="false">-(AP138)*PORTS!$I$6</f>
        <v>-133477.649546191</v>
      </c>
      <c r="AR138" s="327" t="n">
        <f aca="false">+AP138+AQ138</f>
        <v>5205628.33230144</v>
      </c>
      <c r="AS138" s="333"/>
      <c r="AT138" s="346" t="n">
        <f aca="false">+DATE(YEAR(AT137),MONTH(AT137)+1,1)</f>
        <v>40360</v>
      </c>
      <c r="AU138" s="343" t="n">
        <f aca="false">+AR138*(VLOOKUP(AT138,CURVECALC!$C$6:$J$312,4,0)+AV$5)</f>
        <v>17324331.0898992</v>
      </c>
      <c r="AV138" s="350" t="n">
        <f aca="false">-AN138*INDEX(ship_curves,MATCH(AT138,'SHIP CURVES'!$A$9:$A$316,0),MATCH(CONCATENATE(AX$4,AX$5,AX$6,AX$7),'SHIP CURVES'!$A$9:$AZ$9,0))</f>
        <v>-1795966.72879188</v>
      </c>
      <c r="AW138" s="351" t="n">
        <f aca="false">-AP138*INDEX(port_processing_fee,MATCH(AT138,PORTS!$H$626:$H$933,0),MATCH(AX$5,PORTS!$H$626:$Z$626,0))</f>
        <v>-160250.766443737</v>
      </c>
      <c r="AX138" s="352" t="n">
        <f aca="false">(((VLOOKUP(AT138,curvecalc,4,0))*IF(AN138=0,0,AR138/AN138)-INDEX(ship_curves,MATCH(AT138,'SHIP CURVES'!$A$9:$A$316,0),MATCH(CONCATENATE(AX$4,AX$5,AX$6,AX$7),'SHIP CURVES'!$A$9:$Z$9,0))-INDEX(terminal_curves,MATCH(AT138,'TERMINAL CURVES'!$A$4:$A$313,0),MATCH(AX$5,'TERMINAL CURVES'!$A$4:$N$4,0))*IF(AN138=0,0,AP138/AN138))-(AV$8)*((AV$7-$N$5)-(INDEX(ship_curves,MATCH(AT138,'SHIP CURVES'!$A$9:$A$316,0),MATCH(CONCATENATE(AX$4,AX$5,AX$6,AX$7),'SHIP CURVES'!$A$9:$Z$9,0))-INDEX(ship_curves,MATCH(AT138,'SHIP CURVES'!$A$9:$A$316,0),MATCH(CONCATENATE(AX$4,AV$6,AX$6,AX$7),'SHIP CURVES'!$A$9:$Z$9,0)))-(INDEX(terminal_curves,MATCH(AT138,'TERMINAL CURVES'!$A$4:$A$313,0),MATCH(AX$5,'TERMINAL CURVES'!$A$4:$N$4,0))-INDEX(terminal_curves,MATCH(AT138,'TERMINAL CURVES'!$A$4:$A$313,0),MATCH(AV$6,'TERMINAL CURVES'!$A$4:$N$4,0)))*IF(AN138=0,0,AP138/AN138)))*-AN138</f>
        <v>-14262551.6098516</v>
      </c>
      <c r="AY138" s="356" t="n">
        <f aca="false">SUM(AV138:AX138)</f>
        <v>-16218769.1050872</v>
      </c>
      <c r="AZ138" s="357" t="n">
        <f aca="false">(-AP138/((HLOOKUP(AX$5,port_specs,2,0)/(365.25))*(AT139-AT138)))*(INDEX(fixed_capacity_charge,MATCH(AT138,PORTS!$H$11:$H$317,0),MATCH(AX$5,PORTS!$H$11:$N$11,0))+INDEX(variable_om_charge,MATCH(AT138,PORTS!$H$318:$H$625,0),MATCH(AX$5,PORTS!$H$318:$N$318,0)))</f>
        <v>-1001449.418166</v>
      </c>
      <c r="BA138" s="343" t="n">
        <f aca="false">+AZ138+AY138</f>
        <v>-17220218.5232532</v>
      </c>
      <c r="BB138" s="355" t="n">
        <f aca="false">+BA138+AU138</f>
        <v>104112.566646032</v>
      </c>
      <c r="BC138" s="99"/>
      <c r="BD138" s="357" t="n">
        <f aca="false">+PORTS!I132+PORTS!I440</f>
        <v>1001449.418166</v>
      </c>
    </row>
    <row r="139" customFormat="false" ht="12.75" hidden="false" customHeight="false" outlineLevel="0" collapsed="false">
      <c r="A139" s="346" t="n">
        <f aca="false">+DATE(YEAR(A138),MONTH(A138)+1,1)</f>
        <v>40391</v>
      </c>
      <c r="B139" s="327" t="n">
        <f aca="false">+IF(AND($A139&gt;=$C$8,$A139&lt;=$C$9),1,0)*PORTS!$I$5/(365.25)*(A140-A139)</f>
        <v>5339105.98184763</v>
      </c>
      <c r="C139" s="328" t="n">
        <f aca="false">+B139-(SUMIF($F$17:$IV$17,$H$17,$F139:$IV139))</f>
        <v>0</v>
      </c>
      <c r="D139" s="0" t="n">
        <f aca="false">+YEAR(E139)</f>
        <v>2010</v>
      </c>
      <c r="E139" s="346" t="n">
        <f aca="false">+DATE(YEAR(E138),MONTH(E138)+1,1)</f>
        <v>40391</v>
      </c>
      <c r="F139" s="327" t="n">
        <f aca="false">+IF(AND(G$8&lt;=E139,G$9&gt;=E139),INDEX(ROUTE_PER_DAY_BY_SHIP,MATCH(CONCATENATE(G$4,G$5,G$7),ROUTE_PER_DAY_ROUTES,0),MATCH(G$6,ROUTE_PER_DAY_SHIPS,0))*(E140-E139),0)</f>
        <v>0</v>
      </c>
      <c r="G139" s="347" t="n">
        <f aca="false">-F139*HLOOKUP(G$6,SHIPS,7,0)*INDEX(LADEN_VOYAGE_DAYS,MATCH(CONCATENATE(G$4,G$5,G$7),LADEN_VOYAGE_ROUTES,0),MATCH(G$6,LADEN_VOYAGE_SHIPS,0))</f>
        <v>-0</v>
      </c>
      <c r="H139" s="348" t="n">
        <f aca="false">SUM(F139:G139)</f>
        <v>0</v>
      </c>
      <c r="I139" s="349" t="n">
        <f aca="false">-(H139)*HLOOKUP(G$5,TERMINAL_CHARGES,3,0)</f>
        <v>-0</v>
      </c>
      <c r="J139" s="327" t="n">
        <f aca="false">+H139+I139</f>
        <v>0</v>
      </c>
      <c r="K139" s="333"/>
      <c r="L139" s="346" t="n">
        <f aca="false">+DATE(YEAR(L138),MONTH(L138)+1,1)</f>
        <v>40391</v>
      </c>
      <c r="M139" s="334" t="n">
        <f aca="false">+J139*(VLOOKUP(L139,CURVECALC!$C$6:$J$312,4,0)+N$5)</f>
        <v>0</v>
      </c>
      <c r="N139" s="350" t="n">
        <f aca="false">-F139*INDEX(ship_curves,MATCH(L139,'SHIP CURVES'!$A$9:$A$316,0),MATCH(CONCATENATE(P$4,P$5,P$6,P$7),'SHIP CURVES'!$A$9:$AZ$9,0))</f>
        <v>-0</v>
      </c>
      <c r="O139" s="351" t="n">
        <f aca="false">-H139*INDEX(port_processing_fee,MATCH(L139,PORTS!$H$626:$H$933,0),MATCH(P$5,PORTS!$H$626:$Z$626,0))</f>
        <v>-0</v>
      </c>
      <c r="P139" s="352" t="n">
        <f aca="false">(((VLOOKUP(L139,curvecalc,4,0))*IF(F139=0,0,J139/F139)-INDEX(ship_curves,MATCH(L139,'SHIP CURVES'!$A$9:$A$316,0),MATCH(CONCATENATE(P$4,P$5,P$6,P$7),'SHIP CURVES'!$A$9:$Z$9,0))-INDEX(terminal_curves,MATCH(L139,'TERMINAL CURVES'!$A$4:$A$313,0),MATCH(P$5,'TERMINAL CURVES'!$A$4:$N$4,0))*IF(F139=0,0,H139/F139))-(N$8)*((N$7-$N$5)-(INDEX(ship_curves,MATCH(L139,'SHIP CURVES'!$A$9:$A$316,0),MATCH(CONCATENATE(P$4,P$5,P$6,P$7),'SHIP CURVES'!$A$9:$Z$9,0))-INDEX(ship_curves,MATCH(L139,'SHIP CURVES'!$A$9:$A$316,0),MATCH(CONCATENATE(P$4,N$6,P$6,P$7),'SHIP CURVES'!$A$9:$Z$9,0)))-(INDEX(terminal_curves,MATCH(L139,'TERMINAL CURVES'!$A$4:$A$313,0),MATCH(P$5,'TERMINAL CURVES'!$A$4:$N$4,0))-INDEX(terminal_curves,MATCH(L139,'TERMINAL CURVES'!$A$4:$A$313,0),MATCH(N$6,'TERMINAL CURVES'!$A$4:$N$4,0)))*IF(F139=0,0,H139/F139)))*-F139</f>
        <v>0</v>
      </c>
      <c r="Q139" s="353" t="n">
        <f aca="false">SUM(N139:P139)</f>
        <v>0</v>
      </c>
      <c r="R139" s="357" t="n">
        <f aca="false">(-H139/((HLOOKUP(P$5,port_specs,2,0)/(365.25))*(L140-L139)))*(INDEX(fixed_capacity_charge,MATCH(L139,PORTS!$H$11:$H$317,0),MATCH(P$5,PORTS!$H$11:$N$11,0))+INDEX(variable_om_charge,MATCH(L139,PORTS!$H$318:$H$625,0),MATCH(P$5,PORTS!$H$318:$N$318,0)))</f>
        <v>-0</v>
      </c>
      <c r="S139" s="343" t="n">
        <f aca="false">+R139+Q139</f>
        <v>0</v>
      </c>
      <c r="T139" s="355" t="n">
        <f aca="false">+S139+M139</f>
        <v>0</v>
      </c>
      <c r="V139" s="346" t="n">
        <f aca="false">+DATE(YEAR(V138),MONTH(V138)+1,1)</f>
        <v>40391</v>
      </c>
      <c r="W139" s="327" t="n">
        <f aca="false">+Y139/(1-HLOOKUP(X$6,SHIPS,7,0)*INDEX(LADEN_VOYAGE_DAYS,MATCH(CONCATENATE(X$4,X$5),LADEN_VOYAGE_ROUTES,0),MATCH(X$6,LADEN_VOYAGE_SHIPS,0)))</f>
        <v>0</v>
      </c>
      <c r="X139" s="347" t="n">
        <f aca="false">+Y139-W139</f>
        <v>0</v>
      </c>
      <c r="Y139" s="348" t="n">
        <f aca="false">+IF(AND(X$8&lt;=V139,X$9&gt;=V139),+MIN($B139-SUMIF($H$17:X$17,Y$17,$H139:X139),((INDEX(ROUTE_PER_DAY_BY_SHIP,MATCH(CONCATENATE(X$4,X$5,X$7),ROUTE_PER_DAY_ROUTES,0),MATCH(X$6,ROUTE_PER_DAY_SHIPS,0))*(V140-V139))-(INDEX(ROUTE_PER_DAY_BY_SHIP,MATCH(CONCATENATE(X$4,X$5,X$7),ROUTE_PER_DAY_ROUTES,0),MATCH(X$6,ROUTE_PER_DAY_SHIPS,0))*(V140-V139))*HLOOKUP(X$6,SHIPS,7,0)*INDEX(LADEN_VOYAGE_DAYS,MATCH(CONCATENATE(X$4,X$5,X$7),LADEN_VOYAGE_ROUTES,0),MATCH(X$6,LADEN_VOYAGE_SHIPS,0)))),0)</f>
        <v>0</v>
      </c>
      <c r="Z139" s="349" t="n">
        <f aca="false">-(Y139)*HLOOKUP(X$5,TERMINAL_CHARGES,3,0)</f>
        <v>-0</v>
      </c>
      <c r="AA139" s="327" t="n">
        <f aca="false">+Y139+Z139</f>
        <v>0</v>
      </c>
      <c r="AB139" s="333"/>
      <c r="AC139" s="346" t="n">
        <f aca="false">+DATE(YEAR(AC138),MONTH(AC138)+1,1)</f>
        <v>40391</v>
      </c>
      <c r="AD139" s="343" t="n">
        <f aca="false">+AA139*(VLOOKUP(AC139,CURVECALC!$C$6:$J$312,4,0)+AE$5)</f>
        <v>0</v>
      </c>
      <c r="AE139" s="350" t="n">
        <f aca="false">-W139*INDEX(ship_curves,MATCH(AC139,'SHIP CURVES'!$A$9:$A$316,0),MATCH(CONCATENATE(AG$4,AG$5,AG$6,AG$7),'SHIP CURVES'!$A$9:$AZ$9,0))</f>
        <v>-0</v>
      </c>
      <c r="AF139" s="351" t="n">
        <f aca="false">-Y139*INDEX(port_processing_fee,MATCH(AC139,PORTS!$H$626:$H$933,0),MATCH(AG$5,PORTS!$H$626:$Z$626,0))</f>
        <v>-0</v>
      </c>
      <c r="AG139" s="352" t="n">
        <f aca="false">(((VLOOKUP(AC139,curvecalc,4,0))*IF(W139=0,0,AA139/W139)-INDEX(ship_curves,MATCH(AC139,'SHIP CURVES'!$A$9:$A$316,0),MATCH(CONCATENATE(AG$4,AG$5,AG$6,AG$7),'SHIP CURVES'!$A$9:$Z$9,0))-INDEX(terminal_curves,MATCH(AC139,'TERMINAL CURVES'!$A$4:$A$313,0),MATCH(AG$5,'TERMINAL CURVES'!$A$4:$N$4,0))*IF(W139=0,0,Y139/W139))-(AE$8)*((AE$7-$N$5)-(INDEX(ship_curves,MATCH(AC139,'SHIP CURVES'!$A$9:$A$316,0),MATCH(CONCATENATE(AG$4,AG$5,AG$6,AG$7),'SHIP CURVES'!$A$9:$Z$9,0))-INDEX(ship_curves,MATCH(AC139,'SHIP CURVES'!$A$9:$A$316,0),MATCH(CONCATENATE(AG$4,AE$6,AG$6,AG$7),'SHIP CURVES'!$A$9:$Z$9,0)))-(INDEX(terminal_curves,MATCH(AC139,'TERMINAL CURVES'!$A$4:$A$313,0),MATCH(AG$5,'TERMINAL CURVES'!$A$4:$N$4,0))-INDEX(terminal_curves,MATCH(AC139,'TERMINAL CURVES'!$A$4:$A$313,0),MATCH(AE$6,'TERMINAL CURVES'!$A$4:$N$4,0)))*IF(W139=0,0,Y139/W139)))*-W139</f>
        <v>0</v>
      </c>
      <c r="AH139" s="356" t="n">
        <f aca="false">SUM(AE139:AG139)</f>
        <v>0</v>
      </c>
      <c r="AI139" s="357" t="n">
        <f aca="false">(-Y139/((HLOOKUP(AG$5,port_specs,2,0)/(365.25))*(AC140-AC139)))*(INDEX(fixed_capacity_charge,MATCH(AC139,PORTS!$H$11:$H$317,0),MATCH(AG$5,PORTS!$H$11:$N$11,0))+INDEX(variable_om_charge,MATCH(AC139,PORTS!$H$318:$H$625,0),MATCH(AG$5,PORTS!$H$318:$N$318,0)))</f>
        <v>-0</v>
      </c>
      <c r="AJ139" s="343" t="n">
        <f aca="false">+AI139+AH139</f>
        <v>0</v>
      </c>
      <c r="AK139" s="355" t="n">
        <f aca="false">+AJ139+AD139</f>
        <v>0</v>
      </c>
      <c r="AM139" s="346" t="n">
        <f aca="false">+DATE(YEAR(AM138),MONTH(AM138)+1,1)</f>
        <v>40391</v>
      </c>
      <c r="AN139" s="327" t="n">
        <f aca="false">+AP139/(1-HLOOKUP(AO$6,SHIPS,7,0)*INDEX(LADEN_VOYAGE_DAYS,MATCH(CONCATENATE(AO$4,AO$5),LADEN_VOYAGE_ROUTES,0),MATCH(AO$6,LADEN_VOYAGE_SHIPS,0)))</f>
        <v>5395761.47735991</v>
      </c>
      <c r="AO139" s="347" t="n">
        <f aca="false">+AP139-AN139</f>
        <v>-56655.4955122788</v>
      </c>
      <c r="AP139" s="348" t="n">
        <f aca="false">+IF(AND(AO$8&lt;=AM139,AO$9&gt;=AM139),+MIN($B139-SUMIF($H$17:AO$17,AP$17,$H139:AO139),((INDEX(ROUTE_PER_DAY_BY_SHIP,MATCH(CONCATENATE(AO$4,AO$5,AO$7),ROUTE_PER_DAY_ROUTES,0),MATCH(AO$6,ROUTE_PER_DAY_SHIPS,0))*(AM140-AM139))-(INDEX(ROUTE_PER_DAY_BY_SHIP,MATCH(CONCATENATE(AO$4,AO$5,AO$7),ROUTE_PER_DAY_ROUTES,0),MATCH(AO$6,ROUTE_PER_DAY_SHIPS,0))*(AM140-AM139))*HLOOKUP(AO$6,SHIPS,7,0)*INDEX(LADEN_VOYAGE_DAYS,MATCH(CONCATENATE(AO$4,AO$5,AO$7),LADEN_VOYAGE_ROUTES,0),MATCH(AO$6,LADEN_VOYAGE_SHIPS,0)))),0)</f>
        <v>5339105.98184763</v>
      </c>
      <c r="AQ139" s="349" t="n">
        <f aca="false">-(AP139)*PORTS!$I$6</f>
        <v>-133477.649546191</v>
      </c>
      <c r="AR139" s="327" t="n">
        <f aca="false">+AP139+AQ139</f>
        <v>5205628.33230144</v>
      </c>
      <c r="AS139" s="333"/>
      <c r="AT139" s="346" t="n">
        <f aca="false">+DATE(YEAR(AT138),MONTH(AT138)+1,1)</f>
        <v>40391</v>
      </c>
      <c r="AU139" s="343" t="n">
        <f aca="false">+AR139*(VLOOKUP(AT139,CURVECALC!$C$6:$J$312,4,0)+AV$5)</f>
        <v>17636668.7898373</v>
      </c>
      <c r="AV139" s="350" t="n">
        <f aca="false">-AN139*INDEX(ship_curves,MATCH(AT139,'SHIP CURVES'!$A$9:$A$316,0),MATCH(CONCATENATE(AX$4,AX$5,AX$6,AX$7),'SHIP CURVES'!$A$9:$AZ$9,0))</f>
        <v>-1796512.64337891</v>
      </c>
      <c r="AW139" s="351" t="n">
        <f aca="false">-AP139*INDEX(port_processing_fee,MATCH(AT139,PORTS!$H$626:$H$933,0),MATCH(AX$5,PORTS!$H$626:$Z$626,0))</f>
        <v>-160417.694325449</v>
      </c>
      <c r="AX139" s="352" t="n">
        <f aca="false">(((VLOOKUP(AT139,curvecalc,4,0))*IF(AN139=0,0,AR139/AN139)-INDEX(ship_curves,MATCH(AT139,'SHIP CURVES'!$A$9:$A$316,0),MATCH(CONCATENATE(AX$4,AX$5,AX$6,AX$7),'SHIP CURVES'!$A$9:$Z$9,0))-INDEX(terminal_curves,MATCH(AT139,'TERMINAL CURVES'!$A$4:$A$313,0),MATCH(AX$5,'TERMINAL CURVES'!$A$4:$N$4,0))*IF(AN139=0,0,AP139/AN139))-(AV$8)*((AV$7-$N$5)-(INDEX(ship_curves,MATCH(AT139,'SHIP CURVES'!$A$9:$A$316,0),MATCH(CONCATENATE(AX$4,AX$5,AX$6,AX$7),'SHIP CURVES'!$A$9:$Z$9,0))-INDEX(ship_curves,MATCH(AT139,'SHIP CURVES'!$A$9:$A$316,0),MATCH(CONCATENATE(AX$4,AV$6,AX$6,AX$7),'SHIP CURVES'!$A$9:$Z$9,0)))-(INDEX(terminal_curves,MATCH(AT139,'TERMINAL CURVES'!$A$4:$A$313,0),MATCH(AX$5,'TERMINAL CURVES'!$A$4:$N$4,0))-INDEX(terminal_curves,MATCH(AT139,'TERMINAL CURVES'!$A$4:$A$313,0),MATCH(AV$6,'TERMINAL CURVES'!$A$4:$N$4,0)))*IF(AN139=0,0,AP139/AN139)))*-AN139</f>
        <v>-14573638.6935217</v>
      </c>
      <c r="AY139" s="356" t="n">
        <f aca="false">SUM(AV139:AX139)</f>
        <v>-16530569.031226</v>
      </c>
      <c r="AZ139" s="357" t="n">
        <f aca="false">(-AP139/((HLOOKUP(AX$5,port_specs,2,0)/(365.25))*(AT140-AT139)))*(INDEX(fixed_capacity_charge,MATCH(AT139,PORTS!$H$11:$H$317,0),MATCH(AX$5,PORTS!$H$11:$N$11,0))+INDEX(variable_om_charge,MATCH(AT139,PORTS!$H$318:$H$625,0),MATCH(AX$5,PORTS!$H$318:$N$318,0)))</f>
        <v>-1001987.19196523</v>
      </c>
      <c r="BA139" s="343" t="n">
        <f aca="false">+AZ139+AY139</f>
        <v>-17532556.2231913</v>
      </c>
      <c r="BB139" s="355" t="n">
        <f aca="false">+BA139+AU139</f>
        <v>104112.566646028</v>
      </c>
      <c r="BC139" s="99"/>
      <c r="BD139" s="357" t="n">
        <f aca="false">+PORTS!I133+PORTS!I441</f>
        <v>1001987.19196523</v>
      </c>
    </row>
    <row r="140" customFormat="false" ht="12.75" hidden="false" customHeight="false" outlineLevel="0" collapsed="false">
      <c r="A140" s="346" t="n">
        <f aca="false">+DATE(YEAR(A139),MONTH(A139)+1,1)</f>
        <v>40422</v>
      </c>
      <c r="B140" s="327" t="n">
        <f aca="false">+IF(AND($A140&gt;=$C$8,$A140&lt;=$C$9),1,0)*PORTS!$I$5/(365.25)*(A141-A140)</f>
        <v>5166876.75662674</v>
      </c>
      <c r="C140" s="328" t="n">
        <f aca="false">+B140-(SUMIF($F$17:$IV$17,$H$17,$F140:$IV140))</f>
        <v>0</v>
      </c>
      <c r="D140" s="0" t="n">
        <f aca="false">+YEAR(E140)</f>
        <v>2010</v>
      </c>
      <c r="E140" s="346" t="n">
        <f aca="false">+DATE(YEAR(E139),MONTH(E139)+1,1)</f>
        <v>40422</v>
      </c>
      <c r="F140" s="327" t="n">
        <f aca="false">+IF(AND(G$8&lt;=E140,G$9&gt;=E140),INDEX(ROUTE_PER_DAY_BY_SHIP,MATCH(CONCATENATE(G$4,G$5,G$7),ROUTE_PER_DAY_ROUTES,0),MATCH(G$6,ROUTE_PER_DAY_SHIPS,0))*(E141-E140),0)</f>
        <v>0</v>
      </c>
      <c r="G140" s="347" t="n">
        <f aca="false">-F140*HLOOKUP(G$6,SHIPS,7,0)*INDEX(LADEN_VOYAGE_DAYS,MATCH(CONCATENATE(G$4,G$5,G$7),LADEN_VOYAGE_ROUTES,0),MATCH(G$6,LADEN_VOYAGE_SHIPS,0))</f>
        <v>-0</v>
      </c>
      <c r="H140" s="348" t="n">
        <f aca="false">SUM(F140:G140)</f>
        <v>0</v>
      </c>
      <c r="I140" s="349" t="n">
        <f aca="false">-(H140)*HLOOKUP(G$5,TERMINAL_CHARGES,3,0)</f>
        <v>-0</v>
      </c>
      <c r="J140" s="327" t="n">
        <f aca="false">+H140+I140</f>
        <v>0</v>
      </c>
      <c r="K140" s="333"/>
      <c r="L140" s="346" t="n">
        <f aca="false">+DATE(YEAR(L139),MONTH(L139)+1,1)</f>
        <v>40422</v>
      </c>
      <c r="M140" s="334" t="n">
        <f aca="false">+J140*(VLOOKUP(L140,CURVECALC!$C$6:$J$312,4,0)+N$5)</f>
        <v>0</v>
      </c>
      <c r="N140" s="350" t="n">
        <f aca="false">-F140*INDEX(ship_curves,MATCH(L140,'SHIP CURVES'!$A$9:$A$316,0),MATCH(CONCATENATE(P$4,P$5,P$6,P$7),'SHIP CURVES'!$A$9:$AZ$9,0))</f>
        <v>-0</v>
      </c>
      <c r="O140" s="351" t="n">
        <f aca="false">-H140*INDEX(port_processing_fee,MATCH(L140,PORTS!$H$626:$H$933,0),MATCH(P$5,PORTS!$H$626:$Z$626,0))</f>
        <v>-0</v>
      </c>
      <c r="P140" s="352" t="n">
        <f aca="false">(((VLOOKUP(L140,curvecalc,4,0))*IF(F140=0,0,J140/F140)-INDEX(ship_curves,MATCH(L140,'SHIP CURVES'!$A$9:$A$316,0),MATCH(CONCATENATE(P$4,P$5,P$6,P$7),'SHIP CURVES'!$A$9:$Z$9,0))-INDEX(terminal_curves,MATCH(L140,'TERMINAL CURVES'!$A$4:$A$313,0),MATCH(P$5,'TERMINAL CURVES'!$A$4:$N$4,0))*IF(F140=0,0,H140/F140))-(N$8)*((N$7-$N$5)-(INDEX(ship_curves,MATCH(L140,'SHIP CURVES'!$A$9:$A$316,0),MATCH(CONCATENATE(P$4,P$5,P$6,P$7),'SHIP CURVES'!$A$9:$Z$9,0))-INDEX(ship_curves,MATCH(L140,'SHIP CURVES'!$A$9:$A$316,0),MATCH(CONCATENATE(P$4,N$6,P$6,P$7),'SHIP CURVES'!$A$9:$Z$9,0)))-(INDEX(terminal_curves,MATCH(L140,'TERMINAL CURVES'!$A$4:$A$313,0),MATCH(P$5,'TERMINAL CURVES'!$A$4:$N$4,0))-INDEX(terminal_curves,MATCH(L140,'TERMINAL CURVES'!$A$4:$A$313,0),MATCH(N$6,'TERMINAL CURVES'!$A$4:$N$4,0)))*IF(F140=0,0,H140/F140)))*-F140</f>
        <v>0</v>
      </c>
      <c r="Q140" s="353" t="n">
        <f aca="false">SUM(N140:P140)</f>
        <v>0</v>
      </c>
      <c r="R140" s="357" t="n">
        <f aca="false">(-H140/((HLOOKUP(P$5,port_specs,2,0)/(365.25))*(L141-L140)))*(INDEX(fixed_capacity_charge,MATCH(L140,PORTS!$H$11:$H$317,0),MATCH(P$5,PORTS!$H$11:$N$11,0))+INDEX(variable_om_charge,MATCH(L140,PORTS!$H$318:$H$625,0),MATCH(P$5,PORTS!$H$318:$N$318,0)))</f>
        <v>-0</v>
      </c>
      <c r="S140" s="343" t="n">
        <f aca="false">+R140+Q140</f>
        <v>0</v>
      </c>
      <c r="T140" s="355" t="n">
        <f aca="false">+S140+M140</f>
        <v>0</v>
      </c>
      <c r="V140" s="346" t="n">
        <f aca="false">+DATE(YEAR(V139),MONTH(V139)+1,1)</f>
        <v>40422</v>
      </c>
      <c r="W140" s="327" t="n">
        <f aca="false">+Y140/(1-HLOOKUP(X$6,SHIPS,7,0)*INDEX(LADEN_VOYAGE_DAYS,MATCH(CONCATENATE(X$4,X$5),LADEN_VOYAGE_ROUTES,0),MATCH(X$6,LADEN_VOYAGE_SHIPS,0)))</f>
        <v>0</v>
      </c>
      <c r="X140" s="347" t="n">
        <f aca="false">+Y140-W140</f>
        <v>0</v>
      </c>
      <c r="Y140" s="348" t="n">
        <f aca="false">+IF(AND(X$8&lt;=V140,X$9&gt;=V140),+MIN($B140-SUMIF($H$17:X$17,Y$17,$H140:X140),((INDEX(ROUTE_PER_DAY_BY_SHIP,MATCH(CONCATENATE(X$4,X$5,X$7),ROUTE_PER_DAY_ROUTES,0),MATCH(X$6,ROUTE_PER_DAY_SHIPS,0))*(V141-V140))-(INDEX(ROUTE_PER_DAY_BY_SHIP,MATCH(CONCATENATE(X$4,X$5,X$7),ROUTE_PER_DAY_ROUTES,0),MATCH(X$6,ROUTE_PER_DAY_SHIPS,0))*(V141-V140))*HLOOKUP(X$6,SHIPS,7,0)*INDEX(LADEN_VOYAGE_DAYS,MATCH(CONCATENATE(X$4,X$5,X$7),LADEN_VOYAGE_ROUTES,0),MATCH(X$6,LADEN_VOYAGE_SHIPS,0)))),0)</f>
        <v>0</v>
      </c>
      <c r="Z140" s="349" t="n">
        <f aca="false">-(Y140)*HLOOKUP(X$5,TERMINAL_CHARGES,3,0)</f>
        <v>-0</v>
      </c>
      <c r="AA140" s="327" t="n">
        <f aca="false">+Y140+Z140</f>
        <v>0</v>
      </c>
      <c r="AB140" s="333"/>
      <c r="AC140" s="346" t="n">
        <f aca="false">+DATE(YEAR(AC139),MONTH(AC139)+1,1)</f>
        <v>40422</v>
      </c>
      <c r="AD140" s="343" t="n">
        <f aca="false">+AA140*(VLOOKUP(AC140,CURVECALC!$C$6:$J$312,4,0)+AE$5)</f>
        <v>0</v>
      </c>
      <c r="AE140" s="350" t="n">
        <f aca="false">-W140*INDEX(ship_curves,MATCH(AC140,'SHIP CURVES'!$A$9:$A$316,0),MATCH(CONCATENATE(AG$4,AG$5,AG$6,AG$7),'SHIP CURVES'!$A$9:$AZ$9,0))</f>
        <v>-0</v>
      </c>
      <c r="AF140" s="351" t="n">
        <f aca="false">-Y140*INDEX(port_processing_fee,MATCH(AC140,PORTS!$H$626:$H$933,0),MATCH(AG$5,PORTS!$H$626:$Z$626,0))</f>
        <v>-0</v>
      </c>
      <c r="AG140" s="352" t="n">
        <f aca="false">(((VLOOKUP(AC140,curvecalc,4,0))*IF(W140=0,0,AA140/W140)-INDEX(ship_curves,MATCH(AC140,'SHIP CURVES'!$A$9:$A$316,0),MATCH(CONCATENATE(AG$4,AG$5,AG$6,AG$7),'SHIP CURVES'!$A$9:$Z$9,0))-INDEX(terminal_curves,MATCH(AC140,'TERMINAL CURVES'!$A$4:$A$313,0),MATCH(AG$5,'TERMINAL CURVES'!$A$4:$N$4,0))*IF(W140=0,0,Y140/W140))-(AE$8)*((AE$7-$N$5)-(INDEX(ship_curves,MATCH(AC140,'SHIP CURVES'!$A$9:$A$316,0),MATCH(CONCATENATE(AG$4,AG$5,AG$6,AG$7),'SHIP CURVES'!$A$9:$Z$9,0))-INDEX(ship_curves,MATCH(AC140,'SHIP CURVES'!$A$9:$A$316,0),MATCH(CONCATENATE(AG$4,AE$6,AG$6,AG$7),'SHIP CURVES'!$A$9:$Z$9,0)))-(INDEX(terminal_curves,MATCH(AC140,'TERMINAL CURVES'!$A$4:$A$313,0),MATCH(AG$5,'TERMINAL CURVES'!$A$4:$N$4,0))-INDEX(terminal_curves,MATCH(AC140,'TERMINAL CURVES'!$A$4:$A$313,0),MATCH(AE$6,'TERMINAL CURVES'!$A$4:$N$4,0)))*IF(W140=0,0,Y140/W140)))*-W140</f>
        <v>0</v>
      </c>
      <c r="AH140" s="356" t="n">
        <f aca="false">SUM(AE140:AG140)</f>
        <v>0</v>
      </c>
      <c r="AI140" s="357" t="n">
        <f aca="false">(-Y140/((HLOOKUP(AG$5,port_specs,2,0)/(365.25))*(AC141-AC140)))*(INDEX(fixed_capacity_charge,MATCH(AC140,PORTS!$H$11:$H$317,0),MATCH(AG$5,PORTS!$H$11:$N$11,0))+INDEX(variable_om_charge,MATCH(AC140,PORTS!$H$318:$H$625,0),MATCH(AG$5,PORTS!$H$318:$N$318,0)))</f>
        <v>-0</v>
      </c>
      <c r="AJ140" s="343" t="n">
        <f aca="false">+AI140+AH140</f>
        <v>0</v>
      </c>
      <c r="AK140" s="355" t="n">
        <f aca="false">+AJ140+AD140</f>
        <v>0</v>
      </c>
      <c r="AM140" s="346" t="n">
        <f aca="false">+DATE(YEAR(AM139),MONTH(AM139)+1,1)</f>
        <v>40422</v>
      </c>
      <c r="AN140" s="327" t="n">
        <f aca="false">+AP140/(1-HLOOKUP(AO$6,SHIPS,7,0)*INDEX(LADEN_VOYAGE_DAYS,MATCH(CONCATENATE(AO$4,AO$5),LADEN_VOYAGE_ROUTES,0),MATCH(AO$6,LADEN_VOYAGE_SHIPS,0)))</f>
        <v>5221704.65550959</v>
      </c>
      <c r="AO140" s="347" t="n">
        <f aca="false">+AP140-AN140</f>
        <v>-54827.8988828501</v>
      </c>
      <c r="AP140" s="348" t="n">
        <f aca="false">+IF(AND(AO$8&lt;=AM140,AO$9&gt;=AM140),+MIN($B140-SUMIF($H$17:AO$17,AP$17,$H140:AO140),((INDEX(ROUTE_PER_DAY_BY_SHIP,MATCH(CONCATENATE(AO$4,AO$5,AO$7),ROUTE_PER_DAY_ROUTES,0),MATCH(AO$6,ROUTE_PER_DAY_SHIPS,0))*(AM141-AM140))-(INDEX(ROUTE_PER_DAY_BY_SHIP,MATCH(CONCATENATE(AO$4,AO$5,AO$7),ROUTE_PER_DAY_ROUTES,0),MATCH(AO$6,ROUTE_PER_DAY_SHIPS,0))*(AM141-AM140))*HLOOKUP(AO$6,SHIPS,7,0)*INDEX(LADEN_VOYAGE_DAYS,MATCH(CONCATENATE(AO$4,AO$5,AO$7),LADEN_VOYAGE_ROUTES,0),MATCH(AO$6,LADEN_VOYAGE_SHIPS,0)))),0)</f>
        <v>5166876.75662674</v>
      </c>
      <c r="AQ140" s="349" t="n">
        <f aca="false">-(AP140)*PORTS!$I$6</f>
        <v>-129171.918915669</v>
      </c>
      <c r="AR140" s="327" t="n">
        <f aca="false">+AP140+AQ140</f>
        <v>5037704.83771107</v>
      </c>
      <c r="AS140" s="333"/>
      <c r="AT140" s="346" t="n">
        <f aca="false">+DATE(YEAR(AT139),MONTH(AT139)+1,1)</f>
        <v>40422</v>
      </c>
      <c r="AU140" s="343" t="n">
        <f aca="false">+AR140*(VLOOKUP(AT140,CURVECALC!$C$6:$J$312,4,0)+AV$5)</f>
        <v>16982103.007924</v>
      </c>
      <c r="AV140" s="350" t="n">
        <f aca="false">-AN140*INDEX(ship_curves,MATCH(AT140,'SHIP CURVES'!$A$9:$A$316,0),MATCH(CONCATENATE(AX$4,AX$5,AX$6,AX$7),'SHIP CURVES'!$A$9:$AZ$9,0))</f>
        <v>-1739090.02769807</v>
      </c>
      <c r="AW140" s="351" t="n">
        <f aca="false">-AP140*INDEX(port_processing_fee,MATCH(AT140,PORTS!$H$626:$H$933,0),MATCH(AX$5,PORTS!$H$626:$Z$626,0))</f>
        <v>-155404.641377779</v>
      </c>
      <c r="AX140" s="352" t="n">
        <f aca="false">(((VLOOKUP(AT140,curvecalc,4,0))*IF(AN140=0,0,AR140/AN140)-INDEX(ship_curves,MATCH(AT140,'SHIP CURVES'!$A$9:$A$316,0),MATCH(CONCATENATE(AX$4,AX$5,AX$6,AX$7),'SHIP CURVES'!$A$9:$Z$9,0))-INDEX(terminal_curves,MATCH(AT140,'TERMINAL CURVES'!$A$4:$A$313,0),MATCH(AX$5,'TERMINAL CURVES'!$A$4:$N$4,0))*IF(AN140=0,0,AP140/AN140))-(AV$8)*((AV$7-$N$5)-(INDEX(ship_curves,MATCH(AT140,'SHIP CURVES'!$A$9:$A$316,0),MATCH(CONCATENATE(AX$4,AX$5,AX$6,AX$7),'SHIP CURVES'!$A$9:$Z$9,0))-INDEX(ship_curves,MATCH(AT140,'SHIP CURVES'!$A$9:$A$316,0),MATCH(CONCATENATE(AX$4,AV$6,AX$6,AX$7),'SHIP CURVES'!$A$9:$Z$9,0)))-(INDEX(terminal_curves,MATCH(AT140,'TERMINAL CURVES'!$A$4:$A$313,0),MATCH(AX$5,'TERMINAL CURVES'!$A$4:$N$4,0))-INDEX(terminal_curves,MATCH(AT140,'TERMINAL CURVES'!$A$4:$A$313,0),MATCH(AV$6,'TERMINAL CURVES'!$A$4:$N$4,0)))*IF(AN140=0,0,AP140/AN140)))*-AN140</f>
        <v>-13984328.7161485</v>
      </c>
      <c r="AY140" s="356" t="n">
        <f aca="false">SUM(AV140:AX140)</f>
        <v>-15878823.3852243</v>
      </c>
      <c r="AZ140" s="357" t="n">
        <f aca="false">(-AP140/((HLOOKUP(AX$5,port_specs,2,0)/(365.25))*(AT141-AT140)))*(INDEX(fixed_capacity_charge,MATCH(AT140,PORTS!$H$11:$H$317,0),MATCH(AX$5,PORTS!$H$11:$N$11,0))+INDEX(variable_om_charge,MATCH(AT140,PORTS!$H$318:$H$625,0),MATCH(AX$5,PORTS!$H$318:$N$318,0)))</f>
        <v>-1002525.5259455</v>
      </c>
      <c r="BA140" s="343" t="n">
        <f aca="false">+AZ140+AY140</f>
        <v>-16881348.9111698</v>
      </c>
      <c r="BB140" s="355" t="n">
        <f aca="false">+BA140+AU140</f>
        <v>100754.096754223</v>
      </c>
      <c r="BC140" s="99"/>
      <c r="BD140" s="357" t="n">
        <f aca="false">+PORTS!I134+PORTS!I442</f>
        <v>1002525.5259455</v>
      </c>
    </row>
    <row r="141" customFormat="false" ht="12.75" hidden="false" customHeight="false" outlineLevel="0" collapsed="false">
      <c r="A141" s="346" t="n">
        <f aca="false">+DATE(YEAR(A140),MONTH(A140)+1,1)</f>
        <v>40452</v>
      </c>
      <c r="B141" s="327" t="n">
        <f aca="false">+IF(AND($A141&gt;=$C$8,$A141&lt;=$C$9),1,0)*PORTS!$I$5/(365.25)*(A142-A141)</f>
        <v>5339105.98184763</v>
      </c>
      <c r="C141" s="328" t="n">
        <f aca="false">+B141-(SUMIF($F$17:$IV$17,$H$17,$F141:$IV141))</f>
        <v>0</v>
      </c>
      <c r="D141" s="0" t="n">
        <f aca="false">+YEAR(E141)</f>
        <v>2010</v>
      </c>
      <c r="E141" s="346" t="n">
        <f aca="false">+DATE(YEAR(E140),MONTH(E140)+1,1)</f>
        <v>40452</v>
      </c>
      <c r="F141" s="327" t="n">
        <f aca="false">+IF(AND(G$8&lt;=E141,G$9&gt;=E141),INDEX(ROUTE_PER_DAY_BY_SHIP,MATCH(CONCATENATE(G$4,G$5,G$7),ROUTE_PER_DAY_ROUTES,0),MATCH(G$6,ROUTE_PER_DAY_SHIPS,0))*(E142-E141),0)</f>
        <v>0</v>
      </c>
      <c r="G141" s="347" t="n">
        <f aca="false">-F141*HLOOKUP(G$6,SHIPS,7,0)*INDEX(LADEN_VOYAGE_DAYS,MATCH(CONCATENATE(G$4,G$5,G$7),LADEN_VOYAGE_ROUTES,0),MATCH(G$6,LADEN_VOYAGE_SHIPS,0))</f>
        <v>-0</v>
      </c>
      <c r="H141" s="348" t="n">
        <f aca="false">SUM(F141:G141)</f>
        <v>0</v>
      </c>
      <c r="I141" s="349" t="n">
        <f aca="false">-(H141)*HLOOKUP(G$5,TERMINAL_CHARGES,3,0)</f>
        <v>-0</v>
      </c>
      <c r="J141" s="327" t="n">
        <f aca="false">+H141+I141</f>
        <v>0</v>
      </c>
      <c r="K141" s="333"/>
      <c r="L141" s="346" t="n">
        <f aca="false">+DATE(YEAR(L140),MONTH(L140)+1,1)</f>
        <v>40452</v>
      </c>
      <c r="M141" s="334" t="n">
        <f aca="false">+J141*(VLOOKUP(L141,CURVECALC!$C$6:$J$312,4,0)+N$5)</f>
        <v>0</v>
      </c>
      <c r="N141" s="350" t="n">
        <f aca="false">-F141*INDEX(ship_curves,MATCH(L141,'SHIP CURVES'!$A$9:$A$316,0),MATCH(CONCATENATE(P$4,P$5,P$6,P$7),'SHIP CURVES'!$A$9:$AZ$9,0))</f>
        <v>-0</v>
      </c>
      <c r="O141" s="351" t="n">
        <f aca="false">-H141*INDEX(port_processing_fee,MATCH(L141,PORTS!$H$626:$H$933,0),MATCH(P$5,PORTS!$H$626:$Z$626,0))</f>
        <v>-0</v>
      </c>
      <c r="P141" s="352" t="n">
        <f aca="false">(((VLOOKUP(L141,curvecalc,4,0))*IF(F141=0,0,J141/F141)-INDEX(ship_curves,MATCH(L141,'SHIP CURVES'!$A$9:$A$316,0),MATCH(CONCATENATE(P$4,P$5,P$6,P$7),'SHIP CURVES'!$A$9:$Z$9,0))-INDEX(terminal_curves,MATCH(L141,'TERMINAL CURVES'!$A$4:$A$313,0),MATCH(P$5,'TERMINAL CURVES'!$A$4:$N$4,0))*IF(F141=0,0,H141/F141))-(N$8)*((N$7-$N$5)-(INDEX(ship_curves,MATCH(L141,'SHIP CURVES'!$A$9:$A$316,0),MATCH(CONCATENATE(P$4,P$5,P$6,P$7),'SHIP CURVES'!$A$9:$Z$9,0))-INDEX(ship_curves,MATCH(L141,'SHIP CURVES'!$A$9:$A$316,0),MATCH(CONCATENATE(P$4,N$6,P$6,P$7),'SHIP CURVES'!$A$9:$Z$9,0)))-(INDEX(terminal_curves,MATCH(L141,'TERMINAL CURVES'!$A$4:$A$313,0),MATCH(P$5,'TERMINAL CURVES'!$A$4:$N$4,0))-INDEX(terminal_curves,MATCH(L141,'TERMINAL CURVES'!$A$4:$A$313,0),MATCH(N$6,'TERMINAL CURVES'!$A$4:$N$4,0)))*IF(F141=0,0,H141/F141)))*-F141</f>
        <v>0</v>
      </c>
      <c r="Q141" s="353" t="n">
        <f aca="false">SUM(N141:P141)</f>
        <v>0</v>
      </c>
      <c r="R141" s="357" t="n">
        <f aca="false">(-H141/((HLOOKUP(P$5,port_specs,2,0)/(365.25))*(L142-L141)))*(INDEX(fixed_capacity_charge,MATCH(L141,PORTS!$H$11:$H$317,0),MATCH(P$5,PORTS!$H$11:$N$11,0))+INDEX(variable_om_charge,MATCH(L141,PORTS!$H$318:$H$625,0),MATCH(P$5,PORTS!$H$318:$N$318,0)))</f>
        <v>-0</v>
      </c>
      <c r="S141" s="343" t="n">
        <f aca="false">+R141+Q141</f>
        <v>0</v>
      </c>
      <c r="T141" s="355" t="n">
        <f aca="false">+S141+M141</f>
        <v>0</v>
      </c>
      <c r="V141" s="346" t="n">
        <f aca="false">+DATE(YEAR(V140),MONTH(V140)+1,1)</f>
        <v>40452</v>
      </c>
      <c r="W141" s="327" t="n">
        <f aca="false">+Y141/(1-HLOOKUP(X$6,SHIPS,7,0)*INDEX(LADEN_VOYAGE_DAYS,MATCH(CONCATENATE(X$4,X$5),LADEN_VOYAGE_ROUTES,0),MATCH(X$6,LADEN_VOYAGE_SHIPS,0)))</f>
        <v>0</v>
      </c>
      <c r="X141" s="347" t="n">
        <f aca="false">+Y141-W141</f>
        <v>0</v>
      </c>
      <c r="Y141" s="348" t="n">
        <f aca="false">+IF(AND(X$8&lt;=V141,X$9&gt;=V141),+MIN($B141-SUMIF($H$17:X$17,Y$17,$H141:X141),((INDEX(ROUTE_PER_DAY_BY_SHIP,MATCH(CONCATENATE(X$4,X$5,X$7),ROUTE_PER_DAY_ROUTES,0),MATCH(X$6,ROUTE_PER_DAY_SHIPS,0))*(V142-V141))-(INDEX(ROUTE_PER_DAY_BY_SHIP,MATCH(CONCATENATE(X$4,X$5,X$7),ROUTE_PER_DAY_ROUTES,0),MATCH(X$6,ROUTE_PER_DAY_SHIPS,0))*(V142-V141))*HLOOKUP(X$6,SHIPS,7,0)*INDEX(LADEN_VOYAGE_DAYS,MATCH(CONCATENATE(X$4,X$5,X$7),LADEN_VOYAGE_ROUTES,0),MATCH(X$6,LADEN_VOYAGE_SHIPS,0)))),0)</f>
        <v>0</v>
      </c>
      <c r="Z141" s="349" t="n">
        <f aca="false">-(Y141)*HLOOKUP(X$5,TERMINAL_CHARGES,3,0)</f>
        <v>-0</v>
      </c>
      <c r="AA141" s="327" t="n">
        <f aca="false">+Y141+Z141</f>
        <v>0</v>
      </c>
      <c r="AB141" s="333"/>
      <c r="AC141" s="346" t="n">
        <f aca="false">+DATE(YEAR(AC140),MONTH(AC140)+1,1)</f>
        <v>40452</v>
      </c>
      <c r="AD141" s="343" t="n">
        <f aca="false">+AA141*(VLOOKUP(AC141,CURVECALC!$C$6:$J$312,4,0)+AE$5)</f>
        <v>0</v>
      </c>
      <c r="AE141" s="350" t="n">
        <f aca="false">-W141*INDEX(ship_curves,MATCH(AC141,'SHIP CURVES'!$A$9:$A$316,0),MATCH(CONCATENATE(AG$4,AG$5,AG$6,AG$7),'SHIP CURVES'!$A$9:$AZ$9,0))</f>
        <v>-0</v>
      </c>
      <c r="AF141" s="351" t="n">
        <f aca="false">-Y141*INDEX(port_processing_fee,MATCH(AC141,PORTS!$H$626:$H$933,0),MATCH(AG$5,PORTS!$H$626:$Z$626,0))</f>
        <v>-0</v>
      </c>
      <c r="AG141" s="352" t="n">
        <f aca="false">(((VLOOKUP(AC141,curvecalc,4,0))*IF(W141=0,0,AA141/W141)-INDEX(ship_curves,MATCH(AC141,'SHIP CURVES'!$A$9:$A$316,0),MATCH(CONCATENATE(AG$4,AG$5,AG$6,AG$7),'SHIP CURVES'!$A$9:$Z$9,0))-INDEX(terminal_curves,MATCH(AC141,'TERMINAL CURVES'!$A$4:$A$313,0),MATCH(AG$5,'TERMINAL CURVES'!$A$4:$N$4,0))*IF(W141=0,0,Y141/W141))-(AE$8)*((AE$7-$N$5)-(INDEX(ship_curves,MATCH(AC141,'SHIP CURVES'!$A$9:$A$316,0),MATCH(CONCATENATE(AG$4,AG$5,AG$6,AG$7),'SHIP CURVES'!$A$9:$Z$9,0))-INDEX(ship_curves,MATCH(AC141,'SHIP CURVES'!$A$9:$A$316,0),MATCH(CONCATENATE(AG$4,AE$6,AG$6,AG$7),'SHIP CURVES'!$A$9:$Z$9,0)))-(INDEX(terminal_curves,MATCH(AC141,'TERMINAL CURVES'!$A$4:$A$313,0),MATCH(AG$5,'TERMINAL CURVES'!$A$4:$N$4,0))-INDEX(terminal_curves,MATCH(AC141,'TERMINAL CURVES'!$A$4:$A$313,0),MATCH(AE$6,'TERMINAL CURVES'!$A$4:$N$4,0)))*IF(W141=0,0,Y141/W141)))*-W141</f>
        <v>0</v>
      </c>
      <c r="AH141" s="356" t="n">
        <f aca="false">SUM(AE141:AG141)</f>
        <v>0</v>
      </c>
      <c r="AI141" s="357" t="n">
        <f aca="false">(-Y141/((HLOOKUP(AG$5,port_specs,2,0)/(365.25))*(AC142-AC141)))*(INDEX(fixed_capacity_charge,MATCH(AC141,PORTS!$H$11:$H$317,0),MATCH(AG$5,PORTS!$H$11:$N$11,0))+INDEX(variable_om_charge,MATCH(AC141,PORTS!$H$318:$H$625,0),MATCH(AG$5,PORTS!$H$318:$N$318,0)))</f>
        <v>-0</v>
      </c>
      <c r="AJ141" s="343" t="n">
        <f aca="false">+AI141+AH141</f>
        <v>0</v>
      </c>
      <c r="AK141" s="355" t="n">
        <f aca="false">+AJ141+AD141</f>
        <v>0</v>
      </c>
      <c r="AM141" s="346" t="n">
        <f aca="false">+DATE(YEAR(AM140),MONTH(AM140)+1,1)</f>
        <v>40452</v>
      </c>
      <c r="AN141" s="327" t="n">
        <f aca="false">+AP141/(1-HLOOKUP(AO$6,SHIPS,7,0)*INDEX(LADEN_VOYAGE_DAYS,MATCH(CONCATENATE(AO$4,AO$5),LADEN_VOYAGE_ROUTES,0),MATCH(AO$6,LADEN_VOYAGE_SHIPS,0)))</f>
        <v>5395761.47735991</v>
      </c>
      <c r="AO141" s="347" t="n">
        <f aca="false">+AP141-AN141</f>
        <v>-56655.4955122788</v>
      </c>
      <c r="AP141" s="348" t="n">
        <f aca="false">+IF(AND(AO$8&lt;=AM141,AO$9&gt;=AM141),+MIN($B141-SUMIF($H$17:AO$17,AP$17,$H141:AO141),((INDEX(ROUTE_PER_DAY_BY_SHIP,MATCH(CONCATENATE(AO$4,AO$5,AO$7),ROUTE_PER_DAY_ROUTES,0),MATCH(AO$6,ROUTE_PER_DAY_SHIPS,0))*(AM142-AM141))-(INDEX(ROUTE_PER_DAY_BY_SHIP,MATCH(CONCATENATE(AO$4,AO$5,AO$7),ROUTE_PER_DAY_ROUTES,0),MATCH(AO$6,ROUTE_PER_DAY_SHIPS,0))*(AM142-AM141))*HLOOKUP(AO$6,SHIPS,7,0)*INDEX(LADEN_VOYAGE_DAYS,MATCH(CONCATENATE(AO$4,AO$5,AO$7),LADEN_VOYAGE_ROUTES,0),MATCH(AO$6,LADEN_VOYAGE_SHIPS,0)))),0)</f>
        <v>5339105.98184763</v>
      </c>
      <c r="AQ141" s="349" t="n">
        <f aca="false">-(AP141)*PORTS!$I$6</f>
        <v>-133477.649546191</v>
      </c>
      <c r="AR141" s="327" t="n">
        <f aca="false">+AP141+AQ141</f>
        <v>5205628.33230144</v>
      </c>
      <c r="AS141" s="333"/>
      <c r="AT141" s="346" t="n">
        <f aca="false">+DATE(YEAR(AT140),MONTH(AT140)+1,1)</f>
        <v>40452</v>
      </c>
      <c r="AU141" s="343" t="n">
        <f aca="false">+AR141*(VLOOKUP(AT141,CURVECALC!$C$6:$J$312,4,0)+AV$5)</f>
        <v>17615846.2765081</v>
      </c>
      <c r="AV141" s="350" t="n">
        <f aca="false">-AN141*INDEX(ship_curves,MATCH(AT141,'SHIP CURVES'!$A$9:$A$316,0),MATCH(CONCATENATE(AX$4,AX$5,AX$6,AX$7),'SHIP CURVES'!$A$9:$AZ$9,0))</f>
        <v>-1797607.88688857</v>
      </c>
      <c r="AW141" s="351" t="n">
        <f aca="false">-AP141*INDEX(port_processing_fee,MATCH(AT141,PORTS!$H$626:$H$933,0),MATCH(AX$5,PORTS!$H$626:$Z$626,0))</f>
        <v>-160752.071919632</v>
      </c>
      <c r="AX141" s="352" t="n">
        <f aca="false">(((VLOOKUP(AT141,curvecalc,4,0))*IF(AN141=0,0,AR141/AN141)-INDEX(ship_curves,MATCH(AT141,'SHIP CURVES'!$A$9:$A$316,0),MATCH(CONCATENATE(AX$4,AX$5,AX$6,AX$7),'SHIP CURVES'!$A$9:$Z$9,0))-INDEX(terminal_curves,MATCH(AT141,'TERMINAL CURVES'!$A$4:$A$313,0),MATCH(AX$5,'TERMINAL CURVES'!$A$4:$N$4,0))*IF(AN141=0,0,AP141/AN141))-(AV$8)*((AV$7-$N$5)-(INDEX(ship_curves,MATCH(AT141,'SHIP CURVES'!$A$9:$A$316,0),MATCH(CONCATENATE(AX$4,AX$5,AX$6,AX$7),'SHIP CURVES'!$A$9:$Z$9,0))-INDEX(ship_curves,MATCH(AT141,'SHIP CURVES'!$A$9:$A$316,0),MATCH(CONCATENATE(AX$4,AV$6,AX$6,AX$7),'SHIP CURVES'!$A$9:$Z$9,0)))-(INDEX(terminal_curves,MATCH(AT141,'TERMINAL CURVES'!$A$4:$A$313,0),MATCH(AX$5,'TERMINAL CURVES'!$A$4:$N$4,0))-INDEX(terminal_curves,MATCH(AT141,'TERMINAL CURVES'!$A$4:$A$313,0),MATCH(AV$6,'TERMINAL CURVES'!$A$4:$N$4,0)))*IF(AN141=0,0,AP141/AN141)))*-AN141</f>
        <v>-14550309.3303635</v>
      </c>
      <c r="AY141" s="356" t="n">
        <f aca="false">SUM(AV141:AX141)</f>
        <v>-16508669.2891717</v>
      </c>
      <c r="AZ141" s="357" t="n">
        <f aca="false">(-AP141/((HLOOKUP(AX$5,port_specs,2,0)/(365.25))*(AT142-AT141)))*(INDEX(fixed_capacity_charge,MATCH(AT141,PORTS!$H$11:$H$317,0),MATCH(AX$5,PORTS!$H$11:$N$11,0))+INDEX(variable_om_charge,MATCH(AT141,PORTS!$H$318:$H$625,0),MATCH(AX$5,PORTS!$H$318:$N$318,0)))</f>
        <v>-1003064.42069033</v>
      </c>
      <c r="BA141" s="343" t="n">
        <f aca="false">+AZ141+AY141</f>
        <v>-17511733.7098621</v>
      </c>
      <c r="BB141" s="355" t="n">
        <f aca="false">+BA141+AU141</f>
        <v>104112.566646028</v>
      </c>
      <c r="BC141" s="99"/>
      <c r="BD141" s="357" t="n">
        <f aca="false">+PORTS!I135+PORTS!I443</f>
        <v>1003064.42069033</v>
      </c>
    </row>
    <row r="142" customFormat="false" ht="12.75" hidden="false" customHeight="false" outlineLevel="0" collapsed="false">
      <c r="A142" s="346" t="n">
        <f aca="false">+DATE(YEAR(A141),MONTH(A141)+1,1)</f>
        <v>40483</v>
      </c>
      <c r="B142" s="327" t="n">
        <f aca="false">+IF(AND($A142&gt;=$C$8,$A142&lt;=$C$9),1,0)*PORTS!$I$5/(365.25)*(A143-A142)</f>
        <v>5166876.75662674</v>
      </c>
      <c r="C142" s="328" t="n">
        <f aca="false">+B142-(SUMIF($F$17:$IV$17,$H$17,$F142:$IV142))</f>
        <v>0</v>
      </c>
      <c r="D142" s="0" t="n">
        <f aca="false">+YEAR(E142)</f>
        <v>2010</v>
      </c>
      <c r="E142" s="346" t="n">
        <f aca="false">+DATE(YEAR(E141),MONTH(E141)+1,1)</f>
        <v>40483</v>
      </c>
      <c r="F142" s="327" t="n">
        <f aca="false">+IF(AND(G$8&lt;=E142,G$9&gt;=E142),INDEX(ROUTE_PER_DAY_BY_SHIP,MATCH(CONCATENATE(G$4,G$5,G$7),ROUTE_PER_DAY_ROUTES,0),MATCH(G$6,ROUTE_PER_DAY_SHIPS,0))*(E143-E142),0)</f>
        <v>0</v>
      </c>
      <c r="G142" s="347" t="n">
        <f aca="false">-F142*HLOOKUP(G$6,SHIPS,7,0)*INDEX(LADEN_VOYAGE_DAYS,MATCH(CONCATENATE(G$4,G$5,G$7),LADEN_VOYAGE_ROUTES,0),MATCH(G$6,LADEN_VOYAGE_SHIPS,0))</f>
        <v>-0</v>
      </c>
      <c r="H142" s="348" t="n">
        <f aca="false">SUM(F142:G142)</f>
        <v>0</v>
      </c>
      <c r="I142" s="349" t="n">
        <f aca="false">-(H142)*HLOOKUP(G$5,TERMINAL_CHARGES,3,0)</f>
        <v>-0</v>
      </c>
      <c r="J142" s="327" t="n">
        <f aca="false">+H142+I142</f>
        <v>0</v>
      </c>
      <c r="K142" s="333"/>
      <c r="L142" s="346" t="n">
        <f aca="false">+DATE(YEAR(L141),MONTH(L141)+1,1)</f>
        <v>40483</v>
      </c>
      <c r="M142" s="334" t="n">
        <f aca="false">+J142*(VLOOKUP(L142,CURVECALC!$C$6:$J$312,4,0)+N$5)</f>
        <v>0</v>
      </c>
      <c r="N142" s="350" t="n">
        <f aca="false">-F142*INDEX(ship_curves,MATCH(L142,'SHIP CURVES'!$A$9:$A$316,0),MATCH(CONCATENATE(P$4,P$5,P$6,P$7),'SHIP CURVES'!$A$9:$AZ$9,0))</f>
        <v>-0</v>
      </c>
      <c r="O142" s="351" t="n">
        <f aca="false">-H142*INDEX(port_processing_fee,MATCH(L142,PORTS!$H$626:$H$933,0),MATCH(P$5,PORTS!$H$626:$Z$626,0))</f>
        <v>-0</v>
      </c>
      <c r="P142" s="352" t="n">
        <f aca="false">(((VLOOKUP(L142,curvecalc,4,0))*IF(F142=0,0,J142/F142)-INDEX(ship_curves,MATCH(L142,'SHIP CURVES'!$A$9:$A$316,0),MATCH(CONCATENATE(P$4,P$5,P$6,P$7),'SHIP CURVES'!$A$9:$Z$9,0))-INDEX(terminal_curves,MATCH(L142,'TERMINAL CURVES'!$A$4:$A$313,0),MATCH(P$5,'TERMINAL CURVES'!$A$4:$N$4,0))*IF(F142=0,0,H142/F142))-(N$8)*((N$7-$N$5)-(INDEX(ship_curves,MATCH(L142,'SHIP CURVES'!$A$9:$A$316,0),MATCH(CONCATENATE(P$4,P$5,P$6,P$7),'SHIP CURVES'!$A$9:$Z$9,0))-INDEX(ship_curves,MATCH(L142,'SHIP CURVES'!$A$9:$A$316,0),MATCH(CONCATENATE(P$4,N$6,P$6,P$7),'SHIP CURVES'!$A$9:$Z$9,0)))-(INDEX(terminal_curves,MATCH(L142,'TERMINAL CURVES'!$A$4:$A$313,0),MATCH(P$5,'TERMINAL CURVES'!$A$4:$N$4,0))-INDEX(terminal_curves,MATCH(L142,'TERMINAL CURVES'!$A$4:$A$313,0),MATCH(N$6,'TERMINAL CURVES'!$A$4:$N$4,0)))*IF(F142=0,0,H142/F142)))*-F142</f>
        <v>0</v>
      </c>
      <c r="Q142" s="353" t="n">
        <f aca="false">SUM(N142:P142)</f>
        <v>0</v>
      </c>
      <c r="R142" s="357" t="n">
        <f aca="false">(-H142/((HLOOKUP(P$5,port_specs,2,0)/(365.25))*(L143-L142)))*(INDEX(fixed_capacity_charge,MATCH(L142,PORTS!$H$11:$H$317,0),MATCH(P$5,PORTS!$H$11:$N$11,0))+INDEX(variable_om_charge,MATCH(L142,PORTS!$H$318:$H$625,0),MATCH(P$5,PORTS!$H$318:$N$318,0)))</f>
        <v>-0</v>
      </c>
      <c r="S142" s="343" t="n">
        <f aca="false">+R142+Q142</f>
        <v>0</v>
      </c>
      <c r="T142" s="355" t="n">
        <f aca="false">+S142+M142</f>
        <v>0</v>
      </c>
      <c r="V142" s="346" t="n">
        <f aca="false">+DATE(YEAR(V141),MONTH(V141)+1,1)</f>
        <v>40483</v>
      </c>
      <c r="W142" s="327" t="n">
        <f aca="false">+Y142/(1-HLOOKUP(X$6,SHIPS,7,0)*INDEX(LADEN_VOYAGE_DAYS,MATCH(CONCATENATE(X$4,X$5),LADEN_VOYAGE_ROUTES,0),MATCH(X$6,LADEN_VOYAGE_SHIPS,0)))</f>
        <v>0</v>
      </c>
      <c r="X142" s="347" t="n">
        <f aca="false">+Y142-W142</f>
        <v>0</v>
      </c>
      <c r="Y142" s="348" t="n">
        <f aca="false">+IF(AND(X$8&lt;=V142,X$9&gt;=V142),+MIN($B142-SUMIF($H$17:X$17,Y$17,$H142:X142),((INDEX(ROUTE_PER_DAY_BY_SHIP,MATCH(CONCATENATE(X$4,X$5,X$7),ROUTE_PER_DAY_ROUTES,0),MATCH(X$6,ROUTE_PER_DAY_SHIPS,0))*(V143-V142))-(INDEX(ROUTE_PER_DAY_BY_SHIP,MATCH(CONCATENATE(X$4,X$5,X$7),ROUTE_PER_DAY_ROUTES,0),MATCH(X$6,ROUTE_PER_DAY_SHIPS,0))*(V143-V142))*HLOOKUP(X$6,SHIPS,7,0)*INDEX(LADEN_VOYAGE_DAYS,MATCH(CONCATENATE(X$4,X$5,X$7),LADEN_VOYAGE_ROUTES,0),MATCH(X$6,LADEN_VOYAGE_SHIPS,0)))),0)</f>
        <v>0</v>
      </c>
      <c r="Z142" s="349" t="n">
        <f aca="false">-(Y142)*HLOOKUP(X$5,TERMINAL_CHARGES,3,0)</f>
        <v>-0</v>
      </c>
      <c r="AA142" s="327" t="n">
        <f aca="false">+Y142+Z142</f>
        <v>0</v>
      </c>
      <c r="AB142" s="333"/>
      <c r="AC142" s="346" t="n">
        <f aca="false">+DATE(YEAR(AC141),MONTH(AC141)+1,1)</f>
        <v>40483</v>
      </c>
      <c r="AD142" s="343" t="n">
        <f aca="false">+AA142*(VLOOKUP(AC142,CURVECALC!$C$6:$J$312,4,0)+AE$5)</f>
        <v>0</v>
      </c>
      <c r="AE142" s="350" t="n">
        <f aca="false">-W142*INDEX(ship_curves,MATCH(AC142,'SHIP CURVES'!$A$9:$A$316,0),MATCH(CONCATENATE(AG$4,AG$5,AG$6,AG$7),'SHIP CURVES'!$A$9:$AZ$9,0))</f>
        <v>-0</v>
      </c>
      <c r="AF142" s="351" t="n">
        <f aca="false">-Y142*INDEX(port_processing_fee,MATCH(AC142,PORTS!$H$626:$H$933,0),MATCH(AG$5,PORTS!$H$626:$Z$626,0))</f>
        <v>-0</v>
      </c>
      <c r="AG142" s="352" t="n">
        <f aca="false">(((VLOOKUP(AC142,curvecalc,4,0))*IF(W142=0,0,AA142/W142)-INDEX(ship_curves,MATCH(AC142,'SHIP CURVES'!$A$9:$A$316,0),MATCH(CONCATENATE(AG$4,AG$5,AG$6,AG$7),'SHIP CURVES'!$A$9:$Z$9,0))-INDEX(terminal_curves,MATCH(AC142,'TERMINAL CURVES'!$A$4:$A$313,0),MATCH(AG$5,'TERMINAL CURVES'!$A$4:$N$4,0))*IF(W142=0,0,Y142/W142))-(AE$8)*((AE$7-$N$5)-(INDEX(ship_curves,MATCH(AC142,'SHIP CURVES'!$A$9:$A$316,0),MATCH(CONCATENATE(AG$4,AG$5,AG$6,AG$7),'SHIP CURVES'!$A$9:$Z$9,0))-INDEX(ship_curves,MATCH(AC142,'SHIP CURVES'!$A$9:$A$316,0),MATCH(CONCATENATE(AG$4,AE$6,AG$6,AG$7),'SHIP CURVES'!$A$9:$Z$9,0)))-(INDEX(terminal_curves,MATCH(AC142,'TERMINAL CURVES'!$A$4:$A$313,0),MATCH(AG$5,'TERMINAL CURVES'!$A$4:$N$4,0))-INDEX(terminal_curves,MATCH(AC142,'TERMINAL CURVES'!$A$4:$A$313,0),MATCH(AE$6,'TERMINAL CURVES'!$A$4:$N$4,0)))*IF(W142=0,0,Y142/W142)))*-W142</f>
        <v>0</v>
      </c>
      <c r="AH142" s="356" t="n">
        <f aca="false">SUM(AE142:AG142)</f>
        <v>0</v>
      </c>
      <c r="AI142" s="357" t="n">
        <f aca="false">(-Y142/((HLOOKUP(AG$5,port_specs,2,0)/(365.25))*(AC143-AC142)))*(INDEX(fixed_capacity_charge,MATCH(AC142,PORTS!$H$11:$H$317,0),MATCH(AG$5,PORTS!$H$11:$N$11,0))+INDEX(variable_om_charge,MATCH(AC142,PORTS!$H$318:$H$625,0),MATCH(AG$5,PORTS!$H$318:$N$318,0)))</f>
        <v>-0</v>
      </c>
      <c r="AJ142" s="343" t="n">
        <f aca="false">+AI142+AH142</f>
        <v>0</v>
      </c>
      <c r="AK142" s="355" t="n">
        <f aca="false">+AJ142+AD142</f>
        <v>0</v>
      </c>
      <c r="AM142" s="346" t="n">
        <f aca="false">+DATE(YEAR(AM141),MONTH(AM141)+1,1)</f>
        <v>40483</v>
      </c>
      <c r="AN142" s="327" t="n">
        <f aca="false">+AP142/(1-HLOOKUP(AO$6,SHIPS,7,0)*INDEX(LADEN_VOYAGE_DAYS,MATCH(CONCATENATE(AO$4,AO$5),LADEN_VOYAGE_ROUTES,0),MATCH(AO$6,LADEN_VOYAGE_SHIPS,0)))</f>
        <v>5221704.65550959</v>
      </c>
      <c r="AO142" s="347" t="n">
        <f aca="false">+AP142-AN142</f>
        <v>-54827.8988828501</v>
      </c>
      <c r="AP142" s="348" t="n">
        <f aca="false">+IF(AND(AO$8&lt;=AM142,AO$9&gt;=AM142),+MIN($B142-SUMIF($H$17:AO$17,AP$17,$H142:AO142),((INDEX(ROUTE_PER_DAY_BY_SHIP,MATCH(CONCATENATE(AO$4,AO$5,AO$7),ROUTE_PER_DAY_ROUTES,0),MATCH(AO$6,ROUTE_PER_DAY_SHIPS,0))*(AM143-AM142))-(INDEX(ROUTE_PER_DAY_BY_SHIP,MATCH(CONCATENATE(AO$4,AO$5,AO$7),ROUTE_PER_DAY_ROUTES,0),MATCH(AO$6,ROUTE_PER_DAY_SHIPS,0))*(AM143-AM142))*HLOOKUP(AO$6,SHIPS,7,0)*INDEX(LADEN_VOYAGE_DAYS,MATCH(CONCATENATE(AO$4,AO$5,AO$7),LADEN_VOYAGE_ROUTES,0),MATCH(AO$6,LADEN_VOYAGE_SHIPS,0)))),0)</f>
        <v>5166876.75662674</v>
      </c>
      <c r="AQ142" s="349" t="n">
        <f aca="false">-(AP142)*PORTS!$I$6</f>
        <v>-129171.918915669</v>
      </c>
      <c r="AR142" s="327" t="n">
        <f aca="false">+AP142+AQ142</f>
        <v>5037704.83771107</v>
      </c>
      <c r="AS142" s="333"/>
      <c r="AT142" s="346" t="n">
        <f aca="false">+DATE(YEAR(AT141),MONTH(AT141)+1,1)</f>
        <v>40483</v>
      </c>
      <c r="AU142" s="343" t="n">
        <f aca="false">+AR142*(VLOOKUP(AT142,CURVECALC!$C$6:$J$312,4,0)+AV$5)</f>
        <v>17420383.3288049</v>
      </c>
      <c r="AV142" s="350" t="n">
        <f aca="false">-AN142*INDEX(ship_curves,MATCH(AT142,'SHIP CURVES'!$A$9:$A$316,0),MATCH(CONCATENATE(AX$4,AX$5,AX$6,AX$7),'SHIP CURVES'!$A$9:$AZ$9,0))</f>
        <v>-1740152.14892416</v>
      </c>
      <c r="AW142" s="351" t="n">
        <f aca="false">-AP142*INDEX(port_processing_fee,MATCH(AT142,PORTS!$H$626:$H$933,0),MATCH(AX$5,PORTS!$H$626:$Z$626,0))</f>
        <v>-155728.569672144</v>
      </c>
      <c r="AX142" s="352" t="n">
        <f aca="false">(((VLOOKUP(AT142,curvecalc,4,0))*IF(AN142=0,0,AR142/AN142)-INDEX(ship_curves,MATCH(AT142,'SHIP CURVES'!$A$9:$A$316,0),MATCH(CONCATENATE(AX$4,AX$5,AX$6,AX$7),'SHIP CURVES'!$A$9:$Z$9,0))-INDEX(terminal_curves,MATCH(AT142,'TERMINAL CURVES'!$A$4:$A$313,0),MATCH(AX$5,'TERMINAL CURVES'!$A$4:$N$4,0))*IF(AN142=0,0,AP142/AN142))-(AV$8)*((AV$7-$N$5)-(INDEX(ship_curves,MATCH(AT142,'SHIP CURVES'!$A$9:$A$316,0),MATCH(CONCATENATE(AX$4,AX$5,AX$6,AX$7),'SHIP CURVES'!$A$9:$Z$9,0))-INDEX(ship_curves,MATCH(AT142,'SHIP CURVES'!$A$9:$A$316,0),MATCH(CONCATENATE(AX$4,AV$6,AX$6,AX$7),'SHIP CURVES'!$A$9:$Z$9,0)))-(INDEX(terminal_curves,MATCH(AT142,'TERMINAL CURVES'!$A$4:$A$313,0),MATCH(AX$5,'TERMINAL CURVES'!$A$4:$N$4,0))-INDEX(terminal_curves,MATCH(AT142,'TERMINAL CURVES'!$A$4:$A$313,0),MATCH(AV$6,'TERMINAL CURVES'!$A$4:$N$4,0)))*IF(AN142=0,0,AP142/AN142)))*-AN142</f>
        <v>-14420144.6366705</v>
      </c>
      <c r="AY142" s="356" t="n">
        <f aca="false">SUM(AV142:AX142)</f>
        <v>-16316025.3552668</v>
      </c>
      <c r="AZ142" s="357" t="n">
        <f aca="false">(-AP142/((HLOOKUP(AX$5,port_specs,2,0)/(365.25))*(AT143-AT142)))*(INDEX(fixed_capacity_charge,MATCH(AT142,PORTS!$H$11:$H$317,0),MATCH(AX$5,PORTS!$H$11:$N$11,0))+INDEX(variable_om_charge,MATCH(AT142,PORTS!$H$318:$H$625,0),MATCH(AX$5,PORTS!$H$318:$N$318,0)))</f>
        <v>-1003603.87678385</v>
      </c>
      <c r="BA142" s="343" t="n">
        <f aca="false">+AZ142+AY142</f>
        <v>-17319629.2320507</v>
      </c>
      <c r="BB142" s="355" t="n">
        <f aca="false">+BA142+AU142</f>
        <v>100754.096754223</v>
      </c>
      <c r="BC142" s="99"/>
      <c r="BD142" s="357" t="n">
        <f aca="false">+PORTS!I136+PORTS!I444</f>
        <v>1003603.87678385</v>
      </c>
    </row>
    <row r="143" customFormat="false" ht="12.75" hidden="false" customHeight="false" outlineLevel="0" collapsed="false">
      <c r="A143" s="346" t="n">
        <f aca="false">+DATE(YEAR(A142),MONTH(A142)+1,1)</f>
        <v>40513</v>
      </c>
      <c r="B143" s="327" t="n">
        <f aca="false">+IF(AND($A143&gt;=$C$8,$A143&lt;=$C$9),1,0)*PORTS!$I$5/(365.25)*(A144-A143)</f>
        <v>5339105.98184763</v>
      </c>
      <c r="C143" s="328" t="n">
        <f aca="false">+B143-(SUMIF($F$17:$IV$17,$H$17,$F143:$IV143))</f>
        <v>0</v>
      </c>
      <c r="D143" s="0" t="n">
        <f aca="false">+YEAR(E143)</f>
        <v>2010</v>
      </c>
      <c r="E143" s="346" t="n">
        <f aca="false">+DATE(YEAR(E142),MONTH(E142)+1,1)</f>
        <v>40513</v>
      </c>
      <c r="F143" s="327" t="n">
        <f aca="false">+IF(AND(G$8&lt;=E143,G$9&gt;=E143),INDEX(ROUTE_PER_DAY_BY_SHIP,MATCH(CONCATENATE(G$4,G$5,G$7),ROUTE_PER_DAY_ROUTES,0),MATCH(G$6,ROUTE_PER_DAY_SHIPS,0))*(E144-E143),0)</f>
        <v>0</v>
      </c>
      <c r="G143" s="347" t="n">
        <f aca="false">-F143*HLOOKUP(G$6,SHIPS,7,0)*INDEX(LADEN_VOYAGE_DAYS,MATCH(CONCATENATE(G$4,G$5,G$7),LADEN_VOYAGE_ROUTES,0),MATCH(G$6,LADEN_VOYAGE_SHIPS,0))</f>
        <v>-0</v>
      </c>
      <c r="H143" s="348" t="n">
        <f aca="false">SUM(F143:G143)</f>
        <v>0</v>
      </c>
      <c r="I143" s="349" t="n">
        <f aca="false">-(H143)*HLOOKUP(G$5,TERMINAL_CHARGES,3,0)</f>
        <v>-0</v>
      </c>
      <c r="J143" s="327" t="n">
        <f aca="false">+H143+I143</f>
        <v>0</v>
      </c>
      <c r="K143" s="333"/>
      <c r="L143" s="346" t="n">
        <f aca="false">+DATE(YEAR(L142),MONTH(L142)+1,1)</f>
        <v>40513</v>
      </c>
      <c r="M143" s="334" t="n">
        <f aca="false">+J143*(VLOOKUP(L143,CURVECALC!$C$6:$J$312,4,0)+N$5)</f>
        <v>0</v>
      </c>
      <c r="N143" s="350" t="n">
        <f aca="false">-F143*INDEX(ship_curves,MATCH(L143,'SHIP CURVES'!$A$9:$A$316,0),MATCH(CONCATENATE(P$4,P$5,P$6,P$7),'SHIP CURVES'!$A$9:$AZ$9,0))</f>
        <v>-0</v>
      </c>
      <c r="O143" s="351" t="n">
        <f aca="false">-H143*INDEX(port_processing_fee,MATCH(L143,PORTS!$H$626:$H$933,0),MATCH(P$5,PORTS!$H$626:$Z$626,0))</f>
        <v>-0</v>
      </c>
      <c r="P143" s="352" t="n">
        <f aca="false">(((VLOOKUP(L143,curvecalc,4,0))*IF(F143=0,0,J143/F143)-INDEX(ship_curves,MATCH(L143,'SHIP CURVES'!$A$9:$A$316,0),MATCH(CONCATENATE(P$4,P$5,P$6,P$7),'SHIP CURVES'!$A$9:$Z$9,0))-INDEX(terminal_curves,MATCH(L143,'TERMINAL CURVES'!$A$4:$A$313,0),MATCH(P$5,'TERMINAL CURVES'!$A$4:$N$4,0))*IF(F143=0,0,H143/F143))-(N$8)*((N$7-$N$5)-(INDEX(ship_curves,MATCH(L143,'SHIP CURVES'!$A$9:$A$316,0),MATCH(CONCATENATE(P$4,P$5,P$6,P$7),'SHIP CURVES'!$A$9:$Z$9,0))-INDEX(ship_curves,MATCH(L143,'SHIP CURVES'!$A$9:$A$316,0),MATCH(CONCATENATE(P$4,N$6,P$6,P$7),'SHIP CURVES'!$A$9:$Z$9,0)))-(INDEX(terminal_curves,MATCH(L143,'TERMINAL CURVES'!$A$4:$A$313,0),MATCH(P$5,'TERMINAL CURVES'!$A$4:$N$4,0))-INDEX(terminal_curves,MATCH(L143,'TERMINAL CURVES'!$A$4:$A$313,0),MATCH(N$6,'TERMINAL CURVES'!$A$4:$N$4,0)))*IF(F143=0,0,H143/F143)))*-F143</f>
        <v>0</v>
      </c>
      <c r="Q143" s="353" t="n">
        <f aca="false">SUM(N143:P143)</f>
        <v>0</v>
      </c>
      <c r="R143" s="357" t="n">
        <f aca="false">(-H143/((HLOOKUP(P$5,port_specs,2,0)/(365.25))*(L144-L143)))*(INDEX(fixed_capacity_charge,MATCH(L143,PORTS!$H$11:$H$317,0),MATCH(P$5,PORTS!$H$11:$N$11,0))+INDEX(variable_om_charge,MATCH(L143,PORTS!$H$318:$H$625,0),MATCH(P$5,PORTS!$H$318:$N$318,0)))</f>
        <v>-0</v>
      </c>
      <c r="S143" s="343" t="n">
        <f aca="false">+R143+Q143</f>
        <v>0</v>
      </c>
      <c r="T143" s="355" t="n">
        <f aca="false">+S143+M143</f>
        <v>0</v>
      </c>
      <c r="V143" s="346" t="n">
        <f aca="false">+DATE(YEAR(V142),MONTH(V142)+1,1)</f>
        <v>40513</v>
      </c>
      <c r="W143" s="327" t="n">
        <f aca="false">+Y143/(1-HLOOKUP(X$6,SHIPS,7,0)*INDEX(LADEN_VOYAGE_DAYS,MATCH(CONCATENATE(X$4,X$5),LADEN_VOYAGE_ROUTES,0),MATCH(X$6,LADEN_VOYAGE_SHIPS,0)))</f>
        <v>0</v>
      </c>
      <c r="X143" s="347" t="n">
        <f aca="false">+Y143-W143</f>
        <v>0</v>
      </c>
      <c r="Y143" s="348" t="n">
        <f aca="false">+IF(AND(X$8&lt;=V143,X$9&gt;=V143),+MIN($B143-SUMIF($H$17:X$17,Y$17,$H143:X143),((INDEX(ROUTE_PER_DAY_BY_SHIP,MATCH(CONCATENATE(X$4,X$5,X$7),ROUTE_PER_DAY_ROUTES,0),MATCH(X$6,ROUTE_PER_DAY_SHIPS,0))*(V144-V143))-(INDEX(ROUTE_PER_DAY_BY_SHIP,MATCH(CONCATENATE(X$4,X$5,X$7),ROUTE_PER_DAY_ROUTES,0),MATCH(X$6,ROUTE_PER_DAY_SHIPS,0))*(V144-V143))*HLOOKUP(X$6,SHIPS,7,0)*INDEX(LADEN_VOYAGE_DAYS,MATCH(CONCATENATE(X$4,X$5,X$7),LADEN_VOYAGE_ROUTES,0),MATCH(X$6,LADEN_VOYAGE_SHIPS,0)))),0)</f>
        <v>0</v>
      </c>
      <c r="Z143" s="349" t="n">
        <f aca="false">-(Y143)*HLOOKUP(X$5,TERMINAL_CHARGES,3,0)</f>
        <v>-0</v>
      </c>
      <c r="AA143" s="327" t="n">
        <f aca="false">+Y143+Z143</f>
        <v>0</v>
      </c>
      <c r="AB143" s="333"/>
      <c r="AC143" s="346" t="n">
        <f aca="false">+DATE(YEAR(AC142),MONTH(AC142)+1,1)</f>
        <v>40513</v>
      </c>
      <c r="AD143" s="343" t="n">
        <f aca="false">+AA143*(VLOOKUP(AC143,CURVECALC!$C$6:$J$312,4,0)+AE$5)</f>
        <v>0</v>
      </c>
      <c r="AE143" s="350" t="n">
        <f aca="false">-W143*INDEX(ship_curves,MATCH(AC143,'SHIP CURVES'!$A$9:$A$316,0),MATCH(CONCATENATE(AG$4,AG$5,AG$6,AG$7),'SHIP CURVES'!$A$9:$AZ$9,0))</f>
        <v>-0</v>
      </c>
      <c r="AF143" s="351" t="n">
        <f aca="false">-Y143*INDEX(port_processing_fee,MATCH(AC143,PORTS!$H$626:$H$933,0),MATCH(AG$5,PORTS!$H$626:$Z$626,0))</f>
        <v>-0</v>
      </c>
      <c r="AG143" s="352" t="n">
        <f aca="false">(((VLOOKUP(AC143,curvecalc,4,0))*IF(W143=0,0,AA143/W143)-INDEX(ship_curves,MATCH(AC143,'SHIP CURVES'!$A$9:$A$316,0),MATCH(CONCATENATE(AG$4,AG$5,AG$6,AG$7),'SHIP CURVES'!$A$9:$Z$9,0))-INDEX(terminal_curves,MATCH(AC143,'TERMINAL CURVES'!$A$4:$A$313,0),MATCH(AG$5,'TERMINAL CURVES'!$A$4:$N$4,0))*IF(W143=0,0,Y143/W143))-(AE$8)*((AE$7-$N$5)-(INDEX(ship_curves,MATCH(AC143,'SHIP CURVES'!$A$9:$A$316,0),MATCH(CONCATENATE(AG$4,AG$5,AG$6,AG$7),'SHIP CURVES'!$A$9:$Z$9,0))-INDEX(ship_curves,MATCH(AC143,'SHIP CURVES'!$A$9:$A$316,0),MATCH(CONCATENATE(AG$4,AE$6,AG$6,AG$7),'SHIP CURVES'!$A$9:$Z$9,0)))-(INDEX(terminal_curves,MATCH(AC143,'TERMINAL CURVES'!$A$4:$A$313,0),MATCH(AG$5,'TERMINAL CURVES'!$A$4:$N$4,0))-INDEX(terminal_curves,MATCH(AC143,'TERMINAL CURVES'!$A$4:$A$313,0),MATCH(AE$6,'TERMINAL CURVES'!$A$4:$N$4,0)))*IF(W143=0,0,Y143/W143)))*-W143</f>
        <v>0</v>
      </c>
      <c r="AH143" s="356" t="n">
        <f aca="false">SUM(AE143:AG143)</f>
        <v>0</v>
      </c>
      <c r="AI143" s="357" t="n">
        <f aca="false">(-Y143/((HLOOKUP(AG$5,port_specs,2,0)/(365.25))*(AC144-AC143)))*(INDEX(fixed_capacity_charge,MATCH(AC143,PORTS!$H$11:$H$317,0),MATCH(AG$5,PORTS!$H$11:$N$11,0))+INDEX(variable_om_charge,MATCH(AC143,PORTS!$H$318:$H$625,0),MATCH(AG$5,PORTS!$H$318:$N$318,0)))</f>
        <v>-0</v>
      </c>
      <c r="AJ143" s="343" t="n">
        <f aca="false">+AI143+AH143</f>
        <v>0</v>
      </c>
      <c r="AK143" s="355" t="n">
        <f aca="false">+AJ143+AD143</f>
        <v>0</v>
      </c>
      <c r="AM143" s="346" t="n">
        <f aca="false">+DATE(YEAR(AM142),MONTH(AM142)+1,1)</f>
        <v>40513</v>
      </c>
      <c r="AN143" s="327" t="n">
        <f aca="false">+AP143/(1-HLOOKUP(AO$6,SHIPS,7,0)*INDEX(LADEN_VOYAGE_DAYS,MATCH(CONCATENATE(AO$4,AO$5),LADEN_VOYAGE_ROUTES,0),MATCH(AO$6,LADEN_VOYAGE_SHIPS,0)))</f>
        <v>5395761.47735991</v>
      </c>
      <c r="AO143" s="347" t="n">
        <f aca="false">+AP143-AN143</f>
        <v>-56655.4955122788</v>
      </c>
      <c r="AP143" s="348" t="n">
        <f aca="false">+IF(AND(AO$8&lt;=AM143,AO$9&gt;=AM143),+MIN($B143-SUMIF($H$17:AO$17,AP$17,$H143:AO143),((INDEX(ROUTE_PER_DAY_BY_SHIP,MATCH(CONCATENATE(AO$4,AO$5,AO$7),ROUTE_PER_DAY_ROUTES,0),MATCH(AO$6,ROUTE_PER_DAY_SHIPS,0))*(AM144-AM143))-(INDEX(ROUTE_PER_DAY_BY_SHIP,MATCH(CONCATENATE(AO$4,AO$5,AO$7),ROUTE_PER_DAY_ROUTES,0),MATCH(AO$6,ROUTE_PER_DAY_SHIPS,0))*(AM144-AM143))*HLOOKUP(AO$6,SHIPS,7,0)*INDEX(LADEN_VOYAGE_DAYS,MATCH(CONCATENATE(AO$4,AO$5,AO$7),LADEN_VOYAGE_ROUTES,0),MATCH(AO$6,LADEN_VOYAGE_SHIPS,0)))),0)</f>
        <v>5339105.98184763</v>
      </c>
      <c r="AQ143" s="349" t="n">
        <f aca="false">-(AP143)*PORTS!$I$6</f>
        <v>-133477.649546191</v>
      </c>
      <c r="AR143" s="327" t="n">
        <f aca="false">+AP143+AQ143</f>
        <v>5205628.33230144</v>
      </c>
      <c r="AS143" s="333"/>
      <c r="AT143" s="346" t="n">
        <f aca="false">+DATE(YEAR(AT142),MONTH(AT142)+1,1)</f>
        <v>40513</v>
      </c>
      <c r="AU143" s="343" t="n">
        <f aca="false">+AR143*(VLOOKUP(AT143,CURVECALC!$C$6:$J$312,4,0)+AV$5)</f>
        <v>18438335.5530117</v>
      </c>
      <c r="AV143" s="350" t="n">
        <f aca="false">-AN143*INDEX(ship_curves,MATCH(AT143,'SHIP CURVES'!$A$9:$A$316,0),MATCH(CONCATENATE(AX$4,AX$5,AX$6,AX$7),'SHIP CURVES'!$A$9:$AZ$9,0))</f>
        <v>-1798707.69866651</v>
      </c>
      <c r="AW143" s="351" t="n">
        <f aca="false">-AP143*INDEX(port_processing_fee,MATCH(AT143,PORTS!$H$626:$H$933,0),MATCH(AX$5,PORTS!$H$626:$Z$626,0))</f>
        <v>-161087.146496626</v>
      </c>
      <c r="AX143" s="352" t="n">
        <f aca="false">(((VLOOKUP(AT143,curvecalc,4,0))*IF(AN143=0,0,AR143/AN143)-INDEX(ship_curves,MATCH(AT143,'SHIP CURVES'!$A$9:$A$316,0),MATCH(CONCATENATE(AX$4,AX$5,AX$6,AX$7),'SHIP CURVES'!$A$9:$Z$9,0))-INDEX(terminal_curves,MATCH(AT143,'TERMINAL CURVES'!$A$4:$A$313,0),MATCH(AX$5,'TERMINAL CURVES'!$A$4:$N$4,0))*IF(AN143=0,0,AP143/AN143))-(AV$8)*((AV$7-$N$5)-(INDEX(ship_curves,MATCH(AT143,'SHIP CURVES'!$A$9:$A$316,0),MATCH(CONCATENATE(AX$4,AX$5,AX$6,AX$7),'SHIP CURVES'!$A$9:$Z$9,0))-INDEX(ship_curves,MATCH(AT143,'SHIP CURVES'!$A$9:$A$316,0),MATCH(CONCATENATE(AX$4,AV$6,AX$6,AX$7),'SHIP CURVES'!$A$9:$Z$9,0)))-(INDEX(terminal_curves,MATCH(AT143,'TERMINAL CURVES'!$A$4:$A$313,0),MATCH(AX$5,'TERMINAL CURVES'!$A$4:$N$4,0))-INDEX(terminal_curves,MATCH(AT143,'TERMINAL CURVES'!$A$4:$A$313,0),MATCH(AV$6,'TERMINAL CURVES'!$A$4:$N$4,0)))*IF(AN143=0,0,AP143/AN143)))*-AN143</f>
        <v>-15370284.2463917</v>
      </c>
      <c r="AY143" s="356" t="n">
        <f aca="false">SUM(AV143:AX143)</f>
        <v>-17330079.0915549</v>
      </c>
      <c r="AZ143" s="357" t="n">
        <f aca="false">(-AP143/((HLOOKUP(AX$5,port_specs,2,0)/(365.25))*(AT144-AT143)))*(INDEX(fixed_capacity_charge,MATCH(AT143,PORTS!$H$11:$H$317,0),MATCH(AX$5,PORTS!$H$11:$N$11,0))+INDEX(variable_om_charge,MATCH(AT143,PORTS!$H$318:$H$625,0),MATCH(AX$5,PORTS!$H$318:$N$318,0)))</f>
        <v>-1004143.8948108</v>
      </c>
      <c r="BA143" s="343" t="n">
        <f aca="false">+AZ143+AY143</f>
        <v>-18334222.9863657</v>
      </c>
      <c r="BB143" s="355" t="n">
        <f aca="false">+BA143+AU143</f>
        <v>104112.566646028</v>
      </c>
      <c r="BC143" s="99"/>
      <c r="BD143" s="357" t="n">
        <f aca="false">+PORTS!I137+PORTS!I445</f>
        <v>1004143.8948108</v>
      </c>
    </row>
    <row r="144" customFormat="false" ht="12.75" hidden="false" customHeight="false" outlineLevel="0" collapsed="false">
      <c r="A144" s="346" t="n">
        <f aca="false">+DATE(YEAR(A143),MONTH(A143)+1,1)</f>
        <v>40544</v>
      </c>
      <c r="B144" s="327" t="n">
        <f aca="false">+IF(AND($A144&gt;=$C$8,$A144&lt;=$C$9),1,0)*PORTS!$I$5/(365.25)*(A145-A144)</f>
        <v>5339105.98184763</v>
      </c>
      <c r="C144" s="328" t="n">
        <f aca="false">+B144-(SUMIF($F$17:$IV$17,$H$17,$F144:$IV144))</f>
        <v>0</v>
      </c>
      <c r="D144" s="0" t="n">
        <f aca="false">+YEAR(E144)</f>
        <v>2011</v>
      </c>
      <c r="E144" s="346" t="n">
        <f aca="false">+DATE(YEAR(E143),MONTH(E143)+1,1)</f>
        <v>40544</v>
      </c>
      <c r="F144" s="327" t="n">
        <f aca="false">+IF(AND(G$8&lt;=E144,G$9&gt;=E144),INDEX(ROUTE_PER_DAY_BY_SHIP,MATCH(CONCATENATE(G$4,G$5,G$7),ROUTE_PER_DAY_ROUTES,0),MATCH(G$6,ROUTE_PER_DAY_SHIPS,0))*(E145-E144),0)</f>
        <v>0</v>
      </c>
      <c r="G144" s="347" t="n">
        <f aca="false">-F144*HLOOKUP(G$6,SHIPS,7,0)*INDEX(LADEN_VOYAGE_DAYS,MATCH(CONCATENATE(G$4,G$5,G$7),LADEN_VOYAGE_ROUTES,0),MATCH(G$6,LADEN_VOYAGE_SHIPS,0))</f>
        <v>-0</v>
      </c>
      <c r="H144" s="348" t="n">
        <f aca="false">SUM(F144:G144)</f>
        <v>0</v>
      </c>
      <c r="I144" s="349" t="n">
        <f aca="false">-(H144)*HLOOKUP(G$5,TERMINAL_CHARGES,3,0)</f>
        <v>-0</v>
      </c>
      <c r="J144" s="327" t="n">
        <f aca="false">+H144+I144</f>
        <v>0</v>
      </c>
      <c r="K144" s="333"/>
      <c r="L144" s="346" t="n">
        <f aca="false">+DATE(YEAR(L143),MONTH(L143)+1,1)</f>
        <v>40544</v>
      </c>
      <c r="M144" s="334" t="n">
        <f aca="false">+J144*(VLOOKUP(L144,CURVECALC!$C$6:$J$312,4,0)+N$5)</f>
        <v>0</v>
      </c>
      <c r="N144" s="350" t="n">
        <f aca="false">-F144*INDEX(ship_curves,MATCH(L144,'SHIP CURVES'!$A$9:$A$316,0),MATCH(CONCATENATE(P$4,P$5,P$6,P$7),'SHIP CURVES'!$A$9:$AZ$9,0))</f>
        <v>-0</v>
      </c>
      <c r="O144" s="351" t="n">
        <f aca="false">-H144*INDEX(port_processing_fee,MATCH(L144,PORTS!$H$626:$H$933,0),MATCH(P$5,PORTS!$H$626:$Z$626,0))</f>
        <v>-0</v>
      </c>
      <c r="P144" s="352" t="n">
        <f aca="false">(((VLOOKUP(L144,curvecalc,4,0))*IF(F144=0,0,J144/F144)-INDEX(ship_curves,MATCH(L144,'SHIP CURVES'!$A$9:$A$316,0),MATCH(CONCATENATE(P$4,P$5,P$6,P$7),'SHIP CURVES'!$A$9:$Z$9,0))-INDEX(terminal_curves,MATCH(L144,'TERMINAL CURVES'!$A$4:$A$313,0),MATCH(P$5,'TERMINAL CURVES'!$A$4:$N$4,0))*IF(F144=0,0,H144/F144))-(N$8)*((N$7-$N$5)-(INDEX(ship_curves,MATCH(L144,'SHIP CURVES'!$A$9:$A$316,0),MATCH(CONCATENATE(P$4,P$5,P$6,P$7),'SHIP CURVES'!$A$9:$Z$9,0))-INDEX(ship_curves,MATCH(L144,'SHIP CURVES'!$A$9:$A$316,0),MATCH(CONCATENATE(P$4,N$6,P$6,P$7),'SHIP CURVES'!$A$9:$Z$9,0)))-(INDEX(terminal_curves,MATCH(L144,'TERMINAL CURVES'!$A$4:$A$313,0),MATCH(P$5,'TERMINAL CURVES'!$A$4:$N$4,0))-INDEX(terminal_curves,MATCH(L144,'TERMINAL CURVES'!$A$4:$A$313,0),MATCH(N$6,'TERMINAL CURVES'!$A$4:$N$4,0)))*IF(F144=0,0,H144/F144)))*-F144</f>
        <v>0</v>
      </c>
      <c r="Q144" s="353" t="n">
        <f aca="false">SUM(N144:P144)</f>
        <v>0</v>
      </c>
      <c r="R144" s="357" t="n">
        <f aca="false">(-H144/((HLOOKUP(P$5,port_specs,2,0)/(365.25))*(L145-L144)))*(INDEX(fixed_capacity_charge,MATCH(L144,PORTS!$H$11:$H$317,0),MATCH(P$5,PORTS!$H$11:$N$11,0))+INDEX(variable_om_charge,MATCH(L144,PORTS!$H$318:$H$625,0),MATCH(P$5,PORTS!$H$318:$N$318,0)))</f>
        <v>-0</v>
      </c>
      <c r="S144" s="343" t="n">
        <f aca="false">+R144+Q144</f>
        <v>0</v>
      </c>
      <c r="T144" s="355" t="n">
        <f aca="false">+S144+M144</f>
        <v>0</v>
      </c>
      <c r="V144" s="346" t="n">
        <f aca="false">+DATE(YEAR(V143),MONTH(V143)+1,1)</f>
        <v>40544</v>
      </c>
      <c r="W144" s="327" t="n">
        <f aca="false">+Y144/(1-HLOOKUP(X$6,SHIPS,7,0)*INDEX(LADEN_VOYAGE_DAYS,MATCH(CONCATENATE(X$4,X$5),LADEN_VOYAGE_ROUTES,0),MATCH(X$6,LADEN_VOYAGE_SHIPS,0)))</f>
        <v>0</v>
      </c>
      <c r="X144" s="347" t="n">
        <f aca="false">+Y144-W144</f>
        <v>0</v>
      </c>
      <c r="Y144" s="348" t="n">
        <f aca="false">+IF(AND(X$8&lt;=V144,X$9&gt;=V144),+MIN($B144-SUMIF($H$17:X$17,Y$17,$H144:X144),((INDEX(ROUTE_PER_DAY_BY_SHIP,MATCH(CONCATENATE(X$4,X$5,X$7),ROUTE_PER_DAY_ROUTES,0),MATCH(X$6,ROUTE_PER_DAY_SHIPS,0))*(V145-V144))-(INDEX(ROUTE_PER_DAY_BY_SHIP,MATCH(CONCATENATE(X$4,X$5,X$7),ROUTE_PER_DAY_ROUTES,0),MATCH(X$6,ROUTE_PER_DAY_SHIPS,0))*(V145-V144))*HLOOKUP(X$6,SHIPS,7,0)*INDEX(LADEN_VOYAGE_DAYS,MATCH(CONCATENATE(X$4,X$5,X$7),LADEN_VOYAGE_ROUTES,0),MATCH(X$6,LADEN_VOYAGE_SHIPS,0)))),0)</f>
        <v>0</v>
      </c>
      <c r="Z144" s="349" t="n">
        <f aca="false">-(Y144)*HLOOKUP(X$5,TERMINAL_CHARGES,3,0)</f>
        <v>-0</v>
      </c>
      <c r="AA144" s="327" t="n">
        <f aca="false">+Y144+Z144</f>
        <v>0</v>
      </c>
      <c r="AB144" s="333"/>
      <c r="AC144" s="346" t="n">
        <f aca="false">+DATE(YEAR(AC143),MONTH(AC143)+1,1)</f>
        <v>40544</v>
      </c>
      <c r="AD144" s="343" t="n">
        <f aca="false">+AA144*(VLOOKUP(AC144,CURVECALC!$C$6:$J$312,4,0)+AE$5)</f>
        <v>0</v>
      </c>
      <c r="AE144" s="350" t="n">
        <f aca="false">-W144*INDEX(ship_curves,MATCH(AC144,'SHIP CURVES'!$A$9:$A$316,0),MATCH(CONCATENATE(AG$4,AG$5,AG$6,AG$7),'SHIP CURVES'!$A$9:$AZ$9,0))</f>
        <v>-0</v>
      </c>
      <c r="AF144" s="351" t="n">
        <f aca="false">-Y144*INDEX(port_processing_fee,MATCH(AC144,PORTS!$H$626:$H$933,0),MATCH(AG$5,PORTS!$H$626:$Z$626,0))</f>
        <v>-0</v>
      </c>
      <c r="AG144" s="352" t="n">
        <f aca="false">(((VLOOKUP(AC144,curvecalc,4,0))*IF(W144=0,0,AA144/W144)-INDEX(ship_curves,MATCH(AC144,'SHIP CURVES'!$A$9:$A$316,0),MATCH(CONCATENATE(AG$4,AG$5,AG$6,AG$7),'SHIP CURVES'!$A$9:$Z$9,0))-INDEX(terminal_curves,MATCH(AC144,'TERMINAL CURVES'!$A$4:$A$313,0),MATCH(AG$5,'TERMINAL CURVES'!$A$4:$N$4,0))*IF(W144=0,0,Y144/W144))-(AE$8)*((AE$7-$N$5)-(INDEX(ship_curves,MATCH(AC144,'SHIP CURVES'!$A$9:$A$316,0),MATCH(CONCATENATE(AG$4,AG$5,AG$6,AG$7),'SHIP CURVES'!$A$9:$Z$9,0))-INDEX(ship_curves,MATCH(AC144,'SHIP CURVES'!$A$9:$A$316,0),MATCH(CONCATENATE(AG$4,AE$6,AG$6,AG$7),'SHIP CURVES'!$A$9:$Z$9,0)))-(INDEX(terminal_curves,MATCH(AC144,'TERMINAL CURVES'!$A$4:$A$313,0),MATCH(AG$5,'TERMINAL CURVES'!$A$4:$N$4,0))-INDEX(terminal_curves,MATCH(AC144,'TERMINAL CURVES'!$A$4:$A$313,0),MATCH(AE$6,'TERMINAL CURVES'!$A$4:$N$4,0)))*IF(W144=0,0,Y144/W144)))*-W144</f>
        <v>0</v>
      </c>
      <c r="AH144" s="356" t="n">
        <f aca="false">SUM(AE144:AG144)</f>
        <v>0</v>
      </c>
      <c r="AI144" s="357" t="n">
        <f aca="false">(-Y144/((HLOOKUP(AG$5,port_specs,2,0)/(365.25))*(AC145-AC144)))*(INDEX(fixed_capacity_charge,MATCH(AC144,PORTS!$H$11:$H$317,0),MATCH(AG$5,PORTS!$H$11:$N$11,0))+INDEX(variable_om_charge,MATCH(AC144,PORTS!$H$318:$H$625,0),MATCH(AG$5,PORTS!$H$318:$N$318,0)))</f>
        <v>-0</v>
      </c>
      <c r="AJ144" s="343" t="n">
        <f aca="false">+AI144+AH144</f>
        <v>0</v>
      </c>
      <c r="AK144" s="355" t="n">
        <f aca="false">+AJ144+AD144</f>
        <v>0</v>
      </c>
      <c r="AM144" s="346" t="n">
        <f aca="false">+DATE(YEAR(AM143),MONTH(AM143)+1,1)</f>
        <v>40544</v>
      </c>
      <c r="AN144" s="327" t="n">
        <f aca="false">+AP144/(1-HLOOKUP(AO$6,SHIPS,7,0)*INDEX(LADEN_VOYAGE_DAYS,MATCH(CONCATENATE(AO$4,AO$5),LADEN_VOYAGE_ROUTES,0),MATCH(AO$6,LADEN_VOYAGE_SHIPS,0)))</f>
        <v>5395761.47735991</v>
      </c>
      <c r="AO144" s="347" t="n">
        <f aca="false">+AP144-AN144</f>
        <v>-56655.4955122788</v>
      </c>
      <c r="AP144" s="348" t="n">
        <f aca="false">+IF(AND(AO$8&lt;=AM144,AO$9&gt;=AM144),+MIN($B144-SUMIF($H$17:AO$17,AP$17,$H144:AO144),((INDEX(ROUTE_PER_DAY_BY_SHIP,MATCH(CONCATENATE(AO$4,AO$5,AO$7),ROUTE_PER_DAY_ROUTES,0),MATCH(AO$6,ROUTE_PER_DAY_SHIPS,0))*(AM145-AM144))-(INDEX(ROUTE_PER_DAY_BY_SHIP,MATCH(CONCATENATE(AO$4,AO$5,AO$7),ROUTE_PER_DAY_ROUTES,0),MATCH(AO$6,ROUTE_PER_DAY_SHIPS,0))*(AM145-AM144))*HLOOKUP(AO$6,SHIPS,7,0)*INDEX(LADEN_VOYAGE_DAYS,MATCH(CONCATENATE(AO$4,AO$5,AO$7),LADEN_VOYAGE_ROUTES,0),MATCH(AO$6,LADEN_VOYAGE_SHIPS,0)))),0)</f>
        <v>5339105.98184763</v>
      </c>
      <c r="AQ144" s="349" t="n">
        <f aca="false">-(AP144)*PORTS!$I$6</f>
        <v>-133477.649546191</v>
      </c>
      <c r="AR144" s="327" t="n">
        <f aca="false">+AP144+AQ144</f>
        <v>5205628.33230144</v>
      </c>
      <c r="AS144" s="333"/>
      <c r="AT144" s="346" t="n">
        <f aca="false">+DATE(YEAR(AT143),MONTH(AT143)+1,1)</f>
        <v>40544</v>
      </c>
      <c r="AU144" s="343" t="n">
        <f aca="false">+AR144*(VLOOKUP(AT144,CURVECALC!$C$6:$J$312,4,0)+AV$5)</f>
        <v>19318086.7411707</v>
      </c>
      <c r="AV144" s="350" t="n">
        <f aca="false">-AN144*INDEX(ship_curves,MATCH(AT144,'SHIP CURVES'!$A$9:$A$316,0),MATCH(CONCATENATE(AX$4,AX$5,AX$6,AX$7),'SHIP CURVES'!$A$9:$AZ$9,0))</f>
        <v>-1799259.32360745</v>
      </c>
      <c r="AW144" s="351" t="n">
        <f aca="false">-AP144*INDEX(port_processing_fee,MATCH(AT144,PORTS!$H$626:$H$933,0),MATCH(AX$5,PORTS!$H$626:$Z$626,0))</f>
        <v>-161254.94560756</v>
      </c>
      <c r="AX144" s="352" t="n">
        <f aca="false">(((VLOOKUP(AT144,curvecalc,4,0))*IF(AN144=0,0,AR144/AN144)-INDEX(ship_curves,MATCH(AT144,'SHIP CURVES'!$A$9:$A$316,0),MATCH(CONCATENATE(AX$4,AX$5,AX$6,AX$7),'SHIP CURVES'!$A$9:$Z$9,0))-INDEX(terminal_curves,MATCH(AT144,'TERMINAL CURVES'!$A$4:$A$313,0),MATCH(AX$5,'TERMINAL CURVES'!$A$4:$N$4,0))*IF(AN144=0,0,AP144/AN144))-(AV$8)*((AV$7-$N$5)-(INDEX(ship_curves,MATCH(AT144,'SHIP CURVES'!$A$9:$A$316,0),MATCH(CONCATENATE(AX$4,AX$5,AX$6,AX$7),'SHIP CURVES'!$A$9:$Z$9,0))-INDEX(ship_curves,MATCH(AT144,'SHIP CURVES'!$A$9:$A$316,0),MATCH(CONCATENATE(AX$4,AV$6,AX$6,AX$7),'SHIP CURVES'!$A$9:$Z$9,0)))-(INDEX(terminal_curves,MATCH(AT144,'TERMINAL CURVES'!$A$4:$A$313,0),MATCH(AX$5,'TERMINAL CURVES'!$A$4:$N$4,0))-INDEX(terminal_curves,MATCH(AT144,'TERMINAL CURVES'!$A$4:$A$313,0),MATCH(AV$6,'TERMINAL CURVES'!$A$4:$N$4,0)))*IF(AN144=0,0,AP144/AN144)))*-AN144</f>
        <v>-16248775.4299531</v>
      </c>
      <c r="AY144" s="356" t="n">
        <f aca="false">SUM(AV144:AX144)</f>
        <v>-18209289.6991681</v>
      </c>
      <c r="AZ144" s="357" t="n">
        <f aca="false">(-AP144/((HLOOKUP(AX$5,port_specs,2,0)/(365.25))*(AT145-AT144)))*(INDEX(fixed_capacity_charge,MATCH(AT144,PORTS!$H$11:$H$317,0),MATCH(AX$5,PORTS!$H$11:$N$11,0))+INDEX(variable_om_charge,MATCH(AT144,PORTS!$H$318:$H$625,0),MATCH(AX$5,PORTS!$H$318:$N$318,0)))</f>
        <v>-1004684.47535653</v>
      </c>
      <c r="BA144" s="343" t="n">
        <f aca="false">+AZ144+AY144</f>
        <v>-19213974.1745246</v>
      </c>
      <c r="BB144" s="355" t="n">
        <f aca="false">+BA144+AU144</f>
        <v>104112.566646032</v>
      </c>
      <c r="BC144" s="99"/>
      <c r="BD144" s="357" t="n">
        <f aca="false">+PORTS!I138+PORTS!I446</f>
        <v>1004684.47535653</v>
      </c>
    </row>
    <row r="145" customFormat="false" ht="12.75" hidden="false" customHeight="false" outlineLevel="0" collapsed="false">
      <c r="A145" s="346" t="n">
        <f aca="false">+DATE(YEAR(A144),MONTH(A144)+1,1)</f>
        <v>40575</v>
      </c>
      <c r="B145" s="327" t="n">
        <f aca="false">+IF(AND($A145&gt;=$C$8,$A145&lt;=$C$9),1,0)*PORTS!$I$5/(365.25)*(A146-A145)</f>
        <v>4822418.30618496</v>
      </c>
      <c r="C145" s="328" t="n">
        <f aca="false">+B145-(SUMIF($F$17:$IV$17,$H$17,$F145:$IV145))</f>
        <v>0</v>
      </c>
      <c r="D145" s="0" t="n">
        <f aca="false">+YEAR(E145)</f>
        <v>2011</v>
      </c>
      <c r="E145" s="346" t="n">
        <f aca="false">+DATE(YEAR(E144),MONTH(E144)+1,1)</f>
        <v>40575</v>
      </c>
      <c r="F145" s="327" t="n">
        <f aca="false">+IF(AND(G$8&lt;=E145,G$9&gt;=E145),INDEX(ROUTE_PER_DAY_BY_SHIP,MATCH(CONCATENATE(G$4,G$5,G$7),ROUTE_PER_DAY_ROUTES,0),MATCH(G$6,ROUTE_PER_DAY_SHIPS,0))*(E146-E145),0)</f>
        <v>0</v>
      </c>
      <c r="G145" s="347" t="n">
        <f aca="false">-F145*HLOOKUP(G$6,SHIPS,7,0)*INDEX(LADEN_VOYAGE_DAYS,MATCH(CONCATENATE(G$4,G$5,G$7),LADEN_VOYAGE_ROUTES,0),MATCH(G$6,LADEN_VOYAGE_SHIPS,0))</f>
        <v>-0</v>
      </c>
      <c r="H145" s="348" t="n">
        <f aca="false">SUM(F145:G145)</f>
        <v>0</v>
      </c>
      <c r="I145" s="349" t="n">
        <f aca="false">-(H145)*HLOOKUP(G$5,TERMINAL_CHARGES,3,0)</f>
        <v>-0</v>
      </c>
      <c r="J145" s="327" t="n">
        <f aca="false">+H145+I145</f>
        <v>0</v>
      </c>
      <c r="K145" s="333"/>
      <c r="L145" s="346" t="n">
        <f aca="false">+DATE(YEAR(L144),MONTH(L144)+1,1)</f>
        <v>40575</v>
      </c>
      <c r="M145" s="334" t="n">
        <f aca="false">+J145*(VLOOKUP(L145,CURVECALC!$C$6:$J$312,4,0)+N$5)</f>
        <v>0</v>
      </c>
      <c r="N145" s="350" t="n">
        <f aca="false">-F145*INDEX(ship_curves,MATCH(L145,'SHIP CURVES'!$A$9:$A$316,0),MATCH(CONCATENATE(P$4,P$5,P$6,P$7),'SHIP CURVES'!$A$9:$AZ$9,0))</f>
        <v>-0</v>
      </c>
      <c r="O145" s="351" t="n">
        <f aca="false">-H145*INDEX(port_processing_fee,MATCH(L145,PORTS!$H$626:$H$933,0),MATCH(P$5,PORTS!$H$626:$Z$626,0))</f>
        <v>-0</v>
      </c>
      <c r="P145" s="352" t="n">
        <f aca="false">(((VLOOKUP(L145,curvecalc,4,0))*IF(F145=0,0,J145/F145)-INDEX(ship_curves,MATCH(L145,'SHIP CURVES'!$A$9:$A$316,0),MATCH(CONCATENATE(P$4,P$5,P$6,P$7),'SHIP CURVES'!$A$9:$Z$9,0))-INDEX(terminal_curves,MATCH(L145,'TERMINAL CURVES'!$A$4:$A$313,0),MATCH(P$5,'TERMINAL CURVES'!$A$4:$N$4,0))*IF(F145=0,0,H145/F145))-(N$8)*((N$7-$N$5)-(INDEX(ship_curves,MATCH(L145,'SHIP CURVES'!$A$9:$A$316,0),MATCH(CONCATENATE(P$4,P$5,P$6,P$7),'SHIP CURVES'!$A$9:$Z$9,0))-INDEX(ship_curves,MATCH(L145,'SHIP CURVES'!$A$9:$A$316,0),MATCH(CONCATENATE(P$4,N$6,P$6,P$7),'SHIP CURVES'!$A$9:$Z$9,0)))-(INDEX(terminal_curves,MATCH(L145,'TERMINAL CURVES'!$A$4:$A$313,0),MATCH(P$5,'TERMINAL CURVES'!$A$4:$N$4,0))-INDEX(terminal_curves,MATCH(L145,'TERMINAL CURVES'!$A$4:$A$313,0),MATCH(N$6,'TERMINAL CURVES'!$A$4:$N$4,0)))*IF(F145=0,0,H145/F145)))*-F145</f>
        <v>0</v>
      </c>
      <c r="Q145" s="353" t="n">
        <f aca="false">SUM(N145:P145)</f>
        <v>0</v>
      </c>
      <c r="R145" s="357" t="n">
        <f aca="false">(-H145/((HLOOKUP(P$5,port_specs,2,0)/(365.25))*(L146-L145)))*(INDEX(fixed_capacity_charge,MATCH(L145,PORTS!$H$11:$H$317,0),MATCH(P$5,PORTS!$H$11:$N$11,0))+INDEX(variable_om_charge,MATCH(L145,PORTS!$H$318:$H$625,0),MATCH(P$5,PORTS!$H$318:$N$318,0)))</f>
        <v>-0</v>
      </c>
      <c r="S145" s="343" t="n">
        <f aca="false">+R145+Q145</f>
        <v>0</v>
      </c>
      <c r="T145" s="355" t="n">
        <f aca="false">+S145+M145</f>
        <v>0</v>
      </c>
      <c r="V145" s="346" t="n">
        <f aca="false">+DATE(YEAR(V144),MONTH(V144)+1,1)</f>
        <v>40575</v>
      </c>
      <c r="W145" s="327" t="n">
        <f aca="false">+Y145/(1-HLOOKUP(X$6,SHIPS,7,0)*INDEX(LADEN_VOYAGE_DAYS,MATCH(CONCATENATE(X$4,X$5),LADEN_VOYAGE_ROUTES,0),MATCH(X$6,LADEN_VOYAGE_SHIPS,0)))</f>
        <v>0</v>
      </c>
      <c r="X145" s="347" t="n">
        <f aca="false">+Y145-W145</f>
        <v>0</v>
      </c>
      <c r="Y145" s="348" t="n">
        <f aca="false">+IF(AND(X$8&lt;=V145,X$9&gt;=V145),+MIN($B145-SUMIF($H$17:X$17,Y$17,$H145:X145),((INDEX(ROUTE_PER_DAY_BY_SHIP,MATCH(CONCATENATE(X$4,X$5,X$7),ROUTE_PER_DAY_ROUTES,0),MATCH(X$6,ROUTE_PER_DAY_SHIPS,0))*(V146-V145))-(INDEX(ROUTE_PER_DAY_BY_SHIP,MATCH(CONCATENATE(X$4,X$5,X$7),ROUTE_PER_DAY_ROUTES,0),MATCH(X$6,ROUTE_PER_DAY_SHIPS,0))*(V146-V145))*HLOOKUP(X$6,SHIPS,7,0)*INDEX(LADEN_VOYAGE_DAYS,MATCH(CONCATENATE(X$4,X$5,X$7),LADEN_VOYAGE_ROUTES,0),MATCH(X$6,LADEN_VOYAGE_SHIPS,0)))),0)</f>
        <v>0</v>
      </c>
      <c r="Z145" s="349" t="n">
        <f aca="false">-(Y145)*HLOOKUP(X$5,TERMINAL_CHARGES,3,0)</f>
        <v>-0</v>
      </c>
      <c r="AA145" s="327" t="n">
        <f aca="false">+Y145+Z145</f>
        <v>0</v>
      </c>
      <c r="AB145" s="333"/>
      <c r="AC145" s="346" t="n">
        <f aca="false">+DATE(YEAR(AC144),MONTH(AC144)+1,1)</f>
        <v>40575</v>
      </c>
      <c r="AD145" s="343" t="n">
        <f aca="false">+AA145*(VLOOKUP(AC145,CURVECALC!$C$6:$J$312,4,0)+AE$5)</f>
        <v>0</v>
      </c>
      <c r="AE145" s="350" t="n">
        <f aca="false">-W145*INDEX(ship_curves,MATCH(AC145,'SHIP CURVES'!$A$9:$A$316,0),MATCH(CONCATENATE(AG$4,AG$5,AG$6,AG$7),'SHIP CURVES'!$A$9:$AZ$9,0))</f>
        <v>-0</v>
      </c>
      <c r="AF145" s="351" t="n">
        <f aca="false">-Y145*INDEX(port_processing_fee,MATCH(AC145,PORTS!$H$626:$H$933,0),MATCH(AG$5,PORTS!$H$626:$Z$626,0))</f>
        <v>-0</v>
      </c>
      <c r="AG145" s="352" t="n">
        <f aca="false">(((VLOOKUP(AC145,curvecalc,4,0))*IF(W145=0,0,AA145/W145)-INDEX(ship_curves,MATCH(AC145,'SHIP CURVES'!$A$9:$A$316,0),MATCH(CONCATENATE(AG$4,AG$5,AG$6,AG$7),'SHIP CURVES'!$A$9:$Z$9,0))-INDEX(terminal_curves,MATCH(AC145,'TERMINAL CURVES'!$A$4:$A$313,0),MATCH(AG$5,'TERMINAL CURVES'!$A$4:$N$4,0))*IF(W145=0,0,Y145/W145))-(AE$8)*((AE$7-$N$5)-(INDEX(ship_curves,MATCH(AC145,'SHIP CURVES'!$A$9:$A$316,0),MATCH(CONCATENATE(AG$4,AG$5,AG$6,AG$7),'SHIP CURVES'!$A$9:$Z$9,0))-INDEX(ship_curves,MATCH(AC145,'SHIP CURVES'!$A$9:$A$316,0),MATCH(CONCATENATE(AG$4,AE$6,AG$6,AG$7),'SHIP CURVES'!$A$9:$Z$9,0)))-(INDEX(terminal_curves,MATCH(AC145,'TERMINAL CURVES'!$A$4:$A$313,0),MATCH(AG$5,'TERMINAL CURVES'!$A$4:$N$4,0))-INDEX(terminal_curves,MATCH(AC145,'TERMINAL CURVES'!$A$4:$A$313,0),MATCH(AE$6,'TERMINAL CURVES'!$A$4:$N$4,0)))*IF(W145=0,0,Y145/W145)))*-W145</f>
        <v>0</v>
      </c>
      <c r="AH145" s="356" t="n">
        <f aca="false">SUM(AE145:AG145)</f>
        <v>0</v>
      </c>
      <c r="AI145" s="357" t="n">
        <f aca="false">(-Y145/((HLOOKUP(AG$5,port_specs,2,0)/(365.25))*(AC146-AC145)))*(INDEX(fixed_capacity_charge,MATCH(AC145,PORTS!$H$11:$H$317,0),MATCH(AG$5,PORTS!$H$11:$N$11,0))+INDEX(variable_om_charge,MATCH(AC145,PORTS!$H$318:$H$625,0),MATCH(AG$5,PORTS!$H$318:$N$318,0)))</f>
        <v>-0</v>
      </c>
      <c r="AJ145" s="343" t="n">
        <f aca="false">+AI145+AH145</f>
        <v>0</v>
      </c>
      <c r="AK145" s="355" t="n">
        <f aca="false">+AJ145+AD145</f>
        <v>0</v>
      </c>
      <c r="AM145" s="346" t="n">
        <f aca="false">+DATE(YEAR(AM144),MONTH(AM144)+1,1)</f>
        <v>40575</v>
      </c>
      <c r="AN145" s="327" t="n">
        <f aca="false">+AP145/(1-HLOOKUP(AO$6,SHIPS,7,0)*INDEX(LADEN_VOYAGE_DAYS,MATCH(CONCATENATE(AO$4,AO$5),LADEN_VOYAGE_ROUTES,0),MATCH(AO$6,LADEN_VOYAGE_SHIPS,0)))</f>
        <v>4873591.01180895</v>
      </c>
      <c r="AO145" s="347" t="n">
        <f aca="false">+AP145-AN145</f>
        <v>-51172.7056239937</v>
      </c>
      <c r="AP145" s="348" t="n">
        <f aca="false">+IF(AND(AO$8&lt;=AM145,AO$9&gt;=AM145),+MIN($B145-SUMIF($H$17:AO$17,AP$17,$H145:AO145),((INDEX(ROUTE_PER_DAY_BY_SHIP,MATCH(CONCATENATE(AO$4,AO$5,AO$7),ROUTE_PER_DAY_ROUTES,0),MATCH(AO$6,ROUTE_PER_DAY_SHIPS,0))*(AM146-AM145))-(INDEX(ROUTE_PER_DAY_BY_SHIP,MATCH(CONCATENATE(AO$4,AO$5,AO$7),ROUTE_PER_DAY_ROUTES,0),MATCH(AO$6,ROUTE_PER_DAY_SHIPS,0))*(AM146-AM145))*HLOOKUP(AO$6,SHIPS,7,0)*INDEX(LADEN_VOYAGE_DAYS,MATCH(CONCATENATE(AO$4,AO$5,AO$7),LADEN_VOYAGE_ROUTES,0),MATCH(AO$6,LADEN_VOYAGE_SHIPS,0)))),0)</f>
        <v>4822418.30618496</v>
      </c>
      <c r="AQ145" s="349" t="n">
        <f aca="false">-(AP145)*PORTS!$I$6</f>
        <v>-120560.457654624</v>
      </c>
      <c r="AR145" s="327" t="n">
        <f aca="false">+AP145+AQ145</f>
        <v>4701857.84853034</v>
      </c>
      <c r="AS145" s="333"/>
      <c r="AT145" s="346" t="n">
        <f aca="false">+DATE(YEAR(AT144),MONTH(AT144)+1,1)</f>
        <v>40575</v>
      </c>
      <c r="AU145" s="343" t="n">
        <f aca="false">+AR145*(VLOOKUP(AT145,CURVECALC!$C$6:$J$312,4,0)+AV$5)</f>
        <v>16987812.4067401</v>
      </c>
      <c r="AV145" s="350" t="n">
        <f aca="false">-AN145*INDEX(ship_curves,MATCH(AT145,'SHIP CURVES'!$A$9:$A$316,0),MATCH(CONCATENATE(AX$4,AX$5,AX$6,AX$7),'SHIP CURVES'!$A$9:$AZ$9,0))</f>
        <v>-1625636.73346698</v>
      </c>
      <c r="AW145" s="351" t="n">
        <f aca="false">-AP145*INDEX(port_processing_fee,MATCH(AT145,PORTS!$H$626:$H$933,0),MATCH(AX$5,PORTS!$H$626:$Z$626,0))</f>
        <v>-145801.346653502</v>
      </c>
      <c r="AX145" s="352" t="n">
        <f aca="false">(((VLOOKUP(AT145,curvecalc,4,0))*IF(AN145=0,0,AR145/AN145)-INDEX(ship_curves,MATCH(AT145,'SHIP CURVES'!$A$9:$A$316,0),MATCH(CONCATENATE(AX$4,AX$5,AX$6,AX$7),'SHIP CURVES'!$A$9:$Z$9,0))-INDEX(terminal_curves,MATCH(AT145,'TERMINAL CURVES'!$A$4:$A$313,0),MATCH(AX$5,'TERMINAL CURVES'!$A$4:$N$4,0))*IF(AN145=0,0,AP145/AN145))-(AV$8)*((AV$7-$N$5)-(INDEX(ship_curves,MATCH(AT145,'SHIP CURVES'!$A$9:$A$316,0),MATCH(CONCATENATE(AX$4,AX$5,AX$6,AX$7),'SHIP CURVES'!$A$9:$Z$9,0))-INDEX(ship_curves,MATCH(AT145,'SHIP CURVES'!$A$9:$A$316,0),MATCH(CONCATENATE(AX$4,AV$6,AX$6,AX$7),'SHIP CURVES'!$A$9:$Z$9,0)))-(INDEX(terminal_curves,MATCH(AT145,'TERMINAL CURVES'!$A$4:$A$313,0),MATCH(AX$5,'TERMINAL CURVES'!$A$4:$N$4,0))-INDEX(terminal_curves,MATCH(AT145,'TERMINAL CURVES'!$A$4:$A$313,0),MATCH(AV$6,'TERMINAL CURVES'!$A$4:$N$4,0)))*IF(AN145=0,0,AP145/AN145)))*-AN145</f>
        <v>-14117111.550642</v>
      </c>
      <c r="AY145" s="356" t="n">
        <f aca="false">SUM(AV145:AX145)</f>
        <v>-15888549.6307625</v>
      </c>
      <c r="AZ145" s="357" t="n">
        <f aca="false">(-AP145/((HLOOKUP(AX$5,port_specs,2,0)/(365.25))*(AT146-AT145)))*(INDEX(fixed_capacity_charge,MATCH(AT145,PORTS!$H$11:$H$317,0),MATCH(AX$5,PORTS!$H$11:$N$11,0))+INDEX(variable_om_charge,MATCH(AT145,PORTS!$H$318:$H$625,0),MATCH(AX$5,PORTS!$H$318:$N$318,0)))</f>
        <v>-1005225.619007</v>
      </c>
      <c r="BA145" s="343" t="n">
        <f aca="false">+AZ145+AY145</f>
        <v>-16893775.2497695</v>
      </c>
      <c r="BB145" s="355" t="n">
        <f aca="false">+BA145+AU145</f>
        <v>94037.156970609</v>
      </c>
      <c r="BC145" s="99"/>
      <c r="BD145" s="357" t="n">
        <f aca="false">+PORTS!I139+PORTS!I447</f>
        <v>1005225.619007</v>
      </c>
    </row>
    <row r="146" customFormat="false" ht="12.75" hidden="false" customHeight="false" outlineLevel="0" collapsed="false">
      <c r="A146" s="346" t="n">
        <f aca="false">+DATE(YEAR(A145),MONTH(A145)+1,1)</f>
        <v>40603</v>
      </c>
      <c r="B146" s="327" t="n">
        <f aca="false">+IF(AND($A146&gt;=$C$8,$A146&lt;=$C$9),1,0)*PORTS!$I$5/(365.25)*(A147-A146)</f>
        <v>5339105.98184763</v>
      </c>
      <c r="C146" s="328" t="n">
        <f aca="false">+B146-(SUMIF($F$17:$IV$17,$H$17,$F146:$IV146))</f>
        <v>0</v>
      </c>
      <c r="D146" s="0" t="n">
        <f aca="false">+YEAR(E146)</f>
        <v>2011</v>
      </c>
      <c r="E146" s="346" t="n">
        <f aca="false">+DATE(YEAR(E145),MONTH(E145)+1,1)</f>
        <v>40603</v>
      </c>
      <c r="F146" s="327" t="n">
        <f aca="false">+IF(AND(G$8&lt;=E146,G$9&gt;=E146),INDEX(ROUTE_PER_DAY_BY_SHIP,MATCH(CONCATENATE(G$4,G$5,G$7),ROUTE_PER_DAY_ROUTES,0),MATCH(G$6,ROUTE_PER_DAY_SHIPS,0))*(E147-E146),0)</f>
        <v>0</v>
      </c>
      <c r="G146" s="347" t="n">
        <f aca="false">-F146*HLOOKUP(G$6,SHIPS,7,0)*INDEX(LADEN_VOYAGE_DAYS,MATCH(CONCATENATE(G$4,G$5,G$7),LADEN_VOYAGE_ROUTES,0),MATCH(G$6,LADEN_VOYAGE_SHIPS,0))</f>
        <v>-0</v>
      </c>
      <c r="H146" s="348" t="n">
        <f aca="false">SUM(F146:G146)</f>
        <v>0</v>
      </c>
      <c r="I146" s="349" t="n">
        <f aca="false">-(H146)*HLOOKUP(G$5,TERMINAL_CHARGES,3,0)</f>
        <v>-0</v>
      </c>
      <c r="J146" s="327" t="n">
        <f aca="false">+H146+I146</f>
        <v>0</v>
      </c>
      <c r="K146" s="333"/>
      <c r="L146" s="346" t="n">
        <f aca="false">+DATE(YEAR(L145),MONTH(L145)+1,1)</f>
        <v>40603</v>
      </c>
      <c r="M146" s="334" t="n">
        <f aca="false">+J146*(VLOOKUP(L146,CURVECALC!$C$6:$J$312,4,0)+N$5)</f>
        <v>0</v>
      </c>
      <c r="N146" s="350" t="n">
        <f aca="false">-F146*INDEX(ship_curves,MATCH(L146,'SHIP CURVES'!$A$9:$A$316,0),MATCH(CONCATENATE(P$4,P$5,P$6,P$7),'SHIP CURVES'!$A$9:$AZ$9,0))</f>
        <v>-0</v>
      </c>
      <c r="O146" s="351" t="n">
        <f aca="false">-H146*INDEX(port_processing_fee,MATCH(L146,PORTS!$H$626:$H$933,0),MATCH(P$5,PORTS!$H$626:$Z$626,0))</f>
        <v>-0</v>
      </c>
      <c r="P146" s="352" t="n">
        <f aca="false">(((VLOOKUP(L146,curvecalc,4,0))*IF(F146=0,0,J146/F146)-INDEX(ship_curves,MATCH(L146,'SHIP CURVES'!$A$9:$A$316,0),MATCH(CONCATENATE(P$4,P$5,P$6,P$7),'SHIP CURVES'!$A$9:$Z$9,0))-INDEX(terminal_curves,MATCH(L146,'TERMINAL CURVES'!$A$4:$A$313,0),MATCH(P$5,'TERMINAL CURVES'!$A$4:$N$4,0))*IF(F146=0,0,H146/F146))-(N$8)*((N$7-$N$5)-(INDEX(ship_curves,MATCH(L146,'SHIP CURVES'!$A$9:$A$316,0),MATCH(CONCATENATE(P$4,P$5,P$6,P$7),'SHIP CURVES'!$A$9:$Z$9,0))-INDEX(ship_curves,MATCH(L146,'SHIP CURVES'!$A$9:$A$316,0),MATCH(CONCATENATE(P$4,N$6,P$6,P$7),'SHIP CURVES'!$A$9:$Z$9,0)))-(INDEX(terminal_curves,MATCH(L146,'TERMINAL CURVES'!$A$4:$A$313,0),MATCH(P$5,'TERMINAL CURVES'!$A$4:$N$4,0))-INDEX(terminal_curves,MATCH(L146,'TERMINAL CURVES'!$A$4:$A$313,0),MATCH(N$6,'TERMINAL CURVES'!$A$4:$N$4,0)))*IF(F146=0,0,H146/F146)))*-F146</f>
        <v>0</v>
      </c>
      <c r="Q146" s="353" t="n">
        <f aca="false">SUM(N146:P146)</f>
        <v>0</v>
      </c>
      <c r="R146" s="357" t="n">
        <f aca="false">(-H146/((HLOOKUP(P$5,port_specs,2,0)/(365.25))*(L147-L146)))*(INDEX(fixed_capacity_charge,MATCH(L146,PORTS!$H$11:$H$317,0),MATCH(P$5,PORTS!$H$11:$N$11,0))+INDEX(variable_om_charge,MATCH(L146,PORTS!$H$318:$H$625,0),MATCH(P$5,PORTS!$H$318:$N$318,0)))</f>
        <v>-0</v>
      </c>
      <c r="S146" s="343" t="n">
        <f aca="false">+R146+Q146</f>
        <v>0</v>
      </c>
      <c r="T146" s="355" t="n">
        <f aca="false">+S146+M146</f>
        <v>0</v>
      </c>
      <c r="V146" s="346" t="n">
        <f aca="false">+DATE(YEAR(V145),MONTH(V145)+1,1)</f>
        <v>40603</v>
      </c>
      <c r="W146" s="327" t="n">
        <f aca="false">+Y146/(1-HLOOKUP(X$6,SHIPS,7,0)*INDEX(LADEN_VOYAGE_DAYS,MATCH(CONCATENATE(X$4,X$5),LADEN_VOYAGE_ROUTES,0),MATCH(X$6,LADEN_VOYAGE_SHIPS,0)))</f>
        <v>0</v>
      </c>
      <c r="X146" s="347" t="n">
        <f aca="false">+Y146-W146</f>
        <v>0</v>
      </c>
      <c r="Y146" s="348" t="n">
        <f aca="false">+IF(AND(X$8&lt;=V146,X$9&gt;=V146),+MIN($B146-SUMIF($H$17:X$17,Y$17,$H146:X146),((INDEX(ROUTE_PER_DAY_BY_SHIP,MATCH(CONCATENATE(X$4,X$5,X$7),ROUTE_PER_DAY_ROUTES,0),MATCH(X$6,ROUTE_PER_DAY_SHIPS,0))*(V147-V146))-(INDEX(ROUTE_PER_DAY_BY_SHIP,MATCH(CONCATENATE(X$4,X$5,X$7),ROUTE_PER_DAY_ROUTES,0),MATCH(X$6,ROUTE_PER_DAY_SHIPS,0))*(V147-V146))*HLOOKUP(X$6,SHIPS,7,0)*INDEX(LADEN_VOYAGE_DAYS,MATCH(CONCATENATE(X$4,X$5,X$7),LADEN_VOYAGE_ROUTES,0),MATCH(X$6,LADEN_VOYAGE_SHIPS,0)))),0)</f>
        <v>0</v>
      </c>
      <c r="Z146" s="349" t="n">
        <f aca="false">-(Y146)*HLOOKUP(X$5,TERMINAL_CHARGES,3,0)</f>
        <v>-0</v>
      </c>
      <c r="AA146" s="327" t="n">
        <f aca="false">+Y146+Z146</f>
        <v>0</v>
      </c>
      <c r="AB146" s="333"/>
      <c r="AC146" s="346" t="n">
        <f aca="false">+DATE(YEAR(AC145),MONTH(AC145)+1,1)</f>
        <v>40603</v>
      </c>
      <c r="AD146" s="343" t="n">
        <f aca="false">+AA146*(VLOOKUP(AC146,CURVECALC!$C$6:$J$312,4,0)+AE$5)</f>
        <v>0</v>
      </c>
      <c r="AE146" s="350" t="n">
        <f aca="false">-W146*INDEX(ship_curves,MATCH(AC146,'SHIP CURVES'!$A$9:$A$316,0),MATCH(CONCATENATE(AG$4,AG$5,AG$6,AG$7),'SHIP CURVES'!$A$9:$AZ$9,0))</f>
        <v>-0</v>
      </c>
      <c r="AF146" s="351" t="n">
        <f aca="false">-Y146*INDEX(port_processing_fee,MATCH(AC146,PORTS!$H$626:$H$933,0),MATCH(AG$5,PORTS!$H$626:$Z$626,0))</f>
        <v>-0</v>
      </c>
      <c r="AG146" s="352" t="n">
        <f aca="false">(((VLOOKUP(AC146,curvecalc,4,0))*IF(W146=0,0,AA146/W146)-INDEX(ship_curves,MATCH(AC146,'SHIP CURVES'!$A$9:$A$316,0),MATCH(CONCATENATE(AG$4,AG$5,AG$6,AG$7),'SHIP CURVES'!$A$9:$Z$9,0))-INDEX(terminal_curves,MATCH(AC146,'TERMINAL CURVES'!$A$4:$A$313,0),MATCH(AG$5,'TERMINAL CURVES'!$A$4:$N$4,0))*IF(W146=0,0,Y146/W146))-(AE$8)*((AE$7-$N$5)-(INDEX(ship_curves,MATCH(AC146,'SHIP CURVES'!$A$9:$A$316,0),MATCH(CONCATENATE(AG$4,AG$5,AG$6,AG$7),'SHIP CURVES'!$A$9:$Z$9,0))-INDEX(ship_curves,MATCH(AC146,'SHIP CURVES'!$A$9:$A$316,0),MATCH(CONCATENATE(AG$4,AE$6,AG$6,AG$7),'SHIP CURVES'!$A$9:$Z$9,0)))-(INDEX(terminal_curves,MATCH(AC146,'TERMINAL CURVES'!$A$4:$A$313,0),MATCH(AG$5,'TERMINAL CURVES'!$A$4:$N$4,0))-INDEX(terminal_curves,MATCH(AC146,'TERMINAL CURVES'!$A$4:$A$313,0),MATCH(AE$6,'TERMINAL CURVES'!$A$4:$N$4,0)))*IF(W146=0,0,Y146/W146)))*-W146</f>
        <v>0</v>
      </c>
      <c r="AH146" s="356" t="n">
        <f aca="false">SUM(AE146:AG146)</f>
        <v>0</v>
      </c>
      <c r="AI146" s="357" t="n">
        <f aca="false">(-Y146/((HLOOKUP(AG$5,port_specs,2,0)/(365.25))*(AC147-AC146)))*(INDEX(fixed_capacity_charge,MATCH(AC146,PORTS!$H$11:$H$317,0),MATCH(AG$5,PORTS!$H$11:$N$11,0))+INDEX(variable_om_charge,MATCH(AC146,PORTS!$H$318:$H$625,0),MATCH(AG$5,PORTS!$H$318:$N$318,0)))</f>
        <v>-0</v>
      </c>
      <c r="AJ146" s="343" t="n">
        <f aca="false">+AI146+AH146</f>
        <v>0</v>
      </c>
      <c r="AK146" s="355" t="n">
        <f aca="false">+AJ146+AD146</f>
        <v>0</v>
      </c>
      <c r="AM146" s="346" t="n">
        <f aca="false">+DATE(YEAR(AM145),MONTH(AM145)+1,1)</f>
        <v>40603</v>
      </c>
      <c r="AN146" s="327" t="n">
        <f aca="false">+AP146/(1-HLOOKUP(AO$6,SHIPS,7,0)*INDEX(LADEN_VOYAGE_DAYS,MATCH(CONCATENATE(AO$4,AO$5),LADEN_VOYAGE_ROUTES,0),MATCH(AO$6,LADEN_VOYAGE_SHIPS,0)))</f>
        <v>5395761.47735991</v>
      </c>
      <c r="AO146" s="347" t="n">
        <f aca="false">+AP146-AN146</f>
        <v>-56655.4955122788</v>
      </c>
      <c r="AP146" s="348" t="n">
        <f aca="false">+IF(AND(AO$8&lt;=AM146,AO$9&gt;=AM146),+MIN($B146-SUMIF($H$17:AO$17,AP$17,$H146:AO146),((INDEX(ROUTE_PER_DAY_BY_SHIP,MATCH(CONCATENATE(AO$4,AO$5,AO$7),ROUTE_PER_DAY_ROUTES,0),MATCH(AO$6,ROUTE_PER_DAY_SHIPS,0))*(AM147-AM146))-(INDEX(ROUTE_PER_DAY_BY_SHIP,MATCH(CONCATENATE(AO$4,AO$5,AO$7),ROUTE_PER_DAY_ROUTES,0),MATCH(AO$6,ROUTE_PER_DAY_SHIPS,0))*(AM147-AM146))*HLOOKUP(AO$6,SHIPS,7,0)*INDEX(LADEN_VOYAGE_DAYS,MATCH(CONCATENATE(AO$4,AO$5,AO$7),LADEN_VOYAGE_ROUTES,0),MATCH(AO$6,LADEN_VOYAGE_SHIPS,0)))),0)</f>
        <v>5339105.98184763</v>
      </c>
      <c r="AQ146" s="349" t="n">
        <f aca="false">-(AP146)*PORTS!$I$6</f>
        <v>-133477.649546191</v>
      </c>
      <c r="AR146" s="327" t="n">
        <f aca="false">+AP146+AQ146</f>
        <v>5205628.33230144</v>
      </c>
      <c r="AS146" s="333"/>
      <c r="AT146" s="346" t="n">
        <f aca="false">+DATE(YEAR(AT145),MONTH(AT145)+1,1)</f>
        <v>40603</v>
      </c>
      <c r="AU146" s="343" t="n">
        <f aca="false">+AR146*(VLOOKUP(AT146,CURVECALC!$C$6:$J$312,4,0)+AV$5)</f>
        <v>18204082.2780581</v>
      </c>
      <c r="AV146" s="350" t="n">
        <f aca="false">-AN146*INDEX(ship_curves,MATCH(AT146,'SHIP CURVES'!$A$9:$A$316,0),MATCH(CONCATENATE(AX$4,AX$5,AX$6,AX$7),'SHIP CURVES'!$A$9:$AZ$9,0))</f>
        <v>-1800366.02353941</v>
      </c>
      <c r="AW146" s="351" t="n">
        <f aca="false">-AP146*INDEX(port_processing_fee,MATCH(AT146,PORTS!$H$626:$H$933,0),MATCH(AX$5,PORTS!$H$626:$Z$626,0))</f>
        <v>-161591.068383723</v>
      </c>
      <c r="AX146" s="352" t="n">
        <f aca="false">(((VLOOKUP(AT146,curvecalc,4,0))*IF(AN146=0,0,AR146/AN146)-INDEX(ship_curves,MATCH(AT146,'SHIP CURVES'!$A$9:$A$316,0),MATCH(CONCATENATE(AX$4,AX$5,AX$6,AX$7),'SHIP CURVES'!$A$9:$Z$9,0))-INDEX(terminal_curves,MATCH(AT146,'TERMINAL CURVES'!$A$4:$A$313,0),MATCH(AX$5,'TERMINAL CURVES'!$A$4:$N$4,0))*IF(AN146=0,0,AP146/AN146))-(AV$8)*((AV$7-$N$5)-(INDEX(ship_curves,MATCH(AT146,'SHIP CURVES'!$A$9:$A$316,0),MATCH(CONCATENATE(AX$4,AX$5,AX$6,AX$7),'SHIP CURVES'!$A$9:$Z$9,0))-INDEX(ship_curves,MATCH(AT146,'SHIP CURVES'!$A$9:$A$316,0),MATCH(CONCATENATE(AX$4,AV$6,AX$6,AX$7),'SHIP CURVES'!$A$9:$Z$9,0)))-(INDEX(terminal_curves,MATCH(AT146,'TERMINAL CURVES'!$A$4:$A$313,0),MATCH(AX$5,'TERMINAL CURVES'!$A$4:$N$4,0))-INDEX(terminal_curves,MATCH(AT146,'TERMINAL CURVES'!$A$4:$A$313,0),MATCH(AV$6,'TERMINAL CURVES'!$A$4:$N$4,0)))*IF(AN146=0,0,AP146/AN146)))*-AN146</f>
        <v>-15132245.2931402</v>
      </c>
      <c r="AY146" s="356" t="n">
        <f aca="false">SUM(AV146:AX146)</f>
        <v>-17094202.3850633</v>
      </c>
      <c r="AZ146" s="357" t="n">
        <f aca="false">(-AP146/((HLOOKUP(AX$5,port_specs,2,0)/(365.25))*(AT147-AT146)))*(INDEX(fixed_capacity_charge,MATCH(AT146,PORTS!$H$11:$H$317,0),MATCH(AX$5,PORTS!$H$11:$N$11,0))+INDEX(variable_om_charge,MATCH(AT146,PORTS!$H$318:$H$625,0),MATCH(AX$5,PORTS!$H$318:$N$318,0)))</f>
        <v>-1005767.32634877</v>
      </c>
      <c r="BA146" s="343" t="n">
        <f aca="false">+AZ146+AY146</f>
        <v>-18099969.7114121</v>
      </c>
      <c r="BB146" s="355" t="n">
        <f aca="false">+BA146+AU146</f>
        <v>104112.566646032</v>
      </c>
      <c r="BC146" s="99"/>
      <c r="BD146" s="357" t="n">
        <f aca="false">+PORTS!I140+PORTS!I448</f>
        <v>1005767.32634877</v>
      </c>
    </row>
    <row r="147" customFormat="false" ht="12.75" hidden="false" customHeight="false" outlineLevel="0" collapsed="false">
      <c r="A147" s="346" t="n">
        <f aca="false">+DATE(YEAR(A146),MONTH(A146)+1,1)</f>
        <v>40634</v>
      </c>
      <c r="B147" s="327" t="n">
        <f aca="false">+IF(AND($A147&gt;=$C$8,$A147&lt;=$C$9),1,0)*PORTS!$I$5/(365.25)*(A148-A147)</f>
        <v>5166876.75662674</v>
      </c>
      <c r="C147" s="328" t="n">
        <f aca="false">+B147-(SUMIF($F$17:$IV$17,$H$17,$F147:$IV147))</f>
        <v>0</v>
      </c>
      <c r="D147" s="0" t="n">
        <f aca="false">+YEAR(E147)</f>
        <v>2011</v>
      </c>
      <c r="E147" s="346" t="n">
        <f aca="false">+DATE(YEAR(E146),MONTH(E146)+1,1)</f>
        <v>40634</v>
      </c>
      <c r="F147" s="327" t="n">
        <f aca="false">+IF(AND(G$8&lt;=E147,G$9&gt;=E147),INDEX(ROUTE_PER_DAY_BY_SHIP,MATCH(CONCATENATE(G$4,G$5,G$7),ROUTE_PER_DAY_ROUTES,0),MATCH(G$6,ROUTE_PER_DAY_SHIPS,0))*(E148-E147),0)</f>
        <v>0</v>
      </c>
      <c r="G147" s="347" t="n">
        <f aca="false">-F147*HLOOKUP(G$6,SHIPS,7,0)*INDEX(LADEN_VOYAGE_DAYS,MATCH(CONCATENATE(G$4,G$5,G$7),LADEN_VOYAGE_ROUTES,0),MATCH(G$6,LADEN_VOYAGE_SHIPS,0))</f>
        <v>-0</v>
      </c>
      <c r="H147" s="348" t="n">
        <f aca="false">SUM(F147:G147)</f>
        <v>0</v>
      </c>
      <c r="I147" s="349" t="n">
        <f aca="false">-(H147)*HLOOKUP(G$5,TERMINAL_CHARGES,3,0)</f>
        <v>-0</v>
      </c>
      <c r="J147" s="327" t="n">
        <f aca="false">+H147+I147</f>
        <v>0</v>
      </c>
      <c r="K147" s="333"/>
      <c r="L147" s="346" t="n">
        <f aca="false">+DATE(YEAR(L146),MONTH(L146)+1,1)</f>
        <v>40634</v>
      </c>
      <c r="M147" s="334" t="n">
        <f aca="false">+J147*(VLOOKUP(L147,CURVECALC!$C$6:$J$312,4,0)+N$5)</f>
        <v>0</v>
      </c>
      <c r="N147" s="350" t="n">
        <f aca="false">-F147*INDEX(ship_curves,MATCH(L147,'SHIP CURVES'!$A$9:$A$316,0),MATCH(CONCATENATE(P$4,P$5,P$6,P$7),'SHIP CURVES'!$A$9:$AZ$9,0))</f>
        <v>-0</v>
      </c>
      <c r="O147" s="351" t="n">
        <f aca="false">-H147*INDEX(port_processing_fee,MATCH(L147,PORTS!$H$626:$H$933,0),MATCH(P$5,PORTS!$H$626:$Z$626,0))</f>
        <v>-0</v>
      </c>
      <c r="P147" s="352" t="n">
        <f aca="false">(((VLOOKUP(L147,curvecalc,4,0))*IF(F147=0,0,J147/F147)-INDEX(ship_curves,MATCH(L147,'SHIP CURVES'!$A$9:$A$316,0),MATCH(CONCATENATE(P$4,P$5,P$6,P$7),'SHIP CURVES'!$A$9:$Z$9,0))-INDEX(terminal_curves,MATCH(L147,'TERMINAL CURVES'!$A$4:$A$313,0),MATCH(P$5,'TERMINAL CURVES'!$A$4:$N$4,0))*IF(F147=0,0,H147/F147))-(N$8)*((N$7-$N$5)-(INDEX(ship_curves,MATCH(L147,'SHIP CURVES'!$A$9:$A$316,0),MATCH(CONCATENATE(P$4,P$5,P$6,P$7),'SHIP CURVES'!$A$9:$Z$9,0))-INDEX(ship_curves,MATCH(L147,'SHIP CURVES'!$A$9:$A$316,0),MATCH(CONCATENATE(P$4,N$6,P$6,P$7),'SHIP CURVES'!$A$9:$Z$9,0)))-(INDEX(terminal_curves,MATCH(L147,'TERMINAL CURVES'!$A$4:$A$313,0),MATCH(P$5,'TERMINAL CURVES'!$A$4:$N$4,0))-INDEX(terminal_curves,MATCH(L147,'TERMINAL CURVES'!$A$4:$A$313,0),MATCH(N$6,'TERMINAL CURVES'!$A$4:$N$4,0)))*IF(F147=0,0,H147/F147)))*-F147</f>
        <v>0</v>
      </c>
      <c r="Q147" s="353" t="n">
        <f aca="false">SUM(N147:P147)</f>
        <v>0</v>
      </c>
      <c r="R147" s="357" t="n">
        <f aca="false">(-H147/((HLOOKUP(P$5,port_specs,2,0)/(365.25))*(L148-L147)))*(INDEX(fixed_capacity_charge,MATCH(L147,PORTS!$H$11:$H$317,0),MATCH(P$5,PORTS!$H$11:$N$11,0))+INDEX(variable_om_charge,MATCH(L147,PORTS!$H$318:$H$625,0),MATCH(P$5,PORTS!$H$318:$N$318,0)))</f>
        <v>-0</v>
      </c>
      <c r="S147" s="343" t="n">
        <f aca="false">+R147+Q147</f>
        <v>0</v>
      </c>
      <c r="T147" s="355" t="n">
        <f aca="false">+S147+M147</f>
        <v>0</v>
      </c>
      <c r="V147" s="346" t="n">
        <f aca="false">+DATE(YEAR(V146),MONTH(V146)+1,1)</f>
        <v>40634</v>
      </c>
      <c r="W147" s="327" t="n">
        <f aca="false">+Y147/(1-HLOOKUP(X$6,SHIPS,7,0)*INDEX(LADEN_VOYAGE_DAYS,MATCH(CONCATENATE(X$4,X$5),LADEN_VOYAGE_ROUTES,0),MATCH(X$6,LADEN_VOYAGE_SHIPS,0)))</f>
        <v>0</v>
      </c>
      <c r="X147" s="347" t="n">
        <f aca="false">+Y147-W147</f>
        <v>0</v>
      </c>
      <c r="Y147" s="348" t="n">
        <f aca="false">+IF(AND(X$8&lt;=V147,X$9&gt;=V147),+MIN($B147-SUMIF($H$17:X$17,Y$17,$H147:X147),((INDEX(ROUTE_PER_DAY_BY_SHIP,MATCH(CONCATENATE(X$4,X$5,X$7),ROUTE_PER_DAY_ROUTES,0),MATCH(X$6,ROUTE_PER_DAY_SHIPS,0))*(V148-V147))-(INDEX(ROUTE_PER_DAY_BY_SHIP,MATCH(CONCATENATE(X$4,X$5,X$7),ROUTE_PER_DAY_ROUTES,0),MATCH(X$6,ROUTE_PER_DAY_SHIPS,0))*(V148-V147))*HLOOKUP(X$6,SHIPS,7,0)*INDEX(LADEN_VOYAGE_DAYS,MATCH(CONCATENATE(X$4,X$5,X$7),LADEN_VOYAGE_ROUTES,0),MATCH(X$6,LADEN_VOYAGE_SHIPS,0)))),0)</f>
        <v>0</v>
      </c>
      <c r="Z147" s="349" t="n">
        <f aca="false">-(Y147)*HLOOKUP(X$5,TERMINAL_CHARGES,3,0)</f>
        <v>-0</v>
      </c>
      <c r="AA147" s="327" t="n">
        <f aca="false">+Y147+Z147</f>
        <v>0</v>
      </c>
      <c r="AB147" s="333"/>
      <c r="AC147" s="346" t="n">
        <f aca="false">+DATE(YEAR(AC146),MONTH(AC146)+1,1)</f>
        <v>40634</v>
      </c>
      <c r="AD147" s="343" t="n">
        <f aca="false">+AA147*(VLOOKUP(AC147,CURVECALC!$C$6:$J$312,4,0)+AE$5)</f>
        <v>0</v>
      </c>
      <c r="AE147" s="350" t="n">
        <f aca="false">-W147*INDEX(ship_curves,MATCH(AC147,'SHIP CURVES'!$A$9:$A$316,0),MATCH(CONCATENATE(AG$4,AG$5,AG$6,AG$7),'SHIP CURVES'!$A$9:$AZ$9,0))</f>
        <v>-0</v>
      </c>
      <c r="AF147" s="351" t="n">
        <f aca="false">-Y147*INDEX(port_processing_fee,MATCH(AC147,PORTS!$H$626:$H$933,0),MATCH(AG$5,PORTS!$H$626:$Z$626,0))</f>
        <v>-0</v>
      </c>
      <c r="AG147" s="352" t="n">
        <f aca="false">(((VLOOKUP(AC147,curvecalc,4,0))*IF(W147=0,0,AA147/W147)-INDEX(ship_curves,MATCH(AC147,'SHIP CURVES'!$A$9:$A$316,0),MATCH(CONCATENATE(AG$4,AG$5,AG$6,AG$7),'SHIP CURVES'!$A$9:$Z$9,0))-INDEX(terminal_curves,MATCH(AC147,'TERMINAL CURVES'!$A$4:$A$313,0),MATCH(AG$5,'TERMINAL CURVES'!$A$4:$N$4,0))*IF(W147=0,0,Y147/W147))-(AE$8)*((AE$7-$N$5)-(INDEX(ship_curves,MATCH(AC147,'SHIP CURVES'!$A$9:$A$316,0),MATCH(CONCATENATE(AG$4,AG$5,AG$6,AG$7),'SHIP CURVES'!$A$9:$Z$9,0))-INDEX(ship_curves,MATCH(AC147,'SHIP CURVES'!$A$9:$A$316,0),MATCH(CONCATENATE(AG$4,AE$6,AG$6,AG$7),'SHIP CURVES'!$A$9:$Z$9,0)))-(INDEX(terminal_curves,MATCH(AC147,'TERMINAL CURVES'!$A$4:$A$313,0),MATCH(AG$5,'TERMINAL CURVES'!$A$4:$N$4,0))-INDEX(terminal_curves,MATCH(AC147,'TERMINAL CURVES'!$A$4:$A$313,0),MATCH(AE$6,'TERMINAL CURVES'!$A$4:$N$4,0)))*IF(W147=0,0,Y147/W147)))*-W147</f>
        <v>0</v>
      </c>
      <c r="AH147" s="356" t="n">
        <f aca="false">SUM(AE147:AG147)</f>
        <v>0</v>
      </c>
      <c r="AI147" s="357" t="n">
        <f aca="false">(-Y147/((HLOOKUP(AG$5,port_specs,2,0)/(365.25))*(AC148-AC147)))*(INDEX(fixed_capacity_charge,MATCH(AC147,PORTS!$H$11:$H$317,0),MATCH(AG$5,PORTS!$H$11:$N$11,0))+INDEX(variable_om_charge,MATCH(AC147,PORTS!$H$318:$H$625,0),MATCH(AG$5,PORTS!$H$318:$N$318,0)))</f>
        <v>-0</v>
      </c>
      <c r="AJ147" s="343" t="n">
        <f aca="false">+AI147+AH147</f>
        <v>0</v>
      </c>
      <c r="AK147" s="355" t="n">
        <f aca="false">+AJ147+AD147</f>
        <v>0</v>
      </c>
      <c r="AM147" s="346" t="n">
        <f aca="false">+DATE(YEAR(AM146),MONTH(AM146)+1,1)</f>
        <v>40634</v>
      </c>
      <c r="AN147" s="327" t="n">
        <f aca="false">+AP147/(1-HLOOKUP(AO$6,SHIPS,7,0)*INDEX(LADEN_VOYAGE_DAYS,MATCH(CONCATENATE(AO$4,AO$5),LADEN_VOYAGE_ROUTES,0),MATCH(AO$6,LADEN_VOYAGE_SHIPS,0)))</f>
        <v>5221704.65550959</v>
      </c>
      <c r="AO147" s="347" t="n">
        <f aca="false">+AP147-AN147</f>
        <v>-54827.8988828501</v>
      </c>
      <c r="AP147" s="348" t="n">
        <f aca="false">+IF(AND(AO$8&lt;=AM147,AO$9&gt;=AM147),+MIN($B147-SUMIF($H$17:AO$17,AP$17,$H147:AO147),((INDEX(ROUTE_PER_DAY_BY_SHIP,MATCH(CONCATENATE(AO$4,AO$5,AO$7),ROUTE_PER_DAY_ROUTES,0),MATCH(AO$6,ROUTE_PER_DAY_SHIPS,0))*(AM148-AM147))-(INDEX(ROUTE_PER_DAY_BY_SHIP,MATCH(CONCATENATE(AO$4,AO$5,AO$7),ROUTE_PER_DAY_ROUTES,0),MATCH(AO$6,ROUTE_PER_DAY_SHIPS,0))*(AM148-AM147))*HLOOKUP(AO$6,SHIPS,7,0)*INDEX(LADEN_VOYAGE_DAYS,MATCH(CONCATENATE(AO$4,AO$5,AO$7),LADEN_VOYAGE_ROUTES,0),MATCH(AO$6,LADEN_VOYAGE_SHIPS,0)))),0)</f>
        <v>5166876.75662674</v>
      </c>
      <c r="AQ147" s="349" t="n">
        <f aca="false">-(AP147)*PORTS!$I$6</f>
        <v>-129171.918915669</v>
      </c>
      <c r="AR147" s="327" t="n">
        <f aca="false">+AP147+AQ147</f>
        <v>5037704.83771107</v>
      </c>
      <c r="AS147" s="333"/>
      <c r="AT147" s="346" t="n">
        <f aca="false">+DATE(YEAR(AT146),MONTH(AT146)+1,1)</f>
        <v>40634</v>
      </c>
      <c r="AU147" s="343" t="n">
        <f aca="false">+AR147*(VLOOKUP(AT147,CURVECALC!$C$6:$J$312,4,0)+AV$5)</f>
        <v>17032480.0563011</v>
      </c>
      <c r="AV147" s="350" t="n">
        <f aca="false">-AN147*INDEX(ship_curves,MATCH(AT147,'SHIP CURVES'!$A$9:$A$316,0),MATCH(CONCATENATE(AX$4,AX$5,AX$6,AX$7),'SHIP CURVES'!$A$9:$AZ$9,0))</f>
        <v>-1742826.87418435</v>
      </c>
      <c r="AW147" s="351" t="n">
        <f aca="false">-AP147*INDEX(port_processing_fee,MATCH(AT147,PORTS!$H$626:$H$933,0),MATCH(AX$5,PORTS!$H$626:$Z$626,0))</f>
        <v>-156541.347496732</v>
      </c>
      <c r="AX147" s="352" t="n">
        <f aca="false">(((VLOOKUP(AT147,curvecalc,4,0))*IF(AN147=0,0,AR147/AN147)-INDEX(ship_curves,MATCH(AT147,'SHIP CURVES'!$A$9:$A$316,0),MATCH(CONCATENATE(AX$4,AX$5,AX$6,AX$7),'SHIP CURVES'!$A$9:$Z$9,0))-INDEX(terminal_curves,MATCH(AT147,'TERMINAL CURVES'!$A$4:$A$313,0),MATCH(AX$5,'TERMINAL CURVES'!$A$4:$N$4,0))*IF(AN147=0,0,AP147/AN147))-(AV$8)*((AV$7-$N$5)-(INDEX(ship_curves,MATCH(AT147,'SHIP CURVES'!$A$9:$A$316,0),MATCH(CONCATENATE(AX$4,AX$5,AX$6,AX$7),'SHIP CURVES'!$A$9:$Z$9,0))-INDEX(ship_curves,MATCH(AT147,'SHIP CURVES'!$A$9:$A$316,0),MATCH(CONCATENATE(AX$4,AV$6,AX$6,AX$7),'SHIP CURVES'!$A$9:$Z$9,0)))-(INDEX(terminal_curves,MATCH(AT147,'TERMINAL CURVES'!$A$4:$A$313,0),MATCH(AX$5,'TERMINAL CURVES'!$A$4:$N$4,0))-INDEX(terminal_curves,MATCH(AT147,'TERMINAL CURVES'!$A$4:$A$313,0),MATCH(AV$6,'TERMINAL CURVES'!$A$4:$N$4,0)))*IF(AN147=0,0,AP147/AN147)))*-AN147</f>
        <v>-14026048.1398968</v>
      </c>
      <c r="AY147" s="356" t="n">
        <f aca="false">SUM(AV147:AX147)</f>
        <v>-15925416.3615779</v>
      </c>
      <c r="AZ147" s="357" t="n">
        <f aca="false">(-AP147/((HLOOKUP(AX$5,port_specs,2,0)/(365.25))*(AT148-AT147)))*(INDEX(fixed_capacity_charge,MATCH(AT147,PORTS!$H$11:$H$317,0),MATCH(AX$5,PORTS!$H$11:$N$11,0))+INDEX(variable_om_charge,MATCH(AT147,PORTS!$H$318:$H$625,0),MATCH(AX$5,PORTS!$H$318:$N$318,0)))</f>
        <v>-1006309.59796902</v>
      </c>
      <c r="BA147" s="343" t="n">
        <f aca="false">+AZ147+AY147</f>
        <v>-16931725.9595469</v>
      </c>
      <c r="BB147" s="355" t="n">
        <f aca="false">+BA147+AU147</f>
        <v>100754.096754223</v>
      </c>
      <c r="BC147" s="99"/>
      <c r="BD147" s="357" t="n">
        <f aca="false">+PORTS!I141+PORTS!I449</f>
        <v>1006309.59796902</v>
      </c>
    </row>
    <row r="148" customFormat="false" ht="12.75" hidden="false" customHeight="false" outlineLevel="0" collapsed="false">
      <c r="A148" s="346" t="n">
        <f aca="false">+DATE(YEAR(A147),MONTH(A147)+1,1)</f>
        <v>40664</v>
      </c>
      <c r="B148" s="327" t="n">
        <f aca="false">+IF(AND($A148&gt;=$C$8,$A148&lt;=$C$9),1,0)*PORTS!$I$5/(365.25)*(A149-A148)</f>
        <v>5339105.98184763</v>
      </c>
      <c r="C148" s="328" t="n">
        <f aca="false">+B148-(SUMIF($F$17:$IV$17,$H$17,$F148:$IV148))</f>
        <v>0</v>
      </c>
      <c r="D148" s="0" t="n">
        <f aca="false">+YEAR(E148)</f>
        <v>2011</v>
      </c>
      <c r="E148" s="346" t="n">
        <f aca="false">+DATE(YEAR(E147),MONTH(E147)+1,1)</f>
        <v>40664</v>
      </c>
      <c r="F148" s="327" t="n">
        <f aca="false">+IF(AND(G$8&lt;=E148,G$9&gt;=E148),INDEX(ROUTE_PER_DAY_BY_SHIP,MATCH(CONCATENATE(G$4,G$5,G$7),ROUTE_PER_DAY_ROUTES,0),MATCH(G$6,ROUTE_PER_DAY_SHIPS,0))*(E149-E148),0)</f>
        <v>0</v>
      </c>
      <c r="G148" s="347" t="n">
        <f aca="false">-F148*HLOOKUP(G$6,SHIPS,7,0)*INDEX(LADEN_VOYAGE_DAYS,MATCH(CONCATENATE(G$4,G$5,G$7),LADEN_VOYAGE_ROUTES,0),MATCH(G$6,LADEN_VOYAGE_SHIPS,0))</f>
        <v>-0</v>
      </c>
      <c r="H148" s="348" t="n">
        <f aca="false">SUM(F148:G148)</f>
        <v>0</v>
      </c>
      <c r="I148" s="349" t="n">
        <f aca="false">-(H148)*HLOOKUP(G$5,TERMINAL_CHARGES,3,0)</f>
        <v>-0</v>
      </c>
      <c r="J148" s="327" t="n">
        <f aca="false">+H148+I148</f>
        <v>0</v>
      </c>
      <c r="K148" s="333"/>
      <c r="L148" s="346" t="n">
        <f aca="false">+DATE(YEAR(L147),MONTH(L147)+1,1)</f>
        <v>40664</v>
      </c>
      <c r="M148" s="334" t="n">
        <f aca="false">+J148*(VLOOKUP(L148,CURVECALC!$C$6:$J$312,4,0)+N$5)</f>
        <v>0</v>
      </c>
      <c r="N148" s="350" t="n">
        <f aca="false">-F148*INDEX(ship_curves,MATCH(L148,'SHIP CURVES'!$A$9:$A$316,0),MATCH(CONCATENATE(P$4,P$5,P$6,P$7),'SHIP CURVES'!$A$9:$AZ$9,0))</f>
        <v>-0</v>
      </c>
      <c r="O148" s="351" t="n">
        <f aca="false">-H148*INDEX(port_processing_fee,MATCH(L148,PORTS!$H$626:$H$933,0),MATCH(P$5,PORTS!$H$626:$Z$626,0))</f>
        <v>-0</v>
      </c>
      <c r="P148" s="352" t="n">
        <f aca="false">(((VLOOKUP(L148,curvecalc,4,0))*IF(F148=0,0,J148/F148)-INDEX(ship_curves,MATCH(L148,'SHIP CURVES'!$A$9:$A$316,0),MATCH(CONCATENATE(P$4,P$5,P$6,P$7),'SHIP CURVES'!$A$9:$Z$9,0))-INDEX(terminal_curves,MATCH(L148,'TERMINAL CURVES'!$A$4:$A$313,0),MATCH(P$5,'TERMINAL CURVES'!$A$4:$N$4,0))*IF(F148=0,0,H148/F148))-(N$8)*((N$7-$N$5)-(INDEX(ship_curves,MATCH(L148,'SHIP CURVES'!$A$9:$A$316,0),MATCH(CONCATENATE(P$4,P$5,P$6,P$7),'SHIP CURVES'!$A$9:$Z$9,0))-INDEX(ship_curves,MATCH(L148,'SHIP CURVES'!$A$9:$A$316,0),MATCH(CONCATENATE(P$4,N$6,P$6,P$7),'SHIP CURVES'!$A$9:$Z$9,0)))-(INDEX(terminal_curves,MATCH(L148,'TERMINAL CURVES'!$A$4:$A$313,0),MATCH(P$5,'TERMINAL CURVES'!$A$4:$N$4,0))-INDEX(terminal_curves,MATCH(L148,'TERMINAL CURVES'!$A$4:$A$313,0),MATCH(N$6,'TERMINAL CURVES'!$A$4:$N$4,0)))*IF(F148=0,0,H148/F148)))*-F148</f>
        <v>0</v>
      </c>
      <c r="Q148" s="353" t="n">
        <f aca="false">SUM(N148:P148)</f>
        <v>0</v>
      </c>
      <c r="R148" s="357" t="n">
        <f aca="false">(-H148/((HLOOKUP(P$5,port_specs,2,0)/(365.25))*(L149-L148)))*(INDEX(fixed_capacity_charge,MATCH(L148,PORTS!$H$11:$H$317,0),MATCH(P$5,PORTS!$H$11:$N$11,0))+INDEX(variable_om_charge,MATCH(L148,PORTS!$H$318:$H$625,0),MATCH(P$5,PORTS!$H$318:$N$318,0)))</f>
        <v>-0</v>
      </c>
      <c r="S148" s="343" t="n">
        <f aca="false">+R148+Q148</f>
        <v>0</v>
      </c>
      <c r="T148" s="355" t="n">
        <f aca="false">+S148+M148</f>
        <v>0</v>
      </c>
      <c r="V148" s="346" t="n">
        <f aca="false">+DATE(YEAR(V147),MONTH(V147)+1,1)</f>
        <v>40664</v>
      </c>
      <c r="W148" s="327" t="n">
        <f aca="false">+Y148/(1-HLOOKUP(X$6,SHIPS,7,0)*INDEX(LADEN_VOYAGE_DAYS,MATCH(CONCATENATE(X$4,X$5),LADEN_VOYAGE_ROUTES,0),MATCH(X$6,LADEN_VOYAGE_SHIPS,0)))</f>
        <v>0</v>
      </c>
      <c r="X148" s="347" t="n">
        <f aca="false">+Y148-W148</f>
        <v>0</v>
      </c>
      <c r="Y148" s="348" t="n">
        <f aca="false">+IF(AND(X$8&lt;=V148,X$9&gt;=V148),+MIN($B148-SUMIF($H$17:X$17,Y$17,$H148:X148),((INDEX(ROUTE_PER_DAY_BY_SHIP,MATCH(CONCATENATE(X$4,X$5,X$7),ROUTE_PER_DAY_ROUTES,0),MATCH(X$6,ROUTE_PER_DAY_SHIPS,0))*(V149-V148))-(INDEX(ROUTE_PER_DAY_BY_SHIP,MATCH(CONCATENATE(X$4,X$5,X$7),ROUTE_PER_DAY_ROUTES,0),MATCH(X$6,ROUTE_PER_DAY_SHIPS,0))*(V149-V148))*HLOOKUP(X$6,SHIPS,7,0)*INDEX(LADEN_VOYAGE_DAYS,MATCH(CONCATENATE(X$4,X$5,X$7),LADEN_VOYAGE_ROUTES,0),MATCH(X$6,LADEN_VOYAGE_SHIPS,0)))),0)</f>
        <v>0</v>
      </c>
      <c r="Z148" s="349" t="n">
        <f aca="false">-(Y148)*HLOOKUP(X$5,TERMINAL_CHARGES,3,0)</f>
        <v>-0</v>
      </c>
      <c r="AA148" s="327" t="n">
        <f aca="false">+Y148+Z148</f>
        <v>0</v>
      </c>
      <c r="AB148" s="333"/>
      <c r="AC148" s="346" t="n">
        <f aca="false">+DATE(YEAR(AC147),MONTH(AC147)+1,1)</f>
        <v>40664</v>
      </c>
      <c r="AD148" s="343" t="n">
        <f aca="false">+AA148*(VLOOKUP(AC148,CURVECALC!$C$6:$J$312,4,0)+AE$5)</f>
        <v>0</v>
      </c>
      <c r="AE148" s="350" t="n">
        <f aca="false">-W148*INDEX(ship_curves,MATCH(AC148,'SHIP CURVES'!$A$9:$A$316,0),MATCH(CONCATENATE(AG$4,AG$5,AG$6,AG$7),'SHIP CURVES'!$A$9:$AZ$9,0))</f>
        <v>-0</v>
      </c>
      <c r="AF148" s="351" t="n">
        <f aca="false">-Y148*INDEX(port_processing_fee,MATCH(AC148,PORTS!$H$626:$H$933,0),MATCH(AG$5,PORTS!$H$626:$Z$626,0))</f>
        <v>-0</v>
      </c>
      <c r="AG148" s="352" t="n">
        <f aca="false">(((VLOOKUP(AC148,curvecalc,4,0))*IF(W148=0,0,AA148/W148)-INDEX(ship_curves,MATCH(AC148,'SHIP CURVES'!$A$9:$A$316,0),MATCH(CONCATENATE(AG$4,AG$5,AG$6,AG$7),'SHIP CURVES'!$A$9:$Z$9,0))-INDEX(terminal_curves,MATCH(AC148,'TERMINAL CURVES'!$A$4:$A$313,0),MATCH(AG$5,'TERMINAL CURVES'!$A$4:$N$4,0))*IF(W148=0,0,Y148/W148))-(AE$8)*((AE$7-$N$5)-(INDEX(ship_curves,MATCH(AC148,'SHIP CURVES'!$A$9:$A$316,0),MATCH(CONCATENATE(AG$4,AG$5,AG$6,AG$7),'SHIP CURVES'!$A$9:$Z$9,0))-INDEX(ship_curves,MATCH(AC148,'SHIP CURVES'!$A$9:$A$316,0),MATCH(CONCATENATE(AG$4,AE$6,AG$6,AG$7),'SHIP CURVES'!$A$9:$Z$9,0)))-(INDEX(terminal_curves,MATCH(AC148,'TERMINAL CURVES'!$A$4:$A$313,0),MATCH(AG$5,'TERMINAL CURVES'!$A$4:$N$4,0))-INDEX(terminal_curves,MATCH(AC148,'TERMINAL CURVES'!$A$4:$A$313,0),MATCH(AE$6,'TERMINAL CURVES'!$A$4:$N$4,0)))*IF(W148=0,0,Y148/W148)))*-W148</f>
        <v>0</v>
      </c>
      <c r="AH148" s="356" t="n">
        <f aca="false">SUM(AE148:AG148)</f>
        <v>0</v>
      </c>
      <c r="AI148" s="357" t="n">
        <f aca="false">(-Y148/((HLOOKUP(AG$5,port_specs,2,0)/(365.25))*(AC149-AC148)))*(INDEX(fixed_capacity_charge,MATCH(AC148,PORTS!$H$11:$H$317,0),MATCH(AG$5,PORTS!$H$11:$N$11,0))+INDEX(variable_om_charge,MATCH(AC148,PORTS!$H$318:$H$625,0),MATCH(AG$5,PORTS!$H$318:$N$318,0)))</f>
        <v>-0</v>
      </c>
      <c r="AJ148" s="343" t="n">
        <f aca="false">+AI148+AH148</f>
        <v>0</v>
      </c>
      <c r="AK148" s="355" t="n">
        <f aca="false">+AJ148+AD148</f>
        <v>0</v>
      </c>
      <c r="AM148" s="346" t="n">
        <f aca="false">+DATE(YEAR(AM147),MONTH(AM147)+1,1)</f>
        <v>40664</v>
      </c>
      <c r="AN148" s="327" t="n">
        <f aca="false">+AP148/(1-HLOOKUP(AO$6,SHIPS,7,0)*INDEX(LADEN_VOYAGE_DAYS,MATCH(CONCATENATE(AO$4,AO$5),LADEN_VOYAGE_ROUTES,0),MATCH(AO$6,LADEN_VOYAGE_SHIPS,0)))</f>
        <v>5395761.47735991</v>
      </c>
      <c r="AO148" s="347" t="n">
        <f aca="false">+AP148-AN148</f>
        <v>-56655.4955122788</v>
      </c>
      <c r="AP148" s="348" t="n">
        <f aca="false">+IF(AND(AO$8&lt;=AM148,AO$9&gt;=AM148),+MIN($B148-SUMIF($H$17:AO$17,AP$17,$H148:AO148),((INDEX(ROUTE_PER_DAY_BY_SHIP,MATCH(CONCATENATE(AO$4,AO$5,AO$7),ROUTE_PER_DAY_ROUTES,0),MATCH(AO$6,ROUTE_PER_DAY_SHIPS,0))*(AM149-AM148))-(INDEX(ROUTE_PER_DAY_BY_SHIP,MATCH(CONCATENATE(AO$4,AO$5,AO$7),ROUTE_PER_DAY_ROUTES,0),MATCH(AO$6,ROUTE_PER_DAY_SHIPS,0))*(AM149-AM148))*HLOOKUP(AO$6,SHIPS,7,0)*INDEX(LADEN_VOYAGE_DAYS,MATCH(CONCATENATE(AO$4,AO$5,AO$7),LADEN_VOYAGE_ROUTES,0),MATCH(AO$6,LADEN_VOYAGE_SHIPS,0)))),0)</f>
        <v>5339105.98184763</v>
      </c>
      <c r="AQ148" s="349" t="n">
        <f aca="false">-(AP148)*PORTS!$I$6</f>
        <v>-133477.649546191</v>
      </c>
      <c r="AR148" s="327" t="n">
        <f aca="false">+AP148+AQ148</f>
        <v>5205628.33230144</v>
      </c>
      <c r="AS148" s="333"/>
      <c r="AT148" s="346" t="n">
        <f aca="false">+DATE(YEAR(AT147),MONTH(AT147)+1,1)</f>
        <v>40664</v>
      </c>
      <c r="AU148" s="343" t="n">
        <f aca="false">+AR148*(VLOOKUP(AT148,CURVECALC!$C$6:$J$312,4,0)+AV$5)</f>
        <v>17563789.9931851</v>
      </c>
      <c r="AV148" s="350" t="n">
        <f aca="false">-AN148*INDEX(ship_curves,MATCH(AT148,'SHIP CURVES'!$A$9:$A$316,0),MATCH(CONCATENATE(AX$4,AX$5,AX$6,AX$7),'SHIP CURVES'!$A$9:$AZ$9,0))</f>
        <v>-1801477.33952447</v>
      </c>
      <c r="AW148" s="351" t="n">
        <f aca="false">-AP148*INDEX(port_processing_fee,MATCH(AT148,PORTS!$H$626:$H$933,0),MATCH(AX$5,PORTS!$H$626:$Z$626,0))</f>
        <v>-161927.891780387</v>
      </c>
      <c r="AX148" s="352" t="n">
        <f aca="false">(((VLOOKUP(AT148,curvecalc,4,0))*IF(AN148=0,0,AR148/AN148)-INDEX(ship_curves,MATCH(AT148,'SHIP CURVES'!$A$9:$A$316,0),MATCH(CONCATENATE(AX$4,AX$5,AX$6,AX$7),'SHIP CURVES'!$A$9:$Z$9,0))-INDEX(terminal_curves,MATCH(AT148,'TERMINAL CURVES'!$A$4:$A$313,0),MATCH(AX$5,'TERMINAL CURVES'!$A$4:$N$4,0))*IF(AN148=0,0,AP148/AN148))-(AV$8)*((AV$7-$N$5)-(INDEX(ship_curves,MATCH(AT148,'SHIP CURVES'!$A$9:$A$316,0),MATCH(CONCATENATE(AX$4,AX$5,AX$6,AX$7),'SHIP CURVES'!$A$9:$Z$9,0))-INDEX(ship_curves,MATCH(AT148,'SHIP CURVES'!$A$9:$A$316,0),MATCH(CONCATENATE(AX$4,AV$6,AX$6,AX$7),'SHIP CURVES'!$A$9:$Z$9,0)))-(INDEX(terminal_curves,MATCH(AT148,'TERMINAL CURVES'!$A$4:$A$313,0),MATCH(AX$5,'TERMINAL CURVES'!$A$4:$N$4,0))-INDEX(terminal_curves,MATCH(AT148,'TERMINAL CURVES'!$A$4:$A$313,0),MATCH(AV$6,'TERMINAL CURVES'!$A$4:$N$4,0)))*IF(AN148=0,0,AP148/AN148)))*-AN148</f>
        <v>-14489419.7607786</v>
      </c>
      <c r="AY148" s="356" t="n">
        <f aca="false">SUM(AV148:AX148)</f>
        <v>-16452824.9920835</v>
      </c>
      <c r="AZ148" s="357" t="n">
        <f aca="false">(-AP148/((HLOOKUP(AX$5,port_specs,2,0)/(365.25))*(AT149-AT148)))*(INDEX(fixed_capacity_charge,MATCH(AT148,PORTS!$H$11:$H$317,0),MATCH(AX$5,PORTS!$H$11:$N$11,0))+INDEX(variable_om_charge,MATCH(AT148,PORTS!$H$318:$H$625,0),MATCH(AX$5,PORTS!$H$318:$N$318,0)))</f>
        <v>-1006852.43445554</v>
      </c>
      <c r="BA148" s="343" t="n">
        <f aca="false">+AZ148+AY148</f>
        <v>-17459677.426539</v>
      </c>
      <c r="BB148" s="355" t="n">
        <f aca="false">+BA148+AU148</f>
        <v>104112.566646032</v>
      </c>
      <c r="BC148" s="99"/>
      <c r="BD148" s="357" t="n">
        <f aca="false">+PORTS!I142+PORTS!I450</f>
        <v>1006852.43445554</v>
      </c>
    </row>
    <row r="149" customFormat="false" ht="12.75" hidden="false" customHeight="false" outlineLevel="0" collapsed="false">
      <c r="A149" s="346" t="n">
        <f aca="false">+DATE(YEAR(A148),MONTH(A148)+1,1)</f>
        <v>40695</v>
      </c>
      <c r="B149" s="327" t="n">
        <f aca="false">+IF(AND($A149&gt;=$C$8,$A149&lt;=$C$9),1,0)*PORTS!$I$5/(365.25)*(A150-A149)</f>
        <v>5166876.75662674</v>
      </c>
      <c r="C149" s="328" t="n">
        <f aca="false">+B149-(SUMIF($F$17:$IV$17,$H$17,$F149:$IV149))</f>
        <v>0</v>
      </c>
      <c r="D149" s="0" t="n">
        <f aca="false">+YEAR(E149)</f>
        <v>2011</v>
      </c>
      <c r="E149" s="346" t="n">
        <f aca="false">+DATE(YEAR(E148),MONTH(E148)+1,1)</f>
        <v>40695</v>
      </c>
      <c r="F149" s="327" t="n">
        <f aca="false">+IF(AND(G$8&lt;=E149,G$9&gt;=E149),INDEX(ROUTE_PER_DAY_BY_SHIP,MATCH(CONCATENATE(G$4,G$5,G$7),ROUTE_PER_DAY_ROUTES,0),MATCH(G$6,ROUTE_PER_DAY_SHIPS,0))*(E150-E149),0)</f>
        <v>0</v>
      </c>
      <c r="G149" s="347" t="n">
        <f aca="false">-F149*HLOOKUP(G$6,SHIPS,7,0)*INDEX(LADEN_VOYAGE_DAYS,MATCH(CONCATENATE(G$4,G$5,G$7),LADEN_VOYAGE_ROUTES,0),MATCH(G$6,LADEN_VOYAGE_SHIPS,0))</f>
        <v>-0</v>
      </c>
      <c r="H149" s="348" t="n">
        <f aca="false">SUM(F149:G149)</f>
        <v>0</v>
      </c>
      <c r="I149" s="349" t="n">
        <f aca="false">-(H149)*HLOOKUP(G$5,TERMINAL_CHARGES,3,0)</f>
        <v>-0</v>
      </c>
      <c r="J149" s="327" t="n">
        <f aca="false">+H149+I149</f>
        <v>0</v>
      </c>
      <c r="K149" s="333"/>
      <c r="L149" s="346" t="n">
        <f aca="false">+DATE(YEAR(L148),MONTH(L148)+1,1)</f>
        <v>40695</v>
      </c>
      <c r="M149" s="334" t="n">
        <f aca="false">+J149*(VLOOKUP(L149,CURVECALC!$C$6:$J$312,4,0)+N$5)</f>
        <v>0</v>
      </c>
      <c r="N149" s="350" t="n">
        <f aca="false">-F149*INDEX(ship_curves,MATCH(L149,'SHIP CURVES'!$A$9:$A$316,0),MATCH(CONCATENATE(P$4,P$5,P$6,P$7),'SHIP CURVES'!$A$9:$AZ$9,0))</f>
        <v>-0</v>
      </c>
      <c r="O149" s="351" t="n">
        <f aca="false">-H149*INDEX(port_processing_fee,MATCH(L149,PORTS!$H$626:$H$933,0),MATCH(P$5,PORTS!$H$626:$Z$626,0))</f>
        <v>-0</v>
      </c>
      <c r="P149" s="352" t="n">
        <f aca="false">(((VLOOKUP(L149,curvecalc,4,0))*IF(F149=0,0,J149/F149)-INDEX(ship_curves,MATCH(L149,'SHIP CURVES'!$A$9:$A$316,0),MATCH(CONCATENATE(P$4,P$5,P$6,P$7),'SHIP CURVES'!$A$9:$Z$9,0))-INDEX(terminal_curves,MATCH(L149,'TERMINAL CURVES'!$A$4:$A$313,0),MATCH(P$5,'TERMINAL CURVES'!$A$4:$N$4,0))*IF(F149=0,0,H149/F149))-(N$8)*((N$7-$N$5)-(INDEX(ship_curves,MATCH(L149,'SHIP CURVES'!$A$9:$A$316,0),MATCH(CONCATENATE(P$4,P$5,P$6,P$7),'SHIP CURVES'!$A$9:$Z$9,0))-INDEX(ship_curves,MATCH(L149,'SHIP CURVES'!$A$9:$A$316,0),MATCH(CONCATENATE(P$4,N$6,P$6,P$7),'SHIP CURVES'!$A$9:$Z$9,0)))-(INDEX(terminal_curves,MATCH(L149,'TERMINAL CURVES'!$A$4:$A$313,0),MATCH(P$5,'TERMINAL CURVES'!$A$4:$N$4,0))-INDEX(terminal_curves,MATCH(L149,'TERMINAL CURVES'!$A$4:$A$313,0),MATCH(N$6,'TERMINAL CURVES'!$A$4:$N$4,0)))*IF(F149=0,0,H149/F149)))*-F149</f>
        <v>0</v>
      </c>
      <c r="Q149" s="353" t="n">
        <f aca="false">SUM(N149:P149)</f>
        <v>0</v>
      </c>
      <c r="R149" s="357" t="n">
        <f aca="false">(-H149/((HLOOKUP(P$5,port_specs,2,0)/(365.25))*(L150-L149)))*(INDEX(fixed_capacity_charge,MATCH(L149,PORTS!$H$11:$H$317,0),MATCH(P$5,PORTS!$H$11:$N$11,0))+INDEX(variable_om_charge,MATCH(L149,PORTS!$H$318:$H$625,0),MATCH(P$5,PORTS!$H$318:$N$318,0)))</f>
        <v>-0</v>
      </c>
      <c r="S149" s="343" t="n">
        <f aca="false">+R149+Q149</f>
        <v>0</v>
      </c>
      <c r="T149" s="355" t="n">
        <f aca="false">+S149+M149</f>
        <v>0</v>
      </c>
      <c r="V149" s="346" t="n">
        <f aca="false">+DATE(YEAR(V148),MONTH(V148)+1,1)</f>
        <v>40695</v>
      </c>
      <c r="W149" s="327" t="n">
        <f aca="false">+Y149/(1-HLOOKUP(X$6,SHIPS,7,0)*INDEX(LADEN_VOYAGE_DAYS,MATCH(CONCATENATE(X$4,X$5),LADEN_VOYAGE_ROUTES,0),MATCH(X$6,LADEN_VOYAGE_SHIPS,0)))</f>
        <v>0</v>
      </c>
      <c r="X149" s="347" t="n">
        <f aca="false">+Y149-W149</f>
        <v>0</v>
      </c>
      <c r="Y149" s="348" t="n">
        <f aca="false">+IF(AND(X$8&lt;=V149,X$9&gt;=V149),+MIN($B149-SUMIF($H$17:X$17,Y$17,$H149:X149),((INDEX(ROUTE_PER_DAY_BY_SHIP,MATCH(CONCATENATE(X$4,X$5,X$7),ROUTE_PER_DAY_ROUTES,0),MATCH(X$6,ROUTE_PER_DAY_SHIPS,0))*(V150-V149))-(INDEX(ROUTE_PER_DAY_BY_SHIP,MATCH(CONCATENATE(X$4,X$5,X$7),ROUTE_PER_DAY_ROUTES,0),MATCH(X$6,ROUTE_PER_DAY_SHIPS,0))*(V150-V149))*HLOOKUP(X$6,SHIPS,7,0)*INDEX(LADEN_VOYAGE_DAYS,MATCH(CONCATENATE(X$4,X$5,X$7),LADEN_VOYAGE_ROUTES,0),MATCH(X$6,LADEN_VOYAGE_SHIPS,0)))),0)</f>
        <v>0</v>
      </c>
      <c r="Z149" s="349" t="n">
        <f aca="false">-(Y149)*HLOOKUP(X$5,TERMINAL_CHARGES,3,0)</f>
        <v>-0</v>
      </c>
      <c r="AA149" s="327" t="n">
        <f aca="false">+Y149+Z149</f>
        <v>0</v>
      </c>
      <c r="AB149" s="333"/>
      <c r="AC149" s="346" t="n">
        <f aca="false">+DATE(YEAR(AC148),MONTH(AC148)+1,1)</f>
        <v>40695</v>
      </c>
      <c r="AD149" s="343" t="n">
        <f aca="false">+AA149*(VLOOKUP(AC149,CURVECALC!$C$6:$J$312,4,0)+AE$5)</f>
        <v>0</v>
      </c>
      <c r="AE149" s="350" t="n">
        <f aca="false">-W149*INDEX(ship_curves,MATCH(AC149,'SHIP CURVES'!$A$9:$A$316,0),MATCH(CONCATENATE(AG$4,AG$5,AG$6,AG$7),'SHIP CURVES'!$A$9:$AZ$9,0))</f>
        <v>-0</v>
      </c>
      <c r="AF149" s="351" t="n">
        <f aca="false">-Y149*INDEX(port_processing_fee,MATCH(AC149,PORTS!$H$626:$H$933,0),MATCH(AG$5,PORTS!$H$626:$Z$626,0))</f>
        <v>-0</v>
      </c>
      <c r="AG149" s="352" t="n">
        <f aca="false">(((VLOOKUP(AC149,curvecalc,4,0))*IF(W149=0,0,AA149/W149)-INDEX(ship_curves,MATCH(AC149,'SHIP CURVES'!$A$9:$A$316,0),MATCH(CONCATENATE(AG$4,AG$5,AG$6,AG$7),'SHIP CURVES'!$A$9:$Z$9,0))-INDEX(terminal_curves,MATCH(AC149,'TERMINAL CURVES'!$A$4:$A$313,0),MATCH(AG$5,'TERMINAL CURVES'!$A$4:$N$4,0))*IF(W149=0,0,Y149/W149))-(AE$8)*((AE$7-$N$5)-(INDEX(ship_curves,MATCH(AC149,'SHIP CURVES'!$A$9:$A$316,0),MATCH(CONCATENATE(AG$4,AG$5,AG$6,AG$7),'SHIP CURVES'!$A$9:$Z$9,0))-INDEX(ship_curves,MATCH(AC149,'SHIP CURVES'!$A$9:$A$316,0),MATCH(CONCATENATE(AG$4,AE$6,AG$6,AG$7),'SHIP CURVES'!$A$9:$Z$9,0)))-(INDEX(terminal_curves,MATCH(AC149,'TERMINAL CURVES'!$A$4:$A$313,0),MATCH(AG$5,'TERMINAL CURVES'!$A$4:$N$4,0))-INDEX(terminal_curves,MATCH(AC149,'TERMINAL CURVES'!$A$4:$A$313,0),MATCH(AE$6,'TERMINAL CURVES'!$A$4:$N$4,0)))*IF(W149=0,0,Y149/W149)))*-W149</f>
        <v>0</v>
      </c>
      <c r="AH149" s="356" t="n">
        <f aca="false">SUM(AE149:AG149)</f>
        <v>0</v>
      </c>
      <c r="AI149" s="357" t="n">
        <f aca="false">(-Y149/((HLOOKUP(AG$5,port_specs,2,0)/(365.25))*(AC150-AC149)))*(INDEX(fixed_capacity_charge,MATCH(AC149,PORTS!$H$11:$H$317,0),MATCH(AG$5,PORTS!$H$11:$N$11,0))+INDEX(variable_om_charge,MATCH(AC149,PORTS!$H$318:$H$625,0),MATCH(AG$5,PORTS!$H$318:$N$318,0)))</f>
        <v>-0</v>
      </c>
      <c r="AJ149" s="343" t="n">
        <f aca="false">+AI149+AH149</f>
        <v>0</v>
      </c>
      <c r="AK149" s="355" t="n">
        <f aca="false">+AJ149+AD149</f>
        <v>0</v>
      </c>
      <c r="AM149" s="346" t="n">
        <f aca="false">+DATE(YEAR(AM148),MONTH(AM148)+1,1)</f>
        <v>40695</v>
      </c>
      <c r="AN149" s="327" t="n">
        <f aca="false">+AP149/(1-HLOOKUP(AO$6,SHIPS,7,0)*INDEX(LADEN_VOYAGE_DAYS,MATCH(CONCATENATE(AO$4,AO$5),LADEN_VOYAGE_ROUTES,0),MATCH(AO$6,LADEN_VOYAGE_SHIPS,0)))</f>
        <v>5221704.65550959</v>
      </c>
      <c r="AO149" s="347" t="n">
        <f aca="false">+AP149-AN149</f>
        <v>-54827.8988828501</v>
      </c>
      <c r="AP149" s="348" t="n">
        <f aca="false">+IF(AND(AO$8&lt;=AM149,AO$9&gt;=AM149),+MIN($B149-SUMIF($H$17:AO$17,AP$17,$H149:AO149),((INDEX(ROUTE_PER_DAY_BY_SHIP,MATCH(CONCATENATE(AO$4,AO$5,AO$7),ROUTE_PER_DAY_ROUTES,0),MATCH(AO$6,ROUTE_PER_DAY_SHIPS,0))*(AM150-AM149))-(INDEX(ROUTE_PER_DAY_BY_SHIP,MATCH(CONCATENATE(AO$4,AO$5,AO$7),ROUTE_PER_DAY_ROUTES,0),MATCH(AO$6,ROUTE_PER_DAY_SHIPS,0))*(AM150-AM149))*HLOOKUP(AO$6,SHIPS,7,0)*INDEX(LADEN_VOYAGE_DAYS,MATCH(CONCATENATE(AO$4,AO$5,AO$7),LADEN_VOYAGE_ROUTES,0),MATCH(AO$6,LADEN_VOYAGE_SHIPS,0)))),0)</f>
        <v>5166876.75662674</v>
      </c>
      <c r="AQ149" s="349" t="n">
        <f aca="false">-(AP149)*PORTS!$I$6</f>
        <v>-129171.918915669</v>
      </c>
      <c r="AR149" s="327" t="n">
        <f aca="false">+AP149+AQ149</f>
        <v>5037704.83771107</v>
      </c>
      <c r="AS149" s="333"/>
      <c r="AT149" s="346" t="n">
        <f aca="false">+DATE(YEAR(AT148),MONTH(AT148)+1,1)</f>
        <v>40695</v>
      </c>
      <c r="AU149" s="343" t="n">
        <f aca="false">+AR149*(VLOOKUP(AT149,CURVECALC!$C$6:$J$312,4,0)+AV$5)</f>
        <v>17188648.9062702</v>
      </c>
      <c r="AV149" s="350" t="n">
        <f aca="false">-AN149*INDEX(ship_curves,MATCH(AT149,'SHIP CURVES'!$A$9:$A$316,0),MATCH(CONCATENATE(AX$4,AX$5,AX$6,AX$7),'SHIP CURVES'!$A$9:$AZ$9,0))</f>
        <v>-1743904.5818231</v>
      </c>
      <c r="AW149" s="351" t="n">
        <f aca="false">-AP149*INDEX(port_processing_fee,MATCH(AT149,PORTS!$H$626:$H$933,0),MATCH(AX$5,PORTS!$H$626:$Z$626,0))</f>
        <v>-156867.64516225</v>
      </c>
      <c r="AX149" s="352" t="n">
        <f aca="false">(((VLOOKUP(AT149,curvecalc,4,0))*IF(AN149=0,0,AR149/AN149)-INDEX(ship_curves,MATCH(AT149,'SHIP CURVES'!$A$9:$A$316,0),MATCH(CONCATENATE(AX$4,AX$5,AX$6,AX$7),'SHIP CURVES'!$A$9:$Z$9,0))-INDEX(terminal_curves,MATCH(AT149,'TERMINAL CURVES'!$A$4:$A$313,0),MATCH(AX$5,'TERMINAL CURVES'!$A$4:$N$4,0))*IF(AN149=0,0,AP149/AN149))-(AV$8)*((AV$7-$N$5)-(INDEX(ship_curves,MATCH(AT149,'SHIP CURVES'!$A$9:$A$316,0),MATCH(CONCATENATE(AX$4,AX$5,AX$6,AX$7),'SHIP CURVES'!$A$9:$Z$9,0))-INDEX(ship_curves,MATCH(AT149,'SHIP CURVES'!$A$9:$A$316,0),MATCH(CONCATENATE(AX$4,AV$6,AX$6,AX$7),'SHIP CURVES'!$A$9:$Z$9,0)))-(INDEX(terminal_curves,MATCH(AT149,'TERMINAL CURVES'!$A$4:$A$313,0),MATCH(AX$5,'TERMINAL CURVES'!$A$4:$N$4,0))-INDEX(terminal_curves,MATCH(AT149,'TERMINAL CURVES'!$A$4:$A$313,0),MATCH(AV$6,'TERMINAL CURVES'!$A$4:$N$4,0)))*IF(AN149=0,0,AP149/AN149)))*-AN149</f>
        <v>-14179726.7461339</v>
      </c>
      <c r="AY149" s="356" t="n">
        <f aca="false">SUM(AV149:AX149)</f>
        <v>-16080498.9731192</v>
      </c>
      <c r="AZ149" s="357" t="n">
        <f aca="false">(-AP149/((HLOOKUP(AX$5,port_specs,2,0)/(365.25))*(AT150-AT149)))*(INDEX(fixed_capacity_charge,MATCH(AT149,PORTS!$H$11:$H$317,0),MATCH(AX$5,PORTS!$H$11:$N$11,0))+INDEX(variable_om_charge,MATCH(AT149,PORTS!$H$318:$H$625,0),MATCH(AX$5,PORTS!$H$318:$N$318,0)))</f>
        <v>-1007395.83639674</v>
      </c>
      <c r="BA149" s="343" t="n">
        <f aca="false">+AZ149+AY149</f>
        <v>-17087894.809516</v>
      </c>
      <c r="BB149" s="355" t="n">
        <f aca="false">+BA149+AU149</f>
        <v>100754.096754223</v>
      </c>
      <c r="BC149" s="99"/>
      <c r="BD149" s="357" t="n">
        <f aca="false">+PORTS!I143+PORTS!I451</f>
        <v>1007395.83639674</v>
      </c>
    </row>
    <row r="150" customFormat="false" ht="12.75" hidden="false" customHeight="false" outlineLevel="0" collapsed="false">
      <c r="A150" s="346" t="n">
        <f aca="false">+DATE(YEAR(A149),MONTH(A149)+1,1)</f>
        <v>40725</v>
      </c>
      <c r="B150" s="327" t="n">
        <f aca="false">+IF(AND($A150&gt;=$C$8,$A150&lt;=$C$9),1,0)*PORTS!$I$5/(365.25)*(A151-A150)</f>
        <v>5339105.98184763</v>
      </c>
      <c r="C150" s="328" t="n">
        <f aca="false">+B150-(SUMIF($F$17:$IV$17,$H$17,$F150:$IV150))</f>
        <v>0</v>
      </c>
      <c r="D150" s="0" t="n">
        <f aca="false">+YEAR(E150)</f>
        <v>2011</v>
      </c>
      <c r="E150" s="346" t="n">
        <f aca="false">+DATE(YEAR(E149),MONTH(E149)+1,1)</f>
        <v>40725</v>
      </c>
      <c r="F150" s="327" t="n">
        <f aca="false">+IF(AND(G$8&lt;=E150,G$9&gt;=E150),INDEX(ROUTE_PER_DAY_BY_SHIP,MATCH(CONCATENATE(G$4,G$5,G$7),ROUTE_PER_DAY_ROUTES,0),MATCH(G$6,ROUTE_PER_DAY_SHIPS,0))*(E151-E150),0)</f>
        <v>0</v>
      </c>
      <c r="G150" s="347" t="n">
        <f aca="false">-F150*HLOOKUP(G$6,SHIPS,7,0)*INDEX(LADEN_VOYAGE_DAYS,MATCH(CONCATENATE(G$4,G$5,G$7),LADEN_VOYAGE_ROUTES,0),MATCH(G$6,LADEN_VOYAGE_SHIPS,0))</f>
        <v>-0</v>
      </c>
      <c r="H150" s="348" t="n">
        <f aca="false">SUM(F150:G150)</f>
        <v>0</v>
      </c>
      <c r="I150" s="349" t="n">
        <f aca="false">-(H150)*HLOOKUP(G$5,TERMINAL_CHARGES,3,0)</f>
        <v>-0</v>
      </c>
      <c r="J150" s="327" t="n">
        <f aca="false">+H150+I150</f>
        <v>0</v>
      </c>
      <c r="K150" s="333"/>
      <c r="L150" s="346" t="n">
        <f aca="false">+DATE(YEAR(L149),MONTH(L149)+1,1)</f>
        <v>40725</v>
      </c>
      <c r="M150" s="334" t="n">
        <f aca="false">+J150*(VLOOKUP(L150,CURVECALC!$C$6:$J$312,4,0)+N$5)</f>
        <v>0</v>
      </c>
      <c r="N150" s="350" t="n">
        <f aca="false">-F150*INDEX(ship_curves,MATCH(L150,'SHIP CURVES'!$A$9:$A$316,0),MATCH(CONCATENATE(P$4,P$5,P$6,P$7),'SHIP CURVES'!$A$9:$AZ$9,0))</f>
        <v>-0</v>
      </c>
      <c r="O150" s="351" t="n">
        <f aca="false">-H150*INDEX(port_processing_fee,MATCH(L150,PORTS!$H$626:$H$933,0),MATCH(P$5,PORTS!$H$626:$Z$626,0))</f>
        <v>-0</v>
      </c>
      <c r="P150" s="352" t="n">
        <f aca="false">(((VLOOKUP(L150,curvecalc,4,0))*IF(F150=0,0,J150/F150)-INDEX(ship_curves,MATCH(L150,'SHIP CURVES'!$A$9:$A$316,0),MATCH(CONCATENATE(P$4,P$5,P$6,P$7),'SHIP CURVES'!$A$9:$Z$9,0))-INDEX(terminal_curves,MATCH(L150,'TERMINAL CURVES'!$A$4:$A$313,0),MATCH(P$5,'TERMINAL CURVES'!$A$4:$N$4,0))*IF(F150=0,0,H150/F150))-(N$8)*((N$7-$N$5)-(INDEX(ship_curves,MATCH(L150,'SHIP CURVES'!$A$9:$A$316,0),MATCH(CONCATENATE(P$4,P$5,P$6,P$7),'SHIP CURVES'!$A$9:$Z$9,0))-INDEX(ship_curves,MATCH(L150,'SHIP CURVES'!$A$9:$A$316,0),MATCH(CONCATENATE(P$4,N$6,P$6,P$7),'SHIP CURVES'!$A$9:$Z$9,0)))-(INDEX(terminal_curves,MATCH(L150,'TERMINAL CURVES'!$A$4:$A$313,0),MATCH(P$5,'TERMINAL CURVES'!$A$4:$N$4,0))-INDEX(terminal_curves,MATCH(L150,'TERMINAL CURVES'!$A$4:$A$313,0),MATCH(N$6,'TERMINAL CURVES'!$A$4:$N$4,0)))*IF(F150=0,0,H150/F150)))*-F150</f>
        <v>0</v>
      </c>
      <c r="Q150" s="353" t="n">
        <f aca="false">SUM(N150:P150)</f>
        <v>0</v>
      </c>
      <c r="R150" s="357" t="n">
        <f aca="false">(-H150/((HLOOKUP(P$5,port_specs,2,0)/(365.25))*(L151-L150)))*(INDEX(fixed_capacity_charge,MATCH(L150,PORTS!$H$11:$H$317,0),MATCH(P$5,PORTS!$H$11:$N$11,0))+INDEX(variable_om_charge,MATCH(L150,PORTS!$H$318:$H$625,0),MATCH(P$5,PORTS!$H$318:$N$318,0)))</f>
        <v>-0</v>
      </c>
      <c r="S150" s="343" t="n">
        <f aca="false">+R150+Q150</f>
        <v>0</v>
      </c>
      <c r="T150" s="355" t="n">
        <f aca="false">+S150+M150</f>
        <v>0</v>
      </c>
      <c r="V150" s="346" t="n">
        <f aca="false">+DATE(YEAR(V149),MONTH(V149)+1,1)</f>
        <v>40725</v>
      </c>
      <c r="W150" s="327" t="n">
        <f aca="false">+Y150/(1-HLOOKUP(X$6,SHIPS,7,0)*INDEX(LADEN_VOYAGE_DAYS,MATCH(CONCATENATE(X$4,X$5),LADEN_VOYAGE_ROUTES,0),MATCH(X$6,LADEN_VOYAGE_SHIPS,0)))</f>
        <v>0</v>
      </c>
      <c r="X150" s="347" t="n">
        <f aca="false">+Y150-W150</f>
        <v>0</v>
      </c>
      <c r="Y150" s="348" t="n">
        <f aca="false">+IF(AND(X$8&lt;=V150,X$9&gt;=V150),+MIN($B150-SUMIF($H$17:X$17,Y$17,$H150:X150),((INDEX(ROUTE_PER_DAY_BY_SHIP,MATCH(CONCATENATE(X$4,X$5,X$7),ROUTE_PER_DAY_ROUTES,0),MATCH(X$6,ROUTE_PER_DAY_SHIPS,0))*(V151-V150))-(INDEX(ROUTE_PER_DAY_BY_SHIP,MATCH(CONCATENATE(X$4,X$5,X$7),ROUTE_PER_DAY_ROUTES,0),MATCH(X$6,ROUTE_PER_DAY_SHIPS,0))*(V151-V150))*HLOOKUP(X$6,SHIPS,7,0)*INDEX(LADEN_VOYAGE_DAYS,MATCH(CONCATENATE(X$4,X$5,X$7),LADEN_VOYAGE_ROUTES,0),MATCH(X$6,LADEN_VOYAGE_SHIPS,0)))),0)</f>
        <v>0</v>
      </c>
      <c r="Z150" s="349" t="n">
        <f aca="false">-(Y150)*HLOOKUP(X$5,TERMINAL_CHARGES,3,0)</f>
        <v>-0</v>
      </c>
      <c r="AA150" s="327" t="n">
        <f aca="false">+Y150+Z150</f>
        <v>0</v>
      </c>
      <c r="AB150" s="333"/>
      <c r="AC150" s="346" t="n">
        <f aca="false">+DATE(YEAR(AC149),MONTH(AC149)+1,1)</f>
        <v>40725</v>
      </c>
      <c r="AD150" s="343" t="n">
        <f aca="false">+AA150*(VLOOKUP(AC150,CURVECALC!$C$6:$J$312,4,0)+AE$5)</f>
        <v>0</v>
      </c>
      <c r="AE150" s="350" t="n">
        <f aca="false">-W150*INDEX(ship_curves,MATCH(AC150,'SHIP CURVES'!$A$9:$A$316,0),MATCH(CONCATENATE(AG$4,AG$5,AG$6,AG$7),'SHIP CURVES'!$A$9:$AZ$9,0))</f>
        <v>-0</v>
      </c>
      <c r="AF150" s="351" t="n">
        <f aca="false">-Y150*INDEX(port_processing_fee,MATCH(AC150,PORTS!$H$626:$H$933,0),MATCH(AG$5,PORTS!$H$626:$Z$626,0))</f>
        <v>-0</v>
      </c>
      <c r="AG150" s="352" t="n">
        <f aca="false">(((VLOOKUP(AC150,curvecalc,4,0))*IF(W150=0,0,AA150/W150)-INDEX(ship_curves,MATCH(AC150,'SHIP CURVES'!$A$9:$A$316,0),MATCH(CONCATENATE(AG$4,AG$5,AG$6,AG$7),'SHIP CURVES'!$A$9:$Z$9,0))-INDEX(terminal_curves,MATCH(AC150,'TERMINAL CURVES'!$A$4:$A$313,0),MATCH(AG$5,'TERMINAL CURVES'!$A$4:$N$4,0))*IF(W150=0,0,Y150/W150))-(AE$8)*((AE$7-$N$5)-(INDEX(ship_curves,MATCH(AC150,'SHIP CURVES'!$A$9:$A$316,0),MATCH(CONCATENATE(AG$4,AG$5,AG$6,AG$7),'SHIP CURVES'!$A$9:$Z$9,0))-INDEX(ship_curves,MATCH(AC150,'SHIP CURVES'!$A$9:$A$316,0),MATCH(CONCATENATE(AG$4,AE$6,AG$6,AG$7),'SHIP CURVES'!$A$9:$Z$9,0)))-(INDEX(terminal_curves,MATCH(AC150,'TERMINAL CURVES'!$A$4:$A$313,0),MATCH(AG$5,'TERMINAL CURVES'!$A$4:$N$4,0))-INDEX(terminal_curves,MATCH(AC150,'TERMINAL CURVES'!$A$4:$A$313,0),MATCH(AE$6,'TERMINAL CURVES'!$A$4:$N$4,0)))*IF(W150=0,0,Y150/W150)))*-W150</f>
        <v>0</v>
      </c>
      <c r="AH150" s="356" t="n">
        <f aca="false">SUM(AE150:AG150)</f>
        <v>0</v>
      </c>
      <c r="AI150" s="357" t="n">
        <f aca="false">(-Y150/((HLOOKUP(AG$5,port_specs,2,0)/(365.25))*(AC151-AC150)))*(INDEX(fixed_capacity_charge,MATCH(AC150,PORTS!$H$11:$H$317,0),MATCH(AG$5,PORTS!$H$11:$N$11,0))+INDEX(variable_om_charge,MATCH(AC150,PORTS!$H$318:$H$625,0),MATCH(AG$5,PORTS!$H$318:$N$318,0)))</f>
        <v>-0</v>
      </c>
      <c r="AJ150" s="343" t="n">
        <f aca="false">+AI150+AH150</f>
        <v>0</v>
      </c>
      <c r="AK150" s="355" t="n">
        <f aca="false">+AJ150+AD150</f>
        <v>0</v>
      </c>
      <c r="AM150" s="346" t="n">
        <f aca="false">+DATE(YEAR(AM149),MONTH(AM149)+1,1)</f>
        <v>40725</v>
      </c>
      <c r="AN150" s="327" t="n">
        <f aca="false">+AP150/(1-HLOOKUP(AO$6,SHIPS,7,0)*INDEX(LADEN_VOYAGE_DAYS,MATCH(CONCATENATE(AO$4,AO$5),LADEN_VOYAGE_ROUTES,0),MATCH(AO$6,LADEN_VOYAGE_SHIPS,0)))</f>
        <v>5395761.47735991</v>
      </c>
      <c r="AO150" s="347" t="n">
        <f aca="false">+AP150-AN150</f>
        <v>-56655.4955122788</v>
      </c>
      <c r="AP150" s="348" t="n">
        <f aca="false">+IF(AND(AO$8&lt;=AM150,AO$9&gt;=AM150),+MIN($B150-SUMIF($H$17:AO$17,AP$17,$H150:AO150),((INDEX(ROUTE_PER_DAY_BY_SHIP,MATCH(CONCATENATE(AO$4,AO$5,AO$7),ROUTE_PER_DAY_ROUTES,0),MATCH(AO$6,ROUTE_PER_DAY_SHIPS,0))*(AM151-AM150))-(INDEX(ROUTE_PER_DAY_BY_SHIP,MATCH(CONCATENATE(AO$4,AO$5,AO$7),ROUTE_PER_DAY_ROUTES,0),MATCH(AO$6,ROUTE_PER_DAY_SHIPS,0))*(AM151-AM150))*HLOOKUP(AO$6,SHIPS,7,0)*INDEX(LADEN_VOYAGE_DAYS,MATCH(CONCATENATE(AO$4,AO$5,AO$7),LADEN_VOYAGE_ROUTES,0),MATCH(AO$6,LADEN_VOYAGE_SHIPS,0)))),0)</f>
        <v>5339105.98184763</v>
      </c>
      <c r="AQ150" s="349" t="n">
        <f aca="false">-(AP150)*PORTS!$I$6</f>
        <v>-133477.649546191</v>
      </c>
      <c r="AR150" s="327" t="n">
        <f aca="false">+AP150+AQ150</f>
        <v>5205628.33230144</v>
      </c>
      <c r="AS150" s="333"/>
      <c r="AT150" s="346" t="n">
        <f aca="false">+DATE(YEAR(AT149),MONTH(AT149)+1,1)</f>
        <v>40725</v>
      </c>
      <c r="AU150" s="343" t="n">
        <f aca="false">+AR150*(VLOOKUP(AT150,CURVECALC!$C$6:$J$312,4,0)+AV$5)</f>
        <v>17761603.8698125</v>
      </c>
      <c r="AV150" s="350" t="n">
        <f aca="false">-AN150*INDEX(ship_curves,MATCH(AT150,'SHIP CURVES'!$A$9:$A$316,0),MATCH(CONCATENATE(AX$4,AX$5,AX$6,AX$7),'SHIP CURVES'!$A$9:$AZ$9,0))</f>
        <v>-1802593.29081623</v>
      </c>
      <c r="AW150" s="351" t="n">
        <f aca="false">-AP150*INDEX(port_processing_fee,MATCH(AT150,PORTS!$H$626:$H$933,0),MATCH(AX$5,PORTS!$H$626:$Z$626,0))</f>
        <v>-162265.417257937</v>
      </c>
      <c r="AX150" s="352" t="n">
        <f aca="false">(((VLOOKUP(AT150,curvecalc,4,0))*IF(AN150=0,0,AR150/AN150)-INDEX(ship_curves,MATCH(AT150,'SHIP CURVES'!$A$9:$A$316,0),MATCH(CONCATENATE(AX$4,AX$5,AX$6,AX$7),'SHIP CURVES'!$A$9:$Z$9,0))-INDEX(terminal_curves,MATCH(AT150,'TERMINAL CURVES'!$A$4:$A$313,0),MATCH(AX$5,'TERMINAL CURVES'!$A$4:$N$4,0))*IF(AN150=0,0,AP150/AN150))-(AV$8)*((AV$7-$N$5)-(INDEX(ship_curves,MATCH(AT150,'SHIP CURVES'!$A$9:$A$316,0),MATCH(CONCATENATE(AX$4,AX$5,AX$6,AX$7),'SHIP CURVES'!$A$9:$Z$9,0))-INDEX(ship_curves,MATCH(AT150,'SHIP CURVES'!$A$9:$A$316,0),MATCH(CONCATENATE(AX$4,AV$6,AX$6,AX$7),'SHIP CURVES'!$A$9:$Z$9,0)))-(INDEX(terminal_curves,MATCH(AT150,'TERMINAL CURVES'!$A$4:$A$313,0),MATCH(AX$5,'TERMINAL CURVES'!$A$4:$N$4,0))-INDEX(terminal_curves,MATCH(AT150,'TERMINAL CURVES'!$A$4:$A$313,0),MATCH(AV$6,'TERMINAL CURVES'!$A$4:$N$4,0)))*IF(AN150=0,0,AP150/AN150)))*-AN150</f>
        <v>-14684692.7907107</v>
      </c>
      <c r="AY150" s="356" t="n">
        <f aca="false">SUM(AV150:AX150)</f>
        <v>-16649551.4987849</v>
      </c>
      <c r="AZ150" s="357" t="n">
        <f aca="false">(-AP150/((HLOOKUP(AX$5,port_specs,2,0)/(365.25))*(AT151-AT150)))*(INDEX(fixed_capacity_charge,MATCH(AT150,PORTS!$H$11:$H$317,0),MATCH(AX$5,PORTS!$H$11:$N$11,0))+INDEX(variable_om_charge,MATCH(AT150,PORTS!$H$318:$H$625,0),MATCH(AX$5,PORTS!$H$318:$N$318,0)))</f>
        <v>-1007939.80438162</v>
      </c>
      <c r="BA150" s="343" t="n">
        <f aca="false">+AZ150+AY150</f>
        <v>-17657491.3031665</v>
      </c>
      <c r="BB150" s="355" t="n">
        <f aca="false">+BA150+AU150</f>
        <v>104112.566646032</v>
      </c>
      <c r="BC150" s="99"/>
      <c r="BD150" s="357" t="n">
        <f aca="false">+PORTS!I144+PORTS!I452</f>
        <v>1007939.80438162</v>
      </c>
    </row>
    <row r="151" customFormat="false" ht="12.75" hidden="false" customHeight="false" outlineLevel="0" collapsed="false">
      <c r="A151" s="346" t="n">
        <f aca="false">+DATE(YEAR(A150),MONTH(A150)+1,1)</f>
        <v>40756</v>
      </c>
      <c r="B151" s="327" t="n">
        <f aca="false">+IF(AND($A151&gt;=$C$8,$A151&lt;=$C$9),1,0)*PORTS!$I$5/(365.25)*(A152-A151)</f>
        <v>5339105.98184763</v>
      </c>
      <c r="C151" s="328" t="n">
        <f aca="false">+B151-(SUMIF($F$17:$IV$17,$H$17,$F151:$IV151))</f>
        <v>0</v>
      </c>
      <c r="D151" s="0" t="n">
        <f aca="false">+YEAR(E151)</f>
        <v>2011</v>
      </c>
      <c r="E151" s="346" t="n">
        <f aca="false">+DATE(YEAR(E150),MONTH(E150)+1,1)</f>
        <v>40756</v>
      </c>
      <c r="F151" s="327" t="n">
        <f aca="false">+IF(AND(G$8&lt;=E151,G$9&gt;=E151),INDEX(ROUTE_PER_DAY_BY_SHIP,MATCH(CONCATENATE(G$4,G$5,G$7),ROUTE_PER_DAY_ROUTES,0),MATCH(G$6,ROUTE_PER_DAY_SHIPS,0))*(E152-E151),0)</f>
        <v>0</v>
      </c>
      <c r="G151" s="347" t="n">
        <f aca="false">-F151*HLOOKUP(G$6,SHIPS,7,0)*INDEX(LADEN_VOYAGE_DAYS,MATCH(CONCATENATE(G$4,G$5,G$7),LADEN_VOYAGE_ROUTES,0),MATCH(G$6,LADEN_VOYAGE_SHIPS,0))</f>
        <v>-0</v>
      </c>
      <c r="H151" s="348" t="n">
        <f aca="false">SUM(F151:G151)</f>
        <v>0</v>
      </c>
      <c r="I151" s="349" t="n">
        <f aca="false">-(H151)*HLOOKUP(G$5,TERMINAL_CHARGES,3,0)</f>
        <v>-0</v>
      </c>
      <c r="J151" s="327" t="n">
        <f aca="false">+H151+I151</f>
        <v>0</v>
      </c>
      <c r="K151" s="333"/>
      <c r="L151" s="346" t="n">
        <f aca="false">+DATE(YEAR(L150),MONTH(L150)+1,1)</f>
        <v>40756</v>
      </c>
      <c r="M151" s="334" t="n">
        <f aca="false">+J151*(VLOOKUP(L151,CURVECALC!$C$6:$J$312,4,0)+N$5)</f>
        <v>0</v>
      </c>
      <c r="N151" s="350" t="n">
        <f aca="false">-F151*INDEX(ship_curves,MATCH(L151,'SHIP CURVES'!$A$9:$A$316,0),MATCH(CONCATENATE(P$4,P$5,P$6,P$7),'SHIP CURVES'!$A$9:$AZ$9,0))</f>
        <v>-0</v>
      </c>
      <c r="O151" s="351" t="n">
        <f aca="false">-H151*INDEX(port_processing_fee,MATCH(L151,PORTS!$H$626:$H$933,0),MATCH(P$5,PORTS!$H$626:$Z$626,0))</f>
        <v>-0</v>
      </c>
      <c r="P151" s="352" t="n">
        <f aca="false">(((VLOOKUP(L151,curvecalc,4,0))*IF(F151=0,0,J151/F151)-INDEX(ship_curves,MATCH(L151,'SHIP CURVES'!$A$9:$A$316,0),MATCH(CONCATENATE(P$4,P$5,P$6,P$7),'SHIP CURVES'!$A$9:$Z$9,0))-INDEX(terminal_curves,MATCH(L151,'TERMINAL CURVES'!$A$4:$A$313,0),MATCH(P$5,'TERMINAL CURVES'!$A$4:$N$4,0))*IF(F151=0,0,H151/F151))-(N$8)*((N$7-$N$5)-(INDEX(ship_curves,MATCH(L151,'SHIP CURVES'!$A$9:$A$316,0),MATCH(CONCATENATE(P$4,P$5,P$6,P$7),'SHIP CURVES'!$A$9:$Z$9,0))-INDEX(ship_curves,MATCH(L151,'SHIP CURVES'!$A$9:$A$316,0),MATCH(CONCATENATE(P$4,N$6,P$6,P$7),'SHIP CURVES'!$A$9:$Z$9,0)))-(INDEX(terminal_curves,MATCH(L151,'TERMINAL CURVES'!$A$4:$A$313,0),MATCH(P$5,'TERMINAL CURVES'!$A$4:$N$4,0))-INDEX(terminal_curves,MATCH(L151,'TERMINAL CURVES'!$A$4:$A$313,0),MATCH(N$6,'TERMINAL CURVES'!$A$4:$N$4,0)))*IF(F151=0,0,H151/F151)))*-F151</f>
        <v>0</v>
      </c>
      <c r="Q151" s="353" t="n">
        <f aca="false">SUM(N151:P151)</f>
        <v>0</v>
      </c>
      <c r="R151" s="357" t="n">
        <f aca="false">(-H151/((HLOOKUP(P$5,port_specs,2,0)/(365.25))*(L152-L151)))*(INDEX(fixed_capacity_charge,MATCH(L151,PORTS!$H$11:$H$317,0),MATCH(P$5,PORTS!$H$11:$N$11,0))+INDEX(variable_om_charge,MATCH(L151,PORTS!$H$318:$H$625,0),MATCH(P$5,PORTS!$H$318:$N$318,0)))</f>
        <v>-0</v>
      </c>
      <c r="S151" s="343" t="n">
        <f aca="false">+R151+Q151</f>
        <v>0</v>
      </c>
      <c r="T151" s="355" t="n">
        <f aca="false">+S151+M151</f>
        <v>0</v>
      </c>
      <c r="V151" s="346" t="n">
        <f aca="false">+DATE(YEAR(V150),MONTH(V150)+1,1)</f>
        <v>40756</v>
      </c>
      <c r="W151" s="327" t="n">
        <f aca="false">+Y151/(1-HLOOKUP(X$6,SHIPS,7,0)*INDEX(LADEN_VOYAGE_DAYS,MATCH(CONCATENATE(X$4,X$5),LADEN_VOYAGE_ROUTES,0),MATCH(X$6,LADEN_VOYAGE_SHIPS,0)))</f>
        <v>0</v>
      </c>
      <c r="X151" s="347" t="n">
        <f aca="false">+Y151-W151</f>
        <v>0</v>
      </c>
      <c r="Y151" s="348" t="n">
        <f aca="false">+IF(AND(X$8&lt;=V151,X$9&gt;=V151),+MIN($B151-SUMIF($H$17:X$17,Y$17,$H151:X151),((INDEX(ROUTE_PER_DAY_BY_SHIP,MATCH(CONCATENATE(X$4,X$5,X$7),ROUTE_PER_DAY_ROUTES,0),MATCH(X$6,ROUTE_PER_DAY_SHIPS,0))*(V152-V151))-(INDEX(ROUTE_PER_DAY_BY_SHIP,MATCH(CONCATENATE(X$4,X$5,X$7),ROUTE_PER_DAY_ROUTES,0),MATCH(X$6,ROUTE_PER_DAY_SHIPS,0))*(V152-V151))*HLOOKUP(X$6,SHIPS,7,0)*INDEX(LADEN_VOYAGE_DAYS,MATCH(CONCATENATE(X$4,X$5,X$7),LADEN_VOYAGE_ROUTES,0),MATCH(X$6,LADEN_VOYAGE_SHIPS,0)))),0)</f>
        <v>0</v>
      </c>
      <c r="Z151" s="349" t="n">
        <f aca="false">-(Y151)*HLOOKUP(X$5,TERMINAL_CHARGES,3,0)</f>
        <v>-0</v>
      </c>
      <c r="AA151" s="327" t="n">
        <f aca="false">+Y151+Z151</f>
        <v>0</v>
      </c>
      <c r="AB151" s="333"/>
      <c r="AC151" s="346" t="n">
        <f aca="false">+DATE(YEAR(AC150),MONTH(AC150)+1,1)</f>
        <v>40756</v>
      </c>
      <c r="AD151" s="343" t="n">
        <f aca="false">+AA151*(VLOOKUP(AC151,CURVECALC!$C$6:$J$312,4,0)+AE$5)</f>
        <v>0</v>
      </c>
      <c r="AE151" s="350" t="n">
        <f aca="false">-W151*INDEX(ship_curves,MATCH(AC151,'SHIP CURVES'!$A$9:$A$316,0),MATCH(CONCATENATE(AG$4,AG$5,AG$6,AG$7),'SHIP CURVES'!$A$9:$AZ$9,0))</f>
        <v>-0</v>
      </c>
      <c r="AF151" s="351" t="n">
        <f aca="false">-Y151*INDEX(port_processing_fee,MATCH(AC151,PORTS!$H$626:$H$933,0),MATCH(AG$5,PORTS!$H$626:$Z$626,0))</f>
        <v>-0</v>
      </c>
      <c r="AG151" s="352" t="n">
        <f aca="false">(((VLOOKUP(AC151,curvecalc,4,0))*IF(W151=0,0,AA151/W151)-INDEX(ship_curves,MATCH(AC151,'SHIP CURVES'!$A$9:$A$316,0),MATCH(CONCATENATE(AG$4,AG$5,AG$6,AG$7),'SHIP CURVES'!$A$9:$Z$9,0))-INDEX(terminal_curves,MATCH(AC151,'TERMINAL CURVES'!$A$4:$A$313,0),MATCH(AG$5,'TERMINAL CURVES'!$A$4:$N$4,0))*IF(W151=0,0,Y151/W151))-(AE$8)*((AE$7-$N$5)-(INDEX(ship_curves,MATCH(AC151,'SHIP CURVES'!$A$9:$A$316,0),MATCH(CONCATENATE(AG$4,AG$5,AG$6,AG$7),'SHIP CURVES'!$A$9:$Z$9,0))-INDEX(ship_curves,MATCH(AC151,'SHIP CURVES'!$A$9:$A$316,0),MATCH(CONCATENATE(AG$4,AE$6,AG$6,AG$7),'SHIP CURVES'!$A$9:$Z$9,0)))-(INDEX(terminal_curves,MATCH(AC151,'TERMINAL CURVES'!$A$4:$A$313,0),MATCH(AG$5,'TERMINAL CURVES'!$A$4:$N$4,0))-INDEX(terminal_curves,MATCH(AC151,'TERMINAL CURVES'!$A$4:$A$313,0),MATCH(AE$6,'TERMINAL CURVES'!$A$4:$N$4,0)))*IF(W151=0,0,Y151/W151)))*-W151</f>
        <v>0</v>
      </c>
      <c r="AH151" s="356" t="n">
        <f aca="false">SUM(AE151:AG151)</f>
        <v>0</v>
      </c>
      <c r="AI151" s="357" t="n">
        <f aca="false">(-Y151/((HLOOKUP(AG$5,port_specs,2,0)/(365.25))*(AC152-AC151)))*(INDEX(fixed_capacity_charge,MATCH(AC151,PORTS!$H$11:$H$317,0),MATCH(AG$5,PORTS!$H$11:$N$11,0))+INDEX(variable_om_charge,MATCH(AC151,PORTS!$H$318:$H$625,0),MATCH(AG$5,PORTS!$H$318:$N$318,0)))</f>
        <v>-0</v>
      </c>
      <c r="AJ151" s="343" t="n">
        <f aca="false">+AI151+AH151</f>
        <v>0</v>
      </c>
      <c r="AK151" s="355" t="n">
        <f aca="false">+AJ151+AD151</f>
        <v>0</v>
      </c>
      <c r="AM151" s="346" t="n">
        <f aca="false">+DATE(YEAR(AM150),MONTH(AM150)+1,1)</f>
        <v>40756</v>
      </c>
      <c r="AN151" s="327" t="n">
        <f aca="false">+AP151/(1-HLOOKUP(AO$6,SHIPS,7,0)*INDEX(LADEN_VOYAGE_DAYS,MATCH(CONCATENATE(AO$4,AO$5),LADEN_VOYAGE_ROUTES,0),MATCH(AO$6,LADEN_VOYAGE_SHIPS,0)))</f>
        <v>5395761.47735991</v>
      </c>
      <c r="AO151" s="347" t="n">
        <f aca="false">+AP151-AN151</f>
        <v>-56655.4955122788</v>
      </c>
      <c r="AP151" s="348" t="n">
        <f aca="false">+IF(AND(AO$8&lt;=AM151,AO$9&gt;=AM151),+MIN($B151-SUMIF($H$17:AO$17,AP$17,$H151:AO151),((INDEX(ROUTE_PER_DAY_BY_SHIP,MATCH(CONCATENATE(AO$4,AO$5,AO$7),ROUTE_PER_DAY_ROUTES,0),MATCH(AO$6,ROUTE_PER_DAY_SHIPS,0))*(AM152-AM151))-(INDEX(ROUTE_PER_DAY_BY_SHIP,MATCH(CONCATENATE(AO$4,AO$5,AO$7),ROUTE_PER_DAY_ROUTES,0),MATCH(AO$6,ROUTE_PER_DAY_SHIPS,0))*(AM152-AM151))*HLOOKUP(AO$6,SHIPS,7,0)*INDEX(LADEN_VOYAGE_DAYS,MATCH(CONCATENATE(AO$4,AO$5,AO$7),LADEN_VOYAGE_ROUTES,0),MATCH(AO$6,LADEN_VOYAGE_SHIPS,0)))),0)</f>
        <v>5339105.98184763</v>
      </c>
      <c r="AQ151" s="349" t="n">
        <f aca="false">-(AP151)*PORTS!$I$6</f>
        <v>-133477.649546191</v>
      </c>
      <c r="AR151" s="327" t="n">
        <f aca="false">+AP151+AQ151</f>
        <v>5205628.33230144</v>
      </c>
      <c r="AS151" s="333"/>
      <c r="AT151" s="346" t="n">
        <f aca="false">+DATE(YEAR(AT150),MONTH(AT150)+1,1)</f>
        <v>40756</v>
      </c>
      <c r="AU151" s="343" t="n">
        <f aca="false">+AR151*(VLOOKUP(AT151,CURVECALC!$C$6:$J$312,4,0)+AV$5)</f>
        <v>18073941.5697506</v>
      </c>
      <c r="AV151" s="350" t="n">
        <f aca="false">-AN151*INDEX(ship_curves,MATCH(AT151,'SHIP CURVES'!$A$9:$A$316,0),MATCH(CONCATENATE(AX$4,AX$5,AX$6,AX$7),'SHIP CURVES'!$A$9:$AZ$9,0))</f>
        <v>-1803153.01074081</v>
      </c>
      <c r="AW151" s="351" t="n">
        <f aca="false">-AP151*INDEX(port_processing_fee,MATCH(AT151,PORTS!$H$626:$H$933,0),MATCH(AX$5,PORTS!$H$626:$Z$626,0))</f>
        <v>-162434.443734247</v>
      </c>
      <c r="AX151" s="352" t="n">
        <f aca="false">(((VLOOKUP(AT151,curvecalc,4,0))*IF(AN151=0,0,AR151/AN151)-INDEX(ship_curves,MATCH(AT151,'SHIP CURVES'!$A$9:$A$316,0),MATCH(CONCATENATE(AX$4,AX$5,AX$6,AX$7),'SHIP CURVES'!$A$9:$Z$9,0))-INDEX(terminal_curves,MATCH(AT151,'TERMINAL CURVES'!$A$4:$A$313,0),MATCH(AX$5,'TERMINAL CURVES'!$A$4:$N$4,0))*IF(AN151=0,0,AP151/AN151))-(AV$8)*((AV$7-$N$5)-(INDEX(ship_curves,MATCH(AT151,'SHIP CURVES'!$A$9:$A$316,0),MATCH(CONCATENATE(AX$4,AX$5,AX$6,AX$7),'SHIP CURVES'!$A$9:$Z$9,0))-INDEX(ship_curves,MATCH(AT151,'SHIP CURVES'!$A$9:$A$316,0),MATCH(CONCATENATE(AX$4,AV$6,AX$6,AX$7),'SHIP CURVES'!$A$9:$Z$9,0)))-(INDEX(terminal_curves,MATCH(AT151,'TERMINAL CURVES'!$A$4:$A$313,0),MATCH(AX$5,'TERMINAL CURVES'!$A$4:$N$4,0))-INDEX(terminal_curves,MATCH(AT151,'TERMINAL CURVES'!$A$4:$A$313,0),MATCH(AV$6,'TERMINAL CURVES'!$A$4:$N$4,0)))*IF(AN151=0,0,AP151/AN151)))*-AN151</f>
        <v>-14995757.2096297</v>
      </c>
      <c r="AY151" s="356" t="n">
        <f aca="false">SUM(AV151:AX151)</f>
        <v>-16961344.6641048</v>
      </c>
      <c r="AZ151" s="357" t="n">
        <f aca="false">(-AP151/((HLOOKUP(AX$5,port_specs,2,0)/(365.25))*(AT152-AT151)))*(INDEX(fixed_capacity_charge,MATCH(AT151,PORTS!$H$11:$H$317,0),MATCH(AX$5,PORTS!$H$11:$N$11,0))+INDEX(variable_om_charge,MATCH(AT151,PORTS!$H$318:$H$625,0),MATCH(AX$5,PORTS!$H$318:$N$318,0)))</f>
        <v>-1008484.33899982</v>
      </c>
      <c r="BA151" s="343" t="n">
        <f aca="false">+AZ151+AY151</f>
        <v>-17969829.0031046</v>
      </c>
      <c r="BB151" s="355" t="n">
        <f aca="false">+BA151+AU151</f>
        <v>104112.566646028</v>
      </c>
      <c r="BC151" s="99"/>
      <c r="BD151" s="357" t="n">
        <f aca="false">+PORTS!I145+PORTS!I453</f>
        <v>1008484.33899982</v>
      </c>
    </row>
    <row r="152" customFormat="false" ht="12.75" hidden="false" customHeight="false" outlineLevel="0" collapsed="false">
      <c r="A152" s="346" t="n">
        <f aca="false">+DATE(YEAR(A151),MONTH(A151)+1,1)</f>
        <v>40787</v>
      </c>
      <c r="B152" s="327" t="n">
        <f aca="false">+IF(AND($A152&gt;=$C$8,$A152&lt;=$C$9),1,0)*PORTS!$I$5/(365.25)*(A153-A152)</f>
        <v>5166876.75662674</v>
      </c>
      <c r="C152" s="328" t="n">
        <f aca="false">+B152-(SUMIF($F$17:$IV$17,$H$17,$F152:$IV152))</f>
        <v>0</v>
      </c>
      <c r="D152" s="0" t="n">
        <f aca="false">+YEAR(E152)</f>
        <v>2011</v>
      </c>
      <c r="E152" s="346" t="n">
        <f aca="false">+DATE(YEAR(E151),MONTH(E151)+1,1)</f>
        <v>40787</v>
      </c>
      <c r="F152" s="327" t="n">
        <f aca="false">+IF(AND(G$8&lt;=E152,G$9&gt;=E152),INDEX(ROUTE_PER_DAY_BY_SHIP,MATCH(CONCATENATE(G$4,G$5,G$7),ROUTE_PER_DAY_ROUTES,0),MATCH(G$6,ROUTE_PER_DAY_SHIPS,0))*(E153-E152),0)</f>
        <v>0</v>
      </c>
      <c r="G152" s="347" t="n">
        <f aca="false">-F152*HLOOKUP(G$6,SHIPS,7,0)*INDEX(LADEN_VOYAGE_DAYS,MATCH(CONCATENATE(G$4,G$5,G$7),LADEN_VOYAGE_ROUTES,0),MATCH(G$6,LADEN_VOYAGE_SHIPS,0))</f>
        <v>-0</v>
      </c>
      <c r="H152" s="348" t="n">
        <f aca="false">SUM(F152:G152)</f>
        <v>0</v>
      </c>
      <c r="I152" s="349" t="n">
        <f aca="false">-(H152)*HLOOKUP(G$5,TERMINAL_CHARGES,3,0)</f>
        <v>-0</v>
      </c>
      <c r="J152" s="327" t="n">
        <f aca="false">+H152+I152</f>
        <v>0</v>
      </c>
      <c r="K152" s="333"/>
      <c r="L152" s="346" t="n">
        <f aca="false">+DATE(YEAR(L151),MONTH(L151)+1,1)</f>
        <v>40787</v>
      </c>
      <c r="M152" s="334" t="n">
        <f aca="false">+J152*(VLOOKUP(L152,CURVECALC!$C$6:$J$312,4,0)+N$5)</f>
        <v>0</v>
      </c>
      <c r="N152" s="350" t="n">
        <f aca="false">-F152*INDEX(ship_curves,MATCH(L152,'SHIP CURVES'!$A$9:$A$316,0),MATCH(CONCATENATE(P$4,P$5,P$6,P$7),'SHIP CURVES'!$A$9:$AZ$9,0))</f>
        <v>-0</v>
      </c>
      <c r="O152" s="351" t="n">
        <f aca="false">-H152*INDEX(port_processing_fee,MATCH(L152,PORTS!$H$626:$H$933,0),MATCH(P$5,PORTS!$H$626:$Z$626,0))</f>
        <v>-0</v>
      </c>
      <c r="P152" s="352" t="n">
        <f aca="false">(((VLOOKUP(L152,curvecalc,4,0))*IF(F152=0,0,J152/F152)-INDEX(ship_curves,MATCH(L152,'SHIP CURVES'!$A$9:$A$316,0),MATCH(CONCATENATE(P$4,P$5,P$6,P$7),'SHIP CURVES'!$A$9:$Z$9,0))-INDEX(terminal_curves,MATCH(L152,'TERMINAL CURVES'!$A$4:$A$313,0),MATCH(P$5,'TERMINAL CURVES'!$A$4:$N$4,0))*IF(F152=0,0,H152/F152))-(N$8)*((N$7-$N$5)-(INDEX(ship_curves,MATCH(L152,'SHIP CURVES'!$A$9:$A$316,0),MATCH(CONCATENATE(P$4,P$5,P$6,P$7),'SHIP CURVES'!$A$9:$Z$9,0))-INDEX(ship_curves,MATCH(L152,'SHIP CURVES'!$A$9:$A$316,0),MATCH(CONCATENATE(P$4,N$6,P$6,P$7),'SHIP CURVES'!$A$9:$Z$9,0)))-(INDEX(terminal_curves,MATCH(L152,'TERMINAL CURVES'!$A$4:$A$313,0),MATCH(P$5,'TERMINAL CURVES'!$A$4:$N$4,0))-INDEX(terminal_curves,MATCH(L152,'TERMINAL CURVES'!$A$4:$A$313,0),MATCH(N$6,'TERMINAL CURVES'!$A$4:$N$4,0)))*IF(F152=0,0,H152/F152)))*-F152</f>
        <v>0</v>
      </c>
      <c r="Q152" s="353" t="n">
        <f aca="false">SUM(N152:P152)</f>
        <v>0</v>
      </c>
      <c r="R152" s="357" t="n">
        <f aca="false">(-H152/((HLOOKUP(P$5,port_specs,2,0)/(365.25))*(L153-L152)))*(INDEX(fixed_capacity_charge,MATCH(L152,PORTS!$H$11:$H$317,0),MATCH(P$5,PORTS!$H$11:$N$11,0))+INDEX(variable_om_charge,MATCH(L152,PORTS!$H$318:$H$625,0),MATCH(P$5,PORTS!$H$318:$N$318,0)))</f>
        <v>-0</v>
      </c>
      <c r="S152" s="343" t="n">
        <f aca="false">+R152+Q152</f>
        <v>0</v>
      </c>
      <c r="T152" s="355" t="n">
        <f aca="false">+S152+M152</f>
        <v>0</v>
      </c>
      <c r="V152" s="346" t="n">
        <f aca="false">+DATE(YEAR(V151),MONTH(V151)+1,1)</f>
        <v>40787</v>
      </c>
      <c r="W152" s="327" t="n">
        <f aca="false">+Y152/(1-HLOOKUP(X$6,SHIPS,7,0)*INDEX(LADEN_VOYAGE_DAYS,MATCH(CONCATENATE(X$4,X$5),LADEN_VOYAGE_ROUTES,0),MATCH(X$6,LADEN_VOYAGE_SHIPS,0)))</f>
        <v>0</v>
      </c>
      <c r="X152" s="347" t="n">
        <f aca="false">+Y152-W152</f>
        <v>0</v>
      </c>
      <c r="Y152" s="348" t="n">
        <f aca="false">+IF(AND(X$8&lt;=V152,X$9&gt;=V152),+MIN($B152-SUMIF($H$17:X$17,Y$17,$H152:X152),((INDEX(ROUTE_PER_DAY_BY_SHIP,MATCH(CONCATENATE(X$4,X$5,X$7),ROUTE_PER_DAY_ROUTES,0),MATCH(X$6,ROUTE_PER_DAY_SHIPS,0))*(V153-V152))-(INDEX(ROUTE_PER_DAY_BY_SHIP,MATCH(CONCATENATE(X$4,X$5,X$7),ROUTE_PER_DAY_ROUTES,0),MATCH(X$6,ROUTE_PER_DAY_SHIPS,0))*(V153-V152))*HLOOKUP(X$6,SHIPS,7,0)*INDEX(LADEN_VOYAGE_DAYS,MATCH(CONCATENATE(X$4,X$5,X$7),LADEN_VOYAGE_ROUTES,0),MATCH(X$6,LADEN_VOYAGE_SHIPS,0)))),0)</f>
        <v>0</v>
      </c>
      <c r="Z152" s="349" t="n">
        <f aca="false">-(Y152)*HLOOKUP(X$5,TERMINAL_CHARGES,3,0)</f>
        <v>-0</v>
      </c>
      <c r="AA152" s="327" t="n">
        <f aca="false">+Y152+Z152</f>
        <v>0</v>
      </c>
      <c r="AB152" s="333"/>
      <c r="AC152" s="346" t="n">
        <f aca="false">+DATE(YEAR(AC151),MONTH(AC151)+1,1)</f>
        <v>40787</v>
      </c>
      <c r="AD152" s="343" t="n">
        <f aca="false">+AA152*(VLOOKUP(AC152,CURVECALC!$C$6:$J$312,4,0)+AE$5)</f>
        <v>0</v>
      </c>
      <c r="AE152" s="350" t="n">
        <f aca="false">-W152*INDEX(ship_curves,MATCH(AC152,'SHIP CURVES'!$A$9:$A$316,0),MATCH(CONCATENATE(AG$4,AG$5,AG$6,AG$7),'SHIP CURVES'!$A$9:$AZ$9,0))</f>
        <v>-0</v>
      </c>
      <c r="AF152" s="351" t="n">
        <f aca="false">-Y152*INDEX(port_processing_fee,MATCH(AC152,PORTS!$H$626:$H$933,0),MATCH(AG$5,PORTS!$H$626:$Z$626,0))</f>
        <v>-0</v>
      </c>
      <c r="AG152" s="352" t="n">
        <f aca="false">(((VLOOKUP(AC152,curvecalc,4,0))*IF(W152=0,0,AA152/W152)-INDEX(ship_curves,MATCH(AC152,'SHIP CURVES'!$A$9:$A$316,0),MATCH(CONCATENATE(AG$4,AG$5,AG$6,AG$7),'SHIP CURVES'!$A$9:$Z$9,0))-INDEX(terminal_curves,MATCH(AC152,'TERMINAL CURVES'!$A$4:$A$313,0),MATCH(AG$5,'TERMINAL CURVES'!$A$4:$N$4,0))*IF(W152=0,0,Y152/W152))-(AE$8)*((AE$7-$N$5)-(INDEX(ship_curves,MATCH(AC152,'SHIP CURVES'!$A$9:$A$316,0),MATCH(CONCATENATE(AG$4,AG$5,AG$6,AG$7),'SHIP CURVES'!$A$9:$Z$9,0))-INDEX(ship_curves,MATCH(AC152,'SHIP CURVES'!$A$9:$A$316,0),MATCH(CONCATENATE(AG$4,AE$6,AG$6,AG$7),'SHIP CURVES'!$A$9:$Z$9,0)))-(INDEX(terminal_curves,MATCH(AC152,'TERMINAL CURVES'!$A$4:$A$313,0),MATCH(AG$5,'TERMINAL CURVES'!$A$4:$N$4,0))-INDEX(terminal_curves,MATCH(AC152,'TERMINAL CURVES'!$A$4:$A$313,0),MATCH(AE$6,'TERMINAL CURVES'!$A$4:$N$4,0)))*IF(W152=0,0,Y152/W152)))*-W152</f>
        <v>0</v>
      </c>
      <c r="AH152" s="356" t="n">
        <f aca="false">SUM(AE152:AG152)</f>
        <v>0</v>
      </c>
      <c r="AI152" s="357" t="n">
        <f aca="false">(-Y152/((HLOOKUP(AG$5,port_specs,2,0)/(365.25))*(AC153-AC152)))*(INDEX(fixed_capacity_charge,MATCH(AC152,PORTS!$H$11:$H$317,0),MATCH(AG$5,PORTS!$H$11:$N$11,0))+INDEX(variable_om_charge,MATCH(AC152,PORTS!$H$318:$H$625,0),MATCH(AG$5,PORTS!$H$318:$N$318,0)))</f>
        <v>-0</v>
      </c>
      <c r="AJ152" s="343" t="n">
        <f aca="false">+AI152+AH152</f>
        <v>0</v>
      </c>
      <c r="AK152" s="355" t="n">
        <f aca="false">+AJ152+AD152</f>
        <v>0</v>
      </c>
      <c r="AM152" s="346" t="n">
        <f aca="false">+DATE(YEAR(AM151),MONTH(AM151)+1,1)</f>
        <v>40787</v>
      </c>
      <c r="AN152" s="327" t="n">
        <f aca="false">+AP152/(1-HLOOKUP(AO$6,SHIPS,7,0)*INDEX(LADEN_VOYAGE_DAYS,MATCH(CONCATENATE(AO$4,AO$5),LADEN_VOYAGE_ROUTES,0),MATCH(AO$6,LADEN_VOYAGE_SHIPS,0)))</f>
        <v>5221704.65550959</v>
      </c>
      <c r="AO152" s="347" t="n">
        <f aca="false">+AP152-AN152</f>
        <v>-54827.8988828501</v>
      </c>
      <c r="AP152" s="348" t="n">
        <f aca="false">+IF(AND(AO$8&lt;=AM152,AO$9&gt;=AM152),+MIN($B152-SUMIF($H$17:AO$17,AP$17,$H152:AO152),((INDEX(ROUTE_PER_DAY_BY_SHIP,MATCH(CONCATENATE(AO$4,AO$5,AO$7),ROUTE_PER_DAY_ROUTES,0),MATCH(AO$6,ROUTE_PER_DAY_SHIPS,0))*(AM153-AM152))-(INDEX(ROUTE_PER_DAY_BY_SHIP,MATCH(CONCATENATE(AO$4,AO$5,AO$7),ROUTE_PER_DAY_ROUTES,0),MATCH(AO$6,ROUTE_PER_DAY_SHIPS,0))*(AM153-AM152))*HLOOKUP(AO$6,SHIPS,7,0)*INDEX(LADEN_VOYAGE_DAYS,MATCH(CONCATENATE(AO$4,AO$5,AO$7),LADEN_VOYAGE_ROUTES,0),MATCH(AO$6,LADEN_VOYAGE_SHIPS,0)))),0)</f>
        <v>5166876.75662674</v>
      </c>
      <c r="AQ152" s="349" t="n">
        <f aca="false">-(AP152)*PORTS!$I$6</f>
        <v>-129171.918915669</v>
      </c>
      <c r="AR152" s="327" t="n">
        <f aca="false">+AP152+AQ152</f>
        <v>5037704.83771107</v>
      </c>
      <c r="AS152" s="333"/>
      <c r="AT152" s="346" t="n">
        <f aca="false">+DATE(YEAR(AT151),MONTH(AT151)+1,1)</f>
        <v>40787</v>
      </c>
      <c r="AU152" s="343" t="n">
        <f aca="false">+AR152*(VLOOKUP(AT152,CURVECALC!$C$6:$J$312,4,0)+AV$5)</f>
        <v>17400232.5094541</v>
      </c>
      <c r="AV152" s="350" t="n">
        <f aca="false">-AN152*INDEX(ship_curves,MATCH(AT152,'SHIP CURVES'!$A$9:$A$316,0),MATCH(CONCATENATE(AX$4,AX$5,AX$6,AX$7),'SHIP CURVES'!$A$9:$AZ$9,0))</f>
        <v>-1745529.57749862</v>
      </c>
      <c r="AW152" s="351" t="n">
        <f aca="false">-AP152*INDEX(port_processing_fee,MATCH(AT152,PORTS!$H$626:$H$933,0),MATCH(AX$5,PORTS!$H$626:$Z$626,0))</f>
        <v>-157358.367367552</v>
      </c>
      <c r="AX152" s="352" t="n">
        <f aca="false">(((VLOOKUP(AT152,curvecalc,4,0))*IF(AN152=0,0,AR152/AN152)-INDEX(ship_curves,MATCH(AT152,'SHIP CURVES'!$A$9:$A$316,0),MATCH(CONCATENATE(AX$4,AX$5,AX$6,AX$7),'SHIP CURVES'!$A$9:$Z$9,0))-INDEX(terminal_curves,MATCH(AT152,'TERMINAL CURVES'!$A$4:$A$313,0),MATCH(AX$5,'TERMINAL CURVES'!$A$4:$N$4,0))*IF(AN152=0,0,AP152/AN152))-(AV$8)*((AV$7-$N$5)-(INDEX(ship_curves,MATCH(AT152,'SHIP CURVES'!$A$9:$A$316,0),MATCH(CONCATENATE(AX$4,AX$5,AX$6,AX$7),'SHIP CURVES'!$A$9:$Z$9,0))-INDEX(ship_curves,MATCH(AT152,'SHIP CURVES'!$A$9:$A$316,0),MATCH(CONCATENATE(AX$4,AV$6,AX$6,AX$7),'SHIP CURVES'!$A$9:$Z$9,0)))-(INDEX(terminal_curves,MATCH(AT152,'TERMINAL CURVES'!$A$4:$A$313,0),MATCH(AX$5,'TERMINAL CURVES'!$A$4:$N$4,0))-INDEX(terminal_curves,MATCH(AT152,'TERMINAL CURVES'!$A$4:$A$313,0),MATCH(AV$6,'TERMINAL CURVES'!$A$4:$N$4,0)))*IF(AN152=0,0,AP152/AN152)))*-AN152</f>
        <v>-14387561.0269921</v>
      </c>
      <c r="AY152" s="356" t="n">
        <f aca="false">SUM(AV152:AX152)</f>
        <v>-16290448.9718582</v>
      </c>
      <c r="AZ152" s="357" t="n">
        <f aca="false">(-AP152/((HLOOKUP(AX$5,port_specs,2,0)/(365.25))*(AT153-AT152)))*(INDEX(fixed_capacity_charge,MATCH(AT152,PORTS!$H$11:$H$317,0),MATCH(AX$5,PORTS!$H$11:$N$11,0))+INDEX(variable_om_charge,MATCH(AT152,PORTS!$H$318:$H$625,0),MATCH(AX$5,PORTS!$H$318:$N$318,0)))</f>
        <v>-1009029.44084158</v>
      </c>
      <c r="BA152" s="343" t="n">
        <f aca="false">+AZ152+AY152</f>
        <v>-17299478.4126998</v>
      </c>
      <c r="BB152" s="355" t="n">
        <f aca="false">+BA152+AU152</f>
        <v>100754.096754223</v>
      </c>
      <c r="BC152" s="99"/>
      <c r="BD152" s="357" t="n">
        <f aca="false">+PORTS!I146+PORTS!I454</f>
        <v>1009029.44084158</v>
      </c>
    </row>
    <row r="153" customFormat="false" ht="12.75" hidden="false" customHeight="false" outlineLevel="0" collapsed="false">
      <c r="A153" s="346" t="n">
        <f aca="false">+DATE(YEAR(A152),MONTH(A152)+1,1)</f>
        <v>40817</v>
      </c>
      <c r="B153" s="327" t="n">
        <f aca="false">+IF(AND($A153&gt;=$C$8,$A153&lt;=$C$9),1,0)*PORTS!$I$5/(365.25)*(A154-A153)</f>
        <v>5339105.98184763</v>
      </c>
      <c r="C153" s="328" t="n">
        <f aca="false">+B153-(SUMIF($F$17:$IV$17,$H$17,$F153:$IV153))</f>
        <v>0</v>
      </c>
      <c r="D153" s="0" t="n">
        <f aca="false">+YEAR(E153)</f>
        <v>2011</v>
      </c>
      <c r="E153" s="346" t="n">
        <f aca="false">+DATE(YEAR(E152),MONTH(E152)+1,1)</f>
        <v>40817</v>
      </c>
      <c r="F153" s="327" t="n">
        <f aca="false">+IF(AND(G$8&lt;=E153,G$9&gt;=E153),INDEX(ROUTE_PER_DAY_BY_SHIP,MATCH(CONCATENATE(G$4,G$5,G$7),ROUTE_PER_DAY_ROUTES,0),MATCH(G$6,ROUTE_PER_DAY_SHIPS,0))*(E154-E153),0)</f>
        <v>0</v>
      </c>
      <c r="G153" s="347" t="n">
        <f aca="false">-F153*HLOOKUP(G$6,SHIPS,7,0)*INDEX(LADEN_VOYAGE_DAYS,MATCH(CONCATENATE(G$4,G$5,G$7),LADEN_VOYAGE_ROUTES,0),MATCH(G$6,LADEN_VOYAGE_SHIPS,0))</f>
        <v>-0</v>
      </c>
      <c r="H153" s="348" t="n">
        <f aca="false">SUM(F153:G153)</f>
        <v>0</v>
      </c>
      <c r="I153" s="349" t="n">
        <f aca="false">-(H153)*HLOOKUP(G$5,TERMINAL_CHARGES,3,0)</f>
        <v>-0</v>
      </c>
      <c r="J153" s="327" t="n">
        <f aca="false">+H153+I153</f>
        <v>0</v>
      </c>
      <c r="K153" s="333"/>
      <c r="L153" s="346" t="n">
        <f aca="false">+DATE(YEAR(L152),MONTH(L152)+1,1)</f>
        <v>40817</v>
      </c>
      <c r="M153" s="334" t="n">
        <f aca="false">+J153*(VLOOKUP(L153,CURVECALC!$C$6:$J$312,4,0)+N$5)</f>
        <v>0</v>
      </c>
      <c r="N153" s="350" t="n">
        <f aca="false">-F153*INDEX(ship_curves,MATCH(L153,'SHIP CURVES'!$A$9:$A$316,0),MATCH(CONCATENATE(P$4,P$5,P$6,P$7),'SHIP CURVES'!$A$9:$AZ$9,0))</f>
        <v>-0</v>
      </c>
      <c r="O153" s="351" t="n">
        <f aca="false">-H153*INDEX(port_processing_fee,MATCH(L153,PORTS!$H$626:$H$933,0),MATCH(P$5,PORTS!$H$626:$Z$626,0))</f>
        <v>-0</v>
      </c>
      <c r="P153" s="352" t="n">
        <f aca="false">(((VLOOKUP(L153,curvecalc,4,0))*IF(F153=0,0,J153/F153)-INDEX(ship_curves,MATCH(L153,'SHIP CURVES'!$A$9:$A$316,0),MATCH(CONCATENATE(P$4,P$5,P$6,P$7),'SHIP CURVES'!$A$9:$Z$9,0))-INDEX(terminal_curves,MATCH(L153,'TERMINAL CURVES'!$A$4:$A$313,0),MATCH(P$5,'TERMINAL CURVES'!$A$4:$N$4,0))*IF(F153=0,0,H153/F153))-(N$8)*((N$7-$N$5)-(INDEX(ship_curves,MATCH(L153,'SHIP CURVES'!$A$9:$A$316,0),MATCH(CONCATENATE(P$4,P$5,P$6,P$7),'SHIP CURVES'!$A$9:$Z$9,0))-INDEX(ship_curves,MATCH(L153,'SHIP CURVES'!$A$9:$A$316,0),MATCH(CONCATENATE(P$4,N$6,P$6,P$7),'SHIP CURVES'!$A$9:$Z$9,0)))-(INDEX(terminal_curves,MATCH(L153,'TERMINAL CURVES'!$A$4:$A$313,0),MATCH(P$5,'TERMINAL CURVES'!$A$4:$N$4,0))-INDEX(terminal_curves,MATCH(L153,'TERMINAL CURVES'!$A$4:$A$313,0),MATCH(N$6,'TERMINAL CURVES'!$A$4:$N$4,0)))*IF(F153=0,0,H153/F153)))*-F153</f>
        <v>0</v>
      </c>
      <c r="Q153" s="353" t="n">
        <f aca="false">SUM(N153:P153)</f>
        <v>0</v>
      </c>
      <c r="R153" s="357" t="n">
        <f aca="false">(-H153/((HLOOKUP(P$5,port_specs,2,0)/(365.25))*(L154-L153)))*(INDEX(fixed_capacity_charge,MATCH(L153,PORTS!$H$11:$H$317,0),MATCH(P$5,PORTS!$H$11:$N$11,0))+INDEX(variable_om_charge,MATCH(L153,PORTS!$H$318:$H$625,0),MATCH(P$5,PORTS!$H$318:$N$318,0)))</f>
        <v>-0</v>
      </c>
      <c r="S153" s="343" t="n">
        <f aca="false">+R153+Q153</f>
        <v>0</v>
      </c>
      <c r="T153" s="355" t="n">
        <f aca="false">+S153+M153</f>
        <v>0</v>
      </c>
      <c r="V153" s="346" t="n">
        <f aca="false">+DATE(YEAR(V152),MONTH(V152)+1,1)</f>
        <v>40817</v>
      </c>
      <c r="W153" s="327" t="n">
        <f aca="false">+Y153/(1-HLOOKUP(X$6,SHIPS,7,0)*INDEX(LADEN_VOYAGE_DAYS,MATCH(CONCATENATE(X$4,X$5),LADEN_VOYAGE_ROUTES,0),MATCH(X$6,LADEN_VOYAGE_SHIPS,0)))</f>
        <v>0</v>
      </c>
      <c r="X153" s="347" t="n">
        <f aca="false">+Y153-W153</f>
        <v>0</v>
      </c>
      <c r="Y153" s="348" t="n">
        <f aca="false">+IF(AND(X$8&lt;=V153,X$9&gt;=V153),+MIN($B153-SUMIF($H$17:X$17,Y$17,$H153:X153),((INDEX(ROUTE_PER_DAY_BY_SHIP,MATCH(CONCATENATE(X$4,X$5,X$7),ROUTE_PER_DAY_ROUTES,0),MATCH(X$6,ROUTE_PER_DAY_SHIPS,0))*(V154-V153))-(INDEX(ROUTE_PER_DAY_BY_SHIP,MATCH(CONCATENATE(X$4,X$5,X$7),ROUTE_PER_DAY_ROUTES,0),MATCH(X$6,ROUTE_PER_DAY_SHIPS,0))*(V154-V153))*HLOOKUP(X$6,SHIPS,7,0)*INDEX(LADEN_VOYAGE_DAYS,MATCH(CONCATENATE(X$4,X$5,X$7),LADEN_VOYAGE_ROUTES,0),MATCH(X$6,LADEN_VOYAGE_SHIPS,0)))),0)</f>
        <v>0</v>
      </c>
      <c r="Z153" s="349" t="n">
        <f aca="false">-(Y153)*HLOOKUP(X$5,TERMINAL_CHARGES,3,0)</f>
        <v>-0</v>
      </c>
      <c r="AA153" s="327" t="n">
        <f aca="false">+Y153+Z153</f>
        <v>0</v>
      </c>
      <c r="AB153" s="333"/>
      <c r="AC153" s="346" t="n">
        <f aca="false">+DATE(YEAR(AC152),MONTH(AC152)+1,1)</f>
        <v>40817</v>
      </c>
      <c r="AD153" s="343" t="n">
        <f aca="false">+AA153*(VLOOKUP(AC153,CURVECALC!$C$6:$J$312,4,0)+AE$5)</f>
        <v>0</v>
      </c>
      <c r="AE153" s="350" t="n">
        <f aca="false">-W153*INDEX(ship_curves,MATCH(AC153,'SHIP CURVES'!$A$9:$A$316,0),MATCH(CONCATENATE(AG$4,AG$5,AG$6,AG$7),'SHIP CURVES'!$A$9:$AZ$9,0))</f>
        <v>-0</v>
      </c>
      <c r="AF153" s="351" t="n">
        <f aca="false">-Y153*INDEX(port_processing_fee,MATCH(AC153,PORTS!$H$626:$H$933,0),MATCH(AG$5,PORTS!$H$626:$Z$626,0))</f>
        <v>-0</v>
      </c>
      <c r="AG153" s="352" t="n">
        <f aca="false">(((VLOOKUP(AC153,curvecalc,4,0))*IF(W153=0,0,AA153/W153)-INDEX(ship_curves,MATCH(AC153,'SHIP CURVES'!$A$9:$A$316,0),MATCH(CONCATENATE(AG$4,AG$5,AG$6,AG$7),'SHIP CURVES'!$A$9:$Z$9,0))-INDEX(terminal_curves,MATCH(AC153,'TERMINAL CURVES'!$A$4:$A$313,0),MATCH(AG$5,'TERMINAL CURVES'!$A$4:$N$4,0))*IF(W153=0,0,Y153/W153))-(AE$8)*((AE$7-$N$5)-(INDEX(ship_curves,MATCH(AC153,'SHIP CURVES'!$A$9:$A$316,0),MATCH(CONCATENATE(AG$4,AG$5,AG$6,AG$7),'SHIP CURVES'!$A$9:$Z$9,0))-INDEX(ship_curves,MATCH(AC153,'SHIP CURVES'!$A$9:$A$316,0),MATCH(CONCATENATE(AG$4,AE$6,AG$6,AG$7),'SHIP CURVES'!$A$9:$Z$9,0)))-(INDEX(terminal_curves,MATCH(AC153,'TERMINAL CURVES'!$A$4:$A$313,0),MATCH(AG$5,'TERMINAL CURVES'!$A$4:$N$4,0))-INDEX(terminal_curves,MATCH(AC153,'TERMINAL CURVES'!$A$4:$A$313,0),MATCH(AE$6,'TERMINAL CURVES'!$A$4:$N$4,0)))*IF(W153=0,0,Y153/W153)))*-W153</f>
        <v>0</v>
      </c>
      <c r="AH153" s="356" t="n">
        <f aca="false">SUM(AE153:AG153)</f>
        <v>0</v>
      </c>
      <c r="AI153" s="357" t="n">
        <f aca="false">(-Y153/((HLOOKUP(AG$5,port_specs,2,0)/(365.25))*(AC154-AC153)))*(INDEX(fixed_capacity_charge,MATCH(AC153,PORTS!$H$11:$H$317,0),MATCH(AG$5,PORTS!$H$11:$N$11,0))+INDEX(variable_om_charge,MATCH(AC153,PORTS!$H$318:$H$625,0),MATCH(AG$5,PORTS!$H$318:$N$318,0)))</f>
        <v>-0</v>
      </c>
      <c r="AJ153" s="343" t="n">
        <f aca="false">+AI153+AH153</f>
        <v>0</v>
      </c>
      <c r="AK153" s="355" t="n">
        <f aca="false">+AJ153+AD153</f>
        <v>0</v>
      </c>
      <c r="AM153" s="346" t="n">
        <f aca="false">+DATE(YEAR(AM152),MONTH(AM152)+1,1)</f>
        <v>40817</v>
      </c>
      <c r="AN153" s="327" t="n">
        <f aca="false">+AP153/(1-HLOOKUP(AO$6,SHIPS,7,0)*INDEX(LADEN_VOYAGE_DAYS,MATCH(CONCATENATE(AO$4,AO$5),LADEN_VOYAGE_ROUTES,0),MATCH(AO$6,LADEN_VOYAGE_SHIPS,0)))</f>
        <v>5395761.47735991</v>
      </c>
      <c r="AO153" s="347" t="n">
        <f aca="false">+AP153-AN153</f>
        <v>-56655.4955122788</v>
      </c>
      <c r="AP153" s="348" t="n">
        <f aca="false">+IF(AND(AO$8&lt;=AM153,AO$9&gt;=AM153),+MIN($B153-SUMIF($H$17:AO$17,AP$17,$H153:AO153),((INDEX(ROUTE_PER_DAY_BY_SHIP,MATCH(CONCATENATE(AO$4,AO$5,AO$7),ROUTE_PER_DAY_ROUTES,0),MATCH(AO$6,ROUTE_PER_DAY_SHIPS,0))*(AM154-AM153))-(INDEX(ROUTE_PER_DAY_BY_SHIP,MATCH(CONCATENATE(AO$4,AO$5,AO$7),ROUTE_PER_DAY_ROUTES,0),MATCH(AO$6,ROUTE_PER_DAY_SHIPS,0))*(AM154-AM153))*HLOOKUP(AO$6,SHIPS,7,0)*INDEX(LADEN_VOYAGE_DAYS,MATCH(CONCATENATE(AO$4,AO$5,AO$7),LADEN_VOYAGE_ROUTES,0),MATCH(AO$6,LADEN_VOYAGE_SHIPS,0)))),0)</f>
        <v>5339105.98184763</v>
      </c>
      <c r="AQ153" s="349" t="n">
        <f aca="false">-(AP153)*PORTS!$I$6</f>
        <v>-133477.649546191</v>
      </c>
      <c r="AR153" s="327" t="n">
        <f aca="false">+AP153+AQ153</f>
        <v>5205628.33230144</v>
      </c>
      <c r="AS153" s="333"/>
      <c r="AT153" s="346" t="n">
        <f aca="false">+DATE(YEAR(AT152),MONTH(AT152)+1,1)</f>
        <v>40817</v>
      </c>
      <c r="AU153" s="343" t="n">
        <f aca="false">+AR153*(VLOOKUP(AT153,CURVECALC!$C$6:$J$312,4,0)+AV$5)</f>
        <v>18042707.7997568</v>
      </c>
      <c r="AV153" s="350" t="n">
        <f aca="false">-AN153*INDEX(ship_curves,MATCH(AT153,'SHIP CURVES'!$A$9:$A$316,0),MATCH(CONCATENATE(AX$4,AX$5,AX$6,AX$7),'SHIP CURVES'!$A$9:$AZ$9,0))</f>
        <v>-1804275.95126885</v>
      </c>
      <c r="AW153" s="351" t="n">
        <f aca="false">-AP153*INDEX(port_processing_fee,MATCH(AT153,PORTS!$H$626:$H$933,0),MATCH(AX$5,PORTS!$H$626:$Z$626,0))</f>
        <v>-162773.025078012</v>
      </c>
      <c r="AX153" s="352" t="n">
        <f aca="false">(((VLOOKUP(AT153,curvecalc,4,0))*IF(AN153=0,0,AR153/AN153)-INDEX(ship_curves,MATCH(AT153,'SHIP CURVES'!$A$9:$A$316,0),MATCH(CONCATENATE(AX$4,AX$5,AX$6,AX$7),'SHIP CURVES'!$A$9:$Z$9,0))-INDEX(terminal_curves,MATCH(AT153,'TERMINAL CURVES'!$A$4:$A$313,0),MATCH(AX$5,'TERMINAL CURVES'!$A$4:$N$4,0))*IF(AN153=0,0,AP153/AN153))-(AV$8)*((AV$7-$N$5)-(INDEX(ship_curves,MATCH(AT153,'SHIP CURVES'!$A$9:$A$316,0),MATCH(CONCATENATE(AX$4,AX$5,AX$6,AX$7),'SHIP CURVES'!$A$9:$Z$9,0))-INDEX(ship_curves,MATCH(AT153,'SHIP CURVES'!$A$9:$A$316,0),MATCH(CONCATENATE(AX$4,AV$6,AX$6,AX$7),'SHIP CURVES'!$A$9:$Z$9,0)))-(INDEX(terminal_curves,MATCH(AT153,'TERMINAL CURVES'!$A$4:$A$313,0),MATCH(AX$5,'TERMINAL CURVES'!$A$4:$N$4,0))-INDEX(terminal_curves,MATCH(AT153,'TERMINAL CURVES'!$A$4:$A$313,0),MATCH(AV$6,'TERMINAL CURVES'!$A$4:$N$4,0)))*IF(AN153=0,0,AP153/AN153)))*-AN153</f>
        <v>-14961971.1462662</v>
      </c>
      <c r="AY153" s="356" t="n">
        <f aca="false">SUM(AV153:AX153)</f>
        <v>-16929020.122613</v>
      </c>
      <c r="AZ153" s="357" t="n">
        <f aca="false">(-AP153/((HLOOKUP(AX$5,port_specs,2,0)/(365.25))*(AT154-AT153)))*(INDEX(fixed_capacity_charge,MATCH(AT153,PORTS!$H$11:$H$317,0),MATCH(AX$5,PORTS!$H$11:$N$11,0))+INDEX(variable_om_charge,MATCH(AT153,PORTS!$H$318:$H$625,0),MATCH(AX$5,PORTS!$H$318:$N$318,0)))</f>
        <v>-1009575.11049777</v>
      </c>
      <c r="BA153" s="343" t="n">
        <f aca="false">+AZ153+AY153</f>
        <v>-17938595.2331108</v>
      </c>
      <c r="BB153" s="355" t="n">
        <f aca="false">+BA153+AU153</f>
        <v>104112.566646025</v>
      </c>
      <c r="BC153" s="99"/>
      <c r="BD153" s="357" t="n">
        <f aca="false">+PORTS!I147+PORTS!I455</f>
        <v>1009575.11049777</v>
      </c>
    </row>
    <row r="154" customFormat="false" ht="12.75" hidden="false" customHeight="false" outlineLevel="0" collapsed="false">
      <c r="A154" s="346" t="n">
        <f aca="false">+DATE(YEAR(A153),MONTH(A153)+1,1)</f>
        <v>40848</v>
      </c>
      <c r="B154" s="327" t="n">
        <f aca="false">+IF(AND($A154&gt;=$C$8,$A154&lt;=$C$9),1,0)*PORTS!$I$5/(365.25)*(A155-A154)</f>
        <v>5166876.75662674</v>
      </c>
      <c r="C154" s="328" t="n">
        <f aca="false">+B154-(SUMIF($F$17:$IV$17,$H$17,$F154:$IV154))</f>
        <v>0</v>
      </c>
      <c r="D154" s="0" t="n">
        <f aca="false">+YEAR(E154)</f>
        <v>2011</v>
      </c>
      <c r="E154" s="346" t="n">
        <f aca="false">+DATE(YEAR(E153),MONTH(E153)+1,1)</f>
        <v>40848</v>
      </c>
      <c r="F154" s="327" t="n">
        <f aca="false">+IF(AND(G$8&lt;=E154,G$9&gt;=E154),INDEX(ROUTE_PER_DAY_BY_SHIP,MATCH(CONCATENATE(G$4,G$5,G$7),ROUTE_PER_DAY_ROUTES,0),MATCH(G$6,ROUTE_PER_DAY_SHIPS,0))*(E155-E154),0)</f>
        <v>0</v>
      </c>
      <c r="G154" s="347" t="n">
        <f aca="false">-F154*HLOOKUP(G$6,SHIPS,7,0)*INDEX(LADEN_VOYAGE_DAYS,MATCH(CONCATENATE(G$4,G$5,G$7),LADEN_VOYAGE_ROUTES,0),MATCH(G$6,LADEN_VOYAGE_SHIPS,0))</f>
        <v>-0</v>
      </c>
      <c r="H154" s="348" t="n">
        <f aca="false">SUM(F154:G154)</f>
        <v>0</v>
      </c>
      <c r="I154" s="349" t="n">
        <f aca="false">-(H154)*HLOOKUP(G$5,TERMINAL_CHARGES,3,0)</f>
        <v>-0</v>
      </c>
      <c r="J154" s="327" t="n">
        <f aca="false">+H154+I154</f>
        <v>0</v>
      </c>
      <c r="K154" s="333"/>
      <c r="L154" s="346" t="n">
        <f aca="false">+DATE(YEAR(L153),MONTH(L153)+1,1)</f>
        <v>40848</v>
      </c>
      <c r="M154" s="334" t="n">
        <f aca="false">+J154*(VLOOKUP(L154,CURVECALC!$C$6:$J$312,4,0)+N$5)</f>
        <v>0</v>
      </c>
      <c r="N154" s="350" t="n">
        <f aca="false">-F154*INDEX(ship_curves,MATCH(L154,'SHIP CURVES'!$A$9:$A$316,0),MATCH(CONCATENATE(P$4,P$5,P$6,P$7),'SHIP CURVES'!$A$9:$AZ$9,0))</f>
        <v>-0</v>
      </c>
      <c r="O154" s="351" t="n">
        <f aca="false">-H154*INDEX(port_processing_fee,MATCH(L154,PORTS!$H$626:$H$933,0),MATCH(P$5,PORTS!$H$626:$Z$626,0))</f>
        <v>-0</v>
      </c>
      <c r="P154" s="352" t="n">
        <f aca="false">(((VLOOKUP(L154,curvecalc,4,0))*IF(F154=0,0,J154/F154)-INDEX(ship_curves,MATCH(L154,'SHIP CURVES'!$A$9:$A$316,0),MATCH(CONCATENATE(P$4,P$5,P$6,P$7),'SHIP CURVES'!$A$9:$Z$9,0))-INDEX(terminal_curves,MATCH(L154,'TERMINAL CURVES'!$A$4:$A$313,0),MATCH(P$5,'TERMINAL CURVES'!$A$4:$N$4,0))*IF(F154=0,0,H154/F154))-(N$8)*((N$7-$N$5)-(INDEX(ship_curves,MATCH(L154,'SHIP CURVES'!$A$9:$A$316,0),MATCH(CONCATENATE(P$4,P$5,P$6,P$7),'SHIP CURVES'!$A$9:$Z$9,0))-INDEX(ship_curves,MATCH(L154,'SHIP CURVES'!$A$9:$A$316,0),MATCH(CONCATENATE(P$4,N$6,P$6,P$7),'SHIP CURVES'!$A$9:$Z$9,0)))-(INDEX(terminal_curves,MATCH(L154,'TERMINAL CURVES'!$A$4:$A$313,0),MATCH(P$5,'TERMINAL CURVES'!$A$4:$N$4,0))-INDEX(terminal_curves,MATCH(L154,'TERMINAL CURVES'!$A$4:$A$313,0),MATCH(N$6,'TERMINAL CURVES'!$A$4:$N$4,0)))*IF(F154=0,0,H154/F154)))*-F154</f>
        <v>0</v>
      </c>
      <c r="Q154" s="353" t="n">
        <f aca="false">SUM(N154:P154)</f>
        <v>0</v>
      </c>
      <c r="R154" s="357" t="n">
        <f aca="false">(-H154/((HLOOKUP(P$5,port_specs,2,0)/(365.25))*(L155-L154)))*(INDEX(fixed_capacity_charge,MATCH(L154,PORTS!$H$11:$H$317,0),MATCH(P$5,PORTS!$H$11:$N$11,0))+INDEX(variable_om_charge,MATCH(L154,PORTS!$H$318:$H$625,0),MATCH(P$5,PORTS!$H$318:$N$318,0)))</f>
        <v>-0</v>
      </c>
      <c r="S154" s="343" t="n">
        <f aca="false">+R154+Q154</f>
        <v>0</v>
      </c>
      <c r="T154" s="355" t="n">
        <f aca="false">+S154+M154</f>
        <v>0</v>
      </c>
      <c r="V154" s="346" t="n">
        <f aca="false">+DATE(YEAR(V153),MONTH(V153)+1,1)</f>
        <v>40848</v>
      </c>
      <c r="W154" s="327" t="n">
        <f aca="false">+Y154/(1-HLOOKUP(X$6,SHIPS,7,0)*INDEX(LADEN_VOYAGE_DAYS,MATCH(CONCATENATE(X$4,X$5),LADEN_VOYAGE_ROUTES,0),MATCH(X$6,LADEN_VOYAGE_SHIPS,0)))</f>
        <v>0</v>
      </c>
      <c r="X154" s="347" t="n">
        <f aca="false">+Y154-W154</f>
        <v>0</v>
      </c>
      <c r="Y154" s="348" t="n">
        <f aca="false">+IF(AND(X$8&lt;=V154,X$9&gt;=V154),+MIN($B154-SUMIF($H$17:X$17,Y$17,$H154:X154),((INDEX(ROUTE_PER_DAY_BY_SHIP,MATCH(CONCATENATE(X$4,X$5,X$7),ROUTE_PER_DAY_ROUTES,0),MATCH(X$6,ROUTE_PER_DAY_SHIPS,0))*(V155-V154))-(INDEX(ROUTE_PER_DAY_BY_SHIP,MATCH(CONCATENATE(X$4,X$5,X$7),ROUTE_PER_DAY_ROUTES,0),MATCH(X$6,ROUTE_PER_DAY_SHIPS,0))*(V155-V154))*HLOOKUP(X$6,SHIPS,7,0)*INDEX(LADEN_VOYAGE_DAYS,MATCH(CONCATENATE(X$4,X$5,X$7),LADEN_VOYAGE_ROUTES,0),MATCH(X$6,LADEN_VOYAGE_SHIPS,0)))),0)</f>
        <v>0</v>
      </c>
      <c r="Z154" s="349" t="n">
        <f aca="false">-(Y154)*HLOOKUP(X$5,TERMINAL_CHARGES,3,0)</f>
        <v>-0</v>
      </c>
      <c r="AA154" s="327" t="n">
        <f aca="false">+Y154+Z154</f>
        <v>0</v>
      </c>
      <c r="AB154" s="333"/>
      <c r="AC154" s="346" t="n">
        <f aca="false">+DATE(YEAR(AC153),MONTH(AC153)+1,1)</f>
        <v>40848</v>
      </c>
      <c r="AD154" s="343" t="n">
        <f aca="false">+AA154*(VLOOKUP(AC154,CURVECALC!$C$6:$J$312,4,0)+AE$5)</f>
        <v>0</v>
      </c>
      <c r="AE154" s="350" t="n">
        <f aca="false">-W154*INDEX(ship_curves,MATCH(AC154,'SHIP CURVES'!$A$9:$A$316,0),MATCH(CONCATENATE(AG$4,AG$5,AG$6,AG$7),'SHIP CURVES'!$A$9:$AZ$9,0))</f>
        <v>-0</v>
      </c>
      <c r="AF154" s="351" t="n">
        <f aca="false">-Y154*INDEX(port_processing_fee,MATCH(AC154,PORTS!$H$626:$H$933,0),MATCH(AG$5,PORTS!$H$626:$Z$626,0))</f>
        <v>-0</v>
      </c>
      <c r="AG154" s="352" t="n">
        <f aca="false">(((VLOOKUP(AC154,curvecalc,4,0))*IF(W154=0,0,AA154/W154)-INDEX(ship_curves,MATCH(AC154,'SHIP CURVES'!$A$9:$A$316,0),MATCH(CONCATENATE(AG$4,AG$5,AG$6,AG$7),'SHIP CURVES'!$A$9:$Z$9,0))-INDEX(terminal_curves,MATCH(AC154,'TERMINAL CURVES'!$A$4:$A$313,0),MATCH(AG$5,'TERMINAL CURVES'!$A$4:$N$4,0))*IF(W154=0,0,Y154/W154))-(AE$8)*((AE$7-$N$5)-(INDEX(ship_curves,MATCH(AC154,'SHIP CURVES'!$A$9:$A$316,0),MATCH(CONCATENATE(AG$4,AG$5,AG$6,AG$7),'SHIP CURVES'!$A$9:$Z$9,0))-INDEX(ship_curves,MATCH(AC154,'SHIP CURVES'!$A$9:$A$316,0),MATCH(CONCATENATE(AG$4,AE$6,AG$6,AG$7),'SHIP CURVES'!$A$9:$Z$9,0)))-(INDEX(terminal_curves,MATCH(AC154,'TERMINAL CURVES'!$A$4:$A$313,0),MATCH(AG$5,'TERMINAL CURVES'!$A$4:$N$4,0))-INDEX(terminal_curves,MATCH(AC154,'TERMINAL CURVES'!$A$4:$A$313,0),MATCH(AE$6,'TERMINAL CURVES'!$A$4:$N$4,0)))*IF(W154=0,0,Y154/W154)))*-W154</f>
        <v>0</v>
      </c>
      <c r="AH154" s="356" t="n">
        <f aca="false">SUM(AE154:AG154)</f>
        <v>0</v>
      </c>
      <c r="AI154" s="357" t="n">
        <f aca="false">(-Y154/((HLOOKUP(AG$5,port_specs,2,0)/(365.25))*(AC155-AC154)))*(INDEX(fixed_capacity_charge,MATCH(AC154,PORTS!$H$11:$H$317,0),MATCH(AG$5,PORTS!$H$11:$N$11,0))+INDEX(variable_om_charge,MATCH(AC154,PORTS!$H$318:$H$625,0),MATCH(AG$5,PORTS!$H$318:$N$318,0)))</f>
        <v>-0</v>
      </c>
      <c r="AJ154" s="343" t="n">
        <f aca="false">+AI154+AH154</f>
        <v>0</v>
      </c>
      <c r="AK154" s="355" t="n">
        <f aca="false">+AJ154+AD154</f>
        <v>0</v>
      </c>
      <c r="AM154" s="346" t="n">
        <f aca="false">+DATE(YEAR(AM153),MONTH(AM153)+1,1)</f>
        <v>40848</v>
      </c>
      <c r="AN154" s="327" t="n">
        <f aca="false">+AP154/(1-HLOOKUP(AO$6,SHIPS,7,0)*INDEX(LADEN_VOYAGE_DAYS,MATCH(CONCATENATE(AO$4,AO$5),LADEN_VOYAGE_ROUTES,0),MATCH(AO$6,LADEN_VOYAGE_SHIPS,0)))</f>
        <v>5221704.65550959</v>
      </c>
      <c r="AO154" s="347" t="n">
        <f aca="false">+AP154-AN154</f>
        <v>-54827.8988828501</v>
      </c>
      <c r="AP154" s="348" t="n">
        <f aca="false">+IF(AND(AO$8&lt;=AM154,AO$9&gt;=AM154),+MIN($B154-SUMIF($H$17:AO$17,AP$17,$H154:AO154),((INDEX(ROUTE_PER_DAY_BY_SHIP,MATCH(CONCATENATE(AO$4,AO$5,AO$7),ROUTE_PER_DAY_ROUTES,0),MATCH(AO$6,ROUTE_PER_DAY_SHIPS,0))*(AM155-AM154))-(INDEX(ROUTE_PER_DAY_BY_SHIP,MATCH(CONCATENATE(AO$4,AO$5,AO$7),ROUTE_PER_DAY_ROUTES,0),MATCH(AO$6,ROUTE_PER_DAY_SHIPS,0))*(AM155-AM154))*HLOOKUP(AO$6,SHIPS,7,0)*INDEX(LADEN_VOYAGE_DAYS,MATCH(CONCATENATE(AO$4,AO$5,AO$7),LADEN_VOYAGE_ROUTES,0),MATCH(AO$6,LADEN_VOYAGE_SHIPS,0)))),0)</f>
        <v>5166876.75662674</v>
      </c>
      <c r="AQ154" s="349" t="n">
        <f aca="false">-(AP154)*PORTS!$I$6</f>
        <v>-129171.918915669</v>
      </c>
      <c r="AR154" s="327" t="n">
        <f aca="false">+AP154+AQ154</f>
        <v>5037704.83771107</v>
      </c>
      <c r="AS154" s="333"/>
      <c r="AT154" s="346" t="n">
        <f aca="false">+DATE(YEAR(AT153),MONTH(AT153)+1,1)</f>
        <v>40848</v>
      </c>
      <c r="AU154" s="343" t="n">
        <f aca="false">+AR154*(VLOOKUP(AT154,CURVECALC!$C$6:$J$312,4,0)+AV$5)</f>
        <v>17808286.6013086</v>
      </c>
      <c r="AV154" s="350" t="n">
        <f aca="false">-AN154*INDEX(ship_curves,MATCH(AT154,'SHIP CURVES'!$A$9:$A$316,0),MATCH(CONCATENATE(AX$4,AX$5,AX$6,AX$7),'SHIP CURVES'!$A$9:$AZ$9,0))</f>
        <v>-1746618.55813165</v>
      </c>
      <c r="AW154" s="351" t="n">
        <f aca="false">-AP154*INDEX(port_processing_fee,MATCH(AT154,PORTS!$H$626:$H$933,0),MATCH(AX$5,PORTS!$H$626:$Z$626,0))</f>
        <v>-157686.368044324</v>
      </c>
      <c r="AX154" s="352" t="n">
        <f aca="false">(((VLOOKUP(AT154,curvecalc,4,0))*IF(AN154=0,0,AR154/AN154)-INDEX(ship_curves,MATCH(AT154,'SHIP CURVES'!$A$9:$A$316,0),MATCH(CONCATENATE(AX$4,AX$5,AX$6,AX$7),'SHIP CURVES'!$A$9:$Z$9,0))-INDEX(terminal_curves,MATCH(AT154,'TERMINAL CURVES'!$A$4:$A$313,0),MATCH(AX$5,'TERMINAL CURVES'!$A$4:$N$4,0))*IF(AN154=0,0,AP154/AN154))-(AV$8)*((AV$7-$N$5)-(INDEX(ship_curves,MATCH(AT154,'SHIP CURVES'!$A$9:$A$316,0),MATCH(CONCATENATE(AX$4,AX$5,AX$6,AX$7),'SHIP CURVES'!$A$9:$Z$9,0))-INDEX(ship_curves,MATCH(AT154,'SHIP CURVES'!$A$9:$A$316,0),MATCH(CONCATENATE(AX$4,AV$6,AX$6,AX$7),'SHIP CURVES'!$A$9:$Z$9,0)))-(INDEX(terminal_curves,MATCH(AT154,'TERMINAL CURVES'!$A$4:$A$313,0),MATCH(AX$5,'TERMINAL CURVES'!$A$4:$N$4,0))-INDEX(terminal_curves,MATCH(AT154,'TERMINAL CURVES'!$A$4:$A$313,0),MATCH(AV$6,'TERMINAL CURVES'!$A$4:$N$4,0)))*IF(AN154=0,0,AP154/AN154)))*-AN154</f>
        <v>-14793106.2298186</v>
      </c>
      <c r="AY154" s="356" t="n">
        <f aca="false">SUM(AV154:AX154)</f>
        <v>-16697411.1559946</v>
      </c>
      <c r="AZ154" s="357" t="n">
        <f aca="false">(-AP154/((HLOOKUP(AX$5,port_specs,2,0)/(365.25))*(AT155-AT154)))*(INDEX(fixed_capacity_charge,MATCH(AT154,PORTS!$H$11:$H$317,0),MATCH(AX$5,PORTS!$H$11:$N$11,0))+INDEX(variable_om_charge,MATCH(AT154,PORTS!$H$318:$H$625,0),MATCH(AX$5,PORTS!$H$318:$N$318,0)))</f>
        <v>-1010121.34855984</v>
      </c>
      <c r="BA154" s="343" t="n">
        <f aca="false">+AZ154+AY154</f>
        <v>-17707532.5045544</v>
      </c>
      <c r="BB154" s="355" t="n">
        <f aca="false">+BA154+AU154</f>
        <v>100754.096754223</v>
      </c>
      <c r="BC154" s="99"/>
      <c r="BD154" s="357" t="n">
        <f aca="false">+PORTS!I148+PORTS!I456</f>
        <v>1010121.34855984</v>
      </c>
    </row>
    <row r="155" customFormat="false" ht="12.75" hidden="false" customHeight="false" outlineLevel="0" collapsed="false">
      <c r="A155" s="346" t="n">
        <f aca="false">+DATE(YEAR(A154),MONTH(A154)+1,1)</f>
        <v>40878</v>
      </c>
      <c r="B155" s="327" t="n">
        <f aca="false">+IF(AND($A155&gt;=$C$8,$A155&lt;=$C$9),1,0)*PORTS!$I$5/(365.25)*(A156-A155)</f>
        <v>5339105.98184763</v>
      </c>
      <c r="C155" s="328" t="n">
        <f aca="false">+B155-(SUMIF($F$17:$IV$17,$H$17,$F155:$IV155))</f>
        <v>0</v>
      </c>
      <c r="D155" s="0" t="n">
        <f aca="false">+YEAR(E155)</f>
        <v>2011</v>
      </c>
      <c r="E155" s="346" t="n">
        <f aca="false">+DATE(YEAR(E154),MONTH(E154)+1,1)</f>
        <v>40878</v>
      </c>
      <c r="F155" s="327" t="n">
        <f aca="false">+IF(AND(G$8&lt;=E155,G$9&gt;=E155),INDEX(ROUTE_PER_DAY_BY_SHIP,MATCH(CONCATENATE(G$4,G$5,G$7),ROUTE_PER_DAY_ROUTES,0),MATCH(G$6,ROUTE_PER_DAY_SHIPS,0))*(E156-E155),0)</f>
        <v>0</v>
      </c>
      <c r="G155" s="347" t="n">
        <f aca="false">-F155*HLOOKUP(G$6,SHIPS,7,0)*INDEX(LADEN_VOYAGE_DAYS,MATCH(CONCATENATE(G$4,G$5,G$7),LADEN_VOYAGE_ROUTES,0),MATCH(G$6,LADEN_VOYAGE_SHIPS,0))</f>
        <v>-0</v>
      </c>
      <c r="H155" s="348" t="n">
        <f aca="false">SUM(F155:G155)</f>
        <v>0</v>
      </c>
      <c r="I155" s="349" t="n">
        <f aca="false">-(H155)*HLOOKUP(G$5,TERMINAL_CHARGES,3,0)</f>
        <v>-0</v>
      </c>
      <c r="J155" s="327" t="n">
        <f aca="false">+H155+I155</f>
        <v>0</v>
      </c>
      <c r="K155" s="333"/>
      <c r="L155" s="346" t="n">
        <f aca="false">+DATE(YEAR(L154),MONTH(L154)+1,1)</f>
        <v>40878</v>
      </c>
      <c r="M155" s="334" t="n">
        <f aca="false">+J155*(VLOOKUP(L155,CURVECALC!$C$6:$J$312,4,0)+N$5)</f>
        <v>0</v>
      </c>
      <c r="N155" s="350" t="n">
        <f aca="false">-F155*INDEX(ship_curves,MATCH(L155,'SHIP CURVES'!$A$9:$A$316,0),MATCH(CONCATENATE(P$4,P$5,P$6,P$7),'SHIP CURVES'!$A$9:$AZ$9,0))</f>
        <v>-0</v>
      </c>
      <c r="O155" s="351" t="n">
        <f aca="false">-H155*INDEX(port_processing_fee,MATCH(L155,PORTS!$H$626:$H$933,0),MATCH(P$5,PORTS!$H$626:$Z$626,0))</f>
        <v>-0</v>
      </c>
      <c r="P155" s="352" t="n">
        <f aca="false">(((VLOOKUP(L155,curvecalc,4,0))*IF(F155=0,0,J155/F155)-INDEX(ship_curves,MATCH(L155,'SHIP CURVES'!$A$9:$A$316,0),MATCH(CONCATENATE(P$4,P$5,P$6,P$7),'SHIP CURVES'!$A$9:$Z$9,0))-INDEX(terminal_curves,MATCH(L155,'TERMINAL CURVES'!$A$4:$A$313,0),MATCH(P$5,'TERMINAL CURVES'!$A$4:$N$4,0))*IF(F155=0,0,H155/F155))-(N$8)*((N$7-$N$5)-(INDEX(ship_curves,MATCH(L155,'SHIP CURVES'!$A$9:$A$316,0),MATCH(CONCATENATE(P$4,P$5,P$6,P$7),'SHIP CURVES'!$A$9:$Z$9,0))-INDEX(ship_curves,MATCH(L155,'SHIP CURVES'!$A$9:$A$316,0),MATCH(CONCATENATE(P$4,N$6,P$6,P$7),'SHIP CURVES'!$A$9:$Z$9,0)))-(INDEX(terminal_curves,MATCH(L155,'TERMINAL CURVES'!$A$4:$A$313,0),MATCH(P$5,'TERMINAL CURVES'!$A$4:$N$4,0))-INDEX(terminal_curves,MATCH(L155,'TERMINAL CURVES'!$A$4:$A$313,0),MATCH(N$6,'TERMINAL CURVES'!$A$4:$N$4,0)))*IF(F155=0,0,H155/F155)))*-F155</f>
        <v>0</v>
      </c>
      <c r="Q155" s="353" t="n">
        <f aca="false">SUM(N155:P155)</f>
        <v>0</v>
      </c>
      <c r="R155" s="357" t="n">
        <f aca="false">(-H155/((HLOOKUP(P$5,port_specs,2,0)/(365.25))*(L156-L155)))*(INDEX(fixed_capacity_charge,MATCH(L155,PORTS!$H$11:$H$317,0),MATCH(P$5,PORTS!$H$11:$N$11,0))+INDEX(variable_om_charge,MATCH(L155,PORTS!$H$318:$H$625,0),MATCH(P$5,PORTS!$H$318:$N$318,0)))</f>
        <v>-0</v>
      </c>
      <c r="S155" s="343" t="n">
        <f aca="false">+R155+Q155</f>
        <v>0</v>
      </c>
      <c r="T155" s="355" t="n">
        <f aca="false">+S155+M155</f>
        <v>0</v>
      </c>
      <c r="V155" s="346" t="n">
        <f aca="false">+DATE(YEAR(V154),MONTH(V154)+1,1)</f>
        <v>40878</v>
      </c>
      <c r="W155" s="327" t="n">
        <f aca="false">+Y155/(1-HLOOKUP(X$6,SHIPS,7,0)*INDEX(LADEN_VOYAGE_DAYS,MATCH(CONCATENATE(X$4,X$5),LADEN_VOYAGE_ROUTES,0),MATCH(X$6,LADEN_VOYAGE_SHIPS,0)))</f>
        <v>0</v>
      </c>
      <c r="X155" s="347" t="n">
        <f aca="false">+Y155-W155</f>
        <v>0</v>
      </c>
      <c r="Y155" s="348" t="n">
        <f aca="false">+IF(AND(X$8&lt;=V155,X$9&gt;=V155),+MIN($B155-SUMIF($H$17:X$17,Y$17,$H155:X155),((INDEX(ROUTE_PER_DAY_BY_SHIP,MATCH(CONCATENATE(X$4,X$5,X$7),ROUTE_PER_DAY_ROUTES,0),MATCH(X$6,ROUTE_PER_DAY_SHIPS,0))*(V156-V155))-(INDEX(ROUTE_PER_DAY_BY_SHIP,MATCH(CONCATENATE(X$4,X$5,X$7),ROUTE_PER_DAY_ROUTES,0),MATCH(X$6,ROUTE_PER_DAY_SHIPS,0))*(V156-V155))*HLOOKUP(X$6,SHIPS,7,0)*INDEX(LADEN_VOYAGE_DAYS,MATCH(CONCATENATE(X$4,X$5,X$7),LADEN_VOYAGE_ROUTES,0),MATCH(X$6,LADEN_VOYAGE_SHIPS,0)))),0)</f>
        <v>0</v>
      </c>
      <c r="Z155" s="349" t="n">
        <f aca="false">-(Y155)*HLOOKUP(X$5,TERMINAL_CHARGES,3,0)</f>
        <v>-0</v>
      </c>
      <c r="AA155" s="327" t="n">
        <f aca="false">+Y155+Z155</f>
        <v>0</v>
      </c>
      <c r="AB155" s="333"/>
      <c r="AC155" s="346" t="n">
        <f aca="false">+DATE(YEAR(AC154),MONTH(AC154)+1,1)</f>
        <v>40878</v>
      </c>
      <c r="AD155" s="343" t="n">
        <f aca="false">+AA155*(VLOOKUP(AC155,CURVECALC!$C$6:$J$312,4,0)+AE$5)</f>
        <v>0</v>
      </c>
      <c r="AE155" s="350" t="n">
        <f aca="false">-W155*INDEX(ship_curves,MATCH(AC155,'SHIP CURVES'!$A$9:$A$316,0),MATCH(CONCATENATE(AG$4,AG$5,AG$6,AG$7),'SHIP CURVES'!$A$9:$AZ$9,0))</f>
        <v>-0</v>
      </c>
      <c r="AF155" s="351" t="n">
        <f aca="false">-Y155*INDEX(port_processing_fee,MATCH(AC155,PORTS!$H$626:$H$933,0),MATCH(AG$5,PORTS!$H$626:$Z$626,0))</f>
        <v>-0</v>
      </c>
      <c r="AG155" s="352" t="n">
        <f aca="false">(((VLOOKUP(AC155,curvecalc,4,0))*IF(W155=0,0,AA155/W155)-INDEX(ship_curves,MATCH(AC155,'SHIP CURVES'!$A$9:$A$316,0),MATCH(CONCATENATE(AG$4,AG$5,AG$6,AG$7),'SHIP CURVES'!$A$9:$Z$9,0))-INDEX(terminal_curves,MATCH(AC155,'TERMINAL CURVES'!$A$4:$A$313,0),MATCH(AG$5,'TERMINAL CURVES'!$A$4:$N$4,0))*IF(W155=0,0,Y155/W155))-(AE$8)*((AE$7-$N$5)-(INDEX(ship_curves,MATCH(AC155,'SHIP CURVES'!$A$9:$A$316,0),MATCH(CONCATENATE(AG$4,AG$5,AG$6,AG$7),'SHIP CURVES'!$A$9:$Z$9,0))-INDEX(ship_curves,MATCH(AC155,'SHIP CURVES'!$A$9:$A$316,0),MATCH(CONCATENATE(AG$4,AE$6,AG$6,AG$7),'SHIP CURVES'!$A$9:$Z$9,0)))-(INDEX(terminal_curves,MATCH(AC155,'TERMINAL CURVES'!$A$4:$A$313,0),MATCH(AG$5,'TERMINAL CURVES'!$A$4:$N$4,0))-INDEX(terminal_curves,MATCH(AC155,'TERMINAL CURVES'!$A$4:$A$313,0),MATCH(AE$6,'TERMINAL CURVES'!$A$4:$N$4,0)))*IF(W155=0,0,Y155/W155)))*-W155</f>
        <v>0</v>
      </c>
      <c r="AH155" s="356" t="n">
        <f aca="false">SUM(AE155:AG155)</f>
        <v>0</v>
      </c>
      <c r="AI155" s="357" t="n">
        <f aca="false">(-Y155/((HLOOKUP(AG$5,port_specs,2,0)/(365.25))*(AC156-AC155)))*(INDEX(fixed_capacity_charge,MATCH(AC155,PORTS!$H$11:$H$317,0),MATCH(AG$5,PORTS!$H$11:$N$11,0))+INDEX(variable_om_charge,MATCH(AC155,PORTS!$H$318:$H$625,0),MATCH(AG$5,PORTS!$H$318:$N$318,0)))</f>
        <v>-0</v>
      </c>
      <c r="AJ155" s="343" t="n">
        <f aca="false">+AI155+AH155</f>
        <v>0</v>
      </c>
      <c r="AK155" s="355" t="n">
        <f aca="false">+AJ155+AD155</f>
        <v>0</v>
      </c>
      <c r="AM155" s="346" t="n">
        <f aca="false">+DATE(YEAR(AM154),MONTH(AM154)+1,1)</f>
        <v>40878</v>
      </c>
      <c r="AN155" s="327" t="n">
        <f aca="false">+AP155/(1-HLOOKUP(AO$6,SHIPS,7,0)*INDEX(LADEN_VOYAGE_DAYS,MATCH(CONCATENATE(AO$4,AO$5),LADEN_VOYAGE_ROUTES,0),MATCH(AO$6,LADEN_VOYAGE_SHIPS,0)))</f>
        <v>5395761.47735991</v>
      </c>
      <c r="AO155" s="347" t="n">
        <f aca="false">+AP155-AN155</f>
        <v>-56655.4955122788</v>
      </c>
      <c r="AP155" s="348" t="n">
        <f aca="false">+IF(AND(AO$8&lt;=AM155,AO$9&gt;=AM155),+MIN($B155-SUMIF($H$17:AO$17,AP$17,$H155:AO155),((INDEX(ROUTE_PER_DAY_BY_SHIP,MATCH(CONCATENATE(AO$4,AO$5,AO$7),ROUTE_PER_DAY_ROUTES,0),MATCH(AO$6,ROUTE_PER_DAY_SHIPS,0))*(AM156-AM155))-(INDEX(ROUTE_PER_DAY_BY_SHIP,MATCH(CONCATENATE(AO$4,AO$5,AO$7),ROUTE_PER_DAY_ROUTES,0),MATCH(AO$6,ROUTE_PER_DAY_SHIPS,0))*(AM156-AM155))*HLOOKUP(AO$6,SHIPS,7,0)*INDEX(LADEN_VOYAGE_DAYS,MATCH(CONCATENATE(AO$4,AO$5,AO$7),LADEN_VOYAGE_ROUTES,0),MATCH(AO$6,LADEN_VOYAGE_SHIPS,0)))),0)</f>
        <v>5339105.98184763</v>
      </c>
      <c r="AQ155" s="349" t="n">
        <f aca="false">-(AP155)*PORTS!$I$6</f>
        <v>-133477.649546191</v>
      </c>
      <c r="AR155" s="327" t="n">
        <f aca="false">+AP155+AQ155</f>
        <v>5205628.33230144</v>
      </c>
      <c r="AS155" s="333"/>
      <c r="AT155" s="346" t="n">
        <f aca="false">+DATE(YEAR(AT154),MONTH(AT154)+1,1)</f>
        <v>40878</v>
      </c>
      <c r="AU155" s="343" t="n">
        <f aca="false">+AR155*(VLOOKUP(AT155,CURVECALC!$C$6:$J$312,4,0)+AV$5)</f>
        <v>18823552.049602</v>
      </c>
      <c r="AV155" s="350" t="n">
        <f aca="false">-AN155*INDEX(ship_curves,MATCH(AT155,'SHIP CURVES'!$A$9:$A$316,0),MATCH(CONCATENATE(AX$4,AX$5,AX$6,AX$7),'SHIP CURVES'!$A$9:$AZ$9,0))</f>
        <v>-1805403.57558962</v>
      </c>
      <c r="AW155" s="351" t="n">
        <f aca="false">-AP155*INDEX(port_processing_fee,MATCH(AT155,PORTS!$H$626:$H$933,0),MATCH(AX$5,PORTS!$H$626:$Z$626,0))</f>
        <v>-163112.31216696</v>
      </c>
      <c r="AX155" s="352" t="n">
        <f aca="false">(((VLOOKUP(AT155,curvecalc,4,0))*IF(AN155=0,0,AR155/AN155)-INDEX(ship_curves,MATCH(AT155,'SHIP CURVES'!$A$9:$A$316,0),MATCH(CONCATENATE(AX$4,AX$5,AX$6,AX$7),'SHIP CURVES'!$A$9:$Z$9,0))-INDEX(terminal_curves,MATCH(AT155,'TERMINAL CURVES'!$A$4:$A$313,0),MATCH(AX$5,'TERMINAL CURVES'!$A$4:$N$4,0))*IF(AN155=0,0,AP155/AN155))-(AV$8)*((AV$7-$N$5)-(INDEX(ship_curves,MATCH(AT155,'SHIP CURVES'!$A$9:$A$316,0),MATCH(CONCATENATE(AX$4,AX$5,AX$6,AX$7),'SHIP CURVES'!$A$9:$Z$9,0))-INDEX(ship_curves,MATCH(AT155,'SHIP CURVES'!$A$9:$A$316,0),MATCH(CONCATENATE(AX$4,AV$6,AX$6,AX$7),'SHIP CURVES'!$A$9:$Z$9,0)))-(INDEX(terminal_curves,MATCH(AT155,'TERMINAL CURVES'!$A$4:$A$313,0),MATCH(AX$5,'TERMINAL CURVES'!$A$4:$N$4,0))-INDEX(terminal_curves,MATCH(AT155,'TERMINAL CURVES'!$A$4:$A$313,0),MATCH(AV$6,'TERMINAL CURVES'!$A$4:$N$4,0)))*IF(AN155=0,0,AP155/AN155)))*-AN155</f>
        <v>-15740255.4395795</v>
      </c>
      <c r="AY155" s="356" t="n">
        <f aca="false">SUM(AV155:AX155)</f>
        <v>-17708771.3273361</v>
      </c>
      <c r="AZ155" s="357" t="n">
        <f aca="false">(-AP155/((HLOOKUP(AX$5,port_specs,2,0)/(365.25))*(AT156-AT155)))*(INDEX(fixed_capacity_charge,MATCH(AT155,PORTS!$H$11:$H$317,0),MATCH(AX$5,PORTS!$H$11:$N$11,0))+INDEX(variable_om_charge,MATCH(AT155,PORTS!$H$318:$H$625,0),MATCH(AX$5,PORTS!$H$318:$N$318,0)))</f>
        <v>-1010668.15561989</v>
      </c>
      <c r="BA155" s="343" t="n">
        <f aca="false">+AZ155+AY155</f>
        <v>-18719439.482956</v>
      </c>
      <c r="BB155" s="355" t="n">
        <f aca="false">+BA155+AU155</f>
        <v>104112.566646028</v>
      </c>
      <c r="BC155" s="99"/>
      <c r="BD155" s="357" t="n">
        <f aca="false">+PORTS!I149+PORTS!I457</f>
        <v>1010668.15561989</v>
      </c>
    </row>
    <row r="156" customFormat="false" ht="12.75" hidden="false" customHeight="false" outlineLevel="0" collapsed="false">
      <c r="A156" s="346" t="n">
        <f aca="false">+DATE(YEAR(A155),MONTH(A155)+1,1)</f>
        <v>40909</v>
      </c>
      <c r="B156" s="327" t="n">
        <f aca="false">+IF(AND($A156&gt;=$C$8,$A156&lt;=$C$9),1,0)*PORTS!$I$5/(365.25)*(A157-A156)</f>
        <v>5339105.98184763</v>
      </c>
      <c r="C156" s="328" t="n">
        <f aca="false">+B156-(SUMIF($F$17:$IV$17,$H$17,$F156:$IV156))</f>
        <v>0</v>
      </c>
      <c r="D156" s="0" t="n">
        <f aca="false">+YEAR(E156)</f>
        <v>2012</v>
      </c>
      <c r="E156" s="346" t="n">
        <f aca="false">+DATE(YEAR(E155),MONTH(E155)+1,1)</f>
        <v>40909</v>
      </c>
      <c r="F156" s="327" t="n">
        <f aca="false">+IF(AND(G$8&lt;=E156,G$9&gt;=E156),INDEX(ROUTE_PER_DAY_BY_SHIP,MATCH(CONCATENATE(G$4,G$5,G$7),ROUTE_PER_DAY_ROUTES,0),MATCH(G$6,ROUTE_PER_DAY_SHIPS,0))*(E157-E156),0)</f>
        <v>0</v>
      </c>
      <c r="G156" s="347" t="n">
        <f aca="false">-F156*HLOOKUP(G$6,SHIPS,7,0)*INDEX(LADEN_VOYAGE_DAYS,MATCH(CONCATENATE(G$4,G$5,G$7),LADEN_VOYAGE_ROUTES,0),MATCH(G$6,LADEN_VOYAGE_SHIPS,0))</f>
        <v>-0</v>
      </c>
      <c r="H156" s="348" t="n">
        <f aca="false">SUM(F156:G156)</f>
        <v>0</v>
      </c>
      <c r="I156" s="349" t="n">
        <f aca="false">-(H156)*HLOOKUP(G$5,TERMINAL_CHARGES,3,0)</f>
        <v>-0</v>
      </c>
      <c r="J156" s="327" t="n">
        <f aca="false">+H156+I156</f>
        <v>0</v>
      </c>
      <c r="K156" s="333"/>
      <c r="L156" s="346" t="n">
        <f aca="false">+DATE(YEAR(L155),MONTH(L155)+1,1)</f>
        <v>40909</v>
      </c>
      <c r="M156" s="334" t="n">
        <f aca="false">+J156*(VLOOKUP(L156,CURVECALC!$C$6:$J$312,4,0)+N$5)</f>
        <v>0</v>
      </c>
      <c r="N156" s="350" t="n">
        <f aca="false">-F156*INDEX(ship_curves,MATCH(L156,'SHIP CURVES'!$A$9:$A$316,0),MATCH(CONCATENATE(P$4,P$5,P$6,P$7),'SHIP CURVES'!$A$9:$AZ$9,0))</f>
        <v>-0</v>
      </c>
      <c r="O156" s="351" t="n">
        <f aca="false">-H156*INDEX(port_processing_fee,MATCH(L156,PORTS!$H$626:$H$933,0),MATCH(P$5,PORTS!$H$626:$Z$626,0))</f>
        <v>-0</v>
      </c>
      <c r="P156" s="352" t="n">
        <f aca="false">(((VLOOKUP(L156,curvecalc,4,0))*IF(F156=0,0,J156/F156)-INDEX(ship_curves,MATCH(L156,'SHIP CURVES'!$A$9:$A$316,0),MATCH(CONCATENATE(P$4,P$5,P$6,P$7),'SHIP CURVES'!$A$9:$Z$9,0))-INDEX(terminal_curves,MATCH(L156,'TERMINAL CURVES'!$A$4:$A$313,0),MATCH(P$5,'TERMINAL CURVES'!$A$4:$N$4,0))*IF(F156=0,0,H156/F156))-(N$8)*((N$7-$N$5)-(INDEX(ship_curves,MATCH(L156,'SHIP CURVES'!$A$9:$A$316,0),MATCH(CONCATENATE(P$4,P$5,P$6,P$7),'SHIP CURVES'!$A$9:$Z$9,0))-INDEX(ship_curves,MATCH(L156,'SHIP CURVES'!$A$9:$A$316,0),MATCH(CONCATENATE(P$4,N$6,P$6,P$7),'SHIP CURVES'!$A$9:$Z$9,0)))-(INDEX(terminal_curves,MATCH(L156,'TERMINAL CURVES'!$A$4:$A$313,0),MATCH(P$5,'TERMINAL CURVES'!$A$4:$N$4,0))-INDEX(terminal_curves,MATCH(L156,'TERMINAL CURVES'!$A$4:$A$313,0),MATCH(N$6,'TERMINAL CURVES'!$A$4:$N$4,0)))*IF(F156=0,0,H156/F156)))*-F156</f>
        <v>0</v>
      </c>
      <c r="Q156" s="353" t="n">
        <f aca="false">SUM(N156:P156)</f>
        <v>0</v>
      </c>
      <c r="R156" s="357" t="n">
        <f aca="false">(-H156/((HLOOKUP(P$5,port_specs,2,0)/(365.25))*(L157-L156)))*(INDEX(fixed_capacity_charge,MATCH(L156,PORTS!$H$11:$H$317,0),MATCH(P$5,PORTS!$H$11:$N$11,0))+INDEX(variable_om_charge,MATCH(L156,PORTS!$H$318:$H$625,0),MATCH(P$5,PORTS!$H$318:$N$318,0)))</f>
        <v>-0</v>
      </c>
      <c r="S156" s="343" t="n">
        <f aca="false">+R156+Q156</f>
        <v>0</v>
      </c>
      <c r="T156" s="355" t="n">
        <f aca="false">+S156+M156</f>
        <v>0</v>
      </c>
      <c r="V156" s="346" t="n">
        <f aca="false">+DATE(YEAR(V155),MONTH(V155)+1,1)</f>
        <v>40909</v>
      </c>
      <c r="W156" s="327" t="n">
        <f aca="false">+Y156/(1-HLOOKUP(X$6,SHIPS,7,0)*INDEX(LADEN_VOYAGE_DAYS,MATCH(CONCATENATE(X$4,X$5),LADEN_VOYAGE_ROUTES,0),MATCH(X$6,LADEN_VOYAGE_SHIPS,0)))</f>
        <v>0</v>
      </c>
      <c r="X156" s="347" t="n">
        <f aca="false">+Y156-W156</f>
        <v>0</v>
      </c>
      <c r="Y156" s="348" t="n">
        <f aca="false">+IF(AND(X$8&lt;=V156,X$9&gt;=V156),+MIN($B156-SUMIF($H$17:X$17,Y$17,$H156:X156),((INDEX(ROUTE_PER_DAY_BY_SHIP,MATCH(CONCATENATE(X$4,X$5,X$7),ROUTE_PER_DAY_ROUTES,0),MATCH(X$6,ROUTE_PER_DAY_SHIPS,0))*(V157-V156))-(INDEX(ROUTE_PER_DAY_BY_SHIP,MATCH(CONCATENATE(X$4,X$5,X$7),ROUTE_PER_DAY_ROUTES,0),MATCH(X$6,ROUTE_PER_DAY_SHIPS,0))*(V157-V156))*HLOOKUP(X$6,SHIPS,7,0)*INDEX(LADEN_VOYAGE_DAYS,MATCH(CONCATENATE(X$4,X$5,X$7),LADEN_VOYAGE_ROUTES,0),MATCH(X$6,LADEN_VOYAGE_SHIPS,0)))),0)</f>
        <v>0</v>
      </c>
      <c r="Z156" s="349" t="n">
        <f aca="false">-(Y156)*HLOOKUP(X$5,TERMINAL_CHARGES,3,0)</f>
        <v>-0</v>
      </c>
      <c r="AA156" s="327" t="n">
        <f aca="false">+Y156+Z156</f>
        <v>0</v>
      </c>
      <c r="AB156" s="333"/>
      <c r="AC156" s="346" t="n">
        <f aca="false">+DATE(YEAR(AC155),MONTH(AC155)+1,1)</f>
        <v>40909</v>
      </c>
      <c r="AD156" s="343" t="n">
        <f aca="false">+AA156*(VLOOKUP(AC156,CURVECALC!$C$6:$J$312,4,0)+AE$5)</f>
        <v>0</v>
      </c>
      <c r="AE156" s="350" t="n">
        <f aca="false">-W156*INDEX(ship_curves,MATCH(AC156,'SHIP CURVES'!$A$9:$A$316,0),MATCH(CONCATENATE(AG$4,AG$5,AG$6,AG$7),'SHIP CURVES'!$A$9:$AZ$9,0))</f>
        <v>-0</v>
      </c>
      <c r="AF156" s="351" t="n">
        <f aca="false">-Y156*INDEX(port_processing_fee,MATCH(AC156,PORTS!$H$626:$H$933,0),MATCH(AG$5,PORTS!$H$626:$Z$626,0))</f>
        <v>-0</v>
      </c>
      <c r="AG156" s="352" t="n">
        <f aca="false">(((VLOOKUP(AC156,curvecalc,4,0))*IF(W156=0,0,AA156/W156)-INDEX(ship_curves,MATCH(AC156,'SHIP CURVES'!$A$9:$A$316,0),MATCH(CONCATENATE(AG$4,AG$5,AG$6,AG$7),'SHIP CURVES'!$A$9:$Z$9,0))-INDEX(terminal_curves,MATCH(AC156,'TERMINAL CURVES'!$A$4:$A$313,0),MATCH(AG$5,'TERMINAL CURVES'!$A$4:$N$4,0))*IF(W156=0,0,Y156/W156))-(AE$8)*((AE$7-$N$5)-(INDEX(ship_curves,MATCH(AC156,'SHIP CURVES'!$A$9:$A$316,0),MATCH(CONCATENATE(AG$4,AG$5,AG$6,AG$7),'SHIP CURVES'!$A$9:$Z$9,0))-INDEX(ship_curves,MATCH(AC156,'SHIP CURVES'!$A$9:$A$316,0),MATCH(CONCATENATE(AG$4,AE$6,AG$6,AG$7),'SHIP CURVES'!$A$9:$Z$9,0)))-(INDEX(terminal_curves,MATCH(AC156,'TERMINAL CURVES'!$A$4:$A$313,0),MATCH(AG$5,'TERMINAL CURVES'!$A$4:$N$4,0))-INDEX(terminal_curves,MATCH(AC156,'TERMINAL CURVES'!$A$4:$A$313,0),MATCH(AE$6,'TERMINAL CURVES'!$A$4:$N$4,0)))*IF(W156=0,0,Y156/W156)))*-W156</f>
        <v>0</v>
      </c>
      <c r="AH156" s="356" t="n">
        <f aca="false">SUM(AE156:AG156)</f>
        <v>0</v>
      </c>
      <c r="AI156" s="357" t="n">
        <f aca="false">(-Y156/((HLOOKUP(AG$5,port_specs,2,0)/(365.25))*(AC157-AC156)))*(INDEX(fixed_capacity_charge,MATCH(AC156,PORTS!$H$11:$H$317,0),MATCH(AG$5,PORTS!$H$11:$N$11,0))+INDEX(variable_om_charge,MATCH(AC156,PORTS!$H$318:$H$625,0),MATCH(AG$5,PORTS!$H$318:$N$318,0)))</f>
        <v>-0</v>
      </c>
      <c r="AJ156" s="343" t="n">
        <f aca="false">+AI156+AH156</f>
        <v>0</v>
      </c>
      <c r="AK156" s="355" t="n">
        <f aca="false">+AJ156+AD156</f>
        <v>0</v>
      </c>
      <c r="AM156" s="346" t="n">
        <f aca="false">+DATE(YEAR(AM155),MONTH(AM155)+1,1)</f>
        <v>40909</v>
      </c>
      <c r="AN156" s="327" t="n">
        <f aca="false">+AP156/(1-HLOOKUP(AO$6,SHIPS,7,0)*INDEX(LADEN_VOYAGE_DAYS,MATCH(CONCATENATE(AO$4,AO$5),LADEN_VOYAGE_ROUTES,0),MATCH(AO$6,LADEN_VOYAGE_SHIPS,0)))</f>
        <v>5395761.47735991</v>
      </c>
      <c r="AO156" s="347" t="n">
        <f aca="false">+AP156-AN156</f>
        <v>-56655.4955122788</v>
      </c>
      <c r="AP156" s="348" t="n">
        <f aca="false">+IF(AND(AO$8&lt;=AM156,AO$9&gt;=AM156),+MIN($B156-SUMIF($H$17:AO$17,AP$17,$H156:AO156),((INDEX(ROUTE_PER_DAY_BY_SHIP,MATCH(CONCATENATE(AO$4,AO$5,AO$7),ROUTE_PER_DAY_ROUTES,0),MATCH(AO$6,ROUTE_PER_DAY_SHIPS,0))*(AM157-AM156))-(INDEX(ROUTE_PER_DAY_BY_SHIP,MATCH(CONCATENATE(AO$4,AO$5,AO$7),ROUTE_PER_DAY_ROUTES,0),MATCH(AO$6,ROUTE_PER_DAY_SHIPS,0))*(AM157-AM156))*HLOOKUP(AO$6,SHIPS,7,0)*INDEX(LADEN_VOYAGE_DAYS,MATCH(CONCATENATE(AO$4,AO$5,AO$7),LADEN_VOYAGE_ROUTES,0),MATCH(AO$6,LADEN_VOYAGE_SHIPS,0)))),0)</f>
        <v>5339105.98184763</v>
      </c>
      <c r="AQ156" s="349" t="n">
        <f aca="false">-(AP156)*PORTS!$I$6</f>
        <v>-133477.649546191</v>
      </c>
      <c r="AR156" s="327" t="n">
        <f aca="false">+AP156+AQ156</f>
        <v>5205628.33230144</v>
      </c>
      <c r="AS156" s="333"/>
      <c r="AT156" s="346" t="n">
        <f aca="false">+DATE(YEAR(AT155),MONTH(AT155)+1,1)</f>
        <v>40909</v>
      </c>
      <c r="AU156" s="343" t="n">
        <f aca="false">+AR156*(VLOOKUP(AT156,CURVECALC!$C$6:$J$312,4,0)+AV$5)</f>
        <v>19744948.2644194</v>
      </c>
      <c r="AV156" s="350" t="n">
        <f aca="false">-AN156*INDEX(ship_curves,MATCH(AT156,'SHIP CURVES'!$A$9:$A$316,0),MATCH(CONCATENATE(AX$4,AX$5,AX$6,AX$7),'SHIP CURVES'!$A$9:$AZ$9,0))</f>
        <v>-1805969.15027415</v>
      </c>
      <c r="AW156" s="351" t="n">
        <f aca="false">-AP156*INDEX(port_processing_fee,MATCH(AT156,PORTS!$H$626:$H$933,0),MATCH(AX$5,PORTS!$H$626:$Z$626,0))</f>
        <v>-163282.220825468</v>
      </c>
      <c r="AX156" s="352" t="n">
        <f aca="false">(((VLOOKUP(AT156,curvecalc,4,0))*IF(AN156=0,0,AR156/AN156)-INDEX(ship_curves,MATCH(AT156,'SHIP CURVES'!$A$9:$A$316,0),MATCH(CONCATENATE(AX$4,AX$5,AX$6,AX$7),'SHIP CURVES'!$A$9:$Z$9,0))-INDEX(terminal_curves,MATCH(AT156,'TERMINAL CURVES'!$A$4:$A$313,0),MATCH(AX$5,'TERMINAL CURVES'!$A$4:$N$4,0))*IF(AN156=0,0,AP156/AN156))-(AV$8)*((AV$7-$N$5)-(INDEX(ship_curves,MATCH(AT156,'SHIP CURVES'!$A$9:$A$316,0),MATCH(CONCATENATE(AX$4,AX$5,AX$6,AX$7),'SHIP CURVES'!$A$9:$Z$9,0))-INDEX(ship_curves,MATCH(AT156,'SHIP CURVES'!$A$9:$A$316,0),MATCH(CONCATENATE(AX$4,AV$6,AX$6,AX$7),'SHIP CURVES'!$A$9:$Z$9,0)))-(INDEX(terminal_curves,MATCH(AT156,'TERMINAL CURVES'!$A$4:$A$313,0),MATCH(AX$5,'TERMINAL CURVES'!$A$4:$N$4,0))-INDEX(terminal_curves,MATCH(AT156,'TERMINAL CURVES'!$A$4:$A$313,0),MATCH(AV$6,'TERMINAL CURVES'!$A$4:$N$4,0)))*IF(AN156=0,0,AP156/AN156)))*-AN156</f>
        <v>-16660368.7944031</v>
      </c>
      <c r="AY156" s="356" t="n">
        <f aca="false">SUM(AV156:AX156)</f>
        <v>-18629620.1655027</v>
      </c>
      <c r="AZ156" s="357" t="n">
        <f aca="false">(-AP156/((HLOOKUP(AX$5,port_specs,2,0)/(365.25))*(AT157-AT156)))*(INDEX(fixed_capacity_charge,MATCH(AT156,PORTS!$H$11:$H$317,0),MATCH(AX$5,PORTS!$H$11:$N$11,0))+INDEX(variable_om_charge,MATCH(AT156,PORTS!$H$318:$H$625,0),MATCH(AX$5,PORTS!$H$318:$N$318,0)))</f>
        <v>-1011215.53227063</v>
      </c>
      <c r="BA156" s="343" t="n">
        <f aca="false">+AZ156+AY156</f>
        <v>-19640835.6977733</v>
      </c>
      <c r="BB156" s="355" t="n">
        <f aca="false">+BA156+AU156</f>
        <v>104112.566646028</v>
      </c>
      <c r="BC156" s="99"/>
      <c r="BD156" s="357" t="n">
        <f aca="false">+PORTS!I150+PORTS!I458</f>
        <v>1011215.53227063</v>
      </c>
    </row>
    <row r="157" customFormat="false" ht="12.75" hidden="false" customHeight="false" outlineLevel="0" collapsed="false">
      <c r="A157" s="346" t="n">
        <f aca="false">+DATE(YEAR(A156),MONTH(A156)+1,1)</f>
        <v>40940</v>
      </c>
      <c r="B157" s="327" t="n">
        <f aca="false">+IF(AND($A157&gt;=$C$8,$A157&lt;=$C$9),1,0)*PORTS!$I$5/(365.25)*(A158-A157)</f>
        <v>4994647.53140585</v>
      </c>
      <c r="C157" s="328" t="n">
        <f aca="false">+B157-(SUMIF($F$17:$IV$17,$H$17,$F157:$IV157))</f>
        <v>0</v>
      </c>
      <c r="D157" s="0" t="n">
        <f aca="false">+YEAR(E157)</f>
        <v>2012</v>
      </c>
      <c r="E157" s="346" t="n">
        <f aca="false">+DATE(YEAR(E156),MONTH(E156)+1,1)</f>
        <v>40940</v>
      </c>
      <c r="F157" s="327" t="n">
        <f aca="false">+IF(AND(G$8&lt;=E157,G$9&gt;=E157),INDEX(ROUTE_PER_DAY_BY_SHIP,MATCH(CONCATENATE(G$4,G$5,G$7),ROUTE_PER_DAY_ROUTES,0),MATCH(G$6,ROUTE_PER_DAY_SHIPS,0))*(E158-E157),0)</f>
        <v>0</v>
      </c>
      <c r="G157" s="347" t="n">
        <f aca="false">-F157*HLOOKUP(G$6,SHIPS,7,0)*INDEX(LADEN_VOYAGE_DAYS,MATCH(CONCATENATE(G$4,G$5,G$7),LADEN_VOYAGE_ROUTES,0),MATCH(G$6,LADEN_VOYAGE_SHIPS,0))</f>
        <v>-0</v>
      </c>
      <c r="H157" s="348" t="n">
        <f aca="false">SUM(F157:G157)</f>
        <v>0</v>
      </c>
      <c r="I157" s="349" t="n">
        <f aca="false">-(H157)*HLOOKUP(G$5,TERMINAL_CHARGES,3,0)</f>
        <v>-0</v>
      </c>
      <c r="J157" s="327" t="n">
        <f aca="false">+H157+I157</f>
        <v>0</v>
      </c>
      <c r="K157" s="333"/>
      <c r="L157" s="346" t="n">
        <f aca="false">+DATE(YEAR(L156),MONTH(L156)+1,1)</f>
        <v>40940</v>
      </c>
      <c r="M157" s="334" t="n">
        <f aca="false">+J157*(VLOOKUP(L157,CURVECALC!$C$6:$J$312,4,0)+N$5)</f>
        <v>0</v>
      </c>
      <c r="N157" s="350" t="n">
        <f aca="false">-F157*INDEX(ship_curves,MATCH(L157,'SHIP CURVES'!$A$9:$A$316,0),MATCH(CONCATENATE(P$4,P$5,P$6,P$7),'SHIP CURVES'!$A$9:$AZ$9,0))</f>
        <v>-0</v>
      </c>
      <c r="O157" s="351" t="n">
        <f aca="false">-H157*INDEX(port_processing_fee,MATCH(L157,PORTS!$H$626:$H$933,0),MATCH(P$5,PORTS!$H$626:$Z$626,0))</f>
        <v>-0</v>
      </c>
      <c r="P157" s="352" t="n">
        <f aca="false">(((VLOOKUP(L157,curvecalc,4,0))*IF(F157=0,0,J157/F157)-INDEX(ship_curves,MATCH(L157,'SHIP CURVES'!$A$9:$A$316,0),MATCH(CONCATENATE(P$4,P$5,P$6,P$7),'SHIP CURVES'!$A$9:$Z$9,0))-INDEX(terminal_curves,MATCH(L157,'TERMINAL CURVES'!$A$4:$A$313,0),MATCH(P$5,'TERMINAL CURVES'!$A$4:$N$4,0))*IF(F157=0,0,H157/F157))-(N$8)*((N$7-$N$5)-(INDEX(ship_curves,MATCH(L157,'SHIP CURVES'!$A$9:$A$316,0),MATCH(CONCATENATE(P$4,P$5,P$6,P$7),'SHIP CURVES'!$A$9:$Z$9,0))-INDEX(ship_curves,MATCH(L157,'SHIP CURVES'!$A$9:$A$316,0),MATCH(CONCATENATE(P$4,N$6,P$6,P$7),'SHIP CURVES'!$A$9:$Z$9,0)))-(INDEX(terminal_curves,MATCH(L157,'TERMINAL CURVES'!$A$4:$A$313,0),MATCH(P$5,'TERMINAL CURVES'!$A$4:$N$4,0))-INDEX(terminal_curves,MATCH(L157,'TERMINAL CURVES'!$A$4:$A$313,0),MATCH(N$6,'TERMINAL CURVES'!$A$4:$N$4,0)))*IF(F157=0,0,H157/F157)))*-F157</f>
        <v>0</v>
      </c>
      <c r="Q157" s="353" t="n">
        <f aca="false">SUM(N157:P157)</f>
        <v>0</v>
      </c>
      <c r="R157" s="357" t="n">
        <f aca="false">(-H157/((HLOOKUP(P$5,port_specs,2,0)/(365.25))*(L158-L157)))*(INDEX(fixed_capacity_charge,MATCH(L157,PORTS!$H$11:$H$317,0),MATCH(P$5,PORTS!$H$11:$N$11,0))+INDEX(variable_om_charge,MATCH(L157,PORTS!$H$318:$H$625,0),MATCH(P$5,PORTS!$H$318:$N$318,0)))</f>
        <v>-0</v>
      </c>
      <c r="S157" s="343" t="n">
        <f aca="false">+R157+Q157</f>
        <v>0</v>
      </c>
      <c r="T157" s="355" t="n">
        <f aca="false">+S157+M157</f>
        <v>0</v>
      </c>
      <c r="V157" s="346" t="n">
        <f aca="false">+DATE(YEAR(V156),MONTH(V156)+1,1)</f>
        <v>40940</v>
      </c>
      <c r="W157" s="327" t="n">
        <f aca="false">+Y157/(1-HLOOKUP(X$6,SHIPS,7,0)*INDEX(LADEN_VOYAGE_DAYS,MATCH(CONCATENATE(X$4,X$5),LADEN_VOYAGE_ROUTES,0),MATCH(X$6,LADEN_VOYAGE_SHIPS,0)))</f>
        <v>0</v>
      </c>
      <c r="X157" s="347" t="n">
        <f aca="false">+Y157-W157</f>
        <v>0</v>
      </c>
      <c r="Y157" s="348" t="n">
        <f aca="false">+IF(AND(X$8&lt;=V157,X$9&gt;=V157),+MIN($B157-SUMIF($H$17:X$17,Y$17,$H157:X157),((INDEX(ROUTE_PER_DAY_BY_SHIP,MATCH(CONCATENATE(X$4,X$5,X$7),ROUTE_PER_DAY_ROUTES,0),MATCH(X$6,ROUTE_PER_DAY_SHIPS,0))*(V158-V157))-(INDEX(ROUTE_PER_DAY_BY_SHIP,MATCH(CONCATENATE(X$4,X$5,X$7),ROUTE_PER_DAY_ROUTES,0),MATCH(X$6,ROUTE_PER_DAY_SHIPS,0))*(V158-V157))*HLOOKUP(X$6,SHIPS,7,0)*INDEX(LADEN_VOYAGE_DAYS,MATCH(CONCATENATE(X$4,X$5,X$7),LADEN_VOYAGE_ROUTES,0),MATCH(X$6,LADEN_VOYAGE_SHIPS,0)))),0)</f>
        <v>0</v>
      </c>
      <c r="Z157" s="349" t="n">
        <f aca="false">-(Y157)*HLOOKUP(X$5,TERMINAL_CHARGES,3,0)</f>
        <v>-0</v>
      </c>
      <c r="AA157" s="327" t="n">
        <f aca="false">+Y157+Z157</f>
        <v>0</v>
      </c>
      <c r="AB157" s="333"/>
      <c r="AC157" s="346" t="n">
        <f aca="false">+DATE(YEAR(AC156),MONTH(AC156)+1,1)</f>
        <v>40940</v>
      </c>
      <c r="AD157" s="343" t="n">
        <f aca="false">+AA157*(VLOOKUP(AC157,CURVECALC!$C$6:$J$312,4,0)+AE$5)</f>
        <v>0</v>
      </c>
      <c r="AE157" s="350" t="n">
        <f aca="false">-W157*INDEX(ship_curves,MATCH(AC157,'SHIP CURVES'!$A$9:$A$316,0),MATCH(CONCATENATE(AG$4,AG$5,AG$6,AG$7),'SHIP CURVES'!$A$9:$AZ$9,0))</f>
        <v>-0</v>
      </c>
      <c r="AF157" s="351" t="n">
        <f aca="false">-Y157*INDEX(port_processing_fee,MATCH(AC157,PORTS!$H$626:$H$933,0),MATCH(AG$5,PORTS!$H$626:$Z$626,0))</f>
        <v>-0</v>
      </c>
      <c r="AG157" s="352" t="n">
        <f aca="false">(((VLOOKUP(AC157,curvecalc,4,0))*IF(W157=0,0,AA157/W157)-INDEX(ship_curves,MATCH(AC157,'SHIP CURVES'!$A$9:$A$316,0),MATCH(CONCATENATE(AG$4,AG$5,AG$6,AG$7),'SHIP CURVES'!$A$9:$Z$9,0))-INDEX(terminal_curves,MATCH(AC157,'TERMINAL CURVES'!$A$4:$A$313,0),MATCH(AG$5,'TERMINAL CURVES'!$A$4:$N$4,0))*IF(W157=0,0,Y157/W157))-(AE$8)*((AE$7-$N$5)-(INDEX(ship_curves,MATCH(AC157,'SHIP CURVES'!$A$9:$A$316,0),MATCH(CONCATENATE(AG$4,AG$5,AG$6,AG$7),'SHIP CURVES'!$A$9:$Z$9,0))-INDEX(ship_curves,MATCH(AC157,'SHIP CURVES'!$A$9:$A$316,0),MATCH(CONCATENATE(AG$4,AE$6,AG$6,AG$7),'SHIP CURVES'!$A$9:$Z$9,0)))-(INDEX(terminal_curves,MATCH(AC157,'TERMINAL CURVES'!$A$4:$A$313,0),MATCH(AG$5,'TERMINAL CURVES'!$A$4:$N$4,0))-INDEX(terminal_curves,MATCH(AC157,'TERMINAL CURVES'!$A$4:$A$313,0),MATCH(AE$6,'TERMINAL CURVES'!$A$4:$N$4,0)))*IF(W157=0,0,Y157/W157)))*-W157</f>
        <v>0</v>
      </c>
      <c r="AH157" s="356" t="n">
        <f aca="false">SUM(AE157:AG157)</f>
        <v>0</v>
      </c>
      <c r="AI157" s="357" t="n">
        <f aca="false">(-Y157/((HLOOKUP(AG$5,port_specs,2,0)/(365.25))*(AC158-AC157)))*(INDEX(fixed_capacity_charge,MATCH(AC157,PORTS!$H$11:$H$317,0),MATCH(AG$5,PORTS!$H$11:$N$11,0))+INDEX(variable_om_charge,MATCH(AC157,PORTS!$H$318:$H$625,0),MATCH(AG$5,PORTS!$H$318:$N$318,0)))</f>
        <v>-0</v>
      </c>
      <c r="AJ157" s="343" t="n">
        <f aca="false">+AI157+AH157</f>
        <v>0</v>
      </c>
      <c r="AK157" s="355" t="n">
        <f aca="false">+AJ157+AD157</f>
        <v>0</v>
      </c>
      <c r="AM157" s="346" t="n">
        <f aca="false">+DATE(YEAR(AM156),MONTH(AM156)+1,1)</f>
        <v>40940</v>
      </c>
      <c r="AN157" s="327" t="n">
        <f aca="false">+AP157/(1-HLOOKUP(AO$6,SHIPS,7,0)*INDEX(LADEN_VOYAGE_DAYS,MATCH(CONCATENATE(AO$4,AO$5),LADEN_VOYAGE_ROUTES,0),MATCH(AO$6,LADEN_VOYAGE_SHIPS,0)))</f>
        <v>5047647.83365927</v>
      </c>
      <c r="AO157" s="347" t="n">
        <f aca="false">+AP157-AN157</f>
        <v>-53000.3022534223</v>
      </c>
      <c r="AP157" s="348" t="n">
        <f aca="false">+IF(AND(AO$8&lt;=AM157,AO$9&gt;=AM157),+MIN($B157-SUMIF($H$17:AO$17,AP$17,$H157:AO157),((INDEX(ROUTE_PER_DAY_BY_SHIP,MATCH(CONCATENATE(AO$4,AO$5,AO$7),ROUTE_PER_DAY_ROUTES,0),MATCH(AO$6,ROUTE_PER_DAY_SHIPS,0))*(AM158-AM157))-(INDEX(ROUTE_PER_DAY_BY_SHIP,MATCH(CONCATENATE(AO$4,AO$5,AO$7),ROUTE_PER_DAY_ROUTES,0),MATCH(AO$6,ROUTE_PER_DAY_SHIPS,0))*(AM158-AM157))*HLOOKUP(AO$6,SHIPS,7,0)*INDEX(LADEN_VOYAGE_DAYS,MATCH(CONCATENATE(AO$4,AO$5,AO$7),LADEN_VOYAGE_ROUTES,0),MATCH(AO$6,LADEN_VOYAGE_SHIPS,0)))),0)</f>
        <v>4994647.53140585</v>
      </c>
      <c r="AQ157" s="349" t="n">
        <f aca="false">-(AP157)*PORTS!$I$6</f>
        <v>-124866.188285146</v>
      </c>
      <c r="AR157" s="327" t="n">
        <f aca="false">+AP157+AQ157</f>
        <v>4869781.34312071</v>
      </c>
      <c r="AS157" s="333"/>
      <c r="AT157" s="346" t="n">
        <f aca="false">+DATE(YEAR(AT156),MONTH(AT156)+1,1)</f>
        <v>40940</v>
      </c>
      <c r="AU157" s="343" t="n">
        <f aca="false">+AR157*(VLOOKUP(AT157,CURVECALC!$C$6:$J$312,4,0)+AV$5)</f>
        <v>18013321.1882035</v>
      </c>
      <c r="AV157" s="350" t="n">
        <f aca="false">-AN157*INDEX(ship_curves,MATCH(AT157,'SHIP CURVES'!$A$9:$A$316,0),MATCH(CONCATENATE(AX$4,AX$5,AX$6,AX$7),'SHIP CURVES'!$A$9:$AZ$9,0))</f>
        <v>-1689985.19980448</v>
      </c>
      <c r="AW157" s="351" t="n">
        <f aca="false">-AP157*INDEX(port_processing_fee,MATCH(AT157,PORTS!$H$626:$H$933,0),MATCH(AX$5,PORTS!$H$626:$Z$626,0))</f>
        <v>-152906.996377183</v>
      </c>
      <c r="AX157" s="352" t="n">
        <f aca="false">(((VLOOKUP(AT157,curvecalc,4,0))*IF(AN157=0,0,AR157/AN157)-INDEX(ship_curves,MATCH(AT157,'SHIP CURVES'!$A$9:$A$316,0),MATCH(CONCATENATE(AX$4,AX$5,AX$6,AX$7),'SHIP CURVES'!$A$9:$Z$9,0))-INDEX(terminal_curves,MATCH(AT157,'TERMINAL CURVES'!$A$4:$A$313,0),MATCH(AX$5,'TERMINAL CURVES'!$A$4:$N$4,0))*IF(AN157=0,0,AP157/AN157))-(AV$8)*((AV$7-$N$5)-(INDEX(ship_curves,MATCH(AT157,'SHIP CURVES'!$A$9:$A$316,0),MATCH(CONCATENATE(AX$4,AX$5,AX$6,AX$7),'SHIP CURVES'!$A$9:$Z$9,0))-INDEX(ship_curves,MATCH(AT157,'SHIP CURVES'!$A$9:$A$316,0),MATCH(CONCATENATE(AX$4,AV$6,AX$6,AX$7),'SHIP CURVES'!$A$9:$Z$9,0)))-(INDEX(terminal_curves,MATCH(AT157,'TERMINAL CURVES'!$A$4:$A$313,0),MATCH(AX$5,'TERMINAL CURVES'!$A$4:$N$4,0))-INDEX(terminal_curves,MATCH(AT157,'TERMINAL CURVES'!$A$4:$A$313,0),MATCH(AV$6,'TERMINAL CURVES'!$A$4:$N$4,0)))*IF(AN157=0,0,AP157/AN157)))*-AN157</f>
        <v>-15061269.886054</v>
      </c>
      <c r="AY157" s="356" t="n">
        <f aca="false">SUM(AV157:AX157)</f>
        <v>-16904162.0822357</v>
      </c>
      <c r="AZ157" s="357" t="n">
        <f aca="false">(-AP157/((HLOOKUP(AX$5,port_specs,2,0)/(365.25))*(AT158-AT157)))*(INDEX(fixed_capacity_charge,MATCH(AT157,PORTS!$H$11:$H$317,0),MATCH(AX$5,PORTS!$H$11:$N$11,0))+INDEX(variable_om_charge,MATCH(AT157,PORTS!$H$318:$H$625,0),MATCH(AX$5,PORTS!$H$318:$N$318,0)))</f>
        <v>-1011763.47910538</v>
      </c>
      <c r="BA157" s="343" t="n">
        <f aca="false">+AZ157+AY157</f>
        <v>-17915925.5613411</v>
      </c>
      <c r="BB157" s="355" t="n">
        <f aca="false">+BA157+AU157</f>
        <v>97395.6268624142</v>
      </c>
      <c r="BC157" s="99"/>
      <c r="BD157" s="357" t="n">
        <f aca="false">+PORTS!I151+PORTS!I459</f>
        <v>1011763.47910538</v>
      </c>
    </row>
    <row r="158" customFormat="false" ht="12.75" hidden="false" customHeight="false" outlineLevel="0" collapsed="false">
      <c r="A158" s="346" t="n">
        <f aca="false">+DATE(YEAR(A157),MONTH(A157)+1,1)</f>
        <v>40969</v>
      </c>
      <c r="B158" s="327" t="n">
        <f aca="false">+IF(AND($A158&gt;=$C$8,$A158&lt;=$C$9),1,0)*PORTS!$I$5/(365.25)*(A159-A158)</f>
        <v>5339105.98184763</v>
      </c>
      <c r="C158" s="328" t="n">
        <f aca="false">+B158-(SUMIF($F$17:$IV$17,$H$17,$F158:$IV158))</f>
        <v>0</v>
      </c>
      <c r="D158" s="0" t="n">
        <f aca="false">+YEAR(E158)</f>
        <v>2012</v>
      </c>
      <c r="E158" s="346" t="n">
        <f aca="false">+DATE(YEAR(E157),MONTH(E157)+1,1)</f>
        <v>40969</v>
      </c>
      <c r="F158" s="327" t="n">
        <f aca="false">+IF(AND(G$8&lt;=E158,G$9&gt;=E158),INDEX(ROUTE_PER_DAY_BY_SHIP,MATCH(CONCATENATE(G$4,G$5,G$7),ROUTE_PER_DAY_ROUTES,0),MATCH(G$6,ROUTE_PER_DAY_SHIPS,0))*(E159-E158),0)</f>
        <v>0</v>
      </c>
      <c r="G158" s="347" t="n">
        <f aca="false">-F158*HLOOKUP(G$6,SHIPS,7,0)*INDEX(LADEN_VOYAGE_DAYS,MATCH(CONCATENATE(G$4,G$5,G$7),LADEN_VOYAGE_ROUTES,0),MATCH(G$6,LADEN_VOYAGE_SHIPS,0))</f>
        <v>-0</v>
      </c>
      <c r="H158" s="348" t="n">
        <f aca="false">SUM(F158:G158)</f>
        <v>0</v>
      </c>
      <c r="I158" s="349" t="n">
        <f aca="false">-(H158)*HLOOKUP(G$5,TERMINAL_CHARGES,3,0)</f>
        <v>-0</v>
      </c>
      <c r="J158" s="327" t="n">
        <f aca="false">+H158+I158</f>
        <v>0</v>
      </c>
      <c r="K158" s="333"/>
      <c r="L158" s="346" t="n">
        <f aca="false">+DATE(YEAR(L157),MONTH(L157)+1,1)</f>
        <v>40969</v>
      </c>
      <c r="M158" s="334" t="n">
        <f aca="false">+J158*(VLOOKUP(L158,CURVECALC!$C$6:$J$312,4,0)+N$5)</f>
        <v>0</v>
      </c>
      <c r="N158" s="350" t="n">
        <f aca="false">-F158*INDEX(ship_curves,MATCH(L158,'SHIP CURVES'!$A$9:$A$316,0),MATCH(CONCATENATE(P$4,P$5,P$6,P$7),'SHIP CURVES'!$A$9:$AZ$9,0))</f>
        <v>-0</v>
      </c>
      <c r="O158" s="351" t="n">
        <f aca="false">-H158*INDEX(port_processing_fee,MATCH(L158,PORTS!$H$626:$H$933,0),MATCH(P$5,PORTS!$H$626:$Z$626,0))</f>
        <v>-0</v>
      </c>
      <c r="P158" s="352" t="n">
        <f aca="false">(((VLOOKUP(L158,curvecalc,4,0))*IF(F158=0,0,J158/F158)-INDEX(ship_curves,MATCH(L158,'SHIP CURVES'!$A$9:$A$316,0),MATCH(CONCATENATE(P$4,P$5,P$6,P$7),'SHIP CURVES'!$A$9:$Z$9,0))-INDEX(terminal_curves,MATCH(L158,'TERMINAL CURVES'!$A$4:$A$313,0),MATCH(P$5,'TERMINAL CURVES'!$A$4:$N$4,0))*IF(F158=0,0,H158/F158))-(N$8)*((N$7-$N$5)-(INDEX(ship_curves,MATCH(L158,'SHIP CURVES'!$A$9:$A$316,0),MATCH(CONCATENATE(P$4,P$5,P$6,P$7),'SHIP CURVES'!$A$9:$Z$9,0))-INDEX(ship_curves,MATCH(L158,'SHIP CURVES'!$A$9:$A$316,0),MATCH(CONCATENATE(P$4,N$6,P$6,P$7),'SHIP CURVES'!$A$9:$Z$9,0)))-(INDEX(terminal_curves,MATCH(L158,'TERMINAL CURVES'!$A$4:$A$313,0),MATCH(P$5,'TERMINAL CURVES'!$A$4:$N$4,0))-INDEX(terminal_curves,MATCH(L158,'TERMINAL CURVES'!$A$4:$A$313,0),MATCH(N$6,'TERMINAL CURVES'!$A$4:$N$4,0)))*IF(F158=0,0,H158/F158)))*-F158</f>
        <v>0</v>
      </c>
      <c r="Q158" s="353" t="n">
        <f aca="false">SUM(N158:P158)</f>
        <v>0</v>
      </c>
      <c r="R158" s="357" t="n">
        <f aca="false">(-H158/((HLOOKUP(P$5,port_specs,2,0)/(365.25))*(L159-L158)))*(INDEX(fixed_capacity_charge,MATCH(L158,PORTS!$H$11:$H$317,0),MATCH(P$5,PORTS!$H$11:$N$11,0))+INDEX(variable_om_charge,MATCH(L158,PORTS!$H$318:$H$625,0),MATCH(P$5,PORTS!$H$318:$N$318,0)))</f>
        <v>-0</v>
      </c>
      <c r="S158" s="343" t="n">
        <f aca="false">+R158+Q158</f>
        <v>0</v>
      </c>
      <c r="T158" s="355" t="n">
        <f aca="false">+S158+M158</f>
        <v>0</v>
      </c>
      <c r="V158" s="346" t="n">
        <f aca="false">+DATE(YEAR(V157),MONTH(V157)+1,1)</f>
        <v>40969</v>
      </c>
      <c r="W158" s="327" t="n">
        <f aca="false">+Y158/(1-HLOOKUP(X$6,SHIPS,7,0)*INDEX(LADEN_VOYAGE_DAYS,MATCH(CONCATENATE(X$4,X$5),LADEN_VOYAGE_ROUTES,0),MATCH(X$6,LADEN_VOYAGE_SHIPS,0)))</f>
        <v>0</v>
      </c>
      <c r="X158" s="347" t="n">
        <f aca="false">+Y158-W158</f>
        <v>0</v>
      </c>
      <c r="Y158" s="348" t="n">
        <f aca="false">+IF(AND(X$8&lt;=V158,X$9&gt;=V158),+MIN($B158-SUMIF($H$17:X$17,Y$17,$H158:X158),((INDEX(ROUTE_PER_DAY_BY_SHIP,MATCH(CONCATENATE(X$4,X$5,X$7),ROUTE_PER_DAY_ROUTES,0),MATCH(X$6,ROUTE_PER_DAY_SHIPS,0))*(V159-V158))-(INDEX(ROUTE_PER_DAY_BY_SHIP,MATCH(CONCATENATE(X$4,X$5,X$7),ROUTE_PER_DAY_ROUTES,0),MATCH(X$6,ROUTE_PER_DAY_SHIPS,0))*(V159-V158))*HLOOKUP(X$6,SHIPS,7,0)*INDEX(LADEN_VOYAGE_DAYS,MATCH(CONCATENATE(X$4,X$5,X$7),LADEN_VOYAGE_ROUTES,0),MATCH(X$6,LADEN_VOYAGE_SHIPS,0)))),0)</f>
        <v>0</v>
      </c>
      <c r="Z158" s="349" t="n">
        <f aca="false">-(Y158)*HLOOKUP(X$5,TERMINAL_CHARGES,3,0)</f>
        <v>-0</v>
      </c>
      <c r="AA158" s="327" t="n">
        <f aca="false">+Y158+Z158</f>
        <v>0</v>
      </c>
      <c r="AB158" s="333"/>
      <c r="AC158" s="346" t="n">
        <f aca="false">+DATE(YEAR(AC157),MONTH(AC157)+1,1)</f>
        <v>40969</v>
      </c>
      <c r="AD158" s="343" t="n">
        <f aca="false">+AA158*(VLOOKUP(AC158,CURVECALC!$C$6:$J$312,4,0)+AE$5)</f>
        <v>0</v>
      </c>
      <c r="AE158" s="350" t="n">
        <f aca="false">-W158*INDEX(ship_curves,MATCH(AC158,'SHIP CURVES'!$A$9:$A$316,0),MATCH(CONCATENATE(AG$4,AG$5,AG$6,AG$7),'SHIP CURVES'!$A$9:$AZ$9,0))</f>
        <v>-0</v>
      </c>
      <c r="AF158" s="351" t="n">
        <f aca="false">-Y158*INDEX(port_processing_fee,MATCH(AC158,PORTS!$H$626:$H$933,0),MATCH(AG$5,PORTS!$H$626:$Z$626,0))</f>
        <v>-0</v>
      </c>
      <c r="AG158" s="352" t="n">
        <f aca="false">(((VLOOKUP(AC158,curvecalc,4,0))*IF(W158=0,0,AA158/W158)-INDEX(ship_curves,MATCH(AC158,'SHIP CURVES'!$A$9:$A$316,0),MATCH(CONCATENATE(AG$4,AG$5,AG$6,AG$7),'SHIP CURVES'!$A$9:$Z$9,0))-INDEX(terminal_curves,MATCH(AC158,'TERMINAL CURVES'!$A$4:$A$313,0),MATCH(AG$5,'TERMINAL CURVES'!$A$4:$N$4,0))*IF(W158=0,0,Y158/W158))-(AE$8)*((AE$7-$N$5)-(INDEX(ship_curves,MATCH(AC158,'SHIP CURVES'!$A$9:$A$316,0),MATCH(CONCATENATE(AG$4,AG$5,AG$6,AG$7),'SHIP CURVES'!$A$9:$Z$9,0))-INDEX(ship_curves,MATCH(AC158,'SHIP CURVES'!$A$9:$A$316,0),MATCH(CONCATENATE(AG$4,AE$6,AG$6,AG$7),'SHIP CURVES'!$A$9:$Z$9,0)))-(INDEX(terminal_curves,MATCH(AC158,'TERMINAL CURVES'!$A$4:$A$313,0),MATCH(AG$5,'TERMINAL CURVES'!$A$4:$N$4,0))-INDEX(terminal_curves,MATCH(AC158,'TERMINAL CURVES'!$A$4:$A$313,0),MATCH(AE$6,'TERMINAL CURVES'!$A$4:$N$4,0)))*IF(W158=0,0,Y158/W158)))*-W158</f>
        <v>0</v>
      </c>
      <c r="AH158" s="356" t="n">
        <f aca="false">SUM(AE158:AG158)</f>
        <v>0</v>
      </c>
      <c r="AI158" s="357" t="n">
        <f aca="false">(-Y158/((HLOOKUP(AG$5,port_specs,2,0)/(365.25))*(AC159-AC158)))*(INDEX(fixed_capacity_charge,MATCH(AC158,PORTS!$H$11:$H$317,0),MATCH(AG$5,PORTS!$H$11:$N$11,0))+INDEX(variable_om_charge,MATCH(AC158,PORTS!$H$318:$H$625,0),MATCH(AG$5,PORTS!$H$318:$N$318,0)))</f>
        <v>-0</v>
      </c>
      <c r="AJ158" s="343" t="n">
        <f aca="false">+AI158+AH158</f>
        <v>0</v>
      </c>
      <c r="AK158" s="355" t="n">
        <f aca="false">+AJ158+AD158</f>
        <v>0</v>
      </c>
      <c r="AM158" s="346" t="n">
        <f aca="false">+DATE(YEAR(AM157),MONTH(AM157)+1,1)</f>
        <v>40969</v>
      </c>
      <c r="AN158" s="327" t="n">
        <f aca="false">+AP158/(1-HLOOKUP(AO$6,SHIPS,7,0)*INDEX(LADEN_VOYAGE_DAYS,MATCH(CONCATENATE(AO$4,AO$5),LADEN_VOYAGE_ROUTES,0),MATCH(AO$6,LADEN_VOYAGE_SHIPS,0)))</f>
        <v>5395761.47735991</v>
      </c>
      <c r="AO158" s="347" t="n">
        <f aca="false">+AP158-AN158</f>
        <v>-56655.4955122788</v>
      </c>
      <c r="AP158" s="348" t="n">
        <f aca="false">+IF(AND(AO$8&lt;=AM158,AO$9&gt;=AM158),+MIN($B158-SUMIF($H$17:AO$17,AP$17,$H158:AO158),((INDEX(ROUTE_PER_DAY_BY_SHIP,MATCH(CONCATENATE(AO$4,AO$5,AO$7),ROUTE_PER_DAY_ROUTES,0),MATCH(AO$6,ROUTE_PER_DAY_SHIPS,0))*(AM159-AM158))-(INDEX(ROUTE_PER_DAY_BY_SHIP,MATCH(CONCATENATE(AO$4,AO$5,AO$7),ROUTE_PER_DAY_ROUTES,0),MATCH(AO$6,ROUTE_PER_DAY_SHIPS,0))*(AM159-AM158))*HLOOKUP(AO$6,SHIPS,7,0)*INDEX(LADEN_VOYAGE_DAYS,MATCH(CONCATENATE(AO$4,AO$5,AO$7),LADEN_VOYAGE_ROUTES,0),MATCH(AO$6,LADEN_VOYAGE_SHIPS,0)))),0)</f>
        <v>5339105.98184763</v>
      </c>
      <c r="AQ158" s="349" t="n">
        <f aca="false">-(AP158)*PORTS!$I$6</f>
        <v>-133477.649546191</v>
      </c>
      <c r="AR158" s="327" t="n">
        <f aca="false">+AP158+AQ158</f>
        <v>5205628.33230144</v>
      </c>
      <c r="AS158" s="333"/>
      <c r="AT158" s="346" t="n">
        <f aca="false">+DATE(YEAR(AT157),MONTH(AT157)+1,1)</f>
        <v>40969</v>
      </c>
      <c r="AU158" s="343" t="n">
        <f aca="false">+AR158*(VLOOKUP(AT158,CURVECALC!$C$6:$J$312,4,0)+AV$5)</f>
        <v>18667383.199633</v>
      </c>
      <c r="AV158" s="350" t="n">
        <f aca="false">-AN158*INDEX(ship_curves,MATCH(AT158,'SHIP CURVES'!$A$9:$A$316,0),MATCH(CONCATENATE(AX$4,AX$5,AX$6,AX$7),'SHIP CURVES'!$A$9:$AZ$9,0))</f>
        <v>-1807103.83693974</v>
      </c>
      <c r="AW158" s="351" t="n">
        <f aca="false">-AP158*INDEX(port_processing_fee,MATCH(AT158,PORTS!$H$626:$H$933,0),MATCH(AX$5,PORTS!$H$626:$Z$626,0))</f>
        <v>-163622.569291403</v>
      </c>
      <c r="AX158" s="352" t="n">
        <f aca="false">(((VLOOKUP(AT158,curvecalc,4,0))*IF(AN158=0,0,AR158/AN158)-INDEX(ship_curves,MATCH(AT158,'SHIP CURVES'!$A$9:$A$316,0),MATCH(CONCATENATE(AX$4,AX$5,AX$6,AX$7),'SHIP CURVES'!$A$9:$Z$9,0))-INDEX(terminal_curves,MATCH(AT158,'TERMINAL CURVES'!$A$4:$A$313,0),MATCH(AX$5,'TERMINAL CURVES'!$A$4:$N$4,0))*IF(AN158=0,0,AP158/AN158))-(AV$8)*((AV$7-$N$5)-(INDEX(ship_curves,MATCH(AT158,'SHIP CURVES'!$A$9:$A$316,0),MATCH(CONCATENATE(AX$4,AX$5,AX$6,AX$7),'SHIP CURVES'!$A$9:$Z$9,0))-INDEX(ship_curves,MATCH(AT158,'SHIP CURVES'!$A$9:$A$316,0),MATCH(CONCATENATE(AX$4,AV$6,AX$6,AX$7),'SHIP CURVES'!$A$9:$Z$9,0)))-(INDEX(terminal_curves,MATCH(AT158,'TERMINAL CURVES'!$A$4:$A$313,0),MATCH(AX$5,'TERMINAL CURVES'!$A$4:$N$4,0))-INDEX(terminal_curves,MATCH(AT158,'TERMINAL CURVES'!$A$4:$A$313,0),MATCH(AV$6,'TERMINAL CURVES'!$A$4:$N$4,0)))*IF(AN158=0,0,AP158/AN158)))*-AN158</f>
        <v>-15580232.2300377</v>
      </c>
      <c r="AY158" s="356" t="n">
        <f aca="false">SUM(AV158:AX158)</f>
        <v>-17550958.6362689</v>
      </c>
      <c r="AZ158" s="357" t="n">
        <f aca="false">(-AP158/((HLOOKUP(AX$5,port_specs,2,0)/(365.25))*(AT159-AT158)))*(INDEX(fixed_capacity_charge,MATCH(AT158,PORTS!$H$11:$H$317,0),MATCH(AX$5,PORTS!$H$11:$N$11,0))+INDEX(variable_om_charge,MATCH(AT158,PORTS!$H$318:$H$625,0),MATCH(AX$5,PORTS!$H$318:$N$318,0)))</f>
        <v>-1012311.99671809</v>
      </c>
      <c r="BA158" s="343" t="n">
        <f aca="false">+AZ158+AY158</f>
        <v>-18563270.6329869</v>
      </c>
      <c r="BB158" s="355" t="n">
        <f aca="false">+BA158+AU158</f>
        <v>104112.566646028</v>
      </c>
      <c r="BC158" s="99"/>
      <c r="BD158" s="357" t="n">
        <f aca="false">+PORTS!I152+PORTS!I460</f>
        <v>1012311.99671809</v>
      </c>
    </row>
    <row r="159" customFormat="false" ht="12.75" hidden="false" customHeight="false" outlineLevel="0" collapsed="false">
      <c r="A159" s="346" t="n">
        <f aca="false">+DATE(YEAR(A158),MONTH(A158)+1,1)</f>
        <v>41000</v>
      </c>
      <c r="B159" s="327" t="n">
        <f aca="false">+IF(AND($A159&gt;=$C$8,$A159&lt;=$C$9),1,0)*PORTS!$I$5/(365.25)*(A160-A159)</f>
        <v>5166876.75662674</v>
      </c>
      <c r="C159" s="328" t="n">
        <f aca="false">+B159-(SUMIF($F$17:$IV$17,$H$17,$F159:$IV159))</f>
        <v>0</v>
      </c>
      <c r="D159" s="0" t="n">
        <f aca="false">+YEAR(E159)</f>
        <v>2012</v>
      </c>
      <c r="E159" s="346" t="n">
        <f aca="false">+DATE(YEAR(E158),MONTH(E158)+1,1)</f>
        <v>41000</v>
      </c>
      <c r="F159" s="327" t="n">
        <f aca="false">+IF(AND(G$8&lt;=E159,G$9&gt;=E159),INDEX(ROUTE_PER_DAY_BY_SHIP,MATCH(CONCATENATE(G$4,G$5,G$7),ROUTE_PER_DAY_ROUTES,0),MATCH(G$6,ROUTE_PER_DAY_SHIPS,0))*(E160-E159),0)</f>
        <v>0</v>
      </c>
      <c r="G159" s="347" t="n">
        <f aca="false">-F159*HLOOKUP(G$6,SHIPS,7,0)*INDEX(LADEN_VOYAGE_DAYS,MATCH(CONCATENATE(G$4,G$5,G$7),LADEN_VOYAGE_ROUTES,0),MATCH(G$6,LADEN_VOYAGE_SHIPS,0))</f>
        <v>-0</v>
      </c>
      <c r="H159" s="348" t="n">
        <f aca="false">SUM(F159:G159)</f>
        <v>0</v>
      </c>
      <c r="I159" s="349" t="n">
        <f aca="false">-(H159)*HLOOKUP(G$5,TERMINAL_CHARGES,3,0)</f>
        <v>-0</v>
      </c>
      <c r="J159" s="327" t="n">
        <f aca="false">+H159+I159</f>
        <v>0</v>
      </c>
      <c r="K159" s="333"/>
      <c r="L159" s="346" t="n">
        <f aca="false">+DATE(YEAR(L158),MONTH(L158)+1,1)</f>
        <v>41000</v>
      </c>
      <c r="M159" s="334" t="n">
        <f aca="false">+J159*(VLOOKUP(L159,CURVECALC!$C$6:$J$312,4,0)+N$5)</f>
        <v>0</v>
      </c>
      <c r="N159" s="350" t="n">
        <f aca="false">-F159*INDEX(ship_curves,MATCH(L159,'SHIP CURVES'!$A$9:$A$316,0),MATCH(CONCATENATE(P$4,P$5,P$6,P$7),'SHIP CURVES'!$A$9:$AZ$9,0))</f>
        <v>-0</v>
      </c>
      <c r="O159" s="351" t="n">
        <f aca="false">-H159*INDEX(port_processing_fee,MATCH(L159,PORTS!$H$626:$H$933,0),MATCH(P$5,PORTS!$H$626:$Z$626,0))</f>
        <v>-0</v>
      </c>
      <c r="P159" s="352" t="n">
        <f aca="false">(((VLOOKUP(L159,curvecalc,4,0))*IF(F159=0,0,J159/F159)-INDEX(ship_curves,MATCH(L159,'SHIP CURVES'!$A$9:$A$316,0),MATCH(CONCATENATE(P$4,P$5,P$6,P$7),'SHIP CURVES'!$A$9:$Z$9,0))-INDEX(terminal_curves,MATCH(L159,'TERMINAL CURVES'!$A$4:$A$313,0),MATCH(P$5,'TERMINAL CURVES'!$A$4:$N$4,0))*IF(F159=0,0,H159/F159))-(N$8)*((N$7-$N$5)-(INDEX(ship_curves,MATCH(L159,'SHIP CURVES'!$A$9:$A$316,0),MATCH(CONCATENATE(P$4,P$5,P$6,P$7),'SHIP CURVES'!$A$9:$Z$9,0))-INDEX(ship_curves,MATCH(L159,'SHIP CURVES'!$A$9:$A$316,0),MATCH(CONCATENATE(P$4,N$6,P$6,P$7),'SHIP CURVES'!$A$9:$Z$9,0)))-(INDEX(terminal_curves,MATCH(L159,'TERMINAL CURVES'!$A$4:$A$313,0),MATCH(P$5,'TERMINAL CURVES'!$A$4:$N$4,0))-INDEX(terminal_curves,MATCH(L159,'TERMINAL CURVES'!$A$4:$A$313,0),MATCH(N$6,'TERMINAL CURVES'!$A$4:$N$4,0)))*IF(F159=0,0,H159/F159)))*-F159</f>
        <v>0</v>
      </c>
      <c r="Q159" s="353" t="n">
        <f aca="false">SUM(N159:P159)</f>
        <v>0</v>
      </c>
      <c r="R159" s="357" t="n">
        <f aca="false">(-H159/((HLOOKUP(P$5,port_specs,2,0)/(365.25))*(L160-L159)))*(INDEX(fixed_capacity_charge,MATCH(L159,PORTS!$H$11:$H$317,0),MATCH(P$5,PORTS!$H$11:$N$11,0))+INDEX(variable_om_charge,MATCH(L159,PORTS!$H$318:$H$625,0),MATCH(P$5,PORTS!$H$318:$N$318,0)))</f>
        <v>-0</v>
      </c>
      <c r="S159" s="343" t="n">
        <f aca="false">+R159+Q159</f>
        <v>0</v>
      </c>
      <c r="T159" s="355" t="n">
        <f aca="false">+S159+M159</f>
        <v>0</v>
      </c>
      <c r="V159" s="346" t="n">
        <f aca="false">+DATE(YEAR(V158),MONTH(V158)+1,1)</f>
        <v>41000</v>
      </c>
      <c r="W159" s="327" t="n">
        <f aca="false">+Y159/(1-HLOOKUP(X$6,SHIPS,7,0)*INDEX(LADEN_VOYAGE_DAYS,MATCH(CONCATENATE(X$4,X$5),LADEN_VOYAGE_ROUTES,0),MATCH(X$6,LADEN_VOYAGE_SHIPS,0)))</f>
        <v>0</v>
      </c>
      <c r="X159" s="347" t="n">
        <f aca="false">+Y159-W159</f>
        <v>0</v>
      </c>
      <c r="Y159" s="348" t="n">
        <f aca="false">+IF(AND(X$8&lt;=V159,X$9&gt;=V159),+MIN($B159-SUMIF($H$17:X$17,Y$17,$H159:X159),((INDEX(ROUTE_PER_DAY_BY_SHIP,MATCH(CONCATENATE(X$4,X$5,X$7),ROUTE_PER_DAY_ROUTES,0),MATCH(X$6,ROUTE_PER_DAY_SHIPS,0))*(V160-V159))-(INDEX(ROUTE_PER_DAY_BY_SHIP,MATCH(CONCATENATE(X$4,X$5,X$7),ROUTE_PER_DAY_ROUTES,0),MATCH(X$6,ROUTE_PER_DAY_SHIPS,0))*(V160-V159))*HLOOKUP(X$6,SHIPS,7,0)*INDEX(LADEN_VOYAGE_DAYS,MATCH(CONCATENATE(X$4,X$5,X$7),LADEN_VOYAGE_ROUTES,0),MATCH(X$6,LADEN_VOYAGE_SHIPS,0)))),0)</f>
        <v>0</v>
      </c>
      <c r="Z159" s="349" t="n">
        <f aca="false">-(Y159)*HLOOKUP(X$5,TERMINAL_CHARGES,3,0)</f>
        <v>-0</v>
      </c>
      <c r="AA159" s="327" t="n">
        <f aca="false">+Y159+Z159</f>
        <v>0</v>
      </c>
      <c r="AB159" s="333"/>
      <c r="AC159" s="346" t="n">
        <f aca="false">+DATE(YEAR(AC158),MONTH(AC158)+1,1)</f>
        <v>41000</v>
      </c>
      <c r="AD159" s="343" t="n">
        <f aca="false">+AA159*(VLOOKUP(AC159,CURVECALC!$C$6:$J$312,4,0)+AE$5)</f>
        <v>0</v>
      </c>
      <c r="AE159" s="350" t="n">
        <f aca="false">-W159*INDEX(ship_curves,MATCH(AC159,'SHIP CURVES'!$A$9:$A$316,0),MATCH(CONCATENATE(AG$4,AG$5,AG$6,AG$7),'SHIP CURVES'!$A$9:$AZ$9,0))</f>
        <v>-0</v>
      </c>
      <c r="AF159" s="351" t="n">
        <f aca="false">-Y159*INDEX(port_processing_fee,MATCH(AC159,PORTS!$H$626:$H$933,0),MATCH(AG$5,PORTS!$H$626:$Z$626,0))</f>
        <v>-0</v>
      </c>
      <c r="AG159" s="352" t="n">
        <f aca="false">(((VLOOKUP(AC159,curvecalc,4,0))*IF(W159=0,0,AA159/W159)-INDEX(ship_curves,MATCH(AC159,'SHIP CURVES'!$A$9:$A$316,0),MATCH(CONCATENATE(AG$4,AG$5,AG$6,AG$7),'SHIP CURVES'!$A$9:$Z$9,0))-INDEX(terminal_curves,MATCH(AC159,'TERMINAL CURVES'!$A$4:$A$313,0),MATCH(AG$5,'TERMINAL CURVES'!$A$4:$N$4,0))*IF(W159=0,0,Y159/W159))-(AE$8)*((AE$7-$N$5)-(INDEX(ship_curves,MATCH(AC159,'SHIP CURVES'!$A$9:$A$316,0),MATCH(CONCATENATE(AG$4,AG$5,AG$6,AG$7),'SHIP CURVES'!$A$9:$Z$9,0))-INDEX(ship_curves,MATCH(AC159,'SHIP CURVES'!$A$9:$A$316,0),MATCH(CONCATENATE(AG$4,AE$6,AG$6,AG$7),'SHIP CURVES'!$A$9:$Z$9,0)))-(INDEX(terminal_curves,MATCH(AC159,'TERMINAL CURVES'!$A$4:$A$313,0),MATCH(AG$5,'TERMINAL CURVES'!$A$4:$N$4,0))-INDEX(terminal_curves,MATCH(AC159,'TERMINAL CURVES'!$A$4:$A$313,0),MATCH(AE$6,'TERMINAL CURVES'!$A$4:$N$4,0)))*IF(W159=0,0,Y159/W159)))*-W159</f>
        <v>0</v>
      </c>
      <c r="AH159" s="356" t="n">
        <f aca="false">SUM(AE159:AG159)</f>
        <v>0</v>
      </c>
      <c r="AI159" s="357" t="n">
        <f aca="false">(-Y159/((HLOOKUP(AG$5,port_specs,2,0)/(365.25))*(AC160-AC159)))*(INDEX(fixed_capacity_charge,MATCH(AC159,PORTS!$H$11:$H$317,0),MATCH(AG$5,PORTS!$H$11:$N$11,0))+INDEX(variable_om_charge,MATCH(AC159,PORTS!$H$318:$H$625,0),MATCH(AG$5,PORTS!$H$318:$N$318,0)))</f>
        <v>-0</v>
      </c>
      <c r="AJ159" s="343" t="n">
        <f aca="false">+AI159+AH159</f>
        <v>0</v>
      </c>
      <c r="AK159" s="355" t="n">
        <f aca="false">+AJ159+AD159</f>
        <v>0</v>
      </c>
      <c r="AM159" s="346" t="n">
        <f aca="false">+DATE(YEAR(AM158),MONTH(AM158)+1,1)</f>
        <v>41000</v>
      </c>
      <c r="AN159" s="327" t="n">
        <f aca="false">+AP159/(1-HLOOKUP(AO$6,SHIPS,7,0)*INDEX(LADEN_VOYAGE_DAYS,MATCH(CONCATENATE(AO$4,AO$5),LADEN_VOYAGE_ROUTES,0),MATCH(AO$6,LADEN_VOYAGE_SHIPS,0)))</f>
        <v>5221704.65550959</v>
      </c>
      <c r="AO159" s="347" t="n">
        <f aca="false">+AP159-AN159</f>
        <v>-54827.8988828501</v>
      </c>
      <c r="AP159" s="348" t="n">
        <f aca="false">+IF(AND(AO$8&lt;=AM159,AO$9&gt;=AM159),+MIN($B159-SUMIF($H$17:AO$17,AP$17,$H159:AO159),((INDEX(ROUTE_PER_DAY_BY_SHIP,MATCH(CONCATENATE(AO$4,AO$5,AO$7),ROUTE_PER_DAY_ROUTES,0),MATCH(AO$6,ROUTE_PER_DAY_SHIPS,0))*(AM160-AM159))-(INDEX(ROUTE_PER_DAY_BY_SHIP,MATCH(CONCATENATE(AO$4,AO$5,AO$7),ROUTE_PER_DAY_ROUTES,0),MATCH(AO$6,ROUTE_PER_DAY_SHIPS,0))*(AM160-AM159))*HLOOKUP(AO$6,SHIPS,7,0)*INDEX(LADEN_VOYAGE_DAYS,MATCH(CONCATENATE(AO$4,AO$5,AO$7),LADEN_VOYAGE_ROUTES,0),MATCH(AO$6,LADEN_VOYAGE_SHIPS,0)))),0)</f>
        <v>5166876.75662674</v>
      </c>
      <c r="AQ159" s="349" t="n">
        <f aca="false">-(AP159)*PORTS!$I$6</f>
        <v>-129171.918915669</v>
      </c>
      <c r="AR159" s="327" t="n">
        <f aca="false">+AP159+AQ159</f>
        <v>5037704.83771107</v>
      </c>
      <c r="AS159" s="333"/>
      <c r="AT159" s="346" t="n">
        <f aca="false">+DATE(YEAR(AT158),MONTH(AT158)+1,1)</f>
        <v>41000</v>
      </c>
      <c r="AU159" s="343" t="n">
        <f aca="false">+AR159*(VLOOKUP(AT159,CURVECALC!$C$6:$J$312,4,0)+AV$5)</f>
        <v>17495948.9013706</v>
      </c>
      <c r="AV159" s="350" t="n">
        <f aca="false">-AN159*INDEX(ship_curves,MATCH(AT159,'SHIP CURVES'!$A$9:$A$316,0),MATCH(CONCATENATE(AX$4,AX$5,AX$6,AX$7),'SHIP CURVES'!$A$9:$AZ$9,0))</f>
        <v>-1749360.92306653</v>
      </c>
      <c r="AW159" s="351" t="n">
        <f aca="false">-AP159*INDEX(port_processing_fee,MATCH(AT159,PORTS!$H$626:$H$933,0),MATCH(AX$5,PORTS!$H$626:$Z$626,0))</f>
        <v>-158509.364001046</v>
      </c>
      <c r="AX159" s="352" t="n">
        <f aca="false">(((VLOOKUP(AT159,curvecalc,4,0))*IF(AN159=0,0,AR159/AN159)-INDEX(ship_curves,MATCH(AT159,'SHIP CURVES'!$A$9:$A$316,0),MATCH(CONCATENATE(AX$4,AX$5,AX$6,AX$7),'SHIP CURVES'!$A$9:$Z$9,0))-INDEX(terminal_curves,MATCH(AT159,'TERMINAL CURVES'!$A$4:$A$313,0),MATCH(AX$5,'TERMINAL CURVES'!$A$4:$N$4,0))*IF(AN159=0,0,AP159/AN159))-(AV$8)*((AV$7-$N$5)-(INDEX(ship_curves,MATCH(AT159,'SHIP CURVES'!$A$9:$A$316,0),MATCH(CONCATENATE(AX$4,AX$5,AX$6,AX$7),'SHIP CURVES'!$A$9:$Z$9,0))-INDEX(ship_curves,MATCH(AT159,'SHIP CURVES'!$A$9:$A$316,0),MATCH(CONCATENATE(AX$4,AV$6,AX$6,AX$7),'SHIP CURVES'!$A$9:$Z$9,0)))-(INDEX(terminal_curves,MATCH(AT159,'TERMINAL CURVES'!$A$4:$A$313,0),MATCH(AX$5,'TERMINAL CURVES'!$A$4:$N$4,0))-INDEX(terminal_curves,MATCH(AT159,'TERMINAL CURVES'!$A$4:$A$313,0),MATCH(AV$6,'TERMINAL CURVES'!$A$4:$N$4,0)))*IF(AN159=0,0,AP159/AN159)))*-AN159</f>
        <v>-14474463.4318455</v>
      </c>
      <c r="AY159" s="356" t="n">
        <f aca="false">SUM(AV159:AX159)</f>
        <v>-16382333.718913</v>
      </c>
      <c r="AZ159" s="357" t="n">
        <f aca="false">(-AP159/((HLOOKUP(AX$5,port_specs,2,0)/(365.25))*(AT160-AT159)))*(INDEX(fixed_capacity_charge,MATCH(AT159,PORTS!$H$11:$H$317,0),MATCH(AX$5,PORTS!$H$11:$N$11,0))+INDEX(variable_om_charge,MATCH(AT159,PORTS!$H$318:$H$625,0),MATCH(AX$5,PORTS!$H$318:$N$318,0)))</f>
        <v>-1012861.08570331</v>
      </c>
      <c r="BA159" s="343" t="n">
        <f aca="false">+AZ159+AY159</f>
        <v>-17395194.8046163</v>
      </c>
      <c r="BB159" s="355" t="n">
        <f aca="false">+BA159+AU159</f>
        <v>100754.096754227</v>
      </c>
      <c r="BC159" s="99"/>
      <c r="BD159" s="357" t="n">
        <f aca="false">+PORTS!I153+PORTS!I461</f>
        <v>1012861.08570331</v>
      </c>
    </row>
    <row r="160" customFormat="false" ht="12.75" hidden="false" customHeight="false" outlineLevel="0" collapsed="false">
      <c r="A160" s="346" t="n">
        <f aca="false">+DATE(YEAR(A159),MONTH(A159)+1,1)</f>
        <v>41030</v>
      </c>
      <c r="B160" s="327" t="n">
        <f aca="false">+IF(AND($A160&gt;=$C$8,$A160&lt;=$C$9),1,0)*PORTS!$I$5/(365.25)*(A161-A160)</f>
        <v>5339105.98184763</v>
      </c>
      <c r="C160" s="328" t="n">
        <f aca="false">+B160-(SUMIF($F$17:$IV$17,$H$17,$F160:$IV160))</f>
        <v>0</v>
      </c>
      <c r="D160" s="0" t="n">
        <f aca="false">+YEAR(E160)</f>
        <v>2012</v>
      </c>
      <c r="E160" s="346" t="n">
        <f aca="false">+DATE(YEAR(E159),MONTH(E159)+1,1)</f>
        <v>41030</v>
      </c>
      <c r="F160" s="327" t="n">
        <f aca="false">+IF(AND(G$8&lt;=E160,G$9&gt;=E160),INDEX(ROUTE_PER_DAY_BY_SHIP,MATCH(CONCATENATE(G$4,G$5,G$7),ROUTE_PER_DAY_ROUTES,0),MATCH(G$6,ROUTE_PER_DAY_SHIPS,0))*(E161-E160),0)</f>
        <v>0</v>
      </c>
      <c r="G160" s="347" t="n">
        <f aca="false">-F160*HLOOKUP(G$6,SHIPS,7,0)*INDEX(LADEN_VOYAGE_DAYS,MATCH(CONCATENATE(G$4,G$5,G$7),LADEN_VOYAGE_ROUTES,0),MATCH(G$6,LADEN_VOYAGE_SHIPS,0))</f>
        <v>-0</v>
      </c>
      <c r="H160" s="348" t="n">
        <f aca="false">SUM(F160:G160)</f>
        <v>0</v>
      </c>
      <c r="I160" s="349" t="n">
        <f aca="false">-(H160)*HLOOKUP(G$5,TERMINAL_CHARGES,3,0)</f>
        <v>-0</v>
      </c>
      <c r="J160" s="327" t="n">
        <f aca="false">+H160+I160</f>
        <v>0</v>
      </c>
      <c r="K160" s="333"/>
      <c r="L160" s="346" t="n">
        <f aca="false">+DATE(YEAR(L159),MONTH(L159)+1,1)</f>
        <v>41030</v>
      </c>
      <c r="M160" s="334" t="n">
        <f aca="false">+J160*(VLOOKUP(L160,CURVECALC!$C$6:$J$312,4,0)+N$5)</f>
        <v>0</v>
      </c>
      <c r="N160" s="350" t="n">
        <f aca="false">-F160*INDEX(ship_curves,MATCH(L160,'SHIP CURVES'!$A$9:$A$316,0),MATCH(CONCATENATE(P$4,P$5,P$6,P$7),'SHIP CURVES'!$A$9:$AZ$9,0))</f>
        <v>-0</v>
      </c>
      <c r="O160" s="351" t="n">
        <f aca="false">-H160*INDEX(port_processing_fee,MATCH(L160,PORTS!$H$626:$H$933,0),MATCH(P$5,PORTS!$H$626:$Z$626,0))</f>
        <v>-0</v>
      </c>
      <c r="P160" s="352" t="n">
        <f aca="false">(((VLOOKUP(L160,curvecalc,4,0))*IF(F160=0,0,J160/F160)-INDEX(ship_curves,MATCH(L160,'SHIP CURVES'!$A$9:$A$316,0),MATCH(CONCATENATE(P$4,P$5,P$6,P$7),'SHIP CURVES'!$A$9:$Z$9,0))-INDEX(terminal_curves,MATCH(L160,'TERMINAL CURVES'!$A$4:$A$313,0),MATCH(P$5,'TERMINAL CURVES'!$A$4:$N$4,0))*IF(F160=0,0,H160/F160))-(N$8)*((N$7-$N$5)-(INDEX(ship_curves,MATCH(L160,'SHIP CURVES'!$A$9:$A$316,0),MATCH(CONCATENATE(P$4,P$5,P$6,P$7),'SHIP CURVES'!$A$9:$Z$9,0))-INDEX(ship_curves,MATCH(L160,'SHIP CURVES'!$A$9:$A$316,0),MATCH(CONCATENATE(P$4,N$6,P$6,P$7),'SHIP CURVES'!$A$9:$Z$9,0)))-(INDEX(terminal_curves,MATCH(L160,'TERMINAL CURVES'!$A$4:$A$313,0),MATCH(P$5,'TERMINAL CURVES'!$A$4:$N$4,0))-INDEX(terminal_curves,MATCH(L160,'TERMINAL CURVES'!$A$4:$A$313,0),MATCH(N$6,'TERMINAL CURVES'!$A$4:$N$4,0)))*IF(F160=0,0,H160/F160)))*-F160</f>
        <v>0</v>
      </c>
      <c r="Q160" s="353" t="n">
        <f aca="false">SUM(N160:P160)</f>
        <v>0</v>
      </c>
      <c r="R160" s="357" t="n">
        <f aca="false">(-H160/((HLOOKUP(P$5,port_specs,2,0)/(365.25))*(L161-L160)))*(INDEX(fixed_capacity_charge,MATCH(L160,PORTS!$H$11:$H$317,0),MATCH(P$5,PORTS!$H$11:$N$11,0))+INDEX(variable_om_charge,MATCH(L160,PORTS!$H$318:$H$625,0),MATCH(P$5,PORTS!$H$318:$N$318,0)))</f>
        <v>-0</v>
      </c>
      <c r="S160" s="343" t="n">
        <f aca="false">+R160+Q160</f>
        <v>0</v>
      </c>
      <c r="T160" s="355" t="n">
        <f aca="false">+S160+M160</f>
        <v>0</v>
      </c>
      <c r="V160" s="346" t="n">
        <f aca="false">+DATE(YEAR(V159),MONTH(V159)+1,1)</f>
        <v>41030</v>
      </c>
      <c r="W160" s="327" t="n">
        <f aca="false">+Y160/(1-HLOOKUP(X$6,SHIPS,7,0)*INDEX(LADEN_VOYAGE_DAYS,MATCH(CONCATENATE(X$4,X$5),LADEN_VOYAGE_ROUTES,0),MATCH(X$6,LADEN_VOYAGE_SHIPS,0)))</f>
        <v>0</v>
      </c>
      <c r="X160" s="347" t="n">
        <f aca="false">+Y160-W160</f>
        <v>0</v>
      </c>
      <c r="Y160" s="348" t="n">
        <f aca="false">+IF(AND(X$8&lt;=V160,X$9&gt;=V160),+MIN($B160-SUMIF($H$17:X$17,Y$17,$H160:X160),((INDEX(ROUTE_PER_DAY_BY_SHIP,MATCH(CONCATENATE(X$4,X$5,X$7),ROUTE_PER_DAY_ROUTES,0),MATCH(X$6,ROUTE_PER_DAY_SHIPS,0))*(V161-V160))-(INDEX(ROUTE_PER_DAY_BY_SHIP,MATCH(CONCATENATE(X$4,X$5,X$7),ROUTE_PER_DAY_ROUTES,0),MATCH(X$6,ROUTE_PER_DAY_SHIPS,0))*(V161-V160))*HLOOKUP(X$6,SHIPS,7,0)*INDEX(LADEN_VOYAGE_DAYS,MATCH(CONCATENATE(X$4,X$5,X$7),LADEN_VOYAGE_ROUTES,0),MATCH(X$6,LADEN_VOYAGE_SHIPS,0)))),0)</f>
        <v>0</v>
      </c>
      <c r="Z160" s="349" t="n">
        <f aca="false">-(Y160)*HLOOKUP(X$5,TERMINAL_CHARGES,3,0)</f>
        <v>-0</v>
      </c>
      <c r="AA160" s="327" t="n">
        <f aca="false">+Y160+Z160</f>
        <v>0</v>
      </c>
      <c r="AB160" s="333"/>
      <c r="AC160" s="346" t="n">
        <f aca="false">+DATE(YEAR(AC159),MONTH(AC159)+1,1)</f>
        <v>41030</v>
      </c>
      <c r="AD160" s="343" t="n">
        <f aca="false">+AA160*(VLOOKUP(AC160,CURVECALC!$C$6:$J$312,4,0)+AE$5)</f>
        <v>0</v>
      </c>
      <c r="AE160" s="350" t="n">
        <f aca="false">-W160*INDEX(ship_curves,MATCH(AC160,'SHIP CURVES'!$A$9:$A$316,0),MATCH(CONCATENATE(AG$4,AG$5,AG$6,AG$7),'SHIP CURVES'!$A$9:$AZ$9,0))</f>
        <v>-0</v>
      </c>
      <c r="AF160" s="351" t="n">
        <f aca="false">-Y160*INDEX(port_processing_fee,MATCH(AC160,PORTS!$H$626:$H$933,0),MATCH(AG$5,PORTS!$H$626:$Z$626,0))</f>
        <v>-0</v>
      </c>
      <c r="AG160" s="352" t="n">
        <f aca="false">(((VLOOKUP(AC160,curvecalc,4,0))*IF(W160=0,0,AA160/W160)-INDEX(ship_curves,MATCH(AC160,'SHIP CURVES'!$A$9:$A$316,0),MATCH(CONCATENATE(AG$4,AG$5,AG$6,AG$7),'SHIP CURVES'!$A$9:$Z$9,0))-INDEX(terminal_curves,MATCH(AC160,'TERMINAL CURVES'!$A$4:$A$313,0),MATCH(AG$5,'TERMINAL CURVES'!$A$4:$N$4,0))*IF(W160=0,0,Y160/W160))-(AE$8)*((AE$7-$N$5)-(INDEX(ship_curves,MATCH(AC160,'SHIP CURVES'!$A$9:$A$316,0),MATCH(CONCATENATE(AG$4,AG$5,AG$6,AG$7),'SHIP CURVES'!$A$9:$Z$9,0))-INDEX(ship_curves,MATCH(AC160,'SHIP CURVES'!$A$9:$A$316,0),MATCH(CONCATENATE(AG$4,AE$6,AG$6,AG$7),'SHIP CURVES'!$A$9:$Z$9,0)))-(INDEX(terminal_curves,MATCH(AC160,'TERMINAL CURVES'!$A$4:$A$313,0),MATCH(AG$5,'TERMINAL CURVES'!$A$4:$N$4,0))-INDEX(terminal_curves,MATCH(AC160,'TERMINAL CURVES'!$A$4:$A$313,0),MATCH(AE$6,'TERMINAL CURVES'!$A$4:$N$4,0)))*IF(W160=0,0,Y160/W160)))*-W160</f>
        <v>0</v>
      </c>
      <c r="AH160" s="356" t="n">
        <f aca="false">SUM(AE160:AG160)</f>
        <v>0</v>
      </c>
      <c r="AI160" s="357" t="n">
        <f aca="false">(-Y160/((HLOOKUP(AG$5,port_specs,2,0)/(365.25))*(AC161-AC160)))*(INDEX(fixed_capacity_charge,MATCH(AC160,PORTS!$H$11:$H$317,0),MATCH(AG$5,PORTS!$H$11:$N$11,0))+INDEX(variable_om_charge,MATCH(AC160,PORTS!$H$318:$H$625,0),MATCH(AG$5,PORTS!$H$318:$N$318,0)))</f>
        <v>-0</v>
      </c>
      <c r="AJ160" s="343" t="n">
        <f aca="false">+AI160+AH160</f>
        <v>0</v>
      </c>
      <c r="AK160" s="355" t="n">
        <f aca="false">+AJ160+AD160</f>
        <v>0</v>
      </c>
      <c r="AM160" s="346" t="n">
        <f aca="false">+DATE(YEAR(AM159),MONTH(AM159)+1,1)</f>
        <v>41030</v>
      </c>
      <c r="AN160" s="327" t="n">
        <f aca="false">+AP160/(1-HLOOKUP(AO$6,SHIPS,7,0)*INDEX(LADEN_VOYAGE_DAYS,MATCH(CONCATENATE(AO$4,AO$5),LADEN_VOYAGE_ROUTES,0),MATCH(AO$6,LADEN_VOYAGE_SHIPS,0)))</f>
        <v>5395761.47735991</v>
      </c>
      <c r="AO160" s="347" t="n">
        <f aca="false">+AP160-AN160</f>
        <v>-56655.4955122788</v>
      </c>
      <c r="AP160" s="348" t="n">
        <f aca="false">+IF(AND(AO$8&lt;=AM160,AO$9&gt;=AM160),+MIN($B160-SUMIF($H$17:AO$17,AP$17,$H160:AO160),((INDEX(ROUTE_PER_DAY_BY_SHIP,MATCH(CONCATENATE(AO$4,AO$5,AO$7),ROUTE_PER_DAY_ROUTES,0),MATCH(AO$6,ROUTE_PER_DAY_SHIPS,0))*(AM161-AM160))-(INDEX(ROUTE_PER_DAY_BY_SHIP,MATCH(CONCATENATE(AO$4,AO$5,AO$7),ROUTE_PER_DAY_ROUTES,0),MATCH(AO$6,ROUTE_PER_DAY_SHIPS,0))*(AM161-AM160))*HLOOKUP(AO$6,SHIPS,7,0)*INDEX(LADEN_VOYAGE_DAYS,MATCH(CONCATENATE(AO$4,AO$5,AO$7),LADEN_VOYAGE_ROUTES,0),MATCH(AO$6,LADEN_VOYAGE_SHIPS,0)))),0)</f>
        <v>5339105.98184763</v>
      </c>
      <c r="AQ160" s="349" t="n">
        <f aca="false">-(AP160)*PORTS!$I$6</f>
        <v>-133477.649546191</v>
      </c>
      <c r="AR160" s="327" t="n">
        <f aca="false">+AP160+AQ160</f>
        <v>5205628.33230144</v>
      </c>
      <c r="AS160" s="333"/>
      <c r="AT160" s="346" t="n">
        <f aca="false">+DATE(YEAR(AT159),MONTH(AT159)+1,1)</f>
        <v>41030</v>
      </c>
      <c r="AU160" s="343" t="n">
        <f aca="false">+AR160*(VLOOKUP(AT160,CURVECALC!$C$6:$J$312,4,0)+AV$5)</f>
        <v>18047913.4280891</v>
      </c>
      <c r="AV160" s="350" t="n">
        <f aca="false">-AN160*INDEX(ship_curves,MATCH(AT160,'SHIP CURVES'!$A$9:$A$316,0),MATCH(CONCATENATE(AX$4,AX$5,AX$6,AX$7),'SHIP CURVES'!$A$9:$AZ$9,0))</f>
        <v>-1808243.25639128</v>
      </c>
      <c r="AW160" s="351" t="n">
        <f aca="false">-AP160*INDEX(port_processing_fee,MATCH(AT160,PORTS!$H$626:$H$933,0),MATCH(AX$5,PORTS!$H$626:$Z$626,0))</f>
        <v>-163963.627185943</v>
      </c>
      <c r="AX160" s="352" t="n">
        <f aca="false">(((VLOOKUP(AT160,curvecalc,4,0))*IF(AN160=0,0,AR160/AN160)-INDEX(ship_curves,MATCH(AT160,'SHIP CURVES'!$A$9:$A$316,0),MATCH(CONCATENATE(AX$4,AX$5,AX$6,AX$7),'SHIP CURVES'!$A$9:$Z$9,0))-INDEX(terminal_curves,MATCH(AT160,'TERMINAL CURVES'!$A$4:$A$313,0),MATCH(AX$5,'TERMINAL CURVES'!$A$4:$N$4,0))*IF(AN160=0,0,AP160/AN160))-(AV$8)*((AV$7-$N$5)-(INDEX(ship_curves,MATCH(AT160,'SHIP CURVES'!$A$9:$A$316,0),MATCH(CONCATENATE(AX$4,AX$5,AX$6,AX$7),'SHIP CURVES'!$A$9:$Z$9,0))-INDEX(ship_curves,MATCH(AT160,'SHIP CURVES'!$A$9:$A$316,0),MATCH(CONCATENATE(AX$4,AV$6,AX$6,AX$7),'SHIP CURVES'!$A$9:$Z$9,0)))-(INDEX(terminal_curves,MATCH(AT160,'TERMINAL CURVES'!$A$4:$A$313,0),MATCH(AX$5,'TERMINAL CURVES'!$A$4:$N$4,0))-INDEX(terminal_curves,MATCH(AT160,'TERMINAL CURVES'!$A$4:$A$313,0),MATCH(AV$6,'TERMINAL CURVES'!$A$4:$N$4,0)))*IF(AN160=0,0,AP160/AN160)))*-AN160</f>
        <v>-14958183.2312096</v>
      </c>
      <c r="AY160" s="356" t="n">
        <f aca="false">SUM(AV160:AX160)</f>
        <v>-16930390.1147869</v>
      </c>
      <c r="AZ160" s="357" t="n">
        <f aca="false">(-AP160/((HLOOKUP(AX$5,port_specs,2,0)/(365.25))*(AT161-AT160)))*(INDEX(fixed_capacity_charge,MATCH(AT160,PORTS!$H$11:$H$317,0),MATCH(AX$5,PORTS!$H$11:$N$11,0))+INDEX(variable_om_charge,MATCH(AT160,PORTS!$H$318:$H$625,0),MATCH(AX$5,PORTS!$H$318:$N$318,0)))</f>
        <v>-1013410.74665622</v>
      </c>
      <c r="BA160" s="343" t="n">
        <f aca="false">+AZ160+AY160</f>
        <v>-17943800.8614431</v>
      </c>
      <c r="BB160" s="355" t="n">
        <f aca="false">+BA160+AU160</f>
        <v>104112.566646032</v>
      </c>
      <c r="BC160" s="99"/>
      <c r="BD160" s="357" t="n">
        <f aca="false">+PORTS!I154+PORTS!I462</f>
        <v>1013410.74665622</v>
      </c>
    </row>
    <row r="161" customFormat="false" ht="12.75" hidden="false" customHeight="false" outlineLevel="0" collapsed="false">
      <c r="A161" s="346" t="n">
        <f aca="false">+DATE(YEAR(A160),MONTH(A160)+1,1)</f>
        <v>41061</v>
      </c>
      <c r="B161" s="327" t="n">
        <f aca="false">+IF(AND($A161&gt;=$C$8,$A161&lt;=$C$9),1,0)*PORTS!$I$5/(365.25)*(A162-A161)</f>
        <v>5166876.75662674</v>
      </c>
      <c r="C161" s="328" t="n">
        <f aca="false">+B161-(SUMIF($F$17:$IV$17,$H$17,$F161:$IV161))</f>
        <v>0</v>
      </c>
      <c r="D161" s="0" t="n">
        <f aca="false">+YEAR(E161)</f>
        <v>2012</v>
      </c>
      <c r="E161" s="346" t="n">
        <f aca="false">+DATE(YEAR(E160),MONTH(E160)+1,1)</f>
        <v>41061</v>
      </c>
      <c r="F161" s="327" t="n">
        <f aca="false">+IF(AND(G$8&lt;=E161,G$9&gt;=E161),INDEX(ROUTE_PER_DAY_BY_SHIP,MATCH(CONCATENATE(G$4,G$5,G$7),ROUTE_PER_DAY_ROUTES,0),MATCH(G$6,ROUTE_PER_DAY_SHIPS,0))*(E162-E161),0)</f>
        <v>0</v>
      </c>
      <c r="G161" s="347" t="n">
        <f aca="false">-F161*HLOOKUP(G$6,SHIPS,7,0)*INDEX(LADEN_VOYAGE_DAYS,MATCH(CONCATENATE(G$4,G$5,G$7),LADEN_VOYAGE_ROUTES,0),MATCH(G$6,LADEN_VOYAGE_SHIPS,0))</f>
        <v>-0</v>
      </c>
      <c r="H161" s="348" t="n">
        <f aca="false">SUM(F161:G161)</f>
        <v>0</v>
      </c>
      <c r="I161" s="349" t="n">
        <f aca="false">-(H161)*HLOOKUP(G$5,TERMINAL_CHARGES,3,0)</f>
        <v>-0</v>
      </c>
      <c r="J161" s="327" t="n">
        <f aca="false">+H161+I161</f>
        <v>0</v>
      </c>
      <c r="K161" s="333"/>
      <c r="L161" s="346" t="n">
        <f aca="false">+DATE(YEAR(L160),MONTH(L160)+1,1)</f>
        <v>41061</v>
      </c>
      <c r="M161" s="334" t="n">
        <f aca="false">+J161*(VLOOKUP(L161,CURVECALC!$C$6:$J$312,4,0)+N$5)</f>
        <v>0</v>
      </c>
      <c r="N161" s="350" t="n">
        <f aca="false">-F161*INDEX(ship_curves,MATCH(L161,'SHIP CURVES'!$A$9:$A$316,0),MATCH(CONCATENATE(P$4,P$5,P$6,P$7),'SHIP CURVES'!$A$9:$AZ$9,0))</f>
        <v>-0</v>
      </c>
      <c r="O161" s="351" t="n">
        <f aca="false">-H161*INDEX(port_processing_fee,MATCH(L161,PORTS!$H$626:$H$933,0),MATCH(P$5,PORTS!$H$626:$Z$626,0))</f>
        <v>-0</v>
      </c>
      <c r="P161" s="352" t="n">
        <f aca="false">(((VLOOKUP(L161,curvecalc,4,0))*IF(F161=0,0,J161/F161)-INDEX(ship_curves,MATCH(L161,'SHIP CURVES'!$A$9:$A$316,0),MATCH(CONCATENATE(P$4,P$5,P$6,P$7),'SHIP CURVES'!$A$9:$Z$9,0))-INDEX(terminal_curves,MATCH(L161,'TERMINAL CURVES'!$A$4:$A$313,0),MATCH(P$5,'TERMINAL CURVES'!$A$4:$N$4,0))*IF(F161=0,0,H161/F161))-(N$8)*((N$7-$N$5)-(INDEX(ship_curves,MATCH(L161,'SHIP CURVES'!$A$9:$A$316,0),MATCH(CONCATENATE(P$4,P$5,P$6,P$7),'SHIP CURVES'!$A$9:$Z$9,0))-INDEX(ship_curves,MATCH(L161,'SHIP CURVES'!$A$9:$A$316,0),MATCH(CONCATENATE(P$4,N$6,P$6,P$7),'SHIP CURVES'!$A$9:$Z$9,0)))-(INDEX(terminal_curves,MATCH(L161,'TERMINAL CURVES'!$A$4:$A$313,0),MATCH(P$5,'TERMINAL CURVES'!$A$4:$N$4,0))-INDEX(terminal_curves,MATCH(L161,'TERMINAL CURVES'!$A$4:$A$313,0),MATCH(N$6,'TERMINAL CURVES'!$A$4:$N$4,0)))*IF(F161=0,0,H161/F161)))*-F161</f>
        <v>0</v>
      </c>
      <c r="Q161" s="353" t="n">
        <f aca="false">SUM(N161:P161)</f>
        <v>0</v>
      </c>
      <c r="R161" s="357" t="n">
        <f aca="false">(-H161/((HLOOKUP(P$5,port_specs,2,0)/(365.25))*(L162-L161)))*(INDEX(fixed_capacity_charge,MATCH(L161,PORTS!$H$11:$H$317,0),MATCH(P$5,PORTS!$H$11:$N$11,0))+INDEX(variable_om_charge,MATCH(L161,PORTS!$H$318:$H$625,0),MATCH(P$5,PORTS!$H$318:$N$318,0)))</f>
        <v>-0</v>
      </c>
      <c r="S161" s="343" t="n">
        <f aca="false">+R161+Q161</f>
        <v>0</v>
      </c>
      <c r="T161" s="355" t="n">
        <f aca="false">+S161+M161</f>
        <v>0</v>
      </c>
      <c r="V161" s="346" t="n">
        <f aca="false">+DATE(YEAR(V160),MONTH(V160)+1,1)</f>
        <v>41061</v>
      </c>
      <c r="W161" s="327" t="n">
        <f aca="false">+Y161/(1-HLOOKUP(X$6,SHIPS,7,0)*INDEX(LADEN_VOYAGE_DAYS,MATCH(CONCATENATE(X$4,X$5),LADEN_VOYAGE_ROUTES,0),MATCH(X$6,LADEN_VOYAGE_SHIPS,0)))</f>
        <v>0</v>
      </c>
      <c r="X161" s="347" t="n">
        <f aca="false">+Y161-W161</f>
        <v>0</v>
      </c>
      <c r="Y161" s="348" t="n">
        <f aca="false">+IF(AND(X$8&lt;=V161,X$9&gt;=V161),+MIN($B161-SUMIF($H$17:X$17,Y$17,$H161:X161),((INDEX(ROUTE_PER_DAY_BY_SHIP,MATCH(CONCATENATE(X$4,X$5,X$7),ROUTE_PER_DAY_ROUTES,0),MATCH(X$6,ROUTE_PER_DAY_SHIPS,0))*(V162-V161))-(INDEX(ROUTE_PER_DAY_BY_SHIP,MATCH(CONCATENATE(X$4,X$5,X$7),ROUTE_PER_DAY_ROUTES,0),MATCH(X$6,ROUTE_PER_DAY_SHIPS,0))*(V162-V161))*HLOOKUP(X$6,SHIPS,7,0)*INDEX(LADEN_VOYAGE_DAYS,MATCH(CONCATENATE(X$4,X$5,X$7),LADEN_VOYAGE_ROUTES,0),MATCH(X$6,LADEN_VOYAGE_SHIPS,0)))),0)</f>
        <v>0</v>
      </c>
      <c r="Z161" s="349" t="n">
        <f aca="false">-(Y161)*HLOOKUP(X$5,TERMINAL_CHARGES,3,0)</f>
        <v>-0</v>
      </c>
      <c r="AA161" s="327" t="n">
        <f aca="false">+Y161+Z161</f>
        <v>0</v>
      </c>
      <c r="AB161" s="333"/>
      <c r="AC161" s="346" t="n">
        <f aca="false">+DATE(YEAR(AC160),MONTH(AC160)+1,1)</f>
        <v>41061</v>
      </c>
      <c r="AD161" s="343" t="n">
        <f aca="false">+AA161*(VLOOKUP(AC161,CURVECALC!$C$6:$J$312,4,0)+AE$5)</f>
        <v>0</v>
      </c>
      <c r="AE161" s="350" t="n">
        <f aca="false">-W161*INDEX(ship_curves,MATCH(AC161,'SHIP CURVES'!$A$9:$A$316,0),MATCH(CONCATENATE(AG$4,AG$5,AG$6,AG$7),'SHIP CURVES'!$A$9:$AZ$9,0))</f>
        <v>-0</v>
      </c>
      <c r="AF161" s="351" t="n">
        <f aca="false">-Y161*INDEX(port_processing_fee,MATCH(AC161,PORTS!$H$626:$H$933,0),MATCH(AG$5,PORTS!$H$626:$Z$626,0))</f>
        <v>-0</v>
      </c>
      <c r="AG161" s="352" t="n">
        <f aca="false">(((VLOOKUP(AC161,curvecalc,4,0))*IF(W161=0,0,AA161/W161)-INDEX(ship_curves,MATCH(AC161,'SHIP CURVES'!$A$9:$A$316,0),MATCH(CONCATENATE(AG$4,AG$5,AG$6,AG$7),'SHIP CURVES'!$A$9:$Z$9,0))-INDEX(terminal_curves,MATCH(AC161,'TERMINAL CURVES'!$A$4:$A$313,0),MATCH(AG$5,'TERMINAL CURVES'!$A$4:$N$4,0))*IF(W161=0,0,Y161/W161))-(AE$8)*((AE$7-$N$5)-(INDEX(ship_curves,MATCH(AC161,'SHIP CURVES'!$A$9:$A$316,0),MATCH(CONCATENATE(AG$4,AG$5,AG$6,AG$7),'SHIP CURVES'!$A$9:$Z$9,0))-INDEX(ship_curves,MATCH(AC161,'SHIP CURVES'!$A$9:$A$316,0),MATCH(CONCATENATE(AG$4,AE$6,AG$6,AG$7),'SHIP CURVES'!$A$9:$Z$9,0)))-(INDEX(terminal_curves,MATCH(AC161,'TERMINAL CURVES'!$A$4:$A$313,0),MATCH(AG$5,'TERMINAL CURVES'!$A$4:$N$4,0))-INDEX(terminal_curves,MATCH(AC161,'TERMINAL CURVES'!$A$4:$A$313,0),MATCH(AE$6,'TERMINAL CURVES'!$A$4:$N$4,0)))*IF(W161=0,0,Y161/W161)))*-W161</f>
        <v>0</v>
      </c>
      <c r="AH161" s="356" t="n">
        <f aca="false">SUM(AE161:AG161)</f>
        <v>0</v>
      </c>
      <c r="AI161" s="357" t="n">
        <f aca="false">(-Y161/((HLOOKUP(AG$5,port_specs,2,0)/(365.25))*(AC162-AC161)))*(INDEX(fixed_capacity_charge,MATCH(AC161,PORTS!$H$11:$H$317,0),MATCH(AG$5,PORTS!$H$11:$N$11,0))+INDEX(variable_om_charge,MATCH(AC161,PORTS!$H$318:$H$625,0),MATCH(AG$5,PORTS!$H$318:$N$318,0)))</f>
        <v>-0</v>
      </c>
      <c r="AJ161" s="343" t="n">
        <f aca="false">+AI161+AH161</f>
        <v>0</v>
      </c>
      <c r="AK161" s="355" t="n">
        <f aca="false">+AJ161+AD161</f>
        <v>0</v>
      </c>
      <c r="AM161" s="346" t="n">
        <f aca="false">+DATE(YEAR(AM160),MONTH(AM160)+1,1)</f>
        <v>41061</v>
      </c>
      <c r="AN161" s="327" t="n">
        <f aca="false">+AP161/(1-HLOOKUP(AO$6,SHIPS,7,0)*INDEX(LADEN_VOYAGE_DAYS,MATCH(CONCATENATE(AO$4,AO$5),LADEN_VOYAGE_ROUTES,0),MATCH(AO$6,LADEN_VOYAGE_SHIPS,0)))</f>
        <v>5221704.65550959</v>
      </c>
      <c r="AO161" s="347" t="n">
        <f aca="false">+AP161-AN161</f>
        <v>-54827.8988828501</v>
      </c>
      <c r="AP161" s="348" t="n">
        <f aca="false">+IF(AND(AO$8&lt;=AM161,AO$9&gt;=AM161),+MIN($B161-SUMIF($H$17:AO$17,AP$17,$H161:AO161),((INDEX(ROUTE_PER_DAY_BY_SHIP,MATCH(CONCATENATE(AO$4,AO$5,AO$7),ROUTE_PER_DAY_ROUTES,0),MATCH(AO$6,ROUTE_PER_DAY_SHIPS,0))*(AM162-AM161))-(INDEX(ROUTE_PER_DAY_BY_SHIP,MATCH(CONCATENATE(AO$4,AO$5,AO$7),ROUTE_PER_DAY_ROUTES,0),MATCH(AO$6,ROUTE_PER_DAY_SHIPS,0))*(AM162-AM161))*HLOOKUP(AO$6,SHIPS,7,0)*INDEX(LADEN_VOYAGE_DAYS,MATCH(CONCATENATE(AO$4,AO$5,AO$7),LADEN_VOYAGE_ROUTES,0),MATCH(AO$6,LADEN_VOYAGE_SHIPS,0)))),0)</f>
        <v>5166876.75662674</v>
      </c>
      <c r="AQ161" s="349" t="n">
        <f aca="false">-(AP161)*PORTS!$I$6</f>
        <v>-129171.918915669</v>
      </c>
      <c r="AR161" s="327" t="n">
        <f aca="false">+AP161+AQ161</f>
        <v>5037704.83771107</v>
      </c>
      <c r="AS161" s="333"/>
      <c r="AT161" s="346" t="n">
        <f aca="false">+DATE(YEAR(AT160),MONTH(AT160)+1,1)</f>
        <v>41061</v>
      </c>
      <c r="AU161" s="343" t="n">
        <f aca="false">+AR161*(VLOOKUP(AT161,CURVECALC!$C$6:$J$312,4,0)+AV$5)</f>
        <v>17662193.161015</v>
      </c>
      <c r="AV161" s="350" t="n">
        <f aca="false">-AN161*INDEX(ship_curves,MATCH(AT161,'SHIP CURVES'!$A$9:$A$316,0),MATCH(CONCATENATE(AX$4,AX$5,AX$6,AX$7),'SHIP CURVES'!$A$9:$AZ$9,0))</f>
        <v>-1750465.88426853</v>
      </c>
      <c r="AW161" s="351" t="n">
        <f aca="false">-AP161*INDEX(port_processing_fee,MATCH(AT161,PORTS!$H$626:$H$933,0),MATCH(AX$5,PORTS!$H$626:$Z$626,0))</f>
        <v>-158839.763836383</v>
      </c>
      <c r="AX161" s="352" t="n">
        <f aca="false">(((VLOOKUP(AT161,curvecalc,4,0))*IF(AN161=0,0,AR161/AN161)-INDEX(ship_curves,MATCH(AT161,'SHIP CURVES'!$A$9:$A$316,0),MATCH(CONCATENATE(AX$4,AX$5,AX$6,AX$7),'SHIP CURVES'!$A$9:$Z$9,0))-INDEX(terminal_curves,MATCH(AT161,'TERMINAL CURVES'!$A$4:$A$313,0),MATCH(AX$5,'TERMINAL CURVES'!$A$4:$N$4,0))*IF(AN161=0,0,AP161/AN161))-(AV$8)*((AV$7-$N$5)-(INDEX(ship_curves,MATCH(AT161,'SHIP CURVES'!$A$9:$A$316,0),MATCH(CONCATENATE(AX$4,AX$5,AX$6,AX$7),'SHIP CURVES'!$A$9:$Z$9,0))-INDEX(ship_curves,MATCH(AT161,'SHIP CURVES'!$A$9:$A$316,0),MATCH(CONCATENATE(AX$4,AV$6,AX$6,AX$7),'SHIP CURVES'!$A$9:$Z$9,0)))-(INDEX(terminal_curves,MATCH(AT161,'TERMINAL CURVES'!$A$4:$A$313,0),MATCH(AX$5,'TERMINAL CURVES'!$A$4:$N$4,0))-INDEX(terminal_curves,MATCH(AT161,'TERMINAL CURVES'!$A$4:$A$313,0),MATCH(AV$6,'TERMINAL CURVES'!$A$4:$N$4,0)))*IF(AN161=0,0,AP161/AN161)))*-AN161</f>
        <v>-14638172.4359833</v>
      </c>
      <c r="AY161" s="356" t="n">
        <f aca="false">SUM(AV161:AX161)</f>
        <v>-16547478.0840882</v>
      </c>
      <c r="AZ161" s="357" t="n">
        <f aca="false">(-AP161/((HLOOKUP(AX$5,port_specs,2,0)/(365.25))*(AT162-AT161)))*(INDEX(fixed_capacity_charge,MATCH(AT161,PORTS!$H$11:$H$317,0),MATCH(AX$5,PORTS!$H$11:$N$11,0))+INDEX(variable_om_charge,MATCH(AT161,PORTS!$H$318:$H$625,0),MATCH(AX$5,PORTS!$H$318:$N$318,0)))</f>
        <v>-1013960.98017262</v>
      </c>
      <c r="BA161" s="343" t="n">
        <f aca="false">+AZ161+AY161</f>
        <v>-17561439.0642608</v>
      </c>
      <c r="BB161" s="355" t="n">
        <f aca="false">+BA161+AU161</f>
        <v>100754.096754223</v>
      </c>
      <c r="BC161" s="99"/>
      <c r="BD161" s="357" t="n">
        <f aca="false">+PORTS!I155+PORTS!I463</f>
        <v>1013960.98017262</v>
      </c>
    </row>
    <row r="162" customFormat="false" ht="12.75" hidden="false" customHeight="false" outlineLevel="0" collapsed="false">
      <c r="A162" s="346" t="n">
        <f aca="false">+DATE(YEAR(A161),MONTH(A161)+1,1)</f>
        <v>41091</v>
      </c>
      <c r="B162" s="327" t="n">
        <f aca="false">+IF(AND($A162&gt;=$C$8,$A162&lt;=$C$9),1,0)*PORTS!$I$5/(365.25)*(A163-A162)</f>
        <v>5339105.98184763</v>
      </c>
      <c r="C162" s="328" t="n">
        <f aca="false">+B162-(SUMIF($F$17:$IV$17,$H$17,$F162:$IV162))</f>
        <v>0</v>
      </c>
      <c r="D162" s="0" t="n">
        <f aca="false">+YEAR(E162)</f>
        <v>2012</v>
      </c>
      <c r="E162" s="346" t="n">
        <f aca="false">+DATE(YEAR(E161),MONTH(E161)+1,1)</f>
        <v>41091</v>
      </c>
      <c r="F162" s="327" t="n">
        <f aca="false">+IF(AND(G$8&lt;=E162,G$9&gt;=E162),INDEX(ROUTE_PER_DAY_BY_SHIP,MATCH(CONCATENATE(G$4,G$5,G$7),ROUTE_PER_DAY_ROUTES,0),MATCH(G$6,ROUTE_PER_DAY_SHIPS,0))*(E163-E162),0)</f>
        <v>0</v>
      </c>
      <c r="G162" s="347" t="n">
        <f aca="false">-F162*HLOOKUP(G$6,SHIPS,7,0)*INDEX(LADEN_VOYAGE_DAYS,MATCH(CONCATENATE(G$4,G$5,G$7),LADEN_VOYAGE_ROUTES,0),MATCH(G$6,LADEN_VOYAGE_SHIPS,0))</f>
        <v>-0</v>
      </c>
      <c r="H162" s="348" t="n">
        <f aca="false">SUM(F162:G162)</f>
        <v>0</v>
      </c>
      <c r="I162" s="349" t="n">
        <f aca="false">-(H162)*HLOOKUP(G$5,TERMINAL_CHARGES,3,0)</f>
        <v>-0</v>
      </c>
      <c r="J162" s="327" t="n">
        <f aca="false">+H162+I162</f>
        <v>0</v>
      </c>
      <c r="K162" s="333"/>
      <c r="L162" s="346" t="n">
        <f aca="false">+DATE(YEAR(L161),MONTH(L161)+1,1)</f>
        <v>41091</v>
      </c>
      <c r="M162" s="334" t="n">
        <f aca="false">+J162*(VLOOKUP(L162,CURVECALC!$C$6:$J$312,4,0)+N$5)</f>
        <v>0</v>
      </c>
      <c r="N162" s="350" t="n">
        <f aca="false">-F162*INDEX(ship_curves,MATCH(L162,'SHIP CURVES'!$A$9:$A$316,0),MATCH(CONCATENATE(P$4,P$5,P$6,P$7),'SHIP CURVES'!$A$9:$AZ$9,0))</f>
        <v>-0</v>
      </c>
      <c r="O162" s="351" t="n">
        <f aca="false">-H162*INDEX(port_processing_fee,MATCH(L162,PORTS!$H$626:$H$933,0),MATCH(P$5,PORTS!$H$626:$Z$626,0))</f>
        <v>-0</v>
      </c>
      <c r="P162" s="352" t="n">
        <f aca="false">(((VLOOKUP(L162,curvecalc,4,0))*IF(F162=0,0,J162/F162)-INDEX(ship_curves,MATCH(L162,'SHIP CURVES'!$A$9:$A$316,0),MATCH(CONCATENATE(P$4,P$5,P$6,P$7),'SHIP CURVES'!$A$9:$Z$9,0))-INDEX(terminal_curves,MATCH(L162,'TERMINAL CURVES'!$A$4:$A$313,0),MATCH(P$5,'TERMINAL CURVES'!$A$4:$N$4,0))*IF(F162=0,0,H162/F162))-(N$8)*((N$7-$N$5)-(INDEX(ship_curves,MATCH(L162,'SHIP CURVES'!$A$9:$A$316,0),MATCH(CONCATENATE(P$4,P$5,P$6,P$7),'SHIP CURVES'!$A$9:$Z$9,0))-INDEX(ship_curves,MATCH(L162,'SHIP CURVES'!$A$9:$A$316,0),MATCH(CONCATENATE(P$4,N$6,P$6,P$7),'SHIP CURVES'!$A$9:$Z$9,0)))-(INDEX(terminal_curves,MATCH(L162,'TERMINAL CURVES'!$A$4:$A$313,0),MATCH(P$5,'TERMINAL CURVES'!$A$4:$N$4,0))-INDEX(terminal_curves,MATCH(L162,'TERMINAL CURVES'!$A$4:$A$313,0),MATCH(N$6,'TERMINAL CURVES'!$A$4:$N$4,0)))*IF(F162=0,0,H162/F162)))*-F162</f>
        <v>0</v>
      </c>
      <c r="Q162" s="353" t="n">
        <f aca="false">SUM(N162:P162)</f>
        <v>0</v>
      </c>
      <c r="R162" s="357" t="n">
        <f aca="false">(-H162/((HLOOKUP(P$5,port_specs,2,0)/(365.25))*(L163-L162)))*(INDEX(fixed_capacity_charge,MATCH(L162,PORTS!$H$11:$H$317,0),MATCH(P$5,PORTS!$H$11:$N$11,0))+INDEX(variable_om_charge,MATCH(L162,PORTS!$H$318:$H$625,0),MATCH(P$5,PORTS!$H$318:$N$318,0)))</f>
        <v>-0</v>
      </c>
      <c r="S162" s="343" t="n">
        <f aca="false">+R162+Q162</f>
        <v>0</v>
      </c>
      <c r="T162" s="355" t="n">
        <f aca="false">+S162+M162</f>
        <v>0</v>
      </c>
      <c r="V162" s="346" t="n">
        <f aca="false">+DATE(YEAR(V161),MONTH(V161)+1,1)</f>
        <v>41091</v>
      </c>
      <c r="W162" s="327" t="n">
        <f aca="false">+Y162/(1-HLOOKUP(X$6,SHIPS,7,0)*INDEX(LADEN_VOYAGE_DAYS,MATCH(CONCATENATE(X$4,X$5),LADEN_VOYAGE_ROUTES,0),MATCH(X$6,LADEN_VOYAGE_SHIPS,0)))</f>
        <v>0</v>
      </c>
      <c r="X162" s="347" t="n">
        <f aca="false">+Y162-W162</f>
        <v>0</v>
      </c>
      <c r="Y162" s="348" t="n">
        <f aca="false">+IF(AND(X$8&lt;=V162,X$9&gt;=V162),+MIN($B162-SUMIF($H$17:X$17,Y$17,$H162:X162),((INDEX(ROUTE_PER_DAY_BY_SHIP,MATCH(CONCATENATE(X$4,X$5,X$7),ROUTE_PER_DAY_ROUTES,0),MATCH(X$6,ROUTE_PER_DAY_SHIPS,0))*(V163-V162))-(INDEX(ROUTE_PER_DAY_BY_SHIP,MATCH(CONCATENATE(X$4,X$5,X$7),ROUTE_PER_DAY_ROUTES,0),MATCH(X$6,ROUTE_PER_DAY_SHIPS,0))*(V163-V162))*HLOOKUP(X$6,SHIPS,7,0)*INDEX(LADEN_VOYAGE_DAYS,MATCH(CONCATENATE(X$4,X$5,X$7),LADEN_VOYAGE_ROUTES,0),MATCH(X$6,LADEN_VOYAGE_SHIPS,0)))),0)</f>
        <v>0</v>
      </c>
      <c r="Z162" s="349" t="n">
        <f aca="false">-(Y162)*HLOOKUP(X$5,TERMINAL_CHARGES,3,0)</f>
        <v>-0</v>
      </c>
      <c r="AA162" s="327" t="n">
        <f aca="false">+Y162+Z162</f>
        <v>0</v>
      </c>
      <c r="AB162" s="333"/>
      <c r="AC162" s="346" t="n">
        <f aca="false">+DATE(YEAR(AC161),MONTH(AC161)+1,1)</f>
        <v>41091</v>
      </c>
      <c r="AD162" s="343" t="n">
        <f aca="false">+AA162*(VLOOKUP(AC162,CURVECALC!$C$6:$J$312,4,0)+AE$5)</f>
        <v>0</v>
      </c>
      <c r="AE162" s="350" t="n">
        <f aca="false">-W162*INDEX(ship_curves,MATCH(AC162,'SHIP CURVES'!$A$9:$A$316,0),MATCH(CONCATENATE(AG$4,AG$5,AG$6,AG$7),'SHIP CURVES'!$A$9:$AZ$9,0))</f>
        <v>-0</v>
      </c>
      <c r="AF162" s="351" t="n">
        <f aca="false">-Y162*INDEX(port_processing_fee,MATCH(AC162,PORTS!$H$626:$H$933,0),MATCH(AG$5,PORTS!$H$626:$Z$626,0))</f>
        <v>-0</v>
      </c>
      <c r="AG162" s="352" t="n">
        <f aca="false">(((VLOOKUP(AC162,curvecalc,4,0))*IF(W162=0,0,AA162/W162)-INDEX(ship_curves,MATCH(AC162,'SHIP CURVES'!$A$9:$A$316,0),MATCH(CONCATENATE(AG$4,AG$5,AG$6,AG$7),'SHIP CURVES'!$A$9:$Z$9,0))-INDEX(terminal_curves,MATCH(AC162,'TERMINAL CURVES'!$A$4:$A$313,0),MATCH(AG$5,'TERMINAL CURVES'!$A$4:$N$4,0))*IF(W162=0,0,Y162/W162))-(AE$8)*((AE$7-$N$5)-(INDEX(ship_curves,MATCH(AC162,'SHIP CURVES'!$A$9:$A$316,0),MATCH(CONCATENATE(AG$4,AG$5,AG$6,AG$7),'SHIP CURVES'!$A$9:$Z$9,0))-INDEX(ship_curves,MATCH(AC162,'SHIP CURVES'!$A$9:$A$316,0),MATCH(CONCATENATE(AG$4,AE$6,AG$6,AG$7),'SHIP CURVES'!$A$9:$Z$9,0)))-(INDEX(terminal_curves,MATCH(AC162,'TERMINAL CURVES'!$A$4:$A$313,0),MATCH(AG$5,'TERMINAL CURVES'!$A$4:$N$4,0))-INDEX(terminal_curves,MATCH(AC162,'TERMINAL CURVES'!$A$4:$A$313,0),MATCH(AE$6,'TERMINAL CURVES'!$A$4:$N$4,0)))*IF(W162=0,0,Y162/W162)))*-W162</f>
        <v>0</v>
      </c>
      <c r="AH162" s="356" t="n">
        <f aca="false">SUM(AE162:AG162)</f>
        <v>0</v>
      </c>
      <c r="AI162" s="357" t="n">
        <f aca="false">(-Y162/((HLOOKUP(AG$5,port_specs,2,0)/(365.25))*(AC163-AC162)))*(INDEX(fixed_capacity_charge,MATCH(AC162,PORTS!$H$11:$H$317,0),MATCH(AG$5,PORTS!$H$11:$N$11,0))+INDEX(variable_om_charge,MATCH(AC162,PORTS!$H$318:$H$625,0),MATCH(AG$5,PORTS!$H$318:$N$318,0)))</f>
        <v>-0</v>
      </c>
      <c r="AJ162" s="343" t="n">
        <f aca="false">+AI162+AH162</f>
        <v>0</v>
      </c>
      <c r="AK162" s="355" t="n">
        <f aca="false">+AJ162+AD162</f>
        <v>0</v>
      </c>
      <c r="AM162" s="346" t="n">
        <f aca="false">+DATE(YEAR(AM161),MONTH(AM161)+1,1)</f>
        <v>41091</v>
      </c>
      <c r="AN162" s="327" t="n">
        <f aca="false">+AP162/(1-HLOOKUP(AO$6,SHIPS,7,0)*INDEX(LADEN_VOYAGE_DAYS,MATCH(CONCATENATE(AO$4,AO$5),LADEN_VOYAGE_ROUTES,0),MATCH(AO$6,LADEN_VOYAGE_SHIPS,0)))</f>
        <v>5395761.47735991</v>
      </c>
      <c r="AO162" s="347" t="n">
        <f aca="false">+AP162-AN162</f>
        <v>-56655.4955122788</v>
      </c>
      <c r="AP162" s="348" t="n">
        <f aca="false">+IF(AND(AO$8&lt;=AM162,AO$9&gt;=AM162),+MIN($B162-SUMIF($H$17:AO$17,AP$17,$H162:AO162),((INDEX(ROUTE_PER_DAY_BY_SHIP,MATCH(CONCATENATE(AO$4,AO$5,AO$7),ROUTE_PER_DAY_ROUTES,0),MATCH(AO$6,ROUTE_PER_DAY_SHIPS,0))*(AM163-AM162))-(INDEX(ROUTE_PER_DAY_BY_SHIP,MATCH(CONCATENATE(AO$4,AO$5,AO$7),ROUTE_PER_DAY_ROUTES,0),MATCH(AO$6,ROUTE_PER_DAY_SHIPS,0))*(AM163-AM162))*HLOOKUP(AO$6,SHIPS,7,0)*INDEX(LADEN_VOYAGE_DAYS,MATCH(CONCATENATE(AO$4,AO$5,AO$7),LADEN_VOYAGE_ROUTES,0),MATCH(AO$6,LADEN_VOYAGE_SHIPS,0)))),0)</f>
        <v>5339105.98184763</v>
      </c>
      <c r="AQ162" s="349" t="n">
        <f aca="false">-(AP162)*PORTS!$I$6</f>
        <v>-133477.649546191</v>
      </c>
      <c r="AR162" s="327" t="n">
        <f aca="false">+AP162+AQ162</f>
        <v>5205628.33230144</v>
      </c>
      <c r="AS162" s="333"/>
      <c r="AT162" s="346" t="n">
        <f aca="false">+DATE(YEAR(AT161),MONTH(AT161)+1,1)</f>
        <v>41091</v>
      </c>
      <c r="AU162" s="343" t="n">
        <f aca="false">+AR162*(VLOOKUP(AT162,CURVECALC!$C$6:$J$312,4,0)+AV$5)</f>
        <v>18250932.9330489</v>
      </c>
      <c r="AV162" s="350" t="n">
        <f aca="false">-AN162*INDEX(ship_curves,MATCH(AT162,'SHIP CURVES'!$A$9:$A$316,0),MATCH(CONCATENATE(AX$4,AX$5,AX$6,AX$7),'SHIP CURVES'!$A$9:$AZ$9,0))</f>
        <v>-1809387.42836928</v>
      </c>
      <c r="AW162" s="351" t="n">
        <f aca="false">-AP162*INDEX(port_processing_fee,MATCH(AT162,PORTS!$H$626:$H$933,0),MATCH(AX$5,PORTS!$H$626:$Z$626,0))</f>
        <v>-164305.395987836</v>
      </c>
      <c r="AX162" s="352" t="n">
        <f aca="false">(((VLOOKUP(AT162,curvecalc,4,0))*IF(AN162=0,0,AR162/AN162)-INDEX(ship_curves,MATCH(AT162,'SHIP CURVES'!$A$9:$A$316,0),MATCH(CONCATENATE(AX$4,AX$5,AX$6,AX$7),'SHIP CURVES'!$A$9:$Z$9,0))-INDEX(terminal_curves,MATCH(AT162,'TERMINAL CURVES'!$A$4:$A$313,0),MATCH(AX$5,'TERMINAL CURVES'!$A$4:$N$4,0))*IF(AN162=0,0,AP162/AN162))-(AV$8)*((AV$7-$N$5)-(INDEX(ship_curves,MATCH(AT162,'SHIP CURVES'!$A$9:$A$316,0),MATCH(CONCATENATE(AX$4,AX$5,AX$6,AX$7),'SHIP CURVES'!$A$9:$Z$9,0))-INDEX(ship_curves,MATCH(AT162,'SHIP CURVES'!$A$9:$A$316,0),MATCH(CONCATENATE(AX$4,AV$6,AX$6,AX$7),'SHIP CURVES'!$A$9:$Z$9,0)))-(INDEX(terminal_curves,MATCH(AT162,'TERMINAL CURVES'!$A$4:$A$313,0),MATCH(AX$5,'TERMINAL CURVES'!$A$4:$N$4,0))-INDEX(terminal_curves,MATCH(AT162,'TERMINAL CURVES'!$A$4:$A$313,0),MATCH(AV$6,'TERMINAL CURVES'!$A$4:$N$4,0)))*IF(AN162=0,0,AP162/AN162)))*-AN162</f>
        <v>-15158615.7551968</v>
      </c>
      <c r="AY162" s="356" t="n">
        <f aca="false">SUM(AV162:AX162)</f>
        <v>-17132308.5795539</v>
      </c>
      <c r="AZ162" s="357" t="n">
        <f aca="false">(-AP162/((HLOOKUP(AX$5,port_specs,2,0)/(365.25))*(AT163-AT162)))*(INDEX(fixed_capacity_charge,MATCH(AT162,PORTS!$H$11:$H$317,0),MATCH(AX$5,PORTS!$H$11:$N$11,0))+INDEX(variable_om_charge,MATCH(AT162,PORTS!$H$318:$H$625,0),MATCH(AX$5,PORTS!$H$318:$N$318,0)))</f>
        <v>-1014511.78684894</v>
      </c>
      <c r="BA162" s="343" t="n">
        <f aca="false">+AZ162+AY162</f>
        <v>-18146820.3664028</v>
      </c>
      <c r="BB162" s="355" t="n">
        <f aca="false">+BA162+AU162</f>
        <v>104112.566646032</v>
      </c>
      <c r="BC162" s="99"/>
      <c r="BD162" s="357" t="n">
        <f aca="false">+PORTS!I156+PORTS!I464</f>
        <v>1014511.78684894</v>
      </c>
    </row>
    <row r="163" customFormat="false" ht="12.75" hidden="false" customHeight="false" outlineLevel="0" collapsed="false">
      <c r="A163" s="346" t="n">
        <f aca="false">+DATE(YEAR(A162),MONTH(A162)+1,1)</f>
        <v>41122</v>
      </c>
      <c r="B163" s="327" t="n">
        <f aca="false">+IF(AND($A163&gt;=$C$8,$A163&lt;=$C$9),1,0)*PORTS!$I$5/(365.25)*(A164-A163)</f>
        <v>5339105.98184763</v>
      </c>
      <c r="C163" s="328" t="n">
        <f aca="false">+B163-(SUMIF($F$17:$IV$17,$H$17,$F163:$IV163))</f>
        <v>0</v>
      </c>
      <c r="D163" s="0" t="n">
        <f aca="false">+YEAR(E163)</f>
        <v>2012</v>
      </c>
      <c r="E163" s="346" t="n">
        <f aca="false">+DATE(YEAR(E162),MONTH(E162)+1,1)</f>
        <v>41122</v>
      </c>
      <c r="F163" s="327" t="n">
        <f aca="false">+IF(AND(G$8&lt;=E163,G$9&gt;=E163),INDEX(ROUTE_PER_DAY_BY_SHIP,MATCH(CONCATENATE(G$4,G$5,G$7),ROUTE_PER_DAY_ROUTES,0),MATCH(G$6,ROUTE_PER_DAY_SHIPS,0))*(E164-E163),0)</f>
        <v>0</v>
      </c>
      <c r="G163" s="347" t="n">
        <f aca="false">-F163*HLOOKUP(G$6,SHIPS,7,0)*INDEX(LADEN_VOYAGE_DAYS,MATCH(CONCATENATE(G$4,G$5,G$7),LADEN_VOYAGE_ROUTES,0),MATCH(G$6,LADEN_VOYAGE_SHIPS,0))</f>
        <v>-0</v>
      </c>
      <c r="H163" s="348" t="n">
        <f aca="false">SUM(F163:G163)</f>
        <v>0</v>
      </c>
      <c r="I163" s="349" t="n">
        <f aca="false">-(H163)*HLOOKUP(G$5,TERMINAL_CHARGES,3,0)</f>
        <v>-0</v>
      </c>
      <c r="J163" s="327" t="n">
        <f aca="false">+H163+I163</f>
        <v>0</v>
      </c>
      <c r="K163" s="333"/>
      <c r="L163" s="346" t="n">
        <f aca="false">+DATE(YEAR(L162),MONTH(L162)+1,1)</f>
        <v>41122</v>
      </c>
      <c r="M163" s="334" t="n">
        <f aca="false">+J163*(VLOOKUP(L163,CURVECALC!$C$6:$J$312,4,0)+N$5)</f>
        <v>0</v>
      </c>
      <c r="N163" s="350" t="n">
        <f aca="false">-F163*INDEX(ship_curves,MATCH(L163,'SHIP CURVES'!$A$9:$A$316,0),MATCH(CONCATENATE(P$4,P$5,P$6,P$7),'SHIP CURVES'!$A$9:$AZ$9,0))</f>
        <v>-0</v>
      </c>
      <c r="O163" s="351" t="n">
        <f aca="false">-H163*INDEX(port_processing_fee,MATCH(L163,PORTS!$H$626:$H$933,0),MATCH(P$5,PORTS!$H$626:$Z$626,0))</f>
        <v>-0</v>
      </c>
      <c r="P163" s="352" t="n">
        <f aca="false">(((VLOOKUP(L163,curvecalc,4,0))*IF(F163=0,0,J163/F163)-INDEX(ship_curves,MATCH(L163,'SHIP CURVES'!$A$9:$A$316,0),MATCH(CONCATENATE(P$4,P$5,P$6,P$7),'SHIP CURVES'!$A$9:$Z$9,0))-INDEX(terminal_curves,MATCH(L163,'TERMINAL CURVES'!$A$4:$A$313,0),MATCH(P$5,'TERMINAL CURVES'!$A$4:$N$4,0))*IF(F163=0,0,H163/F163))-(N$8)*((N$7-$N$5)-(INDEX(ship_curves,MATCH(L163,'SHIP CURVES'!$A$9:$A$316,0),MATCH(CONCATENATE(P$4,P$5,P$6,P$7),'SHIP CURVES'!$A$9:$Z$9,0))-INDEX(ship_curves,MATCH(L163,'SHIP CURVES'!$A$9:$A$316,0),MATCH(CONCATENATE(P$4,N$6,P$6,P$7),'SHIP CURVES'!$A$9:$Z$9,0)))-(INDEX(terminal_curves,MATCH(L163,'TERMINAL CURVES'!$A$4:$A$313,0),MATCH(P$5,'TERMINAL CURVES'!$A$4:$N$4,0))-INDEX(terminal_curves,MATCH(L163,'TERMINAL CURVES'!$A$4:$A$313,0),MATCH(N$6,'TERMINAL CURVES'!$A$4:$N$4,0)))*IF(F163=0,0,H163/F163)))*-F163</f>
        <v>0</v>
      </c>
      <c r="Q163" s="353" t="n">
        <f aca="false">SUM(N163:P163)</f>
        <v>0</v>
      </c>
      <c r="R163" s="357" t="n">
        <f aca="false">(-H163/((HLOOKUP(P$5,port_specs,2,0)/(365.25))*(L164-L163)))*(INDEX(fixed_capacity_charge,MATCH(L163,PORTS!$H$11:$H$317,0),MATCH(P$5,PORTS!$H$11:$N$11,0))+INDEX(variable_om_charge,MATCH(L163,PORTS!$H$318:$H$625,0),MATCH(P$5,PORTS!$H$318:$N$318,0)))</f>
        <v>-0</v>
      </c>
      <c r="S163" s="343" t="n">
        <f aca="false">+R163+Q163</f>
        <v>0</v>
      </c>
      <c r="T163" s="355" t="n">
        <f aca="false">+S163+M163</f>
        <v>0</v>
      </c>
      <c r="V163" s="346" t="n">
        <f aca="false">+DATE(YEAR(V162),MONTH(V162)+1,1)</f>
        <v>41122</v>
      </c>
      <c r="W163" s="327" t="n">
        <f aca="false">+Y163/(1-HLOOKUP(X$6,SHIPS,7,0)*INDEX(LADEN_VOYAGE_DAYS,MATCH(CONCATENATE(X$4,X$5),LADEN_VOYAGE_ROUTES,0),MATCH(X$6,LADEN_VOYAGE_SHIPS,0)))</f>
        <v>0</v>
      </c>
      <c r="X163" s="347" t="n">
        <f aca="false">+Y163-W163</f>
        <v>0</v>
      </c>
      <c r="Y163" s="348" t="n">
        <f aca="false">+IF(AND(X$8&lt;=V163,X$9&gt;=V163),+MIN($B163-SUMIF($H$17:X$17,Y$17,$H163:X163),((INDEX(ROUTE_PER_DAY_BY_SHIP,MATCH(CONCATENATE(X$4,X$5,X$7),ROUTE_PER_DAY_ROUTES,0),MATCH(X$6,ROUTE_PER_DAY_SHIPS,0))*(V164-V163))-(INDEX(ROUTE_PER_DAY_BY_SHIP,MATCH(CONCATENATE(X$4,X$5,X$7),ROUTE_PER_DAY_ROUTES,0),MATCH(X$6,ROUTE_PER_DAY_SHIPS,0))*(V164-V163))*HLOOKUP(X$6,SHIPS,7,0)*INDEX(LADEN_VOYAGE_DAYS,MATCH(CONCATENATE(X$4,X$5,X$7),LADEN_VOYAGE_ROUTES,0),MATCH(X$6,LADEN_VOYAGE_SHIPS,0)))),0)</f>
        <v>0</v>
      </c>
      <c r="Z163" s="349" t="n">
        <f aca="false">-(Y163)*HLOOKUP(X$5,TERMINAL_CHARGES,3,0)</f>
        <v>-0</v>
      </c>
      <c r="AA163" s="327" t="n">
        <f aca="false">+Y163+Z163</f>
        <v>0</v>
      </c>
      <c r="AB163" s="333"/>
      <c r="AC163" s="346" t="n">
        <f aca="false">+DATE(YEAR(AC162),MONTH(AC162)+1,1)</f>
        <v>41122</v>
      </c>
      <c r="AD163" s="343" t="n">
        <f aca="false">+AA163*(VLOOKUP(AC163,CURVECALC!$C$6:$J$312,4,0)+AE$5)</f>
        <v>0</v>
      </c>
      <c r="AE163" s="350" t="n">
        <f aca="false">-W163*INDEX(ship_curves,MATCH(AC163,'SHIP CURVES'!$A$9:$A$316,0),MATCH(CONCATENATE(AG$4,AG$5,AG$6,AG$7),'SHIP CURVES'!$A$9:$AZ$9,0))</f>
        <v>-0</v>
      </c>
      <c r="AF163" s="351" t="n">
        <f aca="false">-Y163*INDEX(port_processing_fee,MATCH(AC163,PORTS!$H$626:$H$933,0),MATCH(AG$5,PORTS!$H$626:$Z$626,0))</f>
        <v>-0</v>
      </c>
      <c r="AG163" s="352" t="n">
        <f aca="false">(((VLOOKUP(AC163,curvecalc,4,0))*IF(W163=0,0,AA163/W163)-INDEX(ship_curves,MATCH(AC163,'SHIP CURVES'!$A$9:$A$316,0),MATCH(CONCATENATE(AG$4,AG$5,AG$6,AG$7),'SHIP CURVES'!$A$9:$Z$9,0))-INDEX(terminal_curves,MATCH(AC163,'TERMINAL CURVES'!$A$4:$A$313,0),MATCH(AG$5,'TERMINAL CURVES'!$A$4:$N$4,0))*IF(W163=0,0,Y163/W163))-(AE$8)*((AE$7-$N$5)-(INDEX(ship_curves,MATCH(AC163,'SHIP CURVES'!$A$9:$A$316,0),MATCH(CONCATENATE(AG$4,AG$5,AG$6,AG$7),'SHIP CURVES'!$A$9:$Z$9,0))-INDEX(ship_curves,MATCH(AC163,'SHIP CURVES'!$A$9:$A$316,0),MATCH(CONCATENATE(AG$4,AE$6,AG$6,AG$7),'SHIP CURVES'!$A$9:$Z$9,0)))-(INDEX(terminal_curves,MATCH(AC163,'TERMINAL CURVES'!$A$4:$A$313,0),MATCH(AG$5,'TERMINAL CURVES'!$A$4:$N$4,0))-INDEX(terminal_curves,MATCH(AC163,'TERMINAL CURVES'!$A$4:$A$313,0),MATCH(AE$6,'TERMINAL CURVES'!$A$4:$N$4,0)))*IF(W163=0,0,Y163/W163)))*-W163</f>
        <v>0</v>
      </c>
      <c r="AH163" s="356" t="n">
        <f aca="false">SUM(AE163:AG163)</f>
        <v>0</v>
      </c>
      <c r="AI163" s="357" t="n">
        <f aca="false">(-Y163/((HLOOKUP(AG$5,port_specs,2,0)/(365.25))*(AC164-AC163)))*(INDEX(fixed_capacity_charge,MATCH(AC163,PORTS!$H$11:$H$317,0),MATCH(AG$5,PORTS!$H$11:$N$11,0))+INDEX(variable_om_charge,MATCH(AC163,PORTS!$H$318:$H$625,0),MATCH(AG$5,PORTS!$H$318:$N$318,0)))</f>
        <v>-0</v>
      </c>
      <c r="AJ163" s="343" t="n">
        <f aca="false">+AI163+AH163</f>
        <v>0</v>
      </c>
      <c r="AK163" s="355" t="n">
        <f aca="false">+AJ163+AD163</f>
        <v>0</v>
      </c>
      <c r="AM163" s="346" t="n">
        <f aca="false">+DATE(YEAR(AM162),MONTH(AM162)+1,1)</f>
        <v>41122</v>
      </c>
      <c r="AN163" s="327" t="n">
        <f aca="false">+AP163/(1-HLOOKUP(AO$6,SHIPS,7,0)*INDEX(LADEN_VOYAGE_DAYS,MATCH(CONCATENATE(AO$4,AO$5),LADEN_VOYAGE_ROUTES,0),MATCH(AO$6,LADEN_VOYAGE_SHIPS,0)))</f>
        <v>5395761.47735991</v>
      </c>
      <c r="AO163" s="347" t="n">
        <f aca="false">+AP163-AN163</f>
        <v>-56655.4955122788</v>
      </c>
      <c r="AP163" s="348" t="n">
        <f aca="false">+IF(AND(AO$8&lt;=AM163,AO$9&gt;=AM163),+MIN($B163-SUMIF($H$17:AO$17,AP$17,$H163:AO163),((INDEX(ROUTE_PER_DAY_BY_SHIP,MATCH(CONCATENATE(AO$4,AO$5,AO$7),ROUTE_PER_DAY_ROUTES,0),MATCH(AO$6,ROUTE_PER_DAY_SHIPS,0))*(AM164-AM163))-(INDEX(ROUTE_PER_DAY_BY_SHIP,MATCH(CONCATENATE(AO$4,AO$5,AO$7),ROUTE_PER_DAY_ROUTES,0),MATCH(AO$6,ROUTE_PER_DAY_SHIPS,0))*(AM164-AM163))*HLOOKUP(AO$6,SHIPS,7,0)*INDEX(LADEN_VOYAGE_DAYS,MATCH(CONCATENATE(AO$4,AO$5,AO$7),LADEN_VOYAGE_ROUTES,0),MATCH(AO$6,LADEN_VOYAGE_SHIPS,0)))),0)</f>
        <v>5339105.98184763</v>
      </c>
      <c r="AQ163" s="349" t="n">
        <f aca="false">-(AP163)*PORTS!$I$6</f>
        <v>-133477.649546191</v>
      </c>
      <c r="AR163" s="327" t="n">
        <f aca="false">+AP163+AQ163</f>
        <v>5205628.33230144</v>
      </c>
      <c r="AS163" s="333"/>
      <c r="AT163" s="346" t="n">
        <f aca="false">+DATE(YEAR(AT162),MONTH(AT162)+1,1)</f>
        <v>41122</v>
      </c>
      <c r="AU163" s="343" t="n">
        <f aca="false">+AR163*(VLOOKUP(AT163,CURVECALC!$C$6:$J$312,4,0)+AV$5)</f>
        <v>18563270.6329869</v>
      </c>
      <c r="AV163" s="350" t="n">
        <f aca="false">-AN163*INDEX(ship_curves,MATCH(AT163,'SHIP CURVES'!$A$9:$A$316,0),MATCH(CONCATENATE(AX$4,AX$5,AX$6,AX$7),'SHIP CURVES'!$A$9:$AZ$9,0))</f>
        <v>-1809961.30274709</v>
      </c>
      <c r="AW163" s="351" t="n">
        <f aca="false">-AP163*INDEX(port_processing_fee,MATCH(AT163,PORTS!$H$626:$H$933,0),MATCH(AX$5,PORTS!$H$626:$Z$626,0))</f>
        <v>-164476.54744199</v>
      </c>
      <c r="AX163" s="352" t="n">
        <f aca="false">(((VLOOKUP(AT163,curvecalc,4,0))*IF(AN163=0,0,AR163/AN163)-INDEX(ship_curves,MATCH(AT163,'SHIP CURVES'!$A$9:$A$316,0),MATCH(CONCATENATE(AX$4,AX$5,AX$6,AX$7),'SHIP CURVES'!$A$9:$Z$9,0))-INDEX(terminal_curves,MATCH(AT163,'TERMINAL CURVES'!$A$4:$A$313,0),MATCH(AX$5,'TERMINAL CURVES'!$A$4:$N$4,0))*IF(AN163=0,0,AP163/AN163))-(AV$8)*((AV$7-$N$5)-(INDEX(ship_curves,MATCH(AT163,'SHIP CURVES'!$A$9:$A$316,0),MATCH(CONCATENATE(AX$4,AX$5,AX$6,AX$7),'SHIP CURVES'!$A$9:$Z$9,0))-INDEX(ship_curves,MATCH(AT163,'SHIP CURVES'!$A$9:$A$316,0),MATCH(CONCATENATE(AX$4,AV$6,AX$6,AX$7),'SHIP CURVES'!$A$9:$Z$9,0)))-(INDEX(terminal_curves,MATCH(AT163,'TERMINAL CURVES'!$A$4:$A$313,0),MATCH(AX$5,'TERMINAL CURVES'!$A$4:$N$4,0))-INDEX(terminal_curves,MATCH(AT163,'TERMINAL CURVES'!$A$4:$A$313,0),MATCH(AV$6,'TERMINAL CURVES'!$A$4:$N$4,0)))*IF(AN163=0,0,AP163/AN163)))*-AN163</f>
        <v>-15469657.0488696</v>
      </c>
      <c r="AY163" s="356" t="n">
        <f aca="false">SUM(AV163:AX163)</f>
        <v>-17444094.8990587</v>
      </c>
      <c r="AZ163" s="357" t="n">
        <f aca="false">(-AP163/((HLOOKUP(AX$5,port_specs,2,0)/(365.25))*(AT164-AT163)))*(INDEX(fixed_capacity_charge,MATCH(AT163,PORTS!$H$11:$H$317,0),MATCH(AX$5,PORTS!$H$11:$N$11,0))+INDEX(variable_om_charge,MATCH(AT163,PORTS!$H$318:$H$625,0),MATCH(AX$5,PORTS!$H$318:$N$318,0)))</f>
        <v>-1015063.16728221</v>
      </c>
      <c r="BA163" s="343" t="n">
        <f aca="false">+AZ163+AY163</f>
        <v>-18459158.0663409</v>
      </c>
      <c r="BB163" s="355" t="n">
        <f aca="false">+BA163+AU163</f>
        <v>104112.566646028</v>
      </c>
      <c r="BC163" s="99"/>
      <c r="BD163" s="357" t="n">
        <f aca="false">+PORTS!I157+PORTS!I465</f>
        <v>1015063.16728221</v>
      </c>
    </row>
    <row r="164" customFormat="false" ht="12.75" hidden="false" customHeight="false" outlineLevel="0" collapsed="false">
      <c r="A164" s="346" t="n">
        <f aca="false">+DATE(YEAR(A163),MONTH(A163)+1,1)</f>
        <v>41153</v>
      </c>
      <c r="B164" s="327" t="n">
        <f aca="false">+IF(AND($A164&gt;=$C$8,$A164&lt;=$C$9),1,0)*PORTS!$I$5/(365.25)*(A165-A164)</f>
        <v>5166876.75662674</v>
      </c>
      <c r="C164" s="328" t="n">
        <f aca="false">+B164-(SUMIF($F$17:$IV$17,$H$17,$F164:$IV164))</f>
        <v>0</v>
      </c>
      <c r="D164" s="0" t="n">
        <f aca="false">+YEAR(E164)</f>
        <v>2012</v>
      </c>
      <c r="E164" s="346" t="n">
        <f aca="false">+DATE(YEAR(E163),MONTH(E163)+1,1)</f>
        <v>41153</v>
      </c>
      <c r="F164" s="327" t="n">
        <f aca="false">+IF(AND(G$8&lt;=E164,G$9&gt;=E164),INDEX(ROUTE_PER_DAY_BY_SHIP,MATCH(CONCATENATE(G$4,G$5,G$7),ROUTE_PER_DAY_ROUTES,0),MATCH(G$6,ROUTE_PER_DAY_SHIPS,0))*(E165-E164),0)</f>
        <v>0</v>
      </c>
      <c r="G164" s="347" t="n">
        <f aca="false">-F164*HLOOKUP(G$6,SHIPS,7,0)*INDEX(LADEN_VOYAGE_DAYS,MATCH(CONCATENATE(G$4,G$5,G$7),LADEN_VOYAGE_ROUTES,0),MATCH(G$6,LADEN_VOYAGE_SHIPS,0))</f>
        <v>-0</v>
      </c>
      <c r="H164" s="348" t="n">
        <f aca="false">SUM(F164:G164)</f>
        <v>0</v>
      </c>
      <c r="I164" s="349" t="n">
        <f aca="false">-(H164)*HLOOKUP(G$5,TERMINAL_CHARGES,3,0)</f>
        <v>-0</v>
      </c>
      <c r="J164" s="327" t="n">
        <f aca="false">+H164+I164</f>
        <v>0</v>
      </c>
      <c r="K164" s="333"/>
      <c r="L164" s="346" t="n">
        <f aca="false">+DATE(YEAR(L163),MONTH(L163)+1,1)</f>
        <v>41153</v>
      </c>
      <c r="M164" s="334" t="n">
        <f aca="false">+J164*(VLOOKUP(L164,CURVECALC!$C$6:$J$312,4,0)+N$5)</f>
        <v>0</v>
      </c>
      <c r="N164" s="350" t="n">
        <f aca="false">-F164*INDEX(ship_curves,MATCH(L164,'SHIP CURVES'!$A$9:$A$316,0),MATCH(CONCATENATE(P$4,P$5,P$6,P$7),'SHIP CURVES'!$A$9:$AZ$9,0))</f>
        <v>-0</v>
      </c>
      <c r="O164" s="351" t="n">
        <f aca="false">-H164*INDEX(port_processing_fee,MATCH(L164,PORTS!$H$626:$H$933,0),MATCH(P$5,PORTS!$H$626:$Z$626,0))</f>
        <v>-0</v>
      </c>
      <c r="P164" s="352" t="n">
        <f aca="false">(((VLOOKUP(L164,curvecalc,4,0))*IF(F164=0,0,J164/F164)-INDEX(ship_curves,MATCH(L164,'SHIP CURVES'!$A$9:$A$316,0),MATCH(CONCATENATE(P$4,P$5,P$6,P$7),'SHIP CURVES'!$A$9:$Z$9,0))-INDEX(terminal_curves,MATCH(L164,'TERMINAL CURVES'!$A$4:$A$313,0),MATCH(P$5,'TERMINAL CURVES'!$A$4:$N$4,0))*IF(F164=0,0,H164/F164))-(N$8)*((N$7-$N$5)-(INDEX(ship_curves,MATCH(L164,'SHIP CURVES'!$A$9:$A$316,0),MATCH(CONCATENATE(P$4,P$5,P$6,P$7),'SHIP CURVES'!$A$9:$Z$9,0))-INDEX(ship_curves,MATCH(L164,'SHIP CURVES'!$A$9:$A$316,0),MATCH(CONCATENATE(P$4,N$6,P$6,P$7),'SHIP CURVES'!$A$9:$Z$9,0)))-(INDEX(terminal_curves,MATCH(L164,'TERMINAL CURVES'!$A$4:$A$313,0),MATCH(P$5,'TERMINAL CURVES'!$A$4:$N$4,0))-INDEX(terminal_curves,MATCH(L164,'TERMINAL CURVES'!$A$4:$A$313,0),MATCH(N$6,'TERMINAL CURVES'!$A$4:$N$4,0)))*IF(F164=0,0,H164/F164)))*-F164</f>
        <v>0</v>
      </c>
      <c r="Q164" s="353" t="n">
        <f aca="false">SUM(N164:P164)</f>
        <v>0</v>
      </c>
      <c r="R164" s="357" t="n">
        <f aca="false">(-H164/((HLOOKUP(P$5,port_specs,2,0)/(365.25))*(L165-L164)))*(INDEX(fixed_capacity_charge,MATCH(L164,PORTS!$H$11:$H$317,0),MATCH(P$5,PORTS!$H$11:$N$11,0))+INDEX(variable_om_charge,MATCH(L164,PORTS!$H$318:$H$625,0),MATCH(P$5,PORTS!$H$318:$N$318,0)))</f>
        <v>-0</v>
      </c>
      <c r="S164" s="343" t="n">
        <f aca="false">+R164+Q164</f>
        <v>0</v>
      </c>
      <c r="T164" s="355" t="n">
        <f aca="false">+S164+M164</f>
        <v>0</v>
      </c>
      <c r="V164" s="346" t="n">
        <f aca="false">+DATE(YEAR(V163),MONTH(V163)+1,1)</f>
        <v>41153</v>
      </c>
      <c r="W164" s="327" t="n">
        <f aca="false">+Y164/(1-HLOOKUP(X$6,SHIPS,7,0)*INDEX(LADEN_VOYAGE_DAYS,MATCH(CONCATENATE(X$4,X$5),LADEN_VOYAGE_ROUTES,0),MATCH(X$6,LADEN_VOYAGE_SHIPS,0)))</f>
        <v>0</v>
      </c>
      <c r="X164" s="347" t="n">
        <f aca="false">+Y164-W164</f>
        <v>0</v>
      </c>
      <c r="Y164" s="348" t="n">
        <f aca="false">+IF(AND(X$8&lt;=V164,X$9&gt;=V164),+MIN($B164-SUMIF($H$17:X$17,Y$17,$H164:X164),((INDEX(ROUTE_PER_DAY_BY_SHIP,MATCH(CONCATENATE(X$4,X$5,X$7),ROUTE_PER_DAY_ROUTES,0),MATCH(X$6,ROUTE_PER_DAY_SHIPS,0))*(V165-V164))-(INDEX(ROUTE_PER_DAY_BY_SHIP,MATCH(CONCATENATE(X$4,X$5,X$7),ROUTE_PER_DAY_ROUTES,0),MATCH(X$6,ROUTE_PER_DAY_SHIPS,0))*(V165-V164))*HLOOKUP(X$6,SHIPS,7,0)*INDEX(LADEN_VOYAGE_DAYS,MATCH(CONCATENATE(X$4,X$5,X$7),LADEN_VOYAGE_ROUTES,0),MATCH(X$6,LADEN_VOYAGE_SHIPS,0)))),0)</f>
        <v>0</v>
      </c>
      <c r="Z164" s="349" t="n">
        <f aca="false">-(Y164)*HLOOKUP(X$5,TERMINAL_CHARGES,3,0)</f>
        <v>-0</v>
      </c>
      <c r="AA164" s="327" t="n">
        <f aca="false">+Y164+Z164</f>
        <v>0</v>
      </c>
      <c r="AB164" s="333"/>
      <c r="AC164" s="346" t="n">
        <f aca="false">+DATE(YEAR(AC163),MONTH(AC163)+1,1)</f>
        <v>41153</v>
      </c>
      <c r="AD164" s="343" t="n">
        <f aca="false">+AA164*(VLOOKUP(AC164,CURVECALC!$C$6:$J$312,4,0)+AE$5)</f>
        <v>0</v>
      </c>
      <c r="AE164" s="350" t="n">
        <f aca="false">-W164*INDEX(ship_curves,MATCH(AC164,'SHIP CURVES'!$A$9:$A$316,0),MATCH(CONCATENATE(AG$4,AG$5,AG$6,AG$7),'SHIP CURVES'!$A$9:$AZ$9,0))</f>
        <v>-0</v>
      </c>
      <c r="AF164" s="351" t="n">
        <f aca="false">-Y164*INDEX(port_processing_fee,MATCH(AC164,PORTS!$H$626:$H$933,0),MATCH(AG$5,PORTS!$H$626:$Z$626,0))</f>
        <v>-0</v>
      </c>
      <c r="AG164" s="352" t="n">
        <f aca="false">(((VLOOKUP(AC164,curvecalc,4,0))*IF(W164=0,0,AA164/W164)-INDEX(ship_curves,MATCH(AC164,'SHIP CURVES'!$A$9:$A$316,0),MATCH(CONCATENATE(AG$4,AG$5,AG$6,AG$7),'SHIP CURVES'!$A$9:$Z$9,0))-INDEX(terminal_curves,MATCH(AC164,'TERMINAL CURVES'!$A$4:$A$313,0),MATCH(AG$5,'TERMINAL CURVES'!$A$4:$N$4,0))*IF(W164=0,0,Y164/W164))-(AE$8)*((AE$7-$N$5)-(INDEX(ship_curves,MATCH(AC164,'SHIP CURVES'!$A$9:$A$316,0),MATCH(CONCATENATE(AG$4,AG$5,AG$6,AG$7),'SHIP CURVES'!$A$9:$Z$9,0))-INDEX(ship_curves,MATCH(AC164,'SHIP CURVES'!$A$9:$A$316,0),MATCH(CONCATENATE(AG$4,AE$6,AG$6,AG$7),'SHIP CURVES'!$A$9:$Z$9,0)))-(INDEX(terminal_curves,MATCH(AC164,'TERMINAL CURVES'!$A$4:$A$313,0),MATCH(AG$5,'TERMINAL CURVES'!$A$4:$N$4,0))-INDEX(terminal_curves,MATCH(AC164,'TERMINAL CURVES'!$A$4:$A$313,0),MATCH(AE$6,'TERMINAL CURVES'!$A$4:$N$4,0)))*IF(W164=0,0,Y164/W164)))*-W164</f>
        <v>0</v>
      </c>
      <c r="AH164" s="356" t="n">
        <f aca="false">SUM(AE164:AG164)</f>
        <v>0</v>
      </c>
      <c r="AI164" s="357" t="n">
        <f aca="false">(-Y164/((HLOOKUP(AG$5,port_specs,2,0)/(365.25))*(AC165-AC164)))*(INDEX(fixed_capacity_charge,MATCH(AC164,PORTS!$H$11:$H$317,0),MATCH(AG$5,PORTS!$H$11:$N$11,0))+INDEX(variable_om_charge,MATCH(AC164,PORTS!$H$318:$H$625,0),MATCH(AG$5,PORTS!$H$318:$N$318,0)))</f>
        <v>-0</v>
      </c>
      <c r="AJ164" s="343" t="n">
        <f aca="false">+AI164+AH164</f>
        <v>0</v>
      </c>
      <c r="AK164" s="355" t="n">
        <f aca="false">+AJ164+AD164</f>
        <v>0</v>
      </c>
      <c r="AM164" s="346" t="n">
        <f aca="false">+DATE(YEAR(AM163),MONTH(AM163)+1,1)</f>
        <v>41153</v>
      </c>
      <c r="AN164" s="327" t="n">
        <f aca="false">+AP164/(1-HLOOKUP(AO$6,SHIPS,7,0)*INDEX(LADEN_VOYAGE_DAYS,MATCH(CONCATENATE(AO$4,AO$5),LADEN_VOYAGE_ROUTES,0),MATCH(AO$6,LADEN_VOYAGE_SHIPS,0)))</f>
        <v>5221704.65550959</v>
      </c>
      <c r="AO164" s="347" t="n">
        <f aca="false">+AP164-AN164</f>
        <v>-54827.8988828501</v>
      </c>
      <c r="AP164" s="348" t="n">
        <f aca="false">+IF(AND(AO$8&lt;=AM164,AO$9&gt;=AM164),+MIN($B164-SUMIF($H$17:AO$17,AP$17,$H164:AO164),((INDEX(ROUTE_PER_DAY_BY_SHIP,MATCH(CONCATENATE(AO$4,AO$5,AO$7),ROUTE_PER_DAY_ROUTES,0),MATCH(AO$6,ROUTE_PER_DAY_SHIPS,0))*(AM165-AM164))-(INDEX(ROUTE_PER_DAY_BY_SHIP,MATCH(CONCATENATE(AO$4,AO$5,AO$7),ROUTE_PER_DAY_ROUTES,0),MATCH(AO$6,ROUTE_PER_DAY_SHIPS,0))*(AM165-AM164))*HLOOKUP(AO$6,SHIPS,7,0)*INDEX(LADEN_VOYAGE_DAYS,MATCH(CONCATENATE(AO$4,AO$5,AO$7),LADEN_VOYAGE_ROUTES,0),MATCH(AO$6,LADEN_VOYAGE_SHIPS,0)))),0)</f>
        <v>5166876.75662674</v>
      </c>
      <c r="AQ164" s="349" t="n">
        <f aca="false">-(AP164)*PORTS!$I$6</f>
        <v>-129171.918915669</v>
      </c>
      <c r="AR164" s="327" t="n">
        <f aca="false">+AP164+AQ164</f>
        <v>5037704.83771107</v>
      </c>
      <c r="AS164" s="333"/>
      <c r="AT164" s="346" t="n">
        <f aca="false">+DATE(YEAR(AT163),MONTH(AT163)+1,1)</f>
        <v>41153</v>
      </c>
      <c r="AU164" s="343" t="n">
        <f aca="false">+AR164*(VLOOKUP(AT164,CURVECALC!$C$6:$J$312,4,0)+AV$5)</f>
        <v>17868739.0593612</v>
      </c>
      <c r="AV164" s="350" t="n">
        <f aca="false">-AN164*INDEX(ship_curves,MATCH(AT164,'SHIP CURVES'!$A$9:$A$316,0),MATCH(CONCATENATE(AX$4,AX$5,AX$6,AX$7),'SHIP CURVES'!$A$9:$AZ$9,0))</f>
        <v>-1752131.97357729</v>
      </c>
      <c r="AW164" s="351" t="n">
        <f aca="false">-AP164*INDEX(port_processing_fee,MATCH(AT164,PORTS!$H$626:$H$933,0),MATCH(AX$5,PORTS!$H$626:$Z$626,0))</f>
        <v>-159336.655334428</v>
      </c>
      <c r="AX164" s="352" t="n">
        <f aca="false">(((VLOOKUP(AT164,curvecalc,4,0))*IF(AN164=0,0,AR164/AN164)-INDEX(ship_curves,MATCH(AT164,'SHIP CURVES'!$A$9:$A$316,0),MATCH(CONCATENATE(AX$4,AX$5,AX$6,AX$7),'SHIP CURVES'!$A$9:$Z$9,0))-INDEX(terminal_curves,MATCH(AT164,'TERMINAL CURVES'!$A$4:$A$313,0),MATCH(AX$5,'TERMINAL CURVES'!$A$4:$N$4,0))*IF(AN164=0,0,AP164/AN164))-(AV$8)*((AV$7-$N$5)-(INDEX(ship_curves,MATCH(AT164,'SHIP CURVES'!$A$9:$A$316,0),MATCH(CONCATENATE(AX$4,AX$5,AX$6,AX$7),'SHIP CURVES'!$A$9:$Z$9,0))-INDEX(ship_curves,MATCH(AT164,'SHIP CURVES'!$A$9:$A$316,0),MATCH(CONCATENATE(AX$4,AV$6,AX$6,AX$7),'SHIP CURVES'!$A$9:$Z$9,0)))-(INDEX(terminal_curves,MATCH(AT164,'TERMINAL CURVES'!$A$4:$A$313,0),MATCH(AX$5,'TERMINAL CURVES'!$A$4:$N$4,0))-INDEX(terminal_curves,MATCH(AT164,'TERMINAL CURVES'!$A$4:$A$313,0),MATCH(AV$6,'TERMINAL CURVES'!$A$4:$N$4,0)))*IF(AN164=0,0,AP164/AN164)))*-AN164</f>
        <v>-14840901.2116251</v>
      </c>
      <c r="AY164" s="356" t="n">
        <f aca="false">SUM(AV164:AX164)</f>
        <v>-16752369.8405369</v>
      </c>
      <c r="AZ164" s="357" t="n">
        <f aca="false">(-AP164/((HLOOKUP(AX$5,port_specs,2,0)/(365.25))*(AT165-AT164)))*(INDEX(fixed_capacity_charge,MATCH(AT164,PORTS!$H$11:$H$317,0),MATCH(AX$5,PORTS!$H$11:$N$11,0))+INDEX(variable_om_charge,MATCH(AT164,PORTS!$H$318:$H$625,0),MATCH(AX$5,PORTS!$H$318:$N$318,0)))</f>
        <v>-1015615.1220701</v>
      </c>
      <c r="BA164" s="343" t="n">
        <f aca="false">+AZ164+AY164</f>
        <v>-17767984.962607</v>
      </c>
      <c r="BB164" s="355" t="n">
        <f aca="false">+BA164+AU164</f>
        <v>100754.096754219</v>
      </c>
      <c r="BC164" s="99"/>
      <c r="BD164" s="357" t="n">
        <f aca="false">+PORTS!I158+PORTS!I466</f>
        <v>1015615.1220701</v>
      </c>
    </row>
    <row r="165" customFormat="false" ht="12.75" hidden="false" customHeight="false" outlineLevel="0" collapsed="false">
      <c r="A165" s="346" t="n">
        <f aca="false">+DATE(YEAR(A164),MONTH(A164)+1,1)</f>
        <v>41183</v>
      </c>
      <c r="B165" s="327" t="n">
        <f aca="false">+IF(AND($A165&gt;=$C$8,$A165&lt;=$C$9),1,0)*PORTS!$I$5/(365.25)*(A166-A165)</f>
        <v>5339105.98184763</v>
      </c>
      <c r="C165" s="328" t="n">
        <f aca="false">+B165-(SUMIF($F$17:$IV$17,$H$17,$F165:$IV165))</f>
        <v>0</v>
      </c>
      <c r="D165" s="0" t="n">
        <f aca="false">+YEAR(E165)</f>
        <v>2012</v>
      </c>
      <c r="E165" s="346" t="n">
        <f aca="false">+DATE(YEAR(E164),MONTH(E164)+1,1)</f>
        <v>41183</v>
      </c>
      <c r="F165" s="327" t="n">
        <f aca="false">+IF(AND(G$8&lt;=E165,G$9&gt;=E165),INDEX(ROUTE_PER_DAY_BY_SHIP,MATCH(CONCATENATE(G$4,G$5,G$7),ROUTE_PER_DAY_ROUTES,0),MATCH(G$6,ROUTE_PER_DAY_SHIPS,0))*(E166-E165),0)</f>
        <v>0</v>
      </c>
      <c r="G165" s="347" t="n">
        <f aca="false">-F165*HLOOKUP(G$6,SHIPS,7,0)*INDEX(LADEN_VOYAGE_DAYS,MATCH(CONCATENATE(G$4,G$5,G$7),LADEN_VOYAGE_ROUTES,0),MATCH(G$6,LADEN_VOYAGE_SHIPS,0))</f>
        <v>-0</v>
      </c>
      <c r="H165" s="348" t="n">
        <f aca="false">SUM(F165:G165)</f>
        <v>0</v>
      </c>
      <c r="I165" s="349" t="n">
        <f aca="false">-(H165)*HLOOKUP(G$5,TERMINAL_CHARGES,3,0)</f>
        <v>-0</v>
      </c>
      <c r="J165" s="327" t="n">
        <f aca="false">+H165+I165</f>
        <v>0</v>
      </c>
      <c r="K165" s="333"/>
      <c r="L165" s="346" t="n">
        <f aca="false">+DATE(YEAR(L164),MONTH(L164)+1,1)</f>
        <v>41183</v>
      </c>
      <c r="M165" s="334" t="n">
        <f aca="false">+J165*(VLOOKUP(L165,CURVECALC!$C$6:$J$312,4,0)+N$5)</f>
        <v>0</v>
      </c>
      <c r="N165" s="350" t="n">
        <f aca="false">-F165*INDEX(ship_curves,MATCH(L165,'SHIP CURVES'!$A$9:$A$316,0),MATCH(CONCATENATE(P$4,P$5,P$6,P$7),'SHIP CURVES'!$A$9:$AZ$9,0))</f>
        <v>-0</v>
      </c>
      <c r="O165" s="351" t="n">
        <f aca="false">-H165*INDEX(port_processing_fee,MATCH(L165,PORTS!$H$626:$H$933,0),MATCH(P$5,PORTS!$H$626:$Z$626,0))</f>
        <v>-0</v>
      </c>
      <c r="P165" s="352" t="n">
        <f aca="false">(((VLOOKUP(L165,curvecalc,4,0))*IF(F165=0,0,J165/F165)-INDEX(ship_curves,MATCH(L165,'SHIP CURVES'!$A$9:$A$316,0),MATCH(CONCATENATE(P$4,P$5,P$6,P$7),'SHIP CURVES'!$A$9:$Z$9,0))-INDEX(terminal_curves,MATCH(L165,'TERMINAL CURVES'!$A$4:$A$313,0),MATCH(P$5,'TERMINAL CURVES'!$A$4:$N$4,0))*IF(F165=0,0,H165/F165))-(N$8)*((N$7-$N$5)-(INDEX(ship_curves,MATCH(L165,'SHIP CURVES'!$A$9:$A$316,0),MATCH(CONCATENATE(P$4,P$5,P$6,P$7),'SHIP CURVES'!$A$9:$Z$9,0))-INDEX(ship_curves,MATCH(L165,'SHIP CURVES'!$A$9:$A$316,0),MATCH(CONCATENATE(P$4,N$6,P$6,P$7),'SHIP CURVES'!$A$9:$Z$9,0)))-(INDEX(terminal_curves,MATCH(L165,'TERMINAL CURVES'!$A$4:$A$313,0),MATCH(P$5,'TERMINAL CURVES'!$A$4:$N$4,0))-INDEX(terminal_curves,MATCH(L165,'TERMINAL CURVES'!$A$4:$A$313,0),MATCH(N$6,'TERMINAL CURVES'!$A$4:$N$4,0)))*IF(F165=0,0,H165/F165)))*-F165</f>
        <v>0</v>
      </c>
      <c r="Q165" s="353" t="n">
        <f aca="false">SUM(N165:P165)</f>
        <v>0</v>
      </c>
      <c r="R165" s="357" t="n">
        <f aca="false">(-H165/((HLOOKUP(P$5,port_specs,2,0)/(365.25))*(L166-L165)))*(INDEX(fixed_capacity_charge,MATCH(L165,PORTS!$H$11:$H$317,0),MATCH(P$5,PORTS!$H$11:$N$11,0))+INDEX(variable_om_charge,MATCH(L165,PORTS!$H$318:$H$625,0),MATCH(P$5,PORTS!$H$318:$N$318,0)))</f>
        <v>-0</v>
      </c>
      <c r="S165" s="343" t="n">
        <f aca="false">+R165+Q165</f>
        <v>0</v>
      </c>
      <c r="T165" s="355" t="n">
        <f aca="false">+S165+M165</f>
        <v>0</v>
      </c>
      <c r="V165" s="346" t="n">
        <f aca="false">+DATE(YEAR(V164),MONTH(V164)+1,1)</f>
        <v>41183</v>
      </c>
      <c r="W165" s="327" t="n">
        <f aca="false">+Y165/(1-HLOOKUP(X$6,SHIPS,7,0)*INDEX(LADEN_VOYAGE_DAYS,MATCH(CONCATENATE(X$4,X$5),LADEN_VOYAGE_ROUTES,0),MATCH(X$6,LADEN_VOYAGE_SHIPS,0)))</f>
        <v>0</v>
      </c>
      <c r="X165" s="347" t="n">
        <f aca="false">+Y165-W165</f>
        <v>0</v>
      </c>
      <c r="Y165" s="348" t="n">
        <f aca="false">+IF(AND(X$8&lt;=V165,X$9&gt;=V165),+MIN($B165-SUMIF($H$17:X$17,Y$17,$H165:X165),((INDEX(ROUTE_PER_DAY_BY_SHIP,MATCH(CONCATENATE(X$4,X$5,X$7),ROUTE_PER_DAY_ROUTES,0),MATCH(X$6,ROUTE_PER_DAY_SHIPS,0))*(V166-V165))-(INDEX(ROUTE_PER_DAY_BY_SHIP,MATCH(CONCATENATE(X$4,X$5,X$7),ROUTE_PER_DAY_ROUTES,0),MATCH(X$6,ROUTE_PER_DAY_SHIPS,0))*(V166-V165))*HLOOKUP(X$6,SHIPS,7,0)*INDEX(LADEN_VOYAGE_DAYS,MATCH(CONCATENATE(X$4,X$5,X$7),LADEN_VOYAGE_ROUTES,0),MATCH(X$6,LADEN_VOYAGE_SHIPS,0)))),0)</f>
        <v>0</v>
      </c>
      <c r="Z165" s="349" t="n">
        <f aca="false">-(Y165)*HLOOKUP(X$5,TERMINAL_CHARGES,3,0)</f>
        <v>-0</v>
      </c>
      <c r="AA165" s="327" t="n">
        <f aca="false">+Y165+Z165</f>
        <v>0</v>
      </c>
      <c r="AB165" s="333"/>
      <c r="AC165" s="346" t="n">
        <f aca="false">+DATE(YEAR(AC164),MONTH(AC164)+1,1)</f>
        <v>41183</v>
      </c>
      <c r="AD165" s="343" t="n">
        <f aca="false">+AA165*(VLOOKUP(AC165,CURVECALC!$C$6:$J$312,4,0)+AE$5)</f>
        <v>0</v>
      </c>
      <c r="AE165" s="350" t="n">
        <f aca="false">-W165*INDEX(ship_curves,MATCH(AC165,'SHIP CURVES'!$A$9:$A$316,0),MATCH(CONCATENATE(AG$4,AG$5,AG$6,AG$7),'SHIP CURVES'!$A$9:$AZ$9,0))</f>
        <v>-0</v>
      </c>
      <c r="AF165" s="351" t="n">
        <f aca="false">-Y165*INDEX(port_processing_fee,MATCH(AC165,PORTS!$H$626:$H$933,0),MATCH(AG$5,PORTS!$H$626:$Z$626,0))</f>
        <v>-0</v>
      </c>
      <c r="AG165" s="352" t="n">
        <f aca="false">(((VLOOKUP(AC165,curvecalc,4,0))*IF(W165=0,0,AA165/W165)-INDEX(ship_curves,MATCH(AC165,'SHIP CURVES'!$A$9:$A$316,0),MATCH(CONCATENATE(AG$4,AG$5,AG$6,AG$7),'SHIP CURVES'!$A$9:$Z$9,0))-INDEX(terminal_curves,MATCH(AC165,'TERMINAL CURVES'!$A$4:$A$313,0),MATCH(AG$5,'TERMINAL CURVES'!$A$4:$N$4,0))*IF(W165=0,0,Y165/W165))-(AE$8)*((AE$7-$N$5)-(INDEX(ship_curves,MATCH(AC165,'SHIP CURVES'!$A$9:$A$316,0),MATCH(CONCATENATE(AG$4,AG$5,AG$6,AG$7),'SHIP CURVES'!$A$9:$Z$9,0))-INDEX(ship_curves,MATCH(AC165,'SHIP CURVES'!$A$9:$A$316,0),MATCH(CONCATENATE(AG$4,AE$6,AG$6,AG$7),'SHIP CURVES'!$A$9:$Z$9,0)))-(INDEX(terminal_curves,MATCH(AC165,'TERMINAL CURVES'!$A$4:$A$313,0),MATCH(AG$5,'TERMINAL CURVES'!$A$4:$N$4,0))-INDEX(terminal_curves,MATCH(AC165,'TERMINAL CURVES'!$A$4:$A$313,0),MATCH(AE$6,'TERMINAL CURVES'!$A$4:$N$4,0)))*IF(W165=0,0,Y165/W165)))*-W165</f>
        <v>0</v>
      </c>
      <c r="AH165" s="356" t="n">
        <f aca="false">SUM(AE165:AG165)</f>
        <v>0</v>
      </c>
      <c r="AI165" s="357" t="n">
        <f aca="false">(-Y165/((HLOOKUP(AG$5,port_specs,2,0)/(365.25))*(AC166-AC165)))*(INDEX(fixed_capacity_charge,MATCH(AC165,PORTS!$H$11:$H$317,0),MATCH(AG$5,PORTS!$H$11:$N$11,0))+INDEX(variable_om_charge,MATCH(AC165,PORTS!$H$318:$H$625,0),MATCH(AG$5,PORTS!$H$318:$N$318,0)))</f>
        <v>-0</v>
      </c>
      <c r="AJ165" s="343" t="n">
        <f aca="false">+AI165+AH165</f>
        <v>0</v>
      </c>
      <c r="AK165" s="355" t="n">
        <f aca="false">+AJ165+AD165</f>
        <v>0</v>
      </c>
      <c r="AM165" s="346" t="n">
        <f aca="false">+DATE(YEAR(AM164),MONTH(AM164)+1,1)</f>
        <v>41183</v>
      </c>
      <c r="AN165" s="327" t="n">
        <f aca="false">+AP165/(1-HLOOKUP(AO$6,SHIPS,7,0)*INDEX(LADEN_VOYAGE_DAYS,MATCH(CONCATENATE(AO$4,AO$5),LADEN_VOYAGE_ROUTES,0),MATCH(AO$6,LADEN_VOYAGE_SHIPS,0)))</f>
        <v>5395761.47735991</v>
      </c>
      <c r="AO165" s="347" t="n">
        <f aca="false">+AP165-AN165</f>
        <v>-56655.4955122788</v>
      </c>
      <c r="AP165" s="348" t="n">
        <f aca="false">+IF(AND(AO$8&lt;=AM165,AO$9&gt;=AM165),+MIN($B165-SUMIF($H$17:AO$17,AP$17,$H165:AO165),((INDEX(ROUTE_PER_DAY_BY_SHIP,MATCH(CONCATENATE(AO$4,AO$5,AO$7),ROUTE_PER_DAY_ROUTES,0),MATCH(AO$6,ROUTE_PER_DAY_SHIPS,0))*(AM166-AM165))-(INDEX(ROUTE_PER_DAY_BY_SHIP,MATCH(CONCATENATE(AO$4,AO$5,AO$7),ROUTE_PER_DAY_ROUTES,0),MATCH(AO$6,ROUTE_PER_DAY_SHIPS,0))*(AM166-AM165))*HLOOKUP(AO$6,SHIPS,7,0)*INDEX(LADEN_VOYAGE_DAYS,MATCH(CONCATENATE(AO$4,AO$5,AO$7),LADEN_VOYAGE_ROUTES,0),MATCH(AO$6,LADEN_VOYAGE_SHIPS,0)))),0)</f>
        <v>5339105.98184763</v>
      </c>
      <c r="AQ165" s="349" t="n">
        <f aca="false">-(AP165)*PORTS!$I$6</f>
        <v>-133477.649546191</v>
      </c>
      <c r="AR165" s="327" t="n">
        <f aca="false">+AP165+AQ165</f>
        <v>5205628.33230144</v>
      </c>
      <c r="AS165" s="333"/>
      <c r="AT165" s="346" t="n">
        <f aca="false">+DATE(YEAR(AT164),MONTH(AT164)+1,1)</f>
        <v>41183</v>
      </c>
      <c r="AU165" s="343" t="n">
        <f aca="false">+AR165*(VLOOKUP(AT165,CURVECALC!$C$6:$J$312,4,0)+AV$5)</f>
        <v>18521625.6063285</v>
      </c>
      <c r="AV165" s="350" t="n">
        <f aca="false">-AN165*INDEX(ship_curves,MATCH(AT165,'SHIP CURVES'!$A$9:$A$316,0),MATCH(CONCATENATE(AX$4,AX$5,AX$6,AX$7),'SHIP CURVES'!$A$9:$AZ$9,0))</f>
        <v>-1811112.64070837</v>
      </c>
      <c r="AW165" s="351" t="n">
        <f aca="false">-AP165*INDEX(port_processing_fee,MATCH(AT165,PORTS!$H$626:$H$933,0),MATCH(AX$5,PORTS!$H$626:$Z$626,0))</f>
        <v>-164819.385384303</v>
      </c>
      <c r="AX165" s="352" t="n">
        <f aca="false">(((VLOOKUP(AT165,curvecalc,4,0))*IF(AN165=0,0,AR165/AN165)-INDEX(ship_curves,MATCH(AT165,'SHIP CURVES'!$A$9:$A$316,0),MATCH(CONCATENATE(AX$4,AX$5,AX$6,AX$7),'SHIP CURVES'!$A$9:$Z$9,0))-INDEX(terminal_curves,MATCH(AT165,'TERMINAL CURVES'!$A$4:$A$313,0),MATCH(AX$5,'TERMINAL CURVES'!$A$4:$N$4,0))*IF(AN165=0,0,AP165/AN165))-(AV$8)*((AV$7-$N$5)-(INDEX(ship_curves,MATCH(AT165,'SHIP CURVES'!$A$9:$A$316,0),MATCH(CONCATENATE(AX$4,AX$5,AX$6,AX$7),'SHIP CURVES'!$A$9:$Z$9,0))-INDEX(ship_curves,MATCH(AT165,'SHIP CURVES'!$A$9:$A$316,0),MATCH(CONCATENATE(AX$4,AV$6,AX$6,AX$7),'SHIP CURVES'!$A$9:$Z$9,0)))-(INDEX(terminal_curves,MATCH(AT165,'TERMINAL CURVES'!$A$4:$A$313,0),MATCH(AX$5,'TERMINAL CURVES'!$A$4:$N$4,0))-INDEX(terminal_curves,MATCH(AT165,'TERMINAL CURVES'!$A$4:$A$313,0),MATCH(AV$6,'TERMINAL CURVES'!$A$4:$N$4,0)))*IF(AN165=0,0,AP165/AN165)))*-AN165</f>
        <v>-15425413.3617789</v>
      </c>
      <c r="AY165" s="356" t="n">
        <f aca="false">SUM(AV165:AX165)</f>
        <v>-17401345.3878716</v>
      </c>
      <c r="AZ165" s="357" t="n">
        <f aca="false">(-AP165/((HLOOKUP(AX$5,port_specs,2,0)/(365.25))*(AT166-AT165)))*(INDEX(fixed_capacity_charge,MATCH(AT165,PORTS!$H$11:$H$317,0),MATCH(AX$5,PORTS!$H$11:$N$11,0))+INDEX(variable_om_charge,MATCH(AT165,PORTS!$H$318:$H$625,0),MATCH(AX$5,PORTS!$H$318:$N$318,0)))</f>
        <v>-1016167.6518109</v>
      </c>
      <c r="BA165" s="343" t="n">
        <f aca="false">+AZ165+AY165</f>
        <v>-18417513.0396825</v>
      </c>
      <c r="BB165" s="355" t="n">
        <f aca="false">+BA165+AU165</f>
        <v>104112.566646028</v>
      </c>
      <c r="BC165" s="99"/>
      <c r="BD165" s="357" t="n">
        <f aca="false">+PORTS!I159+PORTS!I467</f>
        <v>1016167.6518109</v>
      </c>
    </row>
    <row r="166" customFormat="false" ht="12.75" hidden="false" customHeight="false" outlineLevel="0" collapsed="false">
      <c r="A166" s="346" t="n">
        <f aca="false">+DATE(YEAR(A165),MONTH(A165)+1,1)</f>
        <v>41214</v>
      </c>
      <c r="B166" s="327" t="n">
        <f aca="false">+IF(AND($A166&gt;=$C$8,$A166&lt;=$C$9),1,0)*PORTS!$I$5/(365.25)*(A167-A166)</f>
        <v>5166876.75662674</v>
      </c>
      <c r="C166" s="328" t="n">
        <f aca="false">+B166-(SUMIF($F$17:$IV$17,$H$17,$F166:$IV166))</f>
        <v>0</v>
      </c>
      <c r="D166" s="0" t="n">
        <f aca="false">+YEAR(E166)</f>
        <v>2012</v>
      </c>
      <c r="E166" s="346" t="n">
        <f aca="false">+DATE(YEAR(E165),MONTH(E165)+1,1)</f>
        <v>41214</v>
      </c>
      <c r="F166" s="327" t="n">
        <f aca="false">+IF(AND(G$8&lt;=E166,G$9&gt;=E166),INDEX(ROUTE_PER_DAY_BY_SHIP,MATCH(CONCATENATE(G$4,G$5,G$7),ROUTE_PER_DAY_ROUTES,0),MATCH(G$6,ROUTE_PER_DAY_SHIPS,0))*(E167-E166),0)</f>
        <v>0</v>
      </c>
      <c r="G166" s="347" t="n">
        <f aca="false">-F166*HLOOKUP(G$6,SHIPS,7,0)*INDEX(LADEN_VOYAGE_DAYS,MATCH(CONCATENATE(G$4,G$5,G$7),LADEN_VOYAGE_ROUTES,0),MATCH(G$6,LADEN_VOYAGE_SHIPS,0))</f>
        <v>-0</v>
      </c>
      <c r="H166" s="348" t="n">
        <f aca="false">SUM(F166:G166)</f>
        <v>0</v>
      </c>
      <c r="I166" s="349" t="n">
        <f aca="false">-(H166)*HLOOKUP(G$5,TERMINAL_CHARGES,3,0)</f>
        <v>-0</v>
      </c>
      <c r="J166" s="327" t="n">
        <f aca="false">+H166+I166</f>
        <v>0</v>
      </c>
      <c r="K166" s="333"/>
      <c r="L166" s="346" t="n">
        <f aca="false">+DATE(YEAR(L165),MONTH(L165)+1,1)</f>
        <v>41214</v>
      </c>
      <c r="M166" s="334" t="n">
        <f aca="false">+J166*(VLOOKUP(L166,CURVECALC!$C$6:$J$312,4,0)+N$5)</f>
        <v>0</v>
      </c>
      <c r="N166" s="350" t="n">
        <f aca="false">-F166*INDEX(ship_curves,MATCH(L166,'SHIP CURVES'!$A$9:$A$316,0),MATCH(CONCATENATE(P$4,P$5,P$6,P$7),'SHIP CURVES'!$A$9:$AZ$9,0))</f>
        <v>-0</v>
      </c>
      <c r="O166" s="351" t="n">
        <f aca="false">-H166*INDEX(port_processing_fee,MATCH(L166,PORTS!$H$626:$H$933,0),MATCH(P$5,PORTS!$H$626:$Z$626,0))</f>
        <v>-0</v>
      </c>
      <c r="P166" s="352" t="n">
        <f aca="false">(((VLOOKUP(L166,curvecalc,4,0))*IF(F166=0,0,J166/F166)-INDEX(ship_curves,MATCH(L166,'SHIP CURVES'!$A$9:$A$316,0),MATCH(CONCATENATE(P$4,P$5,P$6,P$7),'SHIP CURVES'!$A$9:$Z$9,0))-INDEX(terminal_curves,MATCH(L166,'TERMINAL CURVES'!$A$4:$A$313,0),MATCH(P$5,'TERMINAL CURVES'!$A$4:$N$4,0))*IF(F166=0,0,H166/F166))-(N$8)*((N$7-$N$5)-(INDEX(ship_curves,MATCH(L166,'SHIP CURVES'!$A$9:$A$316,0),MATCH(CONCATENATE(P$4,P$5,P$6,P$7),'SHIP CURVES'!$A$9:$Z$9,0))-INDEX(ship_curves,MATCH(L166,'SHIP CURVES'!$A$9:$A$316,0),MATCH(CONCATENATE(P$4,N$6,P$6,P$7),'SHIP CURVES'!$A$9:$Z$9,0)))-(INDEX(terminal_curves,MATCH(L166,'TERMINAL CURVES'!$A$4:$A$313,0),MATCH(P$5,'TERMINAL CURVES'!$A$4:$N$4,0))-INDEX(terminal_curves,MATCH(L166,'TERMINAL CURVES'!$A$4:$A$313,0),MATCH(N$6,'TERMINAL CURVES'!$A$4:$N$4,0)))*IF(F166=0,0,H166/F166)))*-F166</f>
        <v>0</v>
      </c>
      <c r="Q166" s="353" t="n">
        <f aca="false">SUM(N166:P166)</f>
        <v>0</v>
      </c>
      <c r="R166" s="357" t="n">
        <f aca="false">(-H166/((HLOOKUP(P$5,port_specs,2,0)/(365.25))*(L167-L166)))*(INDEX(fixed_capacity_charge,MATCH(L166,PORTS!$H$11:$H$317,0),MATCH(P$5,PORTS!$H$11:$N$11,0))+INDEX(variable_om_charge,MATCH(L166,PORTS!$H$318:$H$625,0),MATCH(P$5,PORTS!$H$318:$N$318,0)))</f>
        <v>-0</v>
      </c>
      <c r="S166" s="343" t="n">
        <f aca="false">+R166+Q166</f>
        <v>0</v>
      </c>
      <c r="T166" s="355" t="n">
        <f aca="false">+S166+M166</f>
        <v>0</v>
      </c>
      <c r="V166" s="346" t="n">
        <f aca="false">+DATE(YEAR(V165),MONTH(V165)+1,1)</f>
        <v>41214</v>
      </c>
      <c r="W166" s="327" t="n">
        <f aca="false">+Y166/(1-HLOOKUP(X$6,SHIPS,7,0)*INDEX(LADEN_VOYAGE_DAYS,MATCH(CONCATENATE(X$4,X$5),LADEN_VOYAGE_ROUTES,0),MATCH(X$6,LADEN_VOYAGE_SHIPS,0)))</f>
        <v>0</v>
      </c>
      <c r="X166" s="347" t="n">
        <f aca="false">+Y166-W166</f>
        <v>0</v>
      </c>
      <c r="Y166" s="348" t="n">
        <f aca="false">+IF(AND(X$8&lt;=V166,X$9&gt;=V166),+MIN($B166-SUMIF($H$17:X$17,Y$17,$H166:X166),((INDEX(ROUTE_PER_DAY_BY_SHIP,MATCH(CONCATENATE(X$4,X$5,X$7),ROUTE_PER_DAY_ROUTES,0),MATCH(X$6,ROUTE_PER_DAY_SHIPS,0))*(V167-V166))-(INDEX(ROUTE_PER_DAY_BY_SHIP,MATCH(CONCATENATE(X$4,X$5,X$7),ROUTE_PER_DAY_ROUTES,0),MATCH(X$6,ROUTE_PER_DAY_SHIPS,0))*(V167-V166))*HLOOKUP(X$6,SHIPS,7,0)*INDEX(LADEN_VOYAGE_DAYS,MATCH(CONCATENATE(X$4,X$5,X$7),LADEN_VOYAGE_ROUTES,0),MATCH(X$6,LADEN_VOYAGE_SHIPS,0)))),0)</f>
        <v>0</v>
      </c>
      <c r="Z166" s="349" t="n">
        <f aca="false">-(Y166)*HLOOKUP(X$5,TERMINAL_CHARGES,3,0)</f>
        <v>-0</v>
      </c>
      <c r="AA166" s="327" t="n">
        <f aca="false">+Y166+Z166</f>
        <v>0</v>
      </c>
      <c r="AB166" s="333"/>
      <c r="AC166" s="346" t="n">
        <f aca="false">+DATE(YEAR(AC165),MONTH(AC165)+1,1)</f>
        <v>41214</v>
      </c>
      <c r="AD166" s="343" t="n">
        <f aca="false">+AA166*(VLOOKUP(AC166,CURVECALC!$C$6:$J$312,4,0)+AE$5)</f>
        <v>0</v>
      </c>
      <c r="AE166" s="350" t="n">
        <f aca="false">-W166*INDEX(ship_curves,MATCH(AC166,'SHIP CURVES'!$A$9:$A$316,0),MATCH(CONCATENATE(AG$4,AG$5,AG$6,AG$7),'SHIP CURVES'!$A$9:$AZ$9,0))</f>
        <v>-0</v>
      </c>
      <c r="AF166" s="351" t="n">
        <f aca="false">-Y166*INDEX(port_processing_fee,MATCH(AC166,PORTS!$H$626:$H$933,0),MATCH(AG$5,PORTS!$H$626:$Z$626,0))</f>
        <v>-0</v>
      </c>
      <c r="AG166" s="352" t="n">
        <f aca="false">(((VLOOKUP(AC166,curvecalc,4,0))*IF(W166=0,0,AA166/W166)-INDEX(ship_curves,MATCH(AC166,'SHIP CURVES'!$A$9:$A$316,0),MATCH(CONCATENATE(AG$4,AG$5,AG$6,AG$7),'SHIP CURVES'!$A$9:$Z$9,0))-INDEX(terminal_curves,MATCH(AC166,'TERMINAL CURVES'!$A$4:$A$313,0),MATCH(AG$5,'TERMINAL CURVES'!$A$4:$N$4,0))*IF(W166=0,0,Y166/W166))-(AE$8)*((AE$7-$N$5)-(INDEX(ship_curves,MATCH(AC166,'SHIP CURVES'!$A$9:$A$316,0),MATCH(CONCATENATE(AG$4,AG$5,AG$6,AG$7),'SHIP CURVES'!$A$9:$Z$9,0))-INDEX(ship_curves,MATCH(AC166,'SHIP CURVES'!$A$9:$A$316,0),MATCH(CONCATENATE(AG$4,AE$6,AG$6,AG$7),'SHIP CURVES'!$A$9:$Z$9,0)))-(INDEX(terminal_curves,MATCH(AC166,'TERMINAL CURVES'!$A$4:$A$313,0),MATCH(AG$5,'TERMINAL CURVES'!$A$4:$N$4,0))-INDEX(terminal_curves,MATCH(AC166,'TERMINAL CURVES'!$A$4:$A$313,0),MATCH(AE$6,'TERMINAL CURVES'!$A$4:$N$4,0)))*IF(W166=0,0,Y166/W166)))*-W166</f>
        <v>0</v>
      </c>
      <c r="AH166" s="356" t="n">
        <f aca="false">SUM(AE166:AG166)</f>
        <v>0</v>
      </c>
      <c r="AI166" s="357" t="n">
        <f aca="false">(-Y166/((HLOOKUP(AG$5,port_specs,2,0)/(365.25))*(AC167-AC166)))*(INDEX(fixed_capacity_charge,MATCH(AC166,PORTS!$H$11:$H$317,0),MATCH(AG$5,PORTS!$H$11:$N$11,0))+INDEX(variable_om_charge,MATCH(AC166,PORTS!$H$318:$H$625,0),MATCH(AG$5,PORTS!$H$318:$N$318,0)))</f>
        <v>-0</v>
      </c>
      <c r="AJ166" s="343" t="n">
        <f aca="false">+AI166+AH166</f>
        <v>0</v>
      </c>
      <c r="AK166" s="355" t="n">
        <f aca="false">+AJ166+AD166</f>
        <v>0</v>
      </c>
      <c r="AM166" s="346" t="n">
        <f aca="false">+DATE(YEAR(AM165),MONTH(AM165)+1,1)</f>
        <v>41214</v>
      </c>
      <c r="AN166" s="327" t="n">
        <f aca="false">+AP166/(1-HLOOKUP(AO$6,SHIPS,7,0)*INDEX(LADEN_VOYAGE_DAYS,MATCH(CONCATENATE(AO$4,AO$5),LADEN_VOYAGE_ROUTES,0),MATCH(AO$6,LADEN_VOYAGE_SHIPS,0)))</f>
        <v>5221704.65550959</v>
      </c>
      <c r="AO166" s="347" t="n">
        <f aca="false">+AP166-AN166</f>
        <v>-54827.8988828501</v>
      </c>
      <c r="AP166" s="348" t="n">
        <f aca="false">+IF(AND(AO$8&lt;=AM166,AO$9&gt;=AM166),+MIN($B166-SUMIF($H$17:AO$17,AP$17,$H166:AO166),((INDEX(ROUTE_PER_DAY_BY_SHIP,MATCH(CONCATENATE(AO$4,AO$5,AO$7),ROUTE_PER_DAY_ROUTES,0),MATCH(AO$6,ROUTE_PER_DAY_SHIPS,0))*(AM167-AM166))-(INDEX(ROUTE_PER_DAY_BY_SHIP,MATCH(CONCATENATE(AO$4,AO$5,AO$7),ROUTE_PER_DAY_ROUTES,0),MATCH(AO$6,ROUTE_PER_DAY_SHIPS,0))*(AM167-AM166))*HLOOKUP(AO$6,SHIPS,7,0)*INDEX(LADEN_VOYAGE_DAYS,MATCH(CONCATENATE(AO$4,AO$5,AO$7),LADEN_VOYAGE_ROUTES,0),MATCH(AO$6,LADEN_VOYAGE_SHIPS,0)))),0)</f>
        <v>5166876.75662674</v>
      </c>
      <c r="AQ166" s="349" t="n">
        <f aca="false">-(AP166)*PORTS!$I$6</f>
        <v>-129171.918915669</v>
      </c>
      <c r="AR166" s="327" t="n">
        <f aca="false">+AP166+AQ166</f>
        <v>5037704.83771107</v>
      </c>
      <c r="AS166" s="333"/>
      <c r="AT166" s="346" t="n">
        <f aca="false">+DATE(YEAR(AT165),MONTH(AT165)+1,1)</f>
        <v>41214</v>
      </c>
      <c r="AU166" s="343" t="n">
        <f aca="false">+AR166*(VLOOKUP(AT166,CURVECALC!$C$6:$J$312,4,0)+AV$5)</f>
        <v>18246566.9221895</v>
      </c>
      <c r="AV166" s="350" t="n">
        <f aca="false">-AN166*INDEX(ship_curves,MATCH(AT166,'SHIP CURVES'!$A$9:$A$316,0),MATCH(CONCATENATE(AX$4,AX$5,AX$6,AX$7),'SHIP CURVES'!$A$9:$AZ$9,0))</f>
        <v>-1753248.49285022</v>
      </c>
      <c r="AW166" s="351" t="n">
        <f aca="false">-AP166*INDEX(port_processing_fee,MATCH(AT166,PORTS!$H$626:$H$933,0),MATCH(AX$5,PORTS!$H$626:$Z$626,0))</f>
        <v>-159668.779591044</v>
      </c>
      <c r="AX166" s="352" t="n">
        <f aca="false">(((VLOOKUP(AT166,curvecalc,4,0))*IF(AN166=0,0,AR166/AN166)-INDEX(ship_curves,MATCH(AT166,'SHIP CURVES'!$A$9:$A$316,0),MATCH(CONCATENATE(AX$4,AX$5,AX$6,AX$7),'SHIP CURVES'!$A$9:$Z$9,0))-INDEX(terminal_curves,MATCH(AT166,'TERMINAL CURVES'!$A$4:$A$313,0),MATCH(AX$5,'TERMINAL CURVES'!$A$4:$N$4,0))*IF(AN166=0,0,AP166/AN166))-(AV$8)*((AV$7-$N$5)-(INDEX(ship_curves,MATCH(AT166,'SHIP CURVES'!$A$9:$A$316,0),MATCH(CONCATENATE(AX$4,AX$5,AX$6,AX$7),'SHIP CURVES'!$A$9:$Z$9,0))-INDEX(ship_curves,MATCH(AT166,'SHIP CURVES'!$A$9:$A$316,0),MATCH(CONCATENATE(AX$4,AV$6,AX$6,AX$7),'SHIP CURVES'!$A$9:$Z$9,0)))-(INDEX(terminal_curves,MATCH(AT166,'TERMINAL CURVES'!$A$4:$A$313,0),MATCH(AX$5,'TERMINAL CURVES'!$A$4:$N$4,0))-INDEX(terminal_curves,MATCH(AT166,'TERMINAL CURVES'!$A$4:$A$313,0),MATCH(AV$6,'TERMINAL CURVES'!$A$4:$N$4,0)))*IF(AN166=0,0,AP166/AN166)))*-AN166</f>
        <v>-15216174.7958905</v>
      </c>
      <c r="AY166" s="356" t="n">
        <f aca="false">SUM(AV166:AX166)</f>
        <v>-17129092.0683318</v>
      </c>
      <c r="AZ166" s="357" t="n">
        <f aca="false">(-AP166/((HLOOKUP(AX$5,port_specs,2,0)/(365.25))*(AT167-AT166)))*(INDEX(fixed_capacity_charge,MATCH(AT166,PORTS!$H$11:$H$317,0),MATCH(AX$5,PORTS!$H$11:$N$11,0))+INDEX(variable_om_charge,MATCH(AT166,PORTS!$H$318:$H$625,0),MATCH(AX$5,PORTS!$H$318:$N$318,0)))</f>
        <v>-1016720.7571035</v>
      </c>
      <c r="BA166" s="343" t="n">
        <f aca="false">+AZ166+AY166</f>
        <v>-18145812.8254353</v>
      </c>
      <c r="BB166" s="355" t="n">
        <f aca="false">+BA166+AU166</f>
        <v>100754.096754219</v>
      </c>
      <c r="BC166" s="99"/>
      <c r="BD166" s="357" t="n">
        <f aca="false">+PORTS!I160+PORTS!I468</f>
        <v>1016720.7571035</v>
      </c>
    </row>
    <row r="167" customFormat="false" ht="12.75" hidden="false" customHeight="false" outlineLevel="0" collapsed="false">
      <c r="A167" s="346" t="n">
        <f aca="false">+DATE(YEAR(A166),MONTH(A166)+1,1)</f>
        <v>41244</v>
      </c>
      <c r="B167" s="327" t="n">
        <f aca="false">+IF(AND($A167&gt;=$C$8,$A167&lt;=$C$9),1,0)*PORTS!$I$5/(365.25)*(A168-A167)</f>
        <v>5339105.98184763</v>
      </c>
      <c r="C167" s="328" t="n">
        <f aca="false">+B167-(SUMIF($F$17:$IV$17,$H$17,$F167:$IV167))</f>
        <v>0</v>
      </c>
      <c r="D167" s="0" t="n">
        <f aca="false">+YEAR(E167)</f>
        <v>2012</v>
      </c>
      <c r="E167" s="346" t="n">
        <f aca="false">+DATE(YEAR(E166),MONTH(E166)+1,1)</f>
        <v>41244</v>
      </c>
      <c r="F167" s="327" t="n">
        <f aca="false">+IF(AND(G$8&lt;=E167,G$9&gt;=E167),INDEX(ROUTE_PER_DAY_BY_SHIP,MATCH(CONCATENATE(G$4,G$5,G$7),ROUTE_PER_DAY_ROUTES,0),MATCH(G$6,ROUTE_PER_DAY_SHIPS,0))*(E168-E167),0)</f>
        <v>0</v>
      </c>
      <c r="G167" s="347" t="n">
        <f aca="false">-F167*HLOOKUP(G$6,SHIPS,7,0)*INDEX(LADEN_VOYAGE_DAYS,MATCH(CONCATENATE(G$4,G$5,G$7),LADEN_VOYAGE_ROUTES,0),MATCH(G$6,LADEN_VOYAGE_SHIPS,0))</f>
        <v>-0</v>
      </c>
      <c r="H167" s="348" t="n">
        <f aca="false">SUM(F167:G167)</f>
        <v>0</v>
      </c>
      <c r="I167" s="349" t="n">
        <f aca="false">-(H167)*HLOOKUP(G$5,TERMINAL_CHARGES,3,0)</f>
        <v>-0</v>
      </c>
      <c r="J167" s="327" t="n">
        <f aca="false">+H167+I167</f>
        <v>0</v>
      </c>
      <c r="K167" s="333"/>
      <c r="L167" s="346" t="n">
        <f aca="false">+DATE(YEAR(L166),MONTH(L166)+1,1)</f>
        <v>41244</v>
      </c>
      <c r="M167" s="334" t="n">
        <f aca="false">+J167*(VLOOKUP(L167,CURVECALC!$C$6:$J$312,4,0)+N$5)</f>
        <v>0</v>
      </c>
      <c r="N167" s="350" t="n">
        <f aca="false">-F167*INDEX(ship_curves,MATCH(L167,'SHIP CURVES'!$A$9:$A$316,0),MATCH(CONCATENATE(P$4,P$5,P$6,P$7),'SHIP CURVES'!$A$9:$AZ$9,0))</f>
        <v>-0</v>
      </c>
      <c r="O167" s="351" t="n">
        <f aca="false">-H167*INDEX(port_processing_fee,MATCH(L167,PORTS!$H$626:$H$933,0),MATCH(P$5,PORTS!$H$626:$Z$626,0))</f>
        <v>-0</v>
      </c>
      <c r="P167" s="352" t="n">
        <f aca="false">(((VLOOKUP(L167,curvecalc,4,0))*IF(F167=0,0,J167/F167)-INDEX(ship_curves,MATCH(L167,'SHIP CURVES'!$A$9:$A$316,0),MATCH(CONCATENATE(P$4,P$5,P$6,P$7),'SHIP CURVES'!$A$9:$Z$9,0))-INDEX(terminal_curves,MATCH(L167,'TERMINAL CURVES'!$A$4:$A$313,0),MATCH(P$5,'TERMINAL CURVES'!$A$4:$N$4,0))*IF(F167=0,0,H167/F167))-(N$8)*((N$7-$N$5)-(INDEX(ship_curves,MATCH(L167,'SHIP CURVES'!$A$9:$A$316,0),MATCH(CONCATENATE(P$4,P$5,P$6,P$7),'SHIP CURVES'!$A$9:$Z$9,0))-INDEX(ship_curves,MATCH(L167,'SHIP CURVES'!$A$9:$A$316,0),MATCH(CONCATENATE(P$4,N$6,P$6,P$7),'SHIP CURVES'!$A$9:$Z$9,0)))-(INDEX(terminal_curves,MATCH(L167,'TERMINAL CURVES'!$A$4:$A$313,0),MATCH(P$5,'TERMINAL CURVES'!$A$4:$N$4,0))-INDEX(terminal_curves,MATCH(L167,'TERMINAL CURVES'!$A$4:$A$313,0),MATCH(N$6,'TERMINAL CURVES'!$A$4:$N$4,0)))*IF(F167=0,0,H167/F167)))*-F167</f>
        <v>0</v>
      </c>
      <c r="Q167" s="353" t="n">
        <f aca="false">SUM(N167:P167)</f>
        <v>0</v>
      </c>
      <c r="R167" s="357" t="n">
        <f aca="false">(-H167/((HLOOKUP(P$5,port_specs,2,0)/(365.25))*(L168-L167)))*(INDEX(fixed_capacity_charge,MATCH(L167,PORTS!$H$11:$H$317,0),MATCH(P$5,PORTS!$H$11:$N$11,0))+INDEX(variable_om_charge,MATCH(L167,PORTS!$H$318:$H$625,0),MATCH(P$5,PORTS!$H$318:$N$318,0)))</f>
        <v>-0</v>
      </c>
      <c r="S167" s="343" t="n">
        <f aca="false">+R167+Q167</f>
        <v>0</v>
      </c>
      <c r="T167" s="355" t="n">
        <f aca="false">+S167+M167</f>
        <v>0</v>
      </c>
      <c r="V167" s="346" t="n">
        <f aca="false">+DATE(YEAR(V166),MONTH(V166)+1,1)</f>
        <v>41244</v>
      </c>
      <c r="W167" s="327" t="n">
        <f aca="false">+Y167/(1-HLOOKUP(X$6,SHIPS,7,0)*INDEX(LADEN_VOYAGE_DAYS,MATCH(CONCATENATE(X$4,X$5),LADEN_VOYAGE_ROUTES,0),MATCH(X$6,LADEN_VOYAGE_SHIPS,0)))</f>
        <v>0</v>
      </c>
      <c r="X167" s="347" t="n">
        <f aca="false">+Y167-W167</f>
        <v>0</v>
      </c>
      <c r="Y167" s="348" t="n">
        <f aca="false">+IF(AND(X$8&lt;=V167,X$9&gt;=V167),+MIN($B167-SUMIF($H$17:X$17,Y$17,$H167:X167),((INDEX(ROUTE_PER_DAY_BY_SHIP,MATCH(CONCATENATE(X$4,X$5,X$7),ROUTE_PER_DAY_ROUTES,0),MATCH(X$6,ROUTE_PER_DAY_SHIPS,0))*(V168-V167))-(INDEX(ROUTE_PER_DAY_BY_SHIP,MATCH(CONCATENATE(X$4,X$5,X$7),ROUTE_PER_DAY_ROUTES,0),MATCH(X$6,ROUTE_PER_DAY_SHIPS,0))*(V168-V167))*HLOOKUP(X$6,SHIPS,7,0)*INDEX(LADEN_VOYAGE_DAYS,MATCH(CONCATENATE(X$4,X$5,X$7),LADEN_VOYAGE_ROUTES,0),MATCH(X$6,LADEN_VOYAGE_SHIPS,0)))),0)</f>
        <v>0</v>
      </c>
      <c r="Z167" s="349" t="n">
        <f aca="false">-(Y167)*HLOOKUP(X$5,TERMINAL_CHARGES,3,0)</f>
        <v>-0</v>
      </c>
      <c r="AA167" s="327" t="n">
        <f aca="false">+Y167+Z167</f>
        <v>0</v>
      </c>
      <c r="AB167" s="333"/>
      <c r="AC167" s="346" t="n">
        <f aca="false">+DATE(YEAR(AC166),MONTH(AC166)+1,1)</f>
        <v>41244</v>
      </c>
      <c r="AD167" s="343" t="n">
        <f aca="false">+AA167*(VLOOKUP(AC167,CURVECALC!$C$6:$J$312,4,0)+AE$5)</f>
        <v>0</v>
      </c>
      <c r="AE167" s="350" t="n">
        <f aca="false">-W167*INDEX(ship_curves,MATCH(AC167,'SHIP CURVES'!$A$9:$A$316,0),MATCH(CONCATENATE(AG$4,AG$5,AG$6,AG$7),'SHIP CURVES'!$A$9:$AZ$9,0))</f>
        <v>-0</v>
      </c>
      <c r="AF167" s="351" t="n">
        <f aca="false">-Y167*INDEX(port_processing_fee,MATCH(AC167,PORTS!$H$626:$H$933,0),MATCH(AG$5,PORTS!$H$626:$Z$626,0))</f>
        <v>-0</v>
      </c>
      <c r="AG167" s="352" t="n">
        <f aca="false">(((VLOOKUP(AC167,curvecalc,4,0))*IF(W167=0,0,AA167/W167)-INDEX(ship_curves,MATCH(AC167,'SHIP CURVES'!$A$9:$A$316,0),MATCH(CONCATENATE(AG$4,AG$5,AG$6,AG$7),'SHIP CURVES'!$A$9:$Z$9,0))-INDEX(terminal_curves,MATCH(AC167,'TERMINAL CURVES'!$A$4:$A$313,0),MATCH(AG$5,'TERMINAL CURVES'!$A$4:$N$4,0))*IF(W167=0,0,Y167/W167))-(AE$8)*((AE$7-$N$5)-(INDEX(ship_curves,MATCH(AC167,'SHIP CURVES'!$A$9:$A$316,0),MATCH(CONCATENATE(AG$4,AG$5,AG$6,AG$7),'SHIP CURVES'!$A$9:$Z$9,0))-INDEX(ship_curves,MATCH(AC167,'SHIP CURVES'!$A$9:$A$316,0),MATCH(CONCATENATE(AG$4,AE$6,AG$6,AG$7),'SHIP CURVES'!$A$9:$Z$9,0)))-(INDEX(terminal_curves,MATCH(AC167,'TERMINAL CURVES'!$A$4:$A$313,0),MATCH(AG$5,'TERMINAL CURVES'!$A$4:$N$4,0))-INDEX(terminal_curves,MATCH(AC167,'TERMINAL CURVES'!$A$4:$A$313,0),MATCH(AE$6,'TERMINAL CURVES'!$A$4:$N$4,0)))*IF(W167=0,0,Y167/W167)))*-W167</f>
        <v>0</v>
      </c>
      <c r="AH167" s="356" t="n">
        <f aca="false">SUM(AE167:AG167)</f>
        <v>0</v>
      </c>
      <c r="AI167" s="357" t="n">
        <f aca="false">(-Y167/((HLOOKUP(AG$5,port_specs,2,0)/(365.25))*(AC168-AC167)))*(INDEX(fixed_capacity_charge,MATCH(AC167,PORTS!$H$11:$H$317,0),MATCH(AG$5,PORTS!$H$11:$N$11,0))+INDEX(variable_om_charge,MATCH(AC167,PORTS!$H$318:$H$625,0),MATCH(AG$5,PORTS!$H$318:$N$318,0)))</f>
        <v>-0</v>
      </c>
      <c r="AJ167" s="343" t="n">
        <f aca="false">+AI167+AH167</f>
        <v>0</v>
      </c>
      <c r="AK167" s="355" t="n">
        <f aca="false">+AJ167+AD167</f>
        <v>0</v>
      </c>
      <c r="AM167" s="346" t="n">
        <f aca="false">+DATE(YEAR(AM166),MONTH(AM166)+1,1)</f>
        <v>41244</v>
      </c>
      <c r="AN167" s="327" t="n">
        <f aca="false">+AP167/(1-HLOOKUP(AO$6,SHIPS,7,0)*INDEX(LADEN_VOYAGE_DAYS,MATCH(CONCATENATE(AO$4,AO$5),LADEN_VOYAGE_ROUTES,0),MATCH(AO$6,LADEN_VOYAGE_SHIPS,0)))</f>
        <v>5395761.47735991</v>
      </c>
      <c r="AO167" s="347" t="n">
        <f aca="false">+AP167-AN167</f>
        <v>-56655.4955122788</v>
      </c>
      <c r="AP167" s="348" t="n">
        <f aca="false">+IF(AND(AO$8&lt;=AM167,AO$9&gt;=AM167),+MIN($B167-SUMIF($H$17:AO$17,AP$17,$H167:AO167),((INDEX(ROUTE_PER_DAY_BY_SHIP,MATCH(CONCATENATE(AO$4,AO$5,AO$7),ROUTE_PER_DAY_ROUTES,0),MATCH(AO$6,ROUTE_PER_DAY_SHIPS,0))*(AM168-AM167))-(INDEX(ROUTE_PER_DAY_BY_SHIP,MATCH(CONCATENATE(AO$4,AO$5,AO$7),ROUTE_PER_DAY_ROUTES,0),MATCH(AO$6,ROUTE_PER_DAY_SHIPS,0))*(AM168-AM167))*HLOOKUP(AO$6,SHIPS,7,0)*INDEX(LADEN_VOYAGE_DAYS,MATCH(CONCATENATE(AO$4,AO$5,AO$7),LADEN_VOYAGE_ROUTES,0),MATCH(AO$6,LADEN_VOYAGE_SHIPS,0)))),0)</f>
        <v>5339105.98184763</v>
      </c>
      <c r="AQ167" s="349" t="n">
        <f aca="false">-(AP167)*PORTS!$I$6</f>
        <v>-133477.649546191</v>
      </c>
      <c r="AR167" s="327" t="n">
        <f aca="false">+AP167+AQ167</f>
        <v>5205628.33230144</v>
      </c>
      <c r="AS167" s="333"/>
      <c r="AT167" s="346" t="n">
        <f aca="false">+DATE(YEAR(AT166),MONTH(AT166)+1,1)</f>
        <v>41244</v>
      </c>
      <c r="AU167" s="343" t="n">
        <f aca="false">+AR167*(VLOOKUP(AT167,CURVECALC!$C$6:$J$312,4,0)+AV$5)</f>
        <v>19260824.8295153</v>
      </c>
      <c r="AV167" s="350" t="n">
        <f aca="false">-AN167*INDEX(ship_curves,MATCH(AT167,'SHIP CURVES'!$A$9:$A$316,0),MATCH(CONCATENATE(AX$4,AX$5,AX$6,AX$7),'SHIP CURVES'!$A$9:$AZ$9,0))</f>
        <v>-1812268.78090827</v>
      </c>
      <c r="AW167" s="351" t="n">
        <f aca="false">-AP167*INDEX(port_processing_fee,MATCH(AT167,PORTS!$H$626:$H$933,0),MATCH(AX$5,PORTS!$H$626:$Z$626,0))</f>
        <v>-165162.937944333</v>
      </c>
      <c r="AX167" s="352" t="n">
        <f aca="false">(((VLOOKUP(AT167,curvecalc,4,0))*IF(AN167=0,0,AR167/AN167)-INDEX(ship_curves,MATCH(AT167,'SHIP CURVES'!$A$9:$A$316,0),MATCH(CONCATENATE(AX$4,AX$5,AX$6,AX$7),'SHIP CURVES'!$A$9:$Z$9,0))-INDEX(terminal_curves,MATCH(AT167,'TERMINAL CURVES'!$A$4:$A$313,0),MATCH(AX$5,'TERMINAL CURVES'!$A$4:$N$4,0))*IF(AN167=0,0,AP167/AN167))-(AV$8)*((AV$7-$N$5)-(INDEX(ship_curves,MATCH(AT167,'SHIP CURVES'!$A$9:$A$316,0),MATCH(CONCATENATE(AX$4,AX$5,AX$6,AX$7),'SHIP CURVES'!$A$9:$Z$9,0))-INDEX(ship_curves,MATCH(AT167,'SHIP CURVES'!$A$9:$A$316,0),MATCH(CONCATENATE(AX$4,AV$6,AX$6,AX$7),'SHIP CURVES'!$A$9:$Z$9,0)))-(INDEX(terminal_curves,MATCH(AT167,'TERMINAL CURVES'!$A$4:$A$313,0),MATCH(AX$5,'TERMINAL CURVES'!$A$4:$N$4,0))-INDEX(terminal_curves,MATCH(AT167,'TERMINAL CURVES'!$A$4:$A$313,0),MATCH(AV$6,'TERMINAL CURVES'!$A$4:$N$4,0)))*IF(AN167=0,0,AP167/AN167)))*-AN167</f>
        <v>-16162006.1054692</v>
      </c>
      <c r="AY167" s="356" t="n">
        <f aca="false">SUM(AV167:AX167)</f>
        <v>-18139437.8243219</v>
      </c>
      <c r="AZ167" s="357" t="n">
        <f aca="false">(-AP167/((HLOOKUP(AX$5,port_specs,2,0)/(365.25))*(AT168-AT167)))*(INDEX(fixed_capacity_charge,MATCH(AT167,PORTS!$H$11:$H$317,0),MATCH(AX$5,PORTS!$H$11:$N$11,0))+INDEX(variable_om_charge,MATCH(AT167,PORTS!$H$318:$H$625,0),MATCH(AX$5,PORTS!$H$318:$N$318,0)))</f>
        <v>-1017274.43854746</v>
      </c>
      <c r="BA167" s="343" t="n">
        <f aca="false">+AZ167+AY167</f>
        <v>-19156712.2628693</v>
      </c>
      <c r="BB167" s="355" t="n">
        <f aca="false">+BA167+AU167</f>
        <v>104112.566646028</v>
      </c>
      <c r="BC167" s="99"/>
      <c r="BD167" s="357" t="n">
        <f aca="false">+PORTS!I161+PORTS!I469</f>
        <v>1017274.43854746</v>
      </c>
    </row>
    <row r="168" customFormat="false" ht="12.75" hidden="false" customHeight="false" outlineLevel="0" collapsed="false">
      <c r="A168" s="346" t="n">
        <f aca="false">+DATE(YEAR(A167),MONTH(A167)+1,1)</f>
        <v>41275</v>
      </c>
      <c r="B168" s="327" t="n">
        <f aca="false">+IF(AND($A168&gt;=$C$8,$A168&lt;=$C$9),1,0)*PORTS!$I$5/(365.25)*(A169-A168)</f>
        <v>5339105.98184763</v>
      </c>
      <c r="C168" s="328" t="n">
        <f aca="false">+B168-(SUMIF($F$17:$IV$17,$H$17,$F168:$IV168))</f>
        <v>0</v>
      </c>
      <c r="D168" s="0" t="n">
        <f aca="false">+YEAR(E168)</f>
        <v>2013</v>
      </c>
      <c r="E168" s="346" t="n">
        <f aca="false">+DATE(YEAR(E167),MONTH(E167)+1,1)</f>
        <v>41275</v>
      </c>
      <c r="F168" s="327" t="n">
        <f aca="false">+IF(AND(G$8&lt;=E168,G$9&gt;=E168),INDEX(ROUTE_PER_DAY_BY_SHIP,MATCH(CONCATENATE(G$4,G$5,G$7),ROUTE_PER_DAY_ROUTES,0),MATCH(G$6,ROUTE_PER_DAY_SHIPS,0))*(E169-E168),0)</f>
        <v>0</v>
      </c>
      <c r="G168" s="347" t="n">
        <f aca="false">-F168*HLOOKUP(G$6,SHIPS,7,0)*INDEX(LADEN_VOYAGE_DAYS,MATCH(CONCATENATE(G$4,G$5,G$7),LADEN_VOYAGE_ROUTES,0),MATCH(G$6,LADEN_VOYAGE_SHIPS,0))</f>
        <v>-0</v>
      </c>
      <c r="H168" s="348" t="n">
        <f aca="false">SUM(F168:G168)</f>
        <v>0</v>
      </c>
      <c r="I168" s="349" t="n">
        <f aca="false">-(H168)*HLOOKUP(G$5,TERMINAL_CHARGES,3,0)</f>
        <v>-0</v>
      </c>
      <c r="J168" s="327" t="n">
        <f aca="false">+H168+I168</f>
        <v>0</v>
      </c>
      <c r="K168" s="333"/>
      <c r="L168" s="346" t="n">
        <f aca="false">+DATE(YEAR(L167),MONTH(L167)+1,1)</f>
        <v>41275</v>
      </c>
      <c r="M168" s="334" t="n">
        <f aca="false">+J168*(VLOOKUP(L168,CURVECALC!$C$6:$J$312,4,0)+N$5)</f>
        <v>0</v>
      </c>
      <c r="N168" s="350" t="n">
        <f aca="false">-F168*INDEX(ship_curves,MATCH(L168,'SHIP CURVES'!$A$9:$A$316,0),MATCH(CONCATENATE(P$4,P$5,P$6,P$7),'SHIP CURVES'!$A$9:$AZ$9,0))</f>
        <v>-0</v>
      </c>
      <c r="O168" s="351" t="n">
        <f aca="false">-H168*INDEX(port_processing_fee,MATCH(L168,PORTS!$H$626:$H$933,0),MATCH(P$5,PORTS!$H$626:$Z$626,0))</f>
        <v>-0</v>
      </c>
      <c r="P168" s="352" t="n">
        <f aca="false">(((VLOOKUP(L168,curvecalc,4,0))*IF(F168=0,0,J168/F168)-INDEX(ship_curves,MATCH(L168,'SHIP CURVES'!$A$9:$A$316,0),MATCH(CONCATENATE(P$4,P$5,P$6,P$7),'SHIP CURVES'!$A$9:$Z$9,0))-INDEX(terminal_curves,MATCH(L168,'TERMINAL CURVES'!$A$4:$A$313,0),MATCH(P$5,'TERMINAL CURVES'!$A$4:$N$4,0))*IF(F168=0,0,H168/F168))-(N$8)*((N$7-$N$5)-(INDEX(ship_curves,MATCH(L168,'SHIP CURVES'!$A$9:$A$316,0),MATCH(CONCATENATE(P$4,P$5,P$6,P$7),'SHIP CURVES'!$A$9:$Z$9,0))-INDEX(ship_curves,MATCH(L168,'SHIP CURVES'!$A$9:$A$316,0),MATCH(CONCATENATE(P$4,N$6,P$6,P$7),'SHIP CURVES'!$A$9:$Z$9,0)))-(INDEX(terminal_curves,MATCH(L168,'TERMINAL CURVES'!$A$4:$A$313,0),MATCH(P$5,'TERMINAL CURVES'!$A$4:$N$4,0))-INDEX(terminal_curves,MATCH(L168,'TERMINAL CURVES'!$A$4:$A$313,0),MATCH(N$6,'TERMINAL CURVES'!$A$4:$N$4,0)))*IF(F168=0,0,H168/F168)))*-F168</f>
        <v>0</v>
      </c>
      <c r="Q168" s="353" t="n">
        <f aca="false">SUM(N168:P168)</f>
        <v>0</v>
      </c>
      <c r="R168" s="357" t="n">
        <f aca="false">(-H168/((HLOOKUP(P$5,port_specs,2,0)/(365.25))*(L169-L168)))*(INDEX(fixed_capacity_charge,MATCH(L168,PORTS!$H$11:$H$317,0),MATCH(P$5,PORTS!$H$11:$N$11,0))+INDEX(variable_om_charge,MATCH(L168,PORTS!$H$318:$H$625,0),MATCH(P$5,PORTS!$H$318:$N$318,0)))</f>
        <v>-0</v>
      </c>
      <c r="S168" s="343" t="n">
        <f aca="false">+R168+Q168</f>
        <v>0</v>
      </c>
      <c r="T168" s="355" t="n">
        <f aca="false">+S168+M168</f>
        <v>0</v>
      </c>
      <c r="V168" s="346" t="n">
        <f aca="false">+DATE(YEAR(V167),MONTH(V167)+1,1)</f>
        <v>41275</v>
      </c>
      <c r="W168" s="327" t="n">
        <f aca="false">+Y168/(1-HLOOKUP(X$6,SHIPS,7,0)*INDEX(LADEN_VOYAGE_DAYS,MATCH(CONCATENATE(X$4,X$5),LADEN_VOYAGE_ROUTES,0),MATCH(X$6,LADEN_VOYAGE_SHIPS,0)))</f>
        <v>0</v>
      </c>
      <c r="X168" s="347" t="n">
        <f aca="false">+Y168-W168</f>
        <v>0</v>
      </c>
      <c r="Y168" s="348" t="n">
        <f aca="false">+IF(AND(X$8&lt;=V168,X$9&gt;=V168),+MIN($B168-SUMIF($H$17:X$17,Y$17,$H168:X168),((INDEX(ROUTE_PER_DAY_BY_SHIP,MATCH(CONCATENATE(X$4,X$5,X$7),ROUTE_PER_DAY_ROUTES,0),MATCH(X$6,ROUTE_PER_DAY_SHIPS,0))*(V169-V168))-(INDEX(ROUTE_PER_DAY_BY_SHIP,MATCH(CONCATENATE(X$4,X$5,X$7),ROUTE_PER_DAY_ROUTES,0),MATCH(X$6,ROUTE_PER_DAY_SHIPS,0))*(V169-V168))*HLOOKUP(X$6,SHIPS,7,0)*INDEX(LADEN_VOYAGE_DAYS,MATCH(CONCATENATE(X$4,X$5,X$7),LADEN_VOYAGE_ROUTES,0),MATCH(X$6,LADEN_VOYAGE_SHIPS,0)))),0)</f>
        <v>0</v>
      </c>
      <c r="Z168" s="349" t="n">
        <f aca="false">-(Y168)*HLOOKUP(X$5,TERMINAL_CHARGES,3,0)</f>
        <v>-0</v>
      </c>
      <c r="AA168" s="327" t="n">
        <f aca="false">+Y168+Z168</f>
        <v>0</v>
      </c>
      <c r="AB168" s="333"/>
      <c r="AC168" s="346" t="n">
        <f aca="false">+DATE(YEAR(AC167),MONTH(AC167)+1,1)</f>
        <v>41275</v>
      </c>
      <c r="AD168" s="343" t="n">
        <f aca="false">+AA168*(VLOOKUP(AC168,CURVECALC!$C$6:$J$312,4,0)+AE$5)</f>
        <v>0</v>
      </c>
      <c r="AE168" s="350" t="n">
        <f aca="false">-W168*INDEX(ship_curves,MATCH(AC168,'SHIP CURVES'!$A$9:$A$316,0),MATCH(CONCATENATE(AG$4,AG$5,AG$6,AG$7),'SHIP CURVES'!$A$9:$AZ$9,0))</f>
        <v>-0</v>
      </c>
      <c r="AF168" s="351" t="n">
        <f aca="false">-Y168*INDEX(port_processing_fee,MATCH(AC168,PORTS!$H$626:$H$933,0),MATCH(AG$5,PORTS!$H$626:$Z$626,0))</f>
        <v>-0</v>
      </c>
      <c r="AG168" s="352" t="n">
        <f aca="false">(((VLOOKUP(AC168,curvecalc,4,0))*IF(W168=0,0,AA168/W168)-INDEX(ship_curves,MATCH(AC168,'SHIP CURVES'!$A$9:$A$316,0),MATCH(CONCATENATE(AG$4,AG$5,AG$6,AG$7),'SHIP CURVES'!$A$9:$Z$9,0))-INDEX(terminal_curves,MATCH(AC168,'TERMINAL CURVES'!$A$4:$A$313,0),MATCH(AG$5,'TERMINAL CURVES'!$A$4:$N$4,0))*IF(W168=0,0,Y168/W168))-(AE$8)*((AE$7-$N$5)-(INDEX(ship_curves,MATCH(AC168,'SHIP CURVES'!$A$9:$A$316,0),MATCH(CONCATENATE(AG$4,AG$5,AG$6,AG$7),'SHIP CURVES'!$A$9:$Z$9,0))-INDEX(ship_curves,MATCH(AC168,'SHIP CURVES'!$A$9:$A$316,0),MATCH(CONCATENATE(AG$4,AE$6,AG$6,AG$7),'SHIP CURVES'!$A$9:$Z$9,0)))-(INDEX(terminal_curves,MATCH(AC168,'TERMINAL CURVES'!$A$4:$A$313,0),MATCH(AG$5,'TERMINAL CURVES'!$A$4:$N$4,0))-INDEX(terminal_curves,MATCH(AC168,'TERMINAL CURVES'!$A$4:$A$313,0),MATCH(AE$6,'TERMINAL CURVES'!$A$4:$N$4,0)))*IF(W168=0,0,Y168/W168)))*-W168</f>
        <v>0</v>
      </c>
      <c r="AH168" s="356" t="n">
        <f aca="false">SUM(AE168:AG168)</f>
        <v>0</v>
      </c>
      <c r="AI168" s="357" t="n">
        <f aca="false">(-Y168/((HLOOKUP(AG$5,port_specs,2,0)/(365.25))*(AC169-AC168)))*(INDEX(fixed_capacity_charge,MATCH(AC168,PORTS!$H$11:$H$317,0),MATCH(AG$5,PORTS!$H$11:$N$11,0))+INDEX(variable_om_charge,MATCH(AC168,PORTS!$H$318:$H$625,0),MATCH(AG$5,PORTS!$H$318:$N$318,0)))</f>
        <v>-0</v>
      </c>
      <c r="AJ168" s="343" t="n">
        <f aca="false">+AI168+AH168</f>
        <v>0</v>
      </c>
      <c r="AK168" s="355" t="n">
        <f aca="false">+AJ168+AD168</f>
        <v>0</v>
      </c>
      <c r="AM168" s="346" t="n">
        <f aca="false">+DATE(YEAR(AM167),MONTH(AM167)+1,1)</f>
        <v>41275</v>
      </c>
      <c r="AN168" s="327" t="n">
        <f aca="false">+AP168/(1-HLOOKUP(AO$6,SHIPS,7,0)*INDEX(LADEN_VOYAGE_DAYS,MATCH(CONCATENATE(AO$4,AO$5),LADEN_VOYAGE_ROUTES,0),MATCH(AO$6,LADEN_VOYAGE_SHIPS,0)))</f>
        <v>5395761.47735991</v>
      </c>
      <c r="AO168" s="347" t="n">
        <f aca="false">+AP168-AN168</f>
        <v>-56655.4955122788</v>
      </c>
      <c r="AP168" s="348" t="n">
        <f aca="false">+IF(AND(AO$8&lt;=AM168,AO$9&gt;=AM168),+MIN($B168-SUMIF($H$17:AO$17,AP$17,$H168:AO168),((INDEX(ROUTE_PER_DAY_BY_SHIP,MATCH(CONCATENATE(AO$4,AO$5,AO$7),ROUTE_PER_DAY_ROUTES,0),MATCH(AO$6,ROUTE_PER_DAY_SHIPS,0))*(AM169-AM168))-(INDEX(ROUTE_PER_DAY_BY_SHIP,MATCH(CONCATENATE(AO$4,AO$5,AO$7),ROUTE_PER_DAY_ROUTES,0),MATCH(AO$6,ROUTE_PER_DAY_SHIPS,0))*(AM169-AM168))*HLOOKUP(AO$6,SHIPS,7,0)*INDEX(LADEN_VOYAGE_DAYS,MATCH(CONCATENATE(AO$4,AO$5,AO$7),LADEN_VOYAGE_ROUTES,0),MATCH(AO$6,LADEN_VOYAGE_SHIPS,0)))),0)</f>
        <v>5339105.98184763</v>
      </c>
      <c r="AQ168" s="349" t="n">
        <f aca="false">-(AP168)*PORTS!$I$6</f>
        <v>-133477.649546191</v>
      </c>
      <c r="AR168" s="327" t="n">
        <f aca="false">+AP168+AQ168</f>
        <v>5205628.33230144</v>
      </c>
      <c r="AS168" s="333"/>
      <c r="AT168" s="346" t="n">
        <f aca="false">+DATE(YEAR(AT167),MONTH(AT167)+1,1)</f>
        <v>41275</v>
      </c>
      <c r="AU168" s="343" t="n">
        <f aca="false">+AR168*(VLOOKUP(AT168,CURVECALC!$C$6:$J$312,4,0)+AV$5)</f>
        <v>20197837.9293296</v>
      </c>
      <c r="AV168" s="350" t="n">
        <f aca="false">-AN168*INDEX(ship_curves,MATCH(AT168,'SHIP CURVES'!$A$9:$A$316,0),MATCH(CONCATENATE(AX$4,AX$5,AX$6,AX$7),'SHIP CURVES'!$A$9:$AZ$9,0))</f>
        <v>-1812848.65810388</v>
      </c>
      <c r="AW168" s="351" t="n">
        <f aca="false">-AP168*INDEX(port_processing_fee,MATCH(AT168,PORTS!$H$626:$H$933,0),MATCH(AX$5,PORTS!$H$626:$Z$626,0))</f>
        <v>-165334.982671358</v>
      </c>
      <c r="AX168" s="352" t="n">
        <f aca="false">(((VLOOKUP(AT168,curvecalc,4,0))*IF(AN168=0,0,AR168/AN168)-INDEX(ship_curves,MATCH(AT168,'SHIP CURVES'!$A$9:$A$316,0),MATCH(CONCATENATE(AX$4,AX$5,AX$6,AX$7),'SHIP CURVES'!$A$9:$Z$9,0))-INDEX(terminal_curves,MATCH(AT168,'TERMINAL CURVES'!$A$4:$A$313,0),MATCH(AX$5,'TERMINAL CURVES'!$A$4:$N$4,0))*IF(AN168=0,0,AP168/AN168))-(AV$8)*((AV$7-$N$5)-(INDEX(ship_curves,MATCH(AT168,'SHIP CURVES'!$A$9:$A$316,0),MATCH(CONCATENATE(AX$4,AX$5,AX$6,AX$7),'SHIP CURVES'!$A$9:$Z$9,0))-INDEX(ship_curves,MATCH(AT168,'SHIP CURVES'!$A$9:$A$316,0),MATCH(CONCATENATE(AX$4,AV$6,AX$6,AX$7),'SHIP CURVES'!$A$9:$Z$9,0)))-(INDEX(terminal_curves,MATCH(AT168,'TERMINAL CURVES'!$A$4:$A$313,0),MATCH(AX$5,'TERMINAL CURVES'!$A$4:$N$4,0))-INDEX(terminal_curves,MATCH(AT168,'TERMINAL CURVES'!$A$4:$A$313,0),MATCH(AV$6,'TERMINAL CURVES'!$A$4:$N$4,0)))*IF(AN168=0,0,AP168/AN168)))*-AN168</f>
        <v>-17097713.0251654</v>
      </c>
      <c r="AY168" s="356" t="n">
        <f aca="false">SUM(AV168:AX168)</f>
        <v>-19075896.6659407</v>
      </c>
      <c r="AZ168" s="357" t="n">
        <f aca="false">(-AP168/((HLOOKUP(AX$5,port_specs,2,0)/(365.25))*(AT169-AT168)))*(INDEX(fixed_capacity_charge,MATCH(AT168,PORTS!$H$11:$H$317,0),MATCH(AX$5,PORTS!$H$11:$N$11,0))+INDEX(variable_om_charge,MATCH(AT168,PORTS!$H$318:$H$625,0),MATCH(AX$5,PORTS!$H$318:$N$318,0)))</f>
        <v>-1017828.69674291</v>
      </c>
      <c r="BA168" s="343" t="n">
        <f aca="false">+AZ168+AY168</f>
        <v>-20093725.3626836</v>
      </c>
      <c r="BB168" s="355" t="n">
        <f aca="false">+BA168+AU168</f>
        <v>104112.566646028</v>
      </c>
      <c r="BC168" s="99"/>
      <c r="BD168" s="357" t="n">
        <f aca="false">+PORTS!I162+PORTS!I470</f>
        <v>1017828.69674291</v>
      </c>
    </row>
    <row r="169" customFormat="false" ht="12.75" hidden="false" customHeight="false" outlineLevel="0" collapsed="false">
      <c r="A169" s="346" t="n">
        <f aca="false">+DATE(YEAR(A168),MONTH(A168)+1,1)</f>
        <v>41306</v>
      </c>
      <c r="B169" s="327" t="n">
        <f aca="false">+IF(AND($A169&gt;=$C$8,$A169&lt;=$C$9),1,0)*PORTS!$I$5/(365.25)*(A170-A169)</f>
        <v>4822418.30618496</v>
      </c>
      <c r="C169" s="328" t="n">
        <f aca="false">+B169-(SUMIF($F$17:$IV$17,$H$17,$F169:$IV169))</f>
        <v>0</v>
      </c>
      <c r="D169" s="0" t="n">
        <f aca="false">+YEAR(E169)</f>
        <v>2013</v>
      </c>
      <c r="E169" s="346" t="n">
        <f aca="false">+DATE(YEAR(E168),MONTH(E168)+1,1)</f>
        <v>41306</v>
      </c>
      <c r="F169" s="327" t="n">
        <f aca="false">+IF(AND(G$8&lt;=E169,G$9&gt;=E169),INDEX(ROUTE_PER_DAY_BY_SHIP,MATCH(CONCATENATE(G$4,G$5,G$7),ROUTE_PER_DAY_ROUTES,0),MATCH(G$6,ROUTE_PER_DAY_SHIPS,0))*(E170-E169),0)</f>
        <v>0</v>
      </c>
      <c r="G169" s="347" t="n">
        <f aca="false">-F169*HLOOKUP(G$6,SHIPS,7,0)*INDEX(LADEN_VOYAGE_DAYS,MATCH(CONCATENATE(G$4,G$5,G$7),LADEN_VOYAGE_ROUTES,0),MATCH(G$6,LADEN_VOYAGE_SHIPS,0))</f>
        <v>-0</v>
      </c>
      <c r="H169" s="348" t="n">
        <f aca="false">SUM(F169:G169)</f>
        <v>0</v>
      </c>
      <c r="I169" s="349" t="n">
        <f aca="false">-(H169)*HLOOKUP(G$5,TERMINAL_CHARGES,3,0)</f>
        <v>-0</v>
      </c>
      <c r="J169" s="327" t="n">
        <f aca="false">+H169+I169</f>
        <v>0</v>
      </c>
      <c r="K169" s="333"/>
      <c r="L169" s="346" t="n">
        <f aca="false">+DATE(YEAR(L168),MONTH(L168)+1,1)</f>
        <v>41306</v>
      </c>
      <c r="M169" s="334" t="n">
        <f aca="false">+J169*(VLOOKUP(L169,CURVECALC!$C$6:$J$312,4,0)+N$5)</f>
        <v>0</v>
      </c>
      <c r="N169" s="350" t="n">
        <f aca="false">-F169*INDEX(ship_curves,MATCH(L169,'SHIP CURVES'!$A$9:$A$316,0),MATCH(CONCATENATE(P$4,P$5,P$6,P$7),'SHIP CURVES'!$A$9:$AZ$9,0))</f>
        <v>-0</v>
      </c>
      <c r="O169" s="351" t="n">
        <f aca="false">-H169*INDEX(port_processing_fee,MATCH(L169,PORTS!$H$626:$H$933,0),MATCH(P$5,PORTS!$H$626:$Z$626,0))</f>
        <v>-0</v>
      </c>
      <c r="P169" s="352" t="n">
        <f aca="false">(((VLOOKUP(L169,curvecalc,4,0))*IF(F169=0,0,J169/F169)-INDEX(ship_curves,MATCH(L169,'SHIP CURVES'!$A$9:$A$316,0),MATCH(CONCATENATE(P$4,P$5,P$6,P$7),'SHIP CURVES'!$A$9:$Z$9,0))-INDEX(terminal_curves,MATCH(L169,'TERMINAL CURVES'!$A$4:$A$313,0),MATCH(P$5,'TERMINAL CURVES'!$A$4:$N$4,0))*IF(F169=0,0,H169/F169))-(N$8)*((N$7-$N$5)-(INDEX(ship_curves,MATCH(L169,'SHIP CURVES'!$A$9:$A$316,0),MATCH(CONCATENATE(P$4,P$5,P$6,P$7),'SHIP CURVES'!$A$9:$Z$9,0))-INDEX(ship_curves,MATCH(L169,'SHIP CURVES'!$A$9:$A$316,0),MATCH(CONCATENATE(P$4,N$6,P$6,P$7),'SHIP CURVES'!$A$9:$Z$9,0)))-(INDEX(terminal_curves,MATCH(L169,'TERMINAL CURVES'!$A$4:$A$313,0),MATCH(P$5,'TERMINAL CURVES'!$A$4:$N$4,0))-INDEX(terminal_curves,MATCH(L169,'TERMINAL CURVES'!$A$4:$A$313,0),MATCH(N$6,'TERMINAL CURVES'!$A$4:$N$4,0)))*IF(F169=0,0,H169/F169)))*-F169</f>
        <v>0</v>
      </c>
      <c r="Q169" s="353" t="n">
        <f aca="false">SUM(N169:P169)</f>
        <v>0</v>
      </c>
      <c r="R169" s="357" t="n">
        <f aca="false">(-H169/((HLOOKUP(P$5,port_specs,2,0)/(365.25))*(L170-L169)))*(INDEX(fixed_capacity_charge,MATCH(L169,PORTS!$H$11:$H$317,0),MATCH(P$5,PORTS!$H$11:$N$11,0))+INDEX(variable_om_charge,MATCH(L169,PORTS!$H$318:$H$625,0),MATCH(P$5,PORTS!$H$318:$N$318,0)))</f>
        <v>-0</v>
      </c>
      <c r="S169" s="343" t="n">
        <f aca="false">+R169+Q169</f>
        <v>0</v>
      </c>
      <c r="T169" s="355" t="n">
        <f aca="false">+S169+M169</f>
        <v>0</v>
      </c>
      <c r="V169" s="346" t="n">
        <f aca="false">+DATE(YEAR(V168),MONTH(V168)+1,1)</f>
        <v>41306</v>
      </c>
      <c r="W169" s="327" t="n">
        <f aca="false">+Y169/(1-HLOOKUP(X$6,SHIPS,7,0)*INDEX(LADEN_VOYAGE_DAYS,MATCH(CONCATENATE(X$4,X$5),LADEN_VOYAGE_ROUTES,0),MATCH(X$6,LADEN_VOYAGE_SHIPS,0)))</f>
        <v>0</v>
      </c>
      <c r="X169" s="347" t="n">
        <f aca="false">+Y169-W169</f>
        <v>0</v>
      </c>
      <c r="Y169" s="348" t="n">
        <f aca="false">+IF(AND(X$8&lt;=V169,X$9&gt;=V169),+MIN($B169-SUMIF($H$17:X$17,Y$17,$H169:X169),((INDEX(ROUTE_PER_DAY_BY_SHIP,MATCH(CONCATENATE(X$4,X$5,X$7),ROUTE_PER_DAY_ROUTES,0),MATCH(X$6,ROUTE_PER_DAY_SHIPS,0))*(V170-V169))-(INDEX(ROUTE_PER_DAY_BY_SHIP,MATCH(CONCATENATE(X$4,X$5,X$7),ROUTE_PER_DAY_ROUTES,0),MATCH(X$6,ROUTE_PER_DAY_SHIPS,0))*(V170-V169))*HLOOKUP(X$6,SHIPS,7,0)*INDEX(LADEN_VOYAGE_DAYS,MATCH(CONCATENATE(X$4,X$5,X$7),LADEN_VOYAGE_ROUTES,0),MATCH(X$6,LADEN_VOYAGE_SHIPS,0)))),0)</f>
        <v>0</v>
      </c>
      <c r="Z169" s="349" t="n">
        <f aca="false">-(Y169)*HLOOKUP(X$5,TERMINAL_CHARGES,3,0)</f>
        <v>-0</v>
      </c>
      <c r="AA169" s="327" t="n">
        <f aca="false">+Y169+Z169</f>
        <v>0</v>
      </c>
      <c r="AB169" s="333"/>
      <c r="AC169" s="346" t="n">
        <f aca="false">+DATE(YEAR(AC168),MONTH(AC168)+1,1)</f>
        <v>41306</v>
      </c>
      <c r="AD169" s="343" t="n">
        <f aca="false">+AA169*(VLOOKUP(AC169,CURVECALC!$C$6:$J$312,4,0)+AE$5)</f>
        <v>0</v>
      </c>
      <c r="AE169" s="350" t="n">
        <f aca="false">-W169*INDEX(ship_curves,MATCH(AC169,'SHIP CURVES'!$A$9:$A$316,0),MATCH(CONCATENATE(AG$4,AG$5,AG$6,AG$7),'SHIP CURVES'!$A$9:$AZ$9,0))</f>
        <v>-0</v>
      </c>
      <c r="AF169" s="351" t="n">
        <f aca="false">-Y169*INDEX(port_processing_fee,MATCH(AC169,PORTS!$H$626:$H$933,0),MATCH(AG$5,PORTS!$H$626:$Z$626,0))</f>
        <v>-0</v>
      </c>
      <c r="AG169" s="352" t="n">
        <f aca="false">(((VLOOKUP(AC169,curvecalc,4,0))*IF(W169=0,0,AA169/W169)-INDEX(ship_curves,MATCH(AC169,'SHIP CURVES'!$A$9:$A$316,0),MATCH(CONCATENATE(AG$4,AG$5,AG$6,AG$7),'SHIP CURVES'!$A$9:$Z$9,0))-INDEX(terminal_curves,MATCH(AC169,'TERMINAL CURVES'!$A$4:$A$313,0),MATCH(AG$5,'TERMINAL CURVES'!$A$4:$N$4,0))*IF(W169=0,0,Y169/W169))-(AE$8)*((AE$7-$N$5)-(INDEX(ship_curves,MATCH(AC169,'SHIP CURVES'!$A$9:$A$316,0),MATCH(CONCATENATE(AG$4,AG$5,AG$6,AG$7),'SHIP CURVES'!$A$9:$Z$9,0))-INDEX(ship_curves,MATCH(AC169,'SHIP CURVES'!$A$9:$A$316,0),MATCH(CONCATENATE(AG$4,AE$6,AG$6,AG$7),'SHIP CURVES'!$A$9:$Z$9,0)))-(INDEX(terminal_curves,MATCH(AC169,'TERMINAL CURVES'!$A$4:$A$313,0),MATCH(AG$5,'TERMINAL CURVES'!$A$4:$N$4,0))-INDEX(terminal_curves,MATCH(AC169,'TERMINAL CURVES'!$A$4:$A$313,0),MATCH(AE$6,'TERMINAL CURVES'!$A$4:$N$4,0)))*IF(W169=0,0,Y169/W169)))*-W169</f>
        <v>0</v>
      </c>
      <c r="AH169" s="356" t="n">
        <f aca="false">SUM(AE169:AG169)</f>
        <v>0</v>
      </c>
      <c r="AI169" s="357" t="n">
        <f aca="false">(-Y169/((HLOOKUP(AG$5,port_specs,2,0)/(365.25))*(AC170-AC169)))*(INDEX(fixed_capacity_charge,MATCH(AC169,PORTS!$H$11:$H$317,0),MATCH(AG$5,PORTS!$H$11:$N$11,0))+INDEX(variable_om_charge,MATCH(AC169,PORTS!$H$318:$H$625,0),MATCH(AG$5,PORTS!$H$318:$N$318,0)))</f>
        <v>-0</v>
      </c>
      <c r="AJ169" s="343" t="n">
        <f aca="false">+AI169+AH169</f>
        <v>0</v>
      </c>
      <c r="AK169" s="355" t="n">
        <f aca="false">+AJ169+AD169</f>
        <v>0</v>
      </c>
      <c r="AM169" s="346" t="n">
        <f aca="false">+DATE(YEAR(AM168),MONTH(AM168)+1,1)</f>
        <v>41306</v>
      </c>
      <c r="AN169" s="327" t="n">
        <f aca="false">+AP169/(1-HLOOKUP(AO$6,SHIPS,7,0)*INDEX(LADEN_VOYAGE_DAYS,MATCH(CONCATENATE(AO$4,AO$5),LADEN_VOYAGE_ROUTES,0),MATCH(AO$6,LADEN_VOYAGE_SHIPS,0)))</f>
        <v>4873591.01180895</v>
      </c>
      <c r="AO169" s="347" t="n">
        <f aca="false">+AP169-AN169</f>
        <v>-51172.7056239937</v>
      </c>
      <c r="AP169" s="348" t="n">
        <f aca="false">+IF(AND(AO$8&lt;=AM169,AO$9&gt;=AM169),+MIN($B169-SUMIF($H$17:AO$17,AP$17,$H169:AO169),((INDEX(ROUTE_PER_DAY_BY_SHIP,MATCH(CONCATENATE(AO$4,AO$5,AO$7),ROUTE_PER_DAY_ROUTES,0),MATCH(AO$6,ROUTE_PER_DAY_SHIPS,0))*(AM170-AM169))-(INDEX(ROUTE_PER_DAY_BY_SHIP,MATCH(CONCATENATE(AO$4,AO$5,AO$7),ROUTE_PER_DAY_ROUTES,0),MATCH(AO$6,ROUTE_PER_DAY_SHIPS,0))*(AM170-AM169))*HLOOKUP(AO$6,SHIPS,7,0)*INDEX(LADEN_VOYAGE_DAYS,MATCH(CONCATENATE(AO$4,AO$5,AO$7),LADEN_VOYAGE_ROUTES,0),MATCH(AO$6,LADEN_VOYAGE_SHIPS,0)))),0)</f>
        <v>4822418.30618496</v>
      </c>
      <c r="AQ169" s="349" t="n">
        <f aca="false">-(AP169)*PORTS!$I$6</f>
        <v>-120560.457654624</v>
      </c>
      <c r="AR169" s="327" t="n">
        <f aca="false">+AP169+AQ169</f>
        <v>4701857.84853034</v>
      </c>
      <c r="AS169" s="333"/>
      <c r="AT169" s="346" t="n">
        <f aca="false">+DATE(YEAR(AT168),MONTH(AT168)+1,1)</f>
        <v>41306</v>
      </c>
      <c r="AU169" s="343" t="n">
        <f aca="false">+AR169*(VLOOKUP(AT169,CURVECALC!$C$6:$J$312,4,0)+AV$5)</f>
        <v>17820041.24593</v>
      </c>
      <c r="AV169" s="350" t="n">
        <f aca="false">-AN169*INDEX(ship_curves,MATCH(AT169,'SHIP CURVES'!$A$9:$A$316,0),MATCH(CONCATENATE(AX$4,AX$5,AX$6,AX$7),'SHIP CURVES'!$A$9:$AZ$9,0))</f>
        <v>-1637936.54240502</v>
      </c>
      <c r="AW169" s="351" t="n">
        <f aca="false">-AP169*INDEX(port_processing_fee,MATCH(AT169,PORTS!$H$626:$H$933,0),MATCH(AX$5,PORTS!$H$626:$Z$626,0))</f>
        <v>-149490.380165353</v>
      </c>
      <c r="AX169" s="352" t="n">
        <f aca="false">(((VLOOKUP(AT169,curvecalc,4,0))*IF(AN169=0,0,AR169/AN169)-INDEX(ship_curves,MATCH(AT169,'SHIP CURVES'!$A$9:$A$316,0),MATCH(CONCATENATE(AX$4,AX$5,AX$6,AX$7),'SHIP CURVES'!$A$9:$Z$9,0))-INDEX(terminal_curves,MATCH(AT169,'TERMINAL CURVES'!$A$4:$A$313,0),MATCH(AX$5,'TERMINAL CURVES'!$A$4:$N$4,0))*IF(AN169=0,0,AP169/AN169))-(AV$8)*((AV$7-$N$5)-(INDEX(ship_curves,MATCH(AT169,'SHIP CURVES'!$A$9:$A$316,0),MATCH(CONCATENATE(AX$4,AX$5,AX$6,AX$7),'SHIP CURVES'!$A$9:$Z$9,0))-INDEX(ship_curves,MATCH(AT169,'SHIP CURVES'!$A$9:$A$316,0),MATCH(CONCATENATE(AX$4,AV$6,AX$6,AX$7),'SHIP CURVES'!$A$9:$Z$9,0)))-(INDEX(terminal_curves,MATCH(AT169,'TERMINAL CURVES'!$A$4:$A$313,0),MATCH(AX$5,'TERMINAL CURVES'!$A$4:$N$4,0))-INDEX(terminal_curves,MATCH(AT169,'TERMINAL CURVES'!$A$4:$A$313,0),MATCH(AV$6,'TERMINAL CURVES'!$A$4:$N$4,0)))*IF(AN169=0,0,AP169/AN169)))*-AN169</f>
        <v>-14920193.6340983</v>
      </c>
      <c r="AY169" s="356" t="n">
        <f aca="false">SUM(AV169:AX169)</f>
        <v>-16707620.5566687</v>
      </c>
      <c r="AZ169" s="357" t="n">
        <f aca="false">(-AP169/((HLOOKUP(AX$5,port_specs,2,0)/(365.25))*(AT170-AT169)))*(INDEX(fixed_capacity_charge,MATCH(AT169,PORTS!$H$11:$H$317,0),MATCH(AX$5,PORTS!$H$11:$N$11,0))+INDEX(variable_om_charge,MATCH(AT169,PORTS!$H$318:$H$625,0),MATCH(AX$5,PORTS!$H$318:$N$318,0)))</f>
        <v>-1018383.53229066</v>
      </c>
      <c r="BA169" s="343" t="n">
        <f aca="false">+AZ169+AY169</f>
        <v>-17726004.0889594</v>
      </c>
      <c r="BB169" s="355" t="n">
        <f aca="false">+BA169+AU169</f>
        <v>94037.1569706053</v>
      </c>
      <c r="BC169" s="99"/>
      <c r="BD169" s="357" t="n">
        <f aca="false">+PORTS!I163+PORTS!I471</f>
        <v>1018383.53229066</v>
      </c>
    </row>
    <row r="170" customFormat="false" ht="12.75" hidden="false" customHeight="false" outlineLevel="0" collapsed="false">
      <c r="A170" s="346" t="n">
        <f aca="false">+DATE(YEAR(A169),MONTH(A169)+1,1)</f>
        <v>41334</v>
      </c>
      <c r="B170" s="327" t="n">
        <f aca="false">+IF(AND($A170&gt;=$C$8,$A170&lt;=$C$9),1,0)*PORTS!$I$5/(365.25)*(A171-A170)</f>
        <v>5339105.98184763</v>
      </c>
      <c r="C170" s="328" t="n">
        <f aca="false">+B170-(SUMIF($F$17:$IV$17,$H$17,$F170:$IV170))</f>
        <v>0</v>
      </c>
      <c r="D170" s="0" t="n">
        <f aca="false">+YEAR(E170)</f>
        <v>2013</v>
      </c>
      <c r="E170" s="346" t="n">
        <f aca="false">+DATE(YEAR(E169),MONTH(E169)+1,1)</f>
        <v>41334</v>
      </c>
      <c r="F170" s="327" t="n">
        <f aca="false">+IF(AND(G$8&lt;=E170,G$9&gt;=E170),INDEX(ROUTE_PER_DAY_BY_SHIP,MATCH(CONCATENATE(G$4,G$5,G$7),ROUTE_PER_DAY_ROUTES,0),MATCH(G$6,ROUTE_PER_DAY_SHIPS,0))*(E171-E170),0)</f>
        <v>0</v>
      </c>
      <c r="G170" s="347" t="n">
        <f aca="false">-F170*HLOOKUP(G$6,SHIPS,7,0)*INDEX(LADEN_VOYAGE_DAYS,MATCH(CONCATENATE(G$4,G$5,G$7),LADEN_VOYAGE_ROUTES,0),MATCH(G$6,LADEN_VOYAGE_SHIPS,0))</f>
        <v>-0</v>
      </c>
      <c r="H170" s="348" t="n">
        <f aca="false">SUM(F170:G170)</f>
        <v>0</v>
      </c>
      <c r="I170" s="349" t="n">
        <f aca="false">-(H170)*HLOOKUP(G$5,TERMINAL_CHARGES,3,0)</f>
        <v>-0</v>
      </c>
      <c r="J170" s="327" t="n">
        <f aca="false">+H170+I170</f>
        <v>0</v>
      </c>
      <c r="K170" s="333"/>
      <c r="L170" s="346" t="n">
        <f aca="false">+DATE(YEAR(L169),MONTH(L169)+1,1)</f>
        <v>41334</v>
      </c>
      <c r="M170" s="334" t="n">
        <f aca="false">+J170*(VLOOKUP(L170,CURVECALC!$C$6:$J$312,4,0)+N$5)</f>
        <v>0</v>
      </c>
      <c r="N170" s="350" t="n">
        <f aca="false">-F170*INDEX(ship_curves,MATCH(L170,'SHIP CURVES'!$A$9:$A$316,0),MATCH(CONCATENATE(P$4,P$5,P$6,P$7),'SHIP CURVES'!$A$9:$AZ$9,0))</f>
        <v>-0</v>
      </c>
      <c r="O170" s="351" t="n">
        <f aca="false">-H170*INDEX(port_processing_fee,MATCH(L170,PORTS!$H$626:$H$933,0),MATCH(P$5,PORTS!$H$626:$Z$626,0))</f>
        <v>-0</v>
      </c>
      <c r="P170" s="352" t="n">
        <f aca="false">(((VLOOKUP(L170,curvecalc,4,0))*IF(F170=0,0,J170/F170)-INDEX(ship_curves,MATCH(L170,'SHIP CURVES'!$A$9:$A$316,0),MATCH(CONCATENATE(P$4,P$5,P$6,P$7),'SHIP CURVES'!$A$9:$Z$9,0))-INDEX(terminal_curves,MATCH(L170,'TERMINAL CURVES'!$A$4:$A$313,0),MATCH(P$5,'TERMINAL CURVES'!$A$4:$N$4,0))*IF(F170=0,0,H170/F170))-(N$8)*((N$7-$N$5)-(INDEX(ship_curves,MATCH(L170,'SHIP CURVES'!$A$9:$A$316,0),MATCH(CONCATENATE(P$4,P$5,P$6,P$7),'SHIP CURVES'!$A$9:$Z$9,0))-INDEX(ship_curves,MATCH(L170,'SHIP CURVES'!$A$9:$A$316,0),MATCH(CONCATENATE(P$4,N$6,P$6,P$7),'SHIP CURVES'!$A$9:$Z$9,0)))-(INDEX(terminal_curves,MATCH(L170,'TERMINAL CURVES'!$A$4:$A$313,0),MATCH(P$5,'TERMINAL CURVES'!$A$4:$N$4,0))-INDEX(terminal_curves,MATCH(L170,'TERMINAL CURVES'!$A$4:$A$313,0),MATCH(N$6,'TERMINAL CURVES'!$A$4:$N$4,0)))*IF(F170=0,0,H170/F170)))*-F170</f>
        <v>0</v>
      </c>
      <c r="Q170" s="353" t="n">
        <f aca="false">SUM(N170:P170)</f>
        <v>0</v>
      </c>
      <c r="R170" s="357" t="n">
        <f aca="false">(-H170/((HLOOKUP(P$5,port_specs,2,0)/(365.25))*(L171-L170)))*(INDEX(fixed_capacity_charge,MATCH(L170,PORTS!$H$11:$H$317,0),MATCH(P$5,PORTS!$H$11:$N$11,0))+INDEX(variable_om_charge,MATCH(L170,PORTS!$H$318:$H$625,0),MATCH(P$5,PORTS!$H$318:$N$318,0)))</f>
        <v>-0</v>
      </c>
      <c r="S170" s="343" t="n">
        <f aca="false">+R170+Q170</f>
        <v>0</v>
      </c>
      <c r="T170" s="355" t="n">
        <f aca="false">+S170+M170</f>
        <v>0</v>
      </c>
      <c r="V170" s="346" t="n">
        <f aca="false">+DATE(YEAR(V169),MONTH(V169)+1,1)</f>
        <v>41334</v>
      </c>
      <c r="W170" s="327" t="n">
        <f aca="false">+Y170/(1-HLOOKUP(X$6,SHIPS,7,0)*INDEX(LADEN_VOYAGE_DAYS,MATCH(CONCATENATE(X$4,X$5),LADEN_VOYAGE_ROUTES,0),MATCH(X$6,LADEN_VOYAGE_SHIPS,0)))</f>
        <v>0</v>
      </c>
      <c r="X170" s="347" t="n">
        <f aca="false">+Y170-W170</f>
        <v>0</v>
      </c>
      <c r="Y170" s="348" t="n">
        <f aca="false">+IF(AND(X$8&lt;=V170,X$9&gt;=V170),+MIN($B170-SUMIF($H$17:X$17,Y$17,$H170:X170),((INDEX(ROUTE_PER_DAY_BY_SHIP,MATCH(CONCATENATE(X$4,X$5,X$7),ROUTE_PER_DAY_ROUTES,0),MATCH(X$6,ROUTE_PER_DAY_SHIPS,0))*(V171-V170))-(INDEX(ROUTE_PER_DAY_BY_SHIP,MATCH(CONCATENATE(X$4,X$5,X$7),ROUTE_PER_DAY_ROUTES,0),MATCH(X$6,ROUTE_PER_DAY_SHIPS,0))*(V171-V170))*HLOOKUP(X$6,SHIPS,7,0)*INDEX(LADEN_VOYAGE_DAYS,MATCH(CONCATENATE(X$4,X$5,X$7),LADEN_VOYAGE_ROUTES,0),MATCH(X$6,LADEN_VOYAGE_SHIPS,0)))),0)</f>
        <v>0</v>
      </c>
      <c r="Z170" s="349" t="n">
        <f aca="false">-(Y170)*HLOOKUP(X$5,TERMINAL_CHARGES,3,0)</f>
        <v>-0</v>
      </c>
      <c r="AA170" s="327" t="n">
        <f aca="false">+Y170+Z170</f>
        <v>0</v>
      </c>
      <c r="AB170" s="333"/>
      <c r="AC170" s="346" t="n">
        <f aca="false">+DATE(YEAR(AC169),MONTH(AC169)+1,1)</f>
        <v>41334</v>
      </c>
      <c r="AD170" s="343" t="n">
        <f aca="false">+AA170*(VLOOKUP(AC170,CURVECALC!$C$6:$J$312,4,0)+AE$5)</f>
        <v>0</v>
      </c>
      <c r="AE170" s="350" t="n">
        <f aca="false">-W170*INDEX(ship_curves,MATCH(AC170,'SHIP CURVES'!$A$9:$A$316,0),MATCH(CONCATENATE(AG$4,AG$5,AG$6,AG$7),'SHIP CURVES'!$A$9:$AZ$9,0))</f>
        <v>-0</v>
      </c>
      <c r="AF170" s="351" t="n">
        <f aca="false">-Y170*INDEX(port_processing_fee,MATCH(AC170,PORTS!$H$626:$H$933,0),MATCH(AG$5,PORTS!$H$626:$Z$626,0))</f>
        <v>-0</v>
      </c>
      <c r="AG170" s="352" t="n">
        <f aca="false">(((VLOOKUP(AC170,curvecalc,4,0))*IF(W170=0,0,AA170/W170)-INDEX(ship_curves,MATCH(AC170,'SHIP CURVES'!$A$9:$A$316,0),MATCH(CONCATENATE(AG$4,AG$5,AG$6,AG$7),'SHIP CURVES'!$A$9:$Z$9,0))-INDEX(terminal_curves,MATCH(AC170,'TERMINAL CURVES'!$A$4:$A$313,0),MATCH(AG$5,'TERMINAL CURVES'!$A$4:$N$4,0))*IF(W170=0,0,Y170/W170))-(AE$8)*((AE$7-$N$5)-(INDEX(ship_curves,MATCH(AC170,'SHIP CURVES'!$A$9:$A$316,0),MATCH(CONCATENATE(AG$4,AG$5,AG$6,AG$7),'SHIP CURVES'!$A$9:$Z$9,0))-INDEX(ship_curves,MATCH(AC170,'SHIP CURVES'!$A$9:$A$316,0),MATCH(CONCATENATE(AG$4,AE$6,AG$6,AG$7),'SHIP CURVES'!$A$9:$Z$9,0)))-(INDEX(terminal_curves,MATCH(AC170,'TERMINAL CURVES'!$A$4:$A$313,0),MATCH(AG$5,'TERMINAL CURVES'!$A$4:$N$4,0))-INDEX(terminal_curves,MATCH(AC170,'TERMINAL CURVES'!$A$4:$A$313,0),MATCH(AE$6,'TERMINAL CURVES'!$A$4:$N$4,0)))*IF(W170=0,0,Y170/W170)))*-W170</f>
        <v>0</v>
      </c>
      <c r="AH170" s="356" t="n">
        <f aca="false">SUM(AE170:AG170)</f>
        <v>0</v>
      </c>
      <c r="AI170" s="357" t="n">
        <f aca="false">(-Y170/((HLOOKUP(AG$5,port_specs,2,0)/(365.25))*(AC171-AC170)))*(INDEX(fixed_capacity_charge,MATCH(AC170,PORTS!$H$11:$H$317,0),MATCH(AG$5,PORTS!$H$11:$N$11,0))+INDEX(variable_om_charge,MATCH(AC170,PORTS!$H$318:$H$625,0),MATCH(AG$5,PORTS!$H$318:$N$318,0)))</f>
        <v>-0</v>
      </c>
      <c r="AJ170" s="343" t="n">
        <f aca="false">+AI170+AH170</f>
        <v>0</v>
      </c>
      <c r="AK170" s="355" t="n">
        <f aca="false">+AJ170+AD170</f>
        <v>0</v>
      </c>
      <c r="AM170" s="346" t="n">
        <f aca="false">+DATE(YEAR(AM169),MONTH(AM169)+1,1)</f>
        <v>41334</v>
      </c>
      <c r="AN170" s="327" t="n">
        <f aca="false">+AP170/(1-HLOOKUP(AO$6,SHIPS,7,0)*INDEX(LADEN_VOYAGE_DAYS,MATCH(CONCATENATE(AO$4,AO$5),LADEN_VOYAGE_ROUTES,0),MATCH(AO$6,LADEN_VOYAGE_SHIPS,0)))</f>
        <v>5395761.47735991</v>
      </c>
      <c r="AO170" s="347" t="n">
        <f aca="false">+AP170-AN170</f>
        <v>-56655.4955122788</v>
      </c>
      <c r="AP170" s="348" t="n">
        <f aca="false">+IF(AND(AO$8&lt;=AM170,AO$9&gt;=AM170),+MIN($B170-SUMIF($H$17:AO$17,AP$17,$H170:AO170),((INDEX(ROUTE_PER_DAY_BY_SHIP,MATCH(CONCATENATE(AO$4,AO$5,AO$7),ROUTE_PER_DAY_ROUTES,0),MATCH(AO$6,ROUTE_PER_DAY_SHIPS,0))*(AM171-AM170))-(INDEX(ROUTE_PER_DAY_BY_SHIP,MATCH(CONCATENATE(AO$4,AO$5,AO$7),ROUTE_PER_DAY_ROUTES,0),MATCH(AO$6,ROUTE_PER_DAY_SHIPS,0))*(AM171-AM170))*HLOOKUP(AO$6,SHIPS,7,0)*INDEX(LADEN_VOYAGE_DAYS,MATCH(CONCATENATE(AO$4,AO$5,AO$7),LADEN_VOYAGE_ROUTES,0),MATCH(AO$6,LADEN_VOYAGE_SHIPS,0)))),0)</f>
        <v>5339105.98184763</v>
      </c>
      <c r="AQ170" s="349" t="n">
        <f aca="false">-(AP170)*PORTS!$I$6</f>
        <v>-133477.649546191</v>
      </c>
      <c r="AR170" s="327" t="n">
        <f aca="false">+AP170+AQ170</f>
        <v>5205628.33230144</v>
      </c>
      <c r="AS170" s="333"/>
      <c r="AT170" s="346" t="n">
        <f aca="false">+DATE(YEAR(AT169),MONTH(AT169)+1,1)</f>
        <v>41334</v>
      </c>
      <c r="AU170" s="343" t="n">
        <f aca="false">+AR170*(VLOOKUP(AT170,CURVECALC!$C$6:$J$312,4,0)+AV$5)</f>
        <v>19156712.2628693</v>
      </c>
      <c r="AV170" s="350" t="n">
        <f aca="false">-AN170*INDEX(ship_curves,MATCH(AT170,'SHIP CURVES'!$A$9:$A$316,0),MATCH(CONCATENATE(AX$4,AX$5,AX$6,AX$7),'SHIP CURVES'!$A$9:$AZ$9,0))</f>
        <v>-1814012.0392444</v>
      </c>
      <c r="AW170" s="351" t="n">
        <f aca="false">-AP170*INDEX(port_processing_fee,MATCH(AT170,PORTS!$H$626:$H$933,0),MATCH(AX$5,PORTS!$H$626:$Z$626,0))</f>
        <v>-165679.609951861</v>
      </c>
      <c r="AX170" s="352" t="n">
        <f aca="false">(((VLOOKUP(AT170,curvecalc,4,0))*IF(AN170=0,0,AR170/AN170)-INDEX(ship_curves,MATCH(AT170,'SHIP CURVES'!$A$9:$A$316,0),MATCH(CONCATENATE(AX$4,AX$5,AX$6,AX$7),'SHIP CURVES'!$A$9:$Z$9,0))-INDEX(terminal_curves,MATCH(AT170,'TERMINAL CURVES'!$A$4:$A$313,0),MATCH(AX$5,'TERMINAL CURVES'!$A$4:$N$4,0))*IF(AN170=0,0,AP170/AN170))-(AV$8)*((AV$7-$N$5)-(INDEX(ship_curves,MATCH(AT170,'SHIP CURVES'!$A$9:$A$316,0),MATCH(CONCATENATE(AX$4,AX$5,AX$6,AX$7),'SHIP CURVES'!$A$9:$Z$9,0))-INDEX(ship_curves,MATCH(AT170,'SHIP CURVES'!$A$9:$A$316,0),MATCH(CONCATENATE(AX$4,AV$6,AX$6,AX$7),'SHIP CURVES'!$A$9:$Z$9,0)))-(INDEX(terminal_curves,MATCH(AT170,'TERMINAL CURVES'!$A$4:$A$313,0),MATCH(AX$5,'TERMINAL CURVES'!$A$4:$N$4,0))-INDEX(terminal_curves,MATCH(AT170,'TERMINAL CURVES'!$A$4:$A$313,0),MATCH(AV$6,'TERMINAL CURVES'!$A$4:$N$4,0)))*IF(AN170=0,0,AP170/AN170)))*-AN170</f>
        <v>-16053969.1012349</v>
      </c>
      <c r="AY170" s="356" t="n">
        <f aca="false">SUM(AV170:AX170)</f>
        <v>-18033660.7504312</v>
      </c>
      <c r="AZ170" s="357" t="n">
        <f aca="false">(-AP170/((HLOOKUP(AX$5,port_specs,2,0)/(365.25))*(AT171-AT170)))*(INDEX(fixed_capacity_charge,MATCH(AT170,PORTS!$H$11:$H$317,0),MATCH(AX$5,PORTS!$H$11:$N$11,0))+INDEX(variable_om_charge,MATCH(AT170,PORTS!$H$318:$H$625,0),MATCH(AX$5,PORTS!$H$318:$N$318,0)))</f>
        <v>-1018938.9457921</v>
      </c>
      <c r="BA170" s="343" t="n">
        <f aca="false">+AZ170+AY170</f>
        <v>-19052599.6962233</v>
      </c>
      <c r="BB170" s="355" t="n">
        <f aca="false">+BA170+AU170</f>
        <v>104112.566646028</v>
      </c>
      <c r="BC170" s="99"/>
      <c r="BD170" s="357" t="n">
        <f aca="false">+PORTS!I164+PORTS!I472</f>
        <v>1018938.9457921</v>
      </c>
    </row>
    <row r="171" customFormat="false" ht="12.75" hidden="false" customHeight="false" outlineLevel="0" collapsed="false">
      <c r="A171" s="346" t="n">
        <f aca="false">+DATE(YEAR(A170),MONTH(A170)+1,1)</f>
        <v>41365</v>
      </c>
      <c r="B171" s="327" t="n">
        <f aca="false">+IF(AND($A171&gt;=$C$8,$A171&lt;=$C$9),1,0)*PORTS!$I$5/(365.25)*(A172-A171)</f>
        <v>5166876.75662674</v>
      </c>
      <c r="C171" s="328" t="n">
        <f aca="false">+B171-(SUMIF($F$17:$IV$17,$H$17,$F171:$IV171))</f>
        <v>0</v>
      </c>
      <c r="D171" s="0" t="n">
        <f aca="false">+YEAR(E171)</f>
        <v>2013</v>
      </c>
      <c r="E171" s="346" t="n">
        <f aca="false">+DATE(YEAR(E170),MONTH(E170)+1,1)</f>
        <v>41365</v>
      </c>
      <c r="F171" s="327" t="n">
        <f aca="false">+IF(AND(G$8&lt;=E171,G$9&gt;=E171),INDEX(ROUTE_PER_DAY_BY_SHIP,MATCH(CONCATENATE(G$4,G$5,G$7),ROUTE_PER_DAY_ROUTES,0),MATCH(G$6,ROUTE_PER_DAY_SHIPS,0))*(E172-E171),0)</f>
        <v>0</v>
      </c>
      <c r="G171" s="347" t="n">
        <f aca="false">-F171*HLOOKUP(G$6,SHIPS,7,0)*INDEX(LADEN_VOYAGE_DAYS,MATCH(CONCATENATE(G$4,G$5,G$7),LADEN_VOYAGE_ROUTES,0),MATCH(G$6,LADEN_VOYAGE_SHIPS,0))</f>
        <v>-0</v>
      </c>
      <c r="H171" s="348" t="n">
        <f aca="false">SUM(F171:G171)</f>
        <v>0</v>
      </c>
      <c r="I171" s="349" t="n">
        <f aca="false">-(H171)*HLOOKUP(G$5,TERMINAL_CHARGES,3,0)</f>
        <v>-0</v>
      </c>
      <c r="J171" s="327" t="n">
        <f aca="false">+H171+I171</f>
        <v>0</v>
      </c>
      <c r="K171" s="333"/>
      <c r="L171" s="346" t="n">
        <f aca="false">+DATE(YEAR(L170),MONTH(L170)+1,1)</f>
        <v>41365</v>
      </c>
      <c r="M171" s="334" t="n">
        <f aca="false">+J171*(VLOOKUP(L171,CURVECALC!$C$6:$J$312,4,0)+N$5)</f>
        <v>0</v>
      </c>
      <c r="N171" s="350" t="n">
        <f aca="false">-F171*INDEX(ship_curves,MATCH(L171,'SHIP CURVES'!$A$9:$A$316,0),MATCH(CONCATENATE(P$4,P$5,P$6,P$7),'SHIP CURVES'!$A$9:$AZ$9,0))</f>
        <v>-0</v>
      </c>
      <c r="O171" s="351" t="n">
        <f aca="false">-H171*INDEX(port_processing_fee,MATCH(L171,PORTS!$H$626:$H$933,0),MATCH(P$5,PORTS!$H$626:$Z$626,0))</f>
        <v>-0</v>
      </c>
      <c r="P171" s="352" t="n">
        <f aca="false">(((VLOOKUP(L171,curvecalc,4,0))*IF(F171=0,0,J171/F171)-INDEX(ship_curves,MATCH(L171,'SHIP CURVES'!$A$9:$A$316,0),MATCH(CONCATENATE(P$4,P$5,P$6,P$7),'SHIP CURVES'!$A$9:$Z$9,0))-INDEX(terminal_curves,MATCH(L171,'TERMINAL CURVES'!$A$4:$A$313,0),MATCH(P$5,'TERMINAL CURVES'!$A$4:$N$4,0))*IF(F171=0,0,H171/F171))-(N$8)*((N$7-$N$5)-(INDEX(ship_curves,MATCH(L171,'SHIP CURVES'!$A$9:$A$316,0),MATCH(CONCATENATE(P$4,P$5,P$6,P$7),'SHIP CURVES'!$A$9:$Z$9,0))-INDEX(ship_curves,MATCH(L171,'SHIP CURVES'!$A$9:$A$316,0),MATCH(CONCATENATE(P$4,N$6,P$6,P$7),'SHIP CURVES'!$A$9:$Z$9,0)))-(INDEX(terminal_curves,MATCH(L171,'TERMINAL CURVES'!$A$4:$A$313,0),MATCH(P$5,'TERMINAL CURVES'!$A$4:$N$4,0))-INDEX(terminal_curves,MATCH(L171,'TERMINAL CURVES'!$A$4:$A$313,0),MATCH(N$6,'TERMINAL CURVES'!$A$4:$N$4,0)))*IF(F171=0,0,H171/F171)))*-F171</f>
        <v>0</v>
      </c>
      <c r="Q171" s="353" t="n">
        <f aca="false">SUM(N171:P171)</f>
        <v>0</v>
      </c>
      <c r="R171" s="357" t="n">
        <f aca="false">(-H171/((HLOOKUP(P$5,port_specs,2,0)/(365.25))*(L172-L171)))*(INDEX(fixed_capacity_charge,MATCH(L171,PORTS!$H$11:$H$317,0),MATCH(P$5,PORTS!$H$11:$N$11,0))+INDEX(variable_om_charge,MATCH(L171,PORTS!$H$318:$H$625,0),MATCH(P$5,PORTS!$H$318:$N$318,0)))</f>
        <v>-0</v>
      </c>
      <c r="S171" s="343" t="n">
        <f aca="false">+R171+Q171</f>
        <v>0</v>
      </c>
      <c r="T171" s="355" t="n">
        <f aca="false">+S171+M171</f>
        <v>0</v>
      </c>
      <c r="V171" s="346" t="n">
        <f aca="false">+DATE(YEAR(V170),MONTH(V170)+1,1)</f>
        <v>41365</v>
      </c>
      <c r="W171" s="327" t="n">
        <f aca="false">+Y171/(1-HLOOKUP(X$6,SHIPS,7,0)*INDEX(LADEN_VOYAGE_DAYS,MATCH(CONCATENATE(X$4,X$5),LADEN_VOYAGE_ROUTES,0),MATCH(X$6,LADEN_VOYAGE_SHIPS,0)))</f>
        <v>0</v>
      </c>
      <c r="X171" s="347" t="n">
        <f aca="false">+Y171-W171</f>
        <v>0</v>
      </c>
      <c r="Y171" s="348" t="n">
        <f aca="false">+IF(AND(X$8&lt;=V171,X$9&gt;=V171),+MIN($B171-SUMIF($H$17:X$17,Y$17,$H171:X171),((INDEX(ROUTE_PER_DAY_BY_SHIP,MATCH(CONCATENATE(X$4,X$5,X$7),ROUTE_PER_DAY_ROUTES,0),MATCH(X$6,ROUTE_PER_DAY_SHIPS,0))*(V172-V171))-(INDEX(ROUTE_PER_DAY_BY_SHIP,MATCH(CONCATENATE(X$4,X$5,X$7),ROUTE_PER_DAY_ROUTES,0),MATCH(X$6,ROUTE_PER_DAY_SHIPS,0))*(V172-V171))*HLOOKUP(X$6,SHIPS,7,0)*INDEX(LADEN_VOYAGE_DAYS,MATCH(CONCATENATE(X$4,X$5,X$7),LADEN_VOYAGE_ROUTES,0),MATCH(X$6,LADEN_VOYAGE_SHIPS,0)))),0)</f>
        <v>0</v>
      </c>
      <c r="Z171" s="349" t="n">
        <f aca="false">-(Y171)*HLOOKUP(X$5,TERMINAL_CHARGES,3,0)</f>
        <v>-0</v>
      </c>
      <c r="AA171" s="327" t="n">
        <f aca="false">+Y171+Z171</f>
        <v>0</v>
      </c>
      <c r="AB171" s="333"/>
      <c r="AC171" s="346" t="n">
        <f aca="false">+DATE(YEAR(AC170),MONTH(AC170)+1,1)</f>
        <v>41365</v>
      </c>
      <c r="AD171" s="343" t="n">
        <f aca="false">+AA171*(VLOOKUP(AC171,CURVECALC!$C$6:$J$312,4,0)+AE$5)</f>
        <v>0</v>
      </c>
      <c r="AE171" s="350" t="n">
        <f aca="false">-W171*INDEX(ship_curves,MATCH(AC171,'SHIP CURVES'!$A$9:$A$316,0),MATCH(CONCATENATE(AG$4,AG$5,AG$6,AG$7),'SHIP CURVES'!$A$9:$AZ$9,0))</f>
        <v>-0</v>
      </c>
      <c r="AF171" s="351" t="n">
        <f aca="false">-Y171*INDEX(port_processing_fee,MATCH(AC171,PORTS!$H$626:$H$933,0),MATCH(AG$5,PORTS!$H$626:$Z$626,0))</f>
        <v>-0</v>
      </c>
      <c r="AG171" s="352" t="n">
        <f aca="false">(((VLOOKUP(AC171,curvecalc,4,0))*IF(W171=0,0,AA171/W171)-INDEX(ship_curves,MATCH(AC171,'SHIP CURVES'!$A$9:$A$316,0),MATCH(CONCATENATE(AG$4,AG$5,AG$6,AG$7),'SHIP CURVES'!$A$9:$Z$9,0))-INDEX(terminal_curves,MATCH(AC171,'TERMINAL CURVES'!$A$4:$A$313,0),MATCH(AG$5,'TERMINAL CURVES'!$A$4:$N$4,0))*IF(W171=0,0,Y171/W171))-(AE$8)*((AE$7-$N$5)-(INDEX(ship_curves,MATCH(AC171,'SHIP CURVES'!$A$9:$A$316,0),MATCH(CONCATENATE(AG$4,AG$5,AG$6,AG$7),'SHIP CURVES'!$A$9:$Z$9,0))-INDEX(ship_curves,MATCH(AC171,'SHIP CURVES'!$A$9:$A$316,0),MATCH(CONCATENATE(AG$4,AE$6,AG$6,AG$7),'SHIP CURVES'!$A$9:$Z$9,0)))-(INDEX(terminal_curves,MATCH(AC171,'TERMINAL CURVES'!$A$4:$A$313,0),MATCH(AG$5,'TERMINAL CURVES'!$A$4:$N$4,0))-INDEX(terminal_curves,MATCH(AC171,'TERMINAL CURVES'!$A$4:$A$313,0),MATCH(AE$6,'TERMINAL CURVES'!$A$4:$N$4,0)))*IF(W171=0,0,Y171/W171)))*-W171</f>
        <v>0</v>
      </c>
      <c r="AH171" s="356" t="n">
        <f aca="false">SUM(AE171:AG171)</f>
        <v>0</v>
      </c>
      <c r="AI171" s="357" t="n">
        <f aca="false">(-Y171/((HLOOKUP(AG$5,port_specs,2,0)/(365.25))*(AC172-AC171)))*(INDEX(fixed_capacity_charge,MATCH(AC171,PORTS!$H$11:$H$317,0),MATCH(AG$5,PORTS!$H$11:$N$11,0))+INDEX(variable_om_charge,MATCH(AC171,PORTS!$H$318:$H$625,0),MATCH(AG$5,PORTS!$H$318:$N$318,0)))</f>
        <v>-0</v>
      </c>
      <c r="AJ171" s="343" t="n">
        <f aca="false">+AI171+AH171</f>
        <v>0</v>
      </c>
      <c r="AK171" s="355" t="n">
        <f aca="false">+AJ171+AD171</f>
        <v>0</v>
      </c>
      <c r="AM171" s="346" t="n">
        <f aca="false">+DATE(YEAR(AM170),MONTH(AM170)+1,1)</f>
        <v>41365</v>
      </c>
      <c r="AN171" s="327" t="n">
        <f aca="false">+AP171/(1-HLOOKUP(AO$6,SHIPS,7,0)*INDEX(LADEN_VOYAGE_DAYS,MATCH(CONCATENATE(AO$4,AO$5),LADEN_VOYAGE_ROUTES,0),MATCH(AO$6,LADEN_VOYAGE_SHIPS,0)))</f>
        <v>5221704.65550959</v>
      </c>
      <c r="AO171" s="347" t="n">
        <f aca="false">+AP171-AN171</f>
        <v>-54827.8988828501</v>
      </c>
      <c r="AP171" s="348" t="n">
        <f aca="false">+IF(AND(AO$8&lt;=AM171,AO$9&gt;=AM171),+MIN($B171-SUMIF($H$17:AO$17,AP$17,$H171:AO171),((INDEX(ROUTE_PER_DAY_BY_SHIP,MATCH(CONCATENATE(AO$4,AO$5,AO$7),ROUTE_PER_DAY_ROUTES,0),MATCH(AO$6,ROUTE_PER_DAY_SHIPS,0))*(AM172-AM171))-(INDEX(ROUTE_PER_DAY_BY_SHIP,MATCH(CONCATENATE(AO$4,AO$5,AO$7),ROUTE_PER_DAY_ROUTES,0),MATCH(AO$6,ROUTE_PER_DAY_SHIPS,0))*(AM172-AM171))*HLOOKUP(AO$6,SHIPS,7,0)*INDEX(LADEN_VOYAGE_DAYS,MATCH(CONCATENATE(AO$4,AO$5,AO$7),LADEN_VOYAGE_ROUTES,0),MATCH(AO$6,LADEN_VOYAGE_SHIPS,0)))),0)</f>
        <v>5166876.75662674</v>
      </c>
      <c r="AQ171" s="349" t="n">
        <f aca="false">-(AP171)*PORTS!$I$6</f>
        <v>-129171.918915669</v>
      </c>
      <c r="AR171" s="327" t="n">
        <f aca="false">+AP171+AQ171</f>
        <v>5037704.83771107</v>
      </c>
      <c r="AS171" s="333"/>
      <c r="AT171" s="346" t="n">
        <f aca="false">+DATE(YEAR(AT170),MONTH(AT170)+1,1)</f>
        <v>41365</v>
      </c>
      <c r="AU171" s="343" t="n">
        <f aca="false">+AR171*(VLOOKUP(AT171,CURVECALC!$C$6:$J$312,4,0)+AV$5)</f>
        <v>17984606.2706285</v>
      </c>
      <c r="AV171" s="350" t="n">
        <f aca="false">-AN171*INDEX(ship_curves,MATCH(AT171,'SHIP CURVES'!$A$9:$A$316,0),MATCH(CONCATENATE(AX$4,AX$5,AX$6,AX$7),'SHIP CURVES'!$A$9:$AZ$9,0))</f>
        <v>-1756060.20796278</v>
      </c>
      <c r="AW171" s="351" t="n">
        <f aca="false">-AP171*INDEX(port_processing_fee,MATCH(AT171,PORTS!$H$626:$H$933,0),MATCH(AX$5,PORTS!$H$626:$Z$626,0))</f>
        <v>-160502.122140866</v>
      </c>
      <c r="AX171" s="352" t="n">
        <f aca="false">(((VLOOKUP(AT171,curvecalc,4,0))*IF(AN171=0,0,AR171/AN171)-INDEX(ship_curves,MATCH(AT171,'SHIP CURVES'!$A$9:$A$316,0),MATCH(CONCATENATE(AX$4,AX$5,AX$6,AX$7),'SHIP CURVES'!$A$9:$Z$9,0))-INDEX(terminal_curves,MATCH(AT171,'TERMINAL CURVES'!$A$4:$A$313,0),MATCH(AX$5,'TERMINAL CURVES'!$A$4:$N$4,0))*IF(AN171=0,0,AP171/AN171))-(AV$8)*((AV$7-$N$5)-(INDEX(ship_curves,MATCH(AT171,'SHIP CURVES'!$A$9:$A$316,0),MATCH(CONCATENATE(AX$4,AX$5,AX$6,AX$7),'SHIP CURVES'!$A$9:$Z$9,0))-INDEX(ship_curves,MATCH(AT171,'SHIP CURVES'!$A$9:$A$316,0),MATCH(CONCATENATE(AX$4,AV$6,AX$6,AX$7),'SHIP CURVES'!$A$9:$Z$9,0)))-(INDEX(terminal_curves,MATCH(AT171,'TERMINAL CURVES'!$A$4:$A$313,0),MATCH(AX$5,'TERMINAL CURVES'!$A$4:$N$4,0))-INDEX(terminal_curves,MATCH(AT171,'TERMINAL CURVES'!$A$4:$A$313,0),MATCH(AV$6,'TERMINAL CURVES'!$A$4:$N$4,0)))*IF(AN171=0,0,AP171/AN171)))*-AN171</f>
        <v>-14947794.9059214</v>
      </c>
      <c r="AY171" s="356" t="n">
        <f aca="false">SUM(AV171:AX171)</f>
        <v>-16864357.236025</v>
      </c>
      <c r="AZ171" s="357" t="n">
        <f aca="false">(-AP171/((HLOOKUP(AX$5,port_specs,2,0)/(365.25))*(AT172-AT171)))*(INDEX(fixed_capacity_charge,MATCH(AT171,PORTS!$H$11:$H$317,0),MATCH(AX$5,PORTS!$H$11:$N$11,0))+INDEX(variable_om_charge,MATCH(AT171,PORTS!$H$318:$H$625,0),MATCH(AX$5,PORTS!$H$318:$N$318,0)))</f>
        <v>-1019494.93784927</v>
      </c>
      <c r="BA171" s="343" t="n">
        <f aca="false">+AZ171+AY171</f>
        <v>-17883852.1738743</v>
      </c>
      <c r="BB171" s="355" t="n">
        <f aca="false">+BA171+AU171</f>
        <v>100754.096754219</v>
      </c>
      <c r="BC171" s="99"/>
      <c r="BD171" s="357" t="n">
        <f aca="false">+PORTS!I165+PORTS!I473</f>
        <v>1019494.93784927</v>
      </c>
    </row>
    <row r="172" customFormat="false" ht="12.75" hidden="false" customHeight="false" outlineLevel="0" collapsed="false">
      <c r="A172" s="346" t="n">
        <f aca="false">+DATE(YEAR(A171),MONTH(A171)+1,1)</f>
        <v>41395</v>
      </c>
      <c r="B172" s="327" t="n">
        <f aca="false">+IF(AND($A172&gt;=$C$8,$A172&lt;=$C$9),1,0)*PORTS!$I$5/(365.25)*(A173-A172)</f>
        <v>5339105.98184763</v>
      </c>
      <c r="C172" s="328" t="n">
        <f aca="false">+B172-(SUMIF($F$17:$IV$17,$H$17,$F172:$IV172))</f>
        <v>0</v>
      </c>
      <c r="D172" s="0" t="n">
        <f aca="false">+YEAR(E172)</f>
        <v>2013</v>
      </c>
      <c r="E172" s="346" t="n">
        <f aca="false">+DATE(YEAR(E171),MONTH(E171)+1,1)</f>
        <v>41395</v>
      </c>
      <c r="F172" s="327" t="n">
        <f aca="false">+IF(AND(G$8&lt;=E172,G$9&gt;=E172),INDEX(ROUTE_PER_DAY_BY_SHIP,MATCH(CONCATENATE(G$4,G$5,G$7),ROUTE_PER_DAY_ROUTES,0),MATCH(G$6,ROUTE_PER_DAY_SHIPS,0))*(E173-E172),0)</f>
        <v>0</v>
      </c>
      <c r="G172" s="347" t="n">
        <f aca="false">-F172*HLOOKUP(G$6,SHIPS,7,0)*INDEX(LADEN_VOYAGE_DAYS,MATCH(CONCATENATE(G$4,G$5,G$7),LADEN_VOYAGE_ROUTES,0),MATCH(G$6,LADEN_VOYAGE_SHIPS,0))</f>
        <v>-0</v>
      </c>
      <c r="H172" s="348" t="n">
        <f aca="false">SUM(F172:G172)</f>
        <v>0</v>
      </c>
      <c r="I172" s="349" t="n">
        <f aca="false">-(H172)*HLOOKUP(G$5,TERMINAL_CHARGES,3,0)</f>
        <v>-0</v>
      </c>
      <c r="J172" s="327" t="n">
        <f aca="false">+H172+I172</f>
        <v>0</v>
      </c>
      <c r="K172" s="333"/>
      <c r="L172" s="346" t="n">
        <f aca="false">+DATE(YEAR(L171),MONTH(L171)+1,1)</f>
        <v>41395</v>
      </c>
      <c r="M172" s="334" t="n">
        <f aca="false">+J172*(VLOOKUP(L172,CURVECALC!$C$6:$J$312,4,0)+N$5)</f>
        <v>0</v>
      </c>
      <c r="N172" s="350" t="n">
        <f aca="false">-F172*INDEX(ship_curves,MATCH(L172,'SHIP CURVES'!$A$9:$A$316,0),MATCH(CONCATENATE(P$4,P$5,P$6,P$7),'SHIP CURVES'!$A$9:$AZ$9,0))</f>
        <v>-0</v>
      </c>
      <c r="O172" s="351" t="n">
        <f aca="false">-H172*INDEX(port_processing_fee,MATCH(L172,PORTS!$H$626:$H$933,0),MATCH(P$5,PORTS!$H$626:$Z$626,0))</f>
        <v>-0</v>
      </c>
      <c r="P172" s="352" t="n">
        <f aca="false">(((VLOOKUP(L172,curvecalc,4,0))*IF(F172=0,0,J172/F172)-INDEX(ship_curves,MATCH(L172,'SHIP CURVES'!$A$9:$A$316,0),MATCH(CONCATENATE(P$4,P$5,P$6,P$7),'SHIP CURVES'!$A$9:$Z$9,0))-INDEX(terminal_curves,MATCH(L172,'TERMINAL CURVES'!$A$4:$A$313,0),MATCH(P$5,'TERMINAL CURVES'!$A$4:$N$4,0))*IF(F172=0,0,H172/F172))-(N$8)*((N$7-$N$5)-(INDEX(ship_curves,MATCH(L172,'SHIP CURVES'!$A$9:$A$316,0),MATCH(CONCATENATE(P$4,P$5,P$6,P$7),'SHIP CURVES'!$A$9:$Z$9,0))-INDEX(ship_curves,MATCH(L172,'SHIP CURVES'!$A$9:$A$316,0),MATCH(CONCATENATE(P$4,N$6,P$6,P$7),'SHIP CURVES'!$A$9:$Z$9,0)))-(INDEX(terminal_curves,MATCH(L172,'TERMINAL CURVES'!$A$4:$A$313,0),MATCH(P$5,'TERMINAL CURVES'!$A$4:$N$4,0))-INDEX(terminal_curves,MATCH(L172,'TERMINAL CURVES'!$A$4:$A$313,0),MATCH(N$6,'TERMINAL CURVES'!$A$4:$N$4,0)))*IF(F172=0,0,H172/F172)))*-F172</f>
        <v>0</v>
      </c>
      <c r="Q172" s="353" t="n">
        <f aca="false">SUM(N172:P172)</f>
        <v>0</v>
      </c>
      <c r="R172" s="357" t="n">
        <f aca="false">(-H172/((HLOOKUP(P$5,port_specs,2,0)/(365.25))*(L173-L172)))*(INDEX(fixed_capacity_charge,MATCH(L172,PORTS!$H$11:$H$317,0),MATCH(P$5,PORTS!$H$11:$N$11,0))+INDEX(variable_om_charge,MATCH(L172,PORTS!$H$318:$H$625,0),MATCH(P$5,PORTS!$H$318:$N$318,0)))</f>
        <v>-0</v>
      </c>
      <c r="S172" s="343" t="n">
        <f aca="false">+R172+Q172</f>
        <v>0</v>
      </c>
      <c r="T172" s="355" t="n">
        <f aca="false">+S172+M172</f>
        <v>0</v>
      </c>
      <c r="V172" s="346" t="n">
        <f aca="false">+DATE(YEAR(V171),MONTH(V171)+1,1)</f>
        <v>41395</v>
      </c>
      <c r="W172" s="327" t="n">
        <f aca="false">+Y172/(1-HLOOKUP(X$6,SHIPS,7,0)*INDEX(LADEN_VOYAGE_DAYS,MATCH(CONCATENATE(X$4,X$5),LADEN_VOYAGE_ROUTES,0),MATCH(X$6,LADEN_VOYAGE_SHIPS,0)))</f>
        <v>0</v>
      </c>
      <c r="X172" s="347" t="n">
        <f aca="false">+Y172-W172</f>
        <v>0</v>
      </c>
      <c r="Y172" s="348" t="n">
        <f aca="false">+IF(AND(X$8&lt;=V172,X$9&gt;=V172),+MIN($B172-SUMIF($H$17:X$17,Y$17,$H172:X172),((INDEX(ROUTE_PER_DAY_BY_SHIP,MATCH(CONCATENATE(X$4,X$5,X$7),ROUTE_PER_DAY_ROUTES,0),MATCH(X$6,ROUTE_PER_DAY_SHIPS,0))*(V173-V172))-(INDEX(ROUTE_PER_DAY_BY_SHIP,MATCH(CONCATENATE(X$4,X$5,X$7),ROUTE_PER_DAY_ROUTES,0),MATCH(X$6,ROUTE_PER_DAY_SHIPS,0))*(V173-V172))*HLOOKUP(X$6,SHIPS,7,0)*INDEX(LADEN_VOYAGE_DAYS,MATCH(CONCATENATE(X$4,X$5,X$7),LADEN_VOYAGE_ROUTES,0),MATCH(X$6,LADEN_VOYAGE_SHIPS,0)))),0)</f>
        <v>0</v>
      </c>
      <c r="Z172" s="349" t="n">
        <f aca="false">-(Y172)*HLOOKUP(X$5,TERMINAL_CHARGES,3,0)</f>
        <v>-0</v>
      </c>
      <c r="AA172" s="327" t="n">
        <f aca="false">+Y172+Z172</f>
        <v>0</v>
      </c>
      <c r="AB172" s="333"/>
      <c r="AC172" s="346" t="n">
        <f aca="false">+DATE(YEAR(AC171),MONTH(AC171)+1,1)</f>
        <v>41395</v>
      </c>
      <c r="AD172" s="343" t="n">
        <f aca="false">+AA172*(VLOOKUP(AC172,CURVECALC!$C$6:$J$312,4,0)+AE$5)</f>
        <v>0</v>
      </c>
      <c r="AE172" s="350" t="n">
        <f aca="false">-W172*INDEX(ship_curves,MATCH(AC172,'SHIP CURVES'!$A$9:$A$316,0),MATCH(CONCATENATE(AG$4,AG$5,AG$6,AG$7),'SHIP CURVES'!$A$9:$AZ$9,0))</f>
        <v>-0</v>
      </c>
      <c r="AF172" s="351" t="n">
        <f aca="false">-Y172*INDEX(port_processing_fee,MATCH(AC172,PORTS!$H$626:$H$933,0),MATCH(AG$5,PORTS!$H$626:$Z$626,0))</f>
        <v>-0</v>
      </c>
      <c r="AG172" s="352" t="n">
        <f aca="false">(((VLOOKUP(AC172,curvecalc,4,0))*IF(W172=0,0,AA172/W172)-INDEX(ship_curves,MATCH(AC172,'SHIP CURVES'!$A$9:$A$316,0),MATCH(CONCATENATE(AG$4,AG$5,AG$6,AG$7),'SHIP CURVES'!$A$9:$Z$9,0))-INDEX(terminal_curves,MATCH(AC172,'TERMINAL CURVES'!$A$4:$A$313,0),MATCH(AG$5,'TERMINAL CURVES'!$A$4:$N$4,0))*IF(W172=0,0,Y172/W172))-(AE$8)*((AE$7-$N$5)-(INDEX(ship_curves,MATCH(AC172,'SHIP CURVES'!$A$9:$A$316,0),MATCH(CONCATENATE(AG$4,AG$5,AG$6,AG$7),'SHIP CURVES'!$A$9:$Z$9,0))-INDEX(ship_curves,MATCH(AC172,'SHIP CURVES'!$A$9:$A$316,0),MATCH(CONCATENATE(AG$4,AE$6,AG$6,AG$7),'SHIP CURVES'!$A$9:$Z$9,0)))-(INDEX(terminal_curves,MATCH(AC172,'TERMINAL CURVES'!$A$4:$A$313,0),MATCH(AG$5,'TERMINAL CURVES'!$A$4:$N$4,0))-INDEX(terminal_curves,MATCH(AC172,'TERMINAL CURVES'!$A$4:$A$313,0),MATCH(AE$6,'TERMINAL CURVES'!$A$4:$N$4,0)))*IF(W172=0,0,Y172/W172)))*-W172</f>
        <v>0</v>
      </c>
      <c r="AH172" s="356" t="n">
        <f aca="false">SUM(AE172:AG172)</f>
        <v>0</v>
      </c>
      <c r="AI172" s="357" t="n">
        <f aca="false">(-Y172/((HLOOKUP(AG$5,port_specs,2,0)/(365.25))*(AC173-AC172)))*(INDEX(fixed_capacity_charge,MATCH(AC172,PORTS!$H$11:$H$317,0),MATCH(AG$5,PORTS!$H$11:$N$11,0))+INDEX(variable_om_charge,MATCH(AC172,PORTS!$H$318:$H$625,0),MATCH(AG$5,PORTS!$H$318:$N$318,0)))</f>
        <v>-0</v>
      </c>
      <c r="AJ172" s="343" t="n">
        <f aca="false">+AI172+AH172</f>
        <v>0</v>
      </c>
      <c r="AK172" s="355" t="n">
        <f aca="false">+AJ172+AD172</f>
        <v>0</v>
      </c>
      <c r="AM172" s="346" t="n">
        <f aca="false">+DATE(YEAR(AM171),MONTH(AM171)+1,1)</f>
        <v>41395</v>
      </c>
      <c r="AN172" s="327" t="n">
        <f aca="false">+AP172/(1-HLOOKUP(AO$6,SHIPS,7,0)*INDEX(LADEN_VOYAGE_DAYS,MATCH(CONCATENATE(AO$4,AO$5),LADEN_VOYAGE_ROUTES,0),MATCH(AO$6,LADEN_VOYAGE_SHIPS,0)))</f>
        <v>5395761.47735991</v>
      </c>
      <c r="AO172" s="347" t="n">
        <f aca="false">+AP172-AN172</f>
        <v>-56655.4955122788</v>
      </c>
      <c r="AP172" s="348" t="n">
        <f aca="false">+IF(AND(AO$8&lt;=AM172,AO$9&gt;=AM172),+MIN($B172-SUMIF($H$17:AO$17,AP$17,$H172:AO172),((INDEX(ROUTE_PER_DAY_BY_SHIP,MATCH(CONCATENATE(AO$4,AO$5,AO$7),ROUTE_PER_DAY_ROUTES,0),MATCH(AO$6,ROUTE_PER_DAY_SHIPS,0))*(AM173-AM172))-(INDEX(ROUTE_PER_DAY_BY_SHIP,MATCH(CONCATENATE(AO$4,AO$5,AO$7),ROUTE_PER_DAY_ROUTES,0),MATCH(AO$6,ROUTE_PER_DAY_SHIPS,0))*(AM173-AM172))*HLOOKUP(AO$6,SHIPS,7,0)*INDEX(LADEN_VOYAGE_DAYS,MATCH(CONCATENATE(AO$4,AO$5,AO$7),LADEN_VOYAGE_ROUTES,0),MATCH(AO$6,LADEN_VOYAGE_SHIPS,0)))),0)</f>
        <v>5339105.98184763</v>
      </c>
      <c r="AQ172" s="349" t="n">
        <f aca="false">-(AP172)*PORTS!$I$6</f>
        <v>-133477.649546191</v>
      </c>
      <c r="AR172" s="327" t="n">
        <f aca="false">+AP172+AQ172</f>
        <v>5205628.33230144</v>
      </c>
      <c r="AS172" s="333"/>
      <c r="AT172" s="346" t="n">
        <f aca="false">+DATE(YEAR(AT171),MONTH(AT171)+1,1)</f>
        <v>41395</v>
      </c>
      <c r="AU172" s="343" t="n">
        <f aca="false">+AR172*(VLOOKUP(AT172,CURVECALC!$C$6:$J$312,4,0)+AV$5)</f>
        <v>18558065.0046546</v>
      </c>
      <c r="AV172" s="350" t="n">
        <f aca="false">-AN172*INDEX(ship_curves,MATCH(AT172,'SHIP CURVES'!$A$9:$A$316,0),MATCH(CONCATENATE(AX$4,AX$5,AX$6,AX$7),'SHIP CURVES'!$A$9:$AZ$9,0))</f>
        <v>-1815180.27285573</v>
      </c>
      <c r="AW172" s="351" t="n">
        <f aca="false">-AP172*INDEX(port_processing_fee,MATCH(AT172,PORTS!$H$626:$H$933,0),MATCH(AX$5,PORTS!$H$626:$Z$626,0))</f>
        <v>-166024.95557981</v>
      </c>
      <c r="AX172" s="352" t="n">
        <f aca="false">(((VLOOKUP(AT172,curvecalc,4,0))*IF(AN172=0,0,AR172/AN172)-INDEX(ship_curves,MATCH(AT172,'SHIP CURVES'!$A$9:$A$316,0),MATCH(CONCATENATE(AX$4,AX$5,AX$6,AX$7),'SHIP CURVES'!$A$9:$Z$9,0))-INDEX(terminal_curves,MATCH(AT172,'TERMINAL CURVES'!$A$4:$A$313,0),MATCH(AX$5,'TERMINAL CURVES'!$A$4:$N$4,0))*IF(AN172=0,0,AP172/AN172))-(AV$8)*((AV$7-$N$5)-(INDEX(ship_curves,MATCH(AT172,'SHIP CURVES'!$A$9:$A$316,0),MATCH(CONCATENATE(AX$4,AX$5,AX$6,AX$7),'SHIP CURVES'!$A$9:$Z$9,0))-INDEX(ship_curves,MATCH(AT172,'SHIP CURVES'!$A$9:$A$316,0),MATCH(CONCATENATE(AX$4,AV$6,AX$6,AX$7),'SHIP CURVES'!$A$9:$Z$9,0)))-(INDEX(terminal_curves,MATCH(AT172,'TERMINAL CURVES'!$A$4:$A$313,0),MATCH(AX$5,'TERMINAL CURVES'!$A$4:$N$4,0))-INDEX(terminal_curves,MATCH(AT172,'TERMINAL CURVES'!$A$4:$A$313,0),MATCH(AV$6,'TERMINAL CURVES'!$A$4:$N$4,0)))*IF(AN172=0,0,AP172/AN172)))*-AN172</f>
        <v>-15452695.7005082</v>
      </c>
      <c r="AY172" s="356" t="n">
        <f aca="false">SUM(AV172:AX172)</f>
        <v>-17433900.9289438</v>
      </c>
      <c r="AZ172" s="357" t="n">
        <f aca="false">(-AP172/((HLOOKUP(AX$5,port_specs,2,0)/(365.25))*(AT173-AT172)))*(INDEX(fixed_capacity_charge,MATCH(AT172,PORTS!$H$11:$H$317,0),MATCH(AX$5,PORTS!$H$11:$N$11,0))+INDEX(variable_om_charge,MATCH(AT172,PORTS!$H$318:$H$625,0),MATCH(AX$5,PORTS!$H$318:$N$318,0)))</f>
        <v>-1020051.50906483</v>
      </c>
      <c r="BA172" s="343" t="n">
        <f aca="false">+AZ172+AY172</f>
        <v>-18453952.4380086</v>
      </c>
      <c r="BB172" s="355" t="n">
        <f aca="false">+BA172+AU172</f>
        <v>104112.566646028</v>
      </c>
      <c r="BC172" s="99"/>
      <c r="BD172" s="357" t="n">
        <f aca="false">+PORTS!I166+PORTS!I474</f>
        <v>1020051.50906483</v>
      </c>
    </row>
    <row r="173" customFormat="false" ht="12.75" hidden="false" customHeight="false" outlineLevel="0" collapsed="false">
      <c r="A173" s="346" t="n">
        <f aca="false">+DATE(YEAR(A172),MONTH(A172)+1,1)</f>
        <v>41426</v>
      </c>
      <c r="B173" s="327" t="n">
        <f aca="false">+IF(AND($A173&gt;=$C$8,$A173&lt;=$C$9),1,0)*PORTS!$I$5/(365.25)*(A174-A173)</f>
        <v>5166876.75662674</v>
      </c>
      <c r="C173" s="328" t="n">
        <f aca="false">+B173-(SUMIF($F$17:$IV$17,$H$17,$F173:$IV173))</f>
        <v>0</v>
      </c>
      <c r="D173" s="0" t="n">
        <f aca="false">+YEAR(E173)</f>
        <v>2013</v>
      </c>
      <c r="E173" s="346" t="n">
        <f aca="false">+DATE(YEAR(E172),MONTH(E172)+1,1)</f>
        <v>41426</v>
      </c>
      <c r="F173" s="327" t="n">
        <f aca="false">+IF(AND(G$8&lt;=E173,G$9&gt;=E173),INDEX(ROUTE_PER_DAY_BY_SHIP,MATCH(CONCATENATE(G$4,G$5,G$7),ROUTE_PER_DAY_ROUTES,0),MATCH(G$6,ROUTE_PER_DAY_SHIPS,0))*(E174-E173),0)</f>
        <v>0</v>
      </c>
      <c r="G173" s="347" t="n">
        <f aca="false">-F173*HLOOKUP(G$6,SHIPS,7,0)*INDEX(LADEN_VOYAGE_DAYS,MATCH(CONCATENATE(G$4,G$5,G$7),LADEN_VOYAGE_ROUTES,0),MATCH(G$6,LADEN_VOYAGE_SHIPS,0))</f>
        <v>-0</v>
      </c>
      <c r="H173" s="348" t="n">
        <f aca="false">SUM(F173:G173)</f>
        <v>0</v>
      </c>
      <c r="I173" s="349" t="n">
        <f aca="false">-(H173)*HLOOKUP(G$5,TERMINAL_CHARGES,3,0)</f>
        <v>-0</v>
      </c>
      <c r="J173" s="327" t="n">
        <f aca="false">+H173+I173</f>
        <v>0</v>
      </c>
      <c r="K173" s="333"/>
      <c r="L173" s="346" t="n">
        <f aca="false">+DATE(YEAR(L172),MONTH(L172)+1,1)</f>
        <v>41426</v>
      </c>
      <c r="M173" s="334" t="n">
        <f aca="false">+J173*(VLOOKUP(L173,CURVECALC!$C$6:$J$312,4,0)+N$5)</f>
        <v>0</v>
      </c>
      <c r="N173" s="350" t="n">
        <f aca="false">-F173*INDEX(ship_curves,MATCH(L173,'SHIP CURVES'!$A$9:$A$316,0),MATCH(CONCATENATE(P$4,P$5,P$6,P$7),'SHIP CURVES'!$A$9:$AZ$9,0))</f>
        <v>-0</v>
      </c>
      <c r="O173" s="351" t="n">
        <f aca="false">-H173*INDEX(port_processing_fee,MATCH(L173,PORTS!$H$626:$H$933,0),MATCH(P$5,PORTS!$H$626:$Z$626,0))</f>
        <v>-0</v>
      </c>
      <c r="P173" s="352" t="n">
        <f aca="false">(((VLOOKUP(L173,curvecalc,4,0))*IF(F173=0,0,J173/F173)-INDEX(ship_curves,MATCH(L173,'SHIP CURVES'!$A$9:$A$316,0),MATCH(CONCATENATE(P$4,P$5,P$6,P$7),'SHIP CURVES'!$A$9:$Z$9,0))-INDEX(terminal_curves,MATCH(L173,'TERMINAL CURVES'!$A$4:$A$313,0),MATCH(P$5,'TERMINAL CURVES'!$A$4:$N$4,0))*IF(F173=0,0,H173/F173))-(N$8)*((N$7-$N$5)-(INDEX(ship_curves,MATCH(L173,'SHIP CURVES'!$A$9:$A$316,0),MATCH(CONCATENATE(P$4,P$5,P$6,P$7),'SHIP CURVES'!$A$9:$Z$9,0))-INDEX(ship_curves,MATCH(L173,'SHIP CURVES'!$A$9:$A$316,0),MATCH(CONCATENATE(P$4,N$6,P$6,P$7),'SHIP CURVES'!$A$9:$Z$9,0)))-(INDEX(terminal_curves,MATCH(L173,'TERMINAL CURVES'!$A$4:$A$313,0),MATCH(P$5,'TERMINAL CURVES'!$A$4:$N$4,0))-INDEX(terminal_curves,MATCH(L173,'TERMINAL CURVES'!$A$4:$A$313,0),MATCH(N$6,'TERMINAL CURVES'!$A$4:$N$4,0)))*IF(F173=0,0,H173/F173)))*-F173</f>
        <v>0</v>
      </c>
      <c r="Q173" s="353" t="n">
        <f aca="false">SUM(N173:P173)</f>
        <v>0</v>
      </c>
      <c r="R173" s="357" t="n">
        <f aca="false">(-H173/((HLOOKUP(P$5,port_specs,2,0)/(365.25))*(L174-L173)))*(INDEX(fixed_capacity_charge,MATCH(L173,PORTS!$H$11:$H$317,0),MATCH(P$5,PORTS!$H$11:$N$11,0))+INDEX(variable_om_charge,MATCH(L173,PORTS!$H$318:$H$625,0),MATCH(P$5,PORTS!$H$318:$N$318,0)))</f>
        <v>-0</v>
      </c>
      <c r="S173" s="343" t="n">
        <f aca="false">+R173+Q173</f>
        <v>0</v>
      </c>
      <c r="T173" s="355" t="n">
        <f aca="false">+S173+M173</f>
        <v>0</v>
      </c>
      <c r="V173" s="346" t="n">
        <f aca="false">+DATE(YEAR(V172),MONTH(V172)+1,1)</f>
        <v>41426</v>
      </c>
      <c r="W173" s="327" t="n">
        <f aca="false">+Y173/(1-HLOOKUP(X$6,SHIPS,7,0)*INDEX(LADEN_VOYAGE_DAYS,MATCH(CONCATENATE(X$4,X$5),LADEN_VOYAGE_ROUTES,0),MATCH(X$6,LADEN_VOYAGE_SHIPS,0)))</f>
        <v>0</v>
      </c>
      <c r="X173" s="347" t="n">
        <f aca="false">+Y173-W173</f>
        <v>0</v>
      </c>
      <c r="Y173" s="348" t="n">
        <f aca="false">+IF(AND(X$8&lt;=V173,X$9&gt;=V173),+MIN($B173-SUMIF($H$17:X$17,Y$17,$H173:X173),((INDEX(ROUTE_PER_DAY_BY_SHIP,MATCH(CONCATENATE(X$4,X$5,X$7),ROUTE_PER_DAY_ROUTES,0),MATCH(X$6,ROUTE_PER_DAY_SHIPS,0))*(V174-V173))-(INDEX(ROUTE_PER_DAY_BY_SHIP,MATCH(CONCATENATE(X$4,X$5,X$7),ROUTE_PER_DAY_ROUTES,0),MATCH(X$6,ROUTE_PER_DAY_SHIPS,0))*(V174-V173))*HLOOKUP(X$6,SHIPS,7,0)*INDEX(LADEN_VOYAGE_DAYS,MATCH(CONCATENATE(X$4,X$5,X$7),LADEN_VOYAGE_ROUTES,0),MATCH(X$6,LADEN_VOYAGE_SHIPS,0)))),0)</f>
        <v>0</v>
      </c>
      <c r="Z173" s="349" t="n">
        <f aca="false">-(Y173)*HLOOKUP(X$5,TERMINAL_CHARGES,3,0)</f>
        <v>-0</v>
      </c>
      <c r="AA173" s="327" t="n">
        <f aca="false">+Y173+Z173</f>
        <v>0</v>
      </c>
      <c r="AB173" s="333"/>
      <c r="AC173" s="346" t="n">
        <f aca="false">+DATE(YEAR(AC172),MONTH(AC172)+1,1)</f>
        <v>41426</v>
      </c>
      <c r="AD173" s="343" t="n">
        <f aca="false">+AA173*(VLOOKUP(AC173,CURVECALC!$C$6:$J$312,4,0)+AE$5)</f>
        <v>0</v>
      </c>
      <c r="AE173" s="350" t="n">
        <f aca="false">-W173*INDEX(ship_curves,MATCH(AC173,'SHIP CURVES'!$A$9:$A$316,0),MATCH(CONCATENATE(AG$4,AG$5,AG$6,AG$7),'SHIP CURVES'!$A$9:$AZ$9,0))</f>
        <v>-0</v>
      </c>
      <c r="AF173" s="351" t="n">
        <f aca="false">-Y173*INDEX(port_processing_fee,MATCH(AC173,PORTS!$H$626:$H$933,0),MATCH(AG$5,PORTS!$H$626:$Z$626,0))</f>
        <v>-0</v>
      </c>
      <c r="AG173" s="352" t="n">
        <f aca="false">(((VLOOKUP(AC173,curvecalc,4,0))*IF(W173=0,0,AA173/W173)-INDEX(ship_curves,MATCH(AC173,'SHIP CURVES'!$A$9:$A$316,0),MATCH(CONCATENATE(AG$4,AG$5,AG$6,AG$7),'SHIP CURVES'!$A$9:$Z$9,0))-INDEX(terminal_curves,MATCH(AC173,'TERMINAL CURVES'!$A$4:$A$313,0),MATCH(AG$5,'TERMINAL CURVES'!$A$4:$N$4,0))*IF(W173=0,0,Y173/W173))-(AE$8)*((AE$7-$N$5)-(INDEX(ship_curves,MATCH(AC173,'SHIP CURVES'!$A$9:$A$316,0),MATCH(CONCATENATE(AG$4,AG$5,AG$6,AG$7),'SHIP CURVES'!$A$9:$Z$9,0))-INDEX(ship_curves,MATCH(AC173,'SHIP CURVES'!$A$9:$A$316,0),MATCH(CONCATENATE(AG$4,AE$6,AG$6,AG$7),'SHIP CURVES'!$A$9:$Z$9,0)))-(INDEX(terminal_curves,MATCH(AC173,'TERMINAL CURVES'!$A$4:$A$313,0),MATCH(AG$5,'TERMINAL CURVES'!$A$4:$N$4,0))-INDEX(terminal_curves,MATCH(AC173,'TERMINAL CURVES'!$A$4:$A$313,0),MATCH(AE$6,'TERMINAL CURVES'!$A$4:$N$4,0)))*IF(W173=0,0,Y173/W173)))*-W173</f>
        <v>0</v>
      </c>
      <c r="AH173" s="356" t="n">
        <f aca="false">SUM(AE173:AG173)</f>
        <v>0</v>
      </c>
      <c r="AI173" s="357" t="n">
        <f aca="false">(-Y173/((HLOOKUP(AG$5,port_specs,2,0)/(365.25))*(AC174-AC173)))*(INDEX(fixed_capacity_charge,MATCH(AC173,PORTS!$H$11:$H$317,0),MATCH(AG$5,PORTS!$H$11:$N$11,0))+INDEX(variable_om_charge,MATCH(AC173,PORTS!$H$318:$H$625,0),MATCH(AG$5,PORTS!$H$318:$N$318,0)))</f>
        <v>-0</v>
      </c>
      <c r="AJ173" s="343" t="n">
        <f aca="false">+AI173+AH173</f>
        <v>0</v>
      </c>
      <c r="AK173" s="355" t="n">
        <f aca="false">+AJ173+AD173</f>
        <v>0</v>
      </c>
      <c r="AM173" s="346" t="n">
        <f aca="false">+DATE(YEAR(AM172),MONTH(AM172)+1,1)</f>
        <v>41426</v>
      </c>
      <c r="AN173" s="327" t="n">
        <f aca="false">+AP173/(1-HLOOKUP(AO$6,SHIPS,7,0)*INDEX(LADEN_VOYAGE_DAYS,MATCH(CONCATENATE(AO$4,AO$5),LADEN_VOYAGE_ROUTES,0),MATCH(AO$6,LADEN_VOYAGE_SHIPS,0)))</f>
        <v>5221704.65550959</v>
      </c>
      <c r="AO173" s="347" t="n">
        <f aca="false">+AP173-AN173</f>
        <v>-54827.8988828501</v>
      </c>
      <c r="AP173" s="348" t="n">
        <f aca="false">+IF(AND(AO$8&lt;=AM173,AO$9&gt;=AM173),+MIN($B173-SUMIF($H$17:AO$17,AP$17,$H173:AO173),((INDEX(ROUTE_PER_DAY_BY_SHIP,MATCH(CONCATENATE(AO$4,AO$5,AO$7),ROUTE_PER_DAY_ROUTES,0),MATCH(AO$6,ROUTE_PER_DAY_SHIPS,0))*(AM174-AM173))-(INDEX(ROUTE_PER_DAY_BY_SHIP,MATCH(CONCATENATE(AO$4,AO$5,AO$7),ROUTE_PER_DAY_ROUTES,0),MATCH(AO$6,ROUTE_PER_DAY_SHIPS,0))*(AM174-AM173))*HLOOKUP(AO$6,SHIPS,7,0)*INDEX(LADEN_VOYAGE_DAYS,MATCH(CONCATENATE(AO$4,AO$5,AO$7),LADEN_VOYAGE_ROUTES,0),MATCH(AO$6,LADEN_VOYAGE_SHIPS,0)))),0)</f>
        <v>5166876.75662674</v>
      </c>
      <c r="AQ173" s="349" t="n">
        <f aca="false">-(AP173)*PORTS!$I$6</f>
        <v>-129171.918915669</v>
      </c>
      <c r="AR173" s="327" t="n">
        <f aca="false">+AP173+AQ173</f>
        <v>5037704.83771107</v>
      </c>
      <c r="AS173" s="333"/>
      <c r="AT173" s="346" t="n">
        <f aca="false">+DATE(YEAR(AT172),MONTH(AT172)+1,1)</f>
        <v>41426</v>
      </c>
      <c r="AU173" s="343" t="n">
        <f aca="false">+AR173*(VLOOKUP(AT173,CURVECALC!$C$6:$J$312,4,0)+AV$5)</f>
        <v>18160925.9399484</v>
      </c>
      <c r="AV173" s="350" t="n">
        <f aca="false">-AN173*INDEX(ship_curves,MATCH(AT173,'SHIP CURVES'!$A$9:$A$316,0),MATCH(CONCATENATE(AX$4,AX$5,AX$6,AX$7),'SHIP CURVES'!$A$9:$AZ$9,0))</f>
        <v>-1757193.11192861</v>
      </c>
      <c r="AW173" s="351" t="n">
        <f aca="false">-AP173*INDEX(port_processing_fee,MATCH(AT173,PORTS!$H$626:$H$933,0),MATCH(AX$5,PORTS!$H$626:$Z$626,0))</f>
        <v>-160836.675717941</v>
      </c>
      <c r="AX173" s="352" t="n">
        <f aca="false">(((VLOOKUP(AT173,curvecalc,4,0))*IF(AN173=0,0,AR173/AN173)-INDEX(ship_curves,MATCH(AT173,'SHIP CURVES'!$A$9:$A$316,0),MATCH(CONCATENATE(AX$4,AX$5,AX$6,AX$7),'SHIP CURVES'!$A$9:$Z$9,0))-INDEX(terminal_curves,MATCH(AT173,'TERMINAL CURVES'!$A$4:$A$313,0),MATCH(AX$5,'TERMINAL CURVES'!$A$4:$N$4,0))*IF(AN173=0,0,AP173/AN173))-(AV$8)*((AV$7-$N$5)-(INDEX(ship_curves,MATCH(AT173,'SHIP CURVES'!$A$9:$A$316,0),MATCH(CONCATENATE(AX$4,AX$5,AX$6,AX$7),'SHIP CURVES'!$A$9:$Z$9,0))-INDEX(ship_curves,MATCH(AT173,'SHIP CURVES'!$A$9:$A$316,0),MATCH(CONCATENATE(AX$4,AV$6,AX$6,AX$7),'SHIP CURVES'!$A$9:$Z$9,0)))-(INDEX(terminal_curves,MATCH(AT173,'TERMINAL CURVES'!$A$4:$A$313,0),MATCH(AX$5,'TERMINAL CURVES'!$A$4:$N$4,0))-INDEX(terminal_curves,MATCH(AT173,'TERMINAL CURVES'!$A$4:$A$313,0),MATCH(AV$6,'TERMINAL CURVES'!$A$4:$N$4,0)))*IF(AN173=0,0,AP173/AN173)))*-AN173</f>
        <v>-15121533.3955056</v>
      </c>
      <c r="AY173" s="356" t="n">
        <f aca="false">SUM(AV173:AX173)</f>
        <v>-17039563.1831521</v>
      </c>
      <c r="AZ173" s="357" t="n">
        <f aca="false">(-AP173/((HLOOKUP(AX$5,port_specs,2,0)/(365.25))*(AT174-AT173)))*(INDEX(fixed_capacity_charge,MATCH(AT173,PORTS!$H$11:$H$317,0),MATCH(AX$5,PORTS!$H$11:$N$11,0))+INDEX(variable_om_charge,MATCH(AT173,PORTS!$H$318:$H$625,0),MATCH(AX$5,PORTS!$H$318:$N$318,0)))</f>
        <v>-1020608.66004208</v>
      </c>
      <c r="BA173" s="343" t="n">
        <f aca="false">+AZ173+AY173</f>
        <v>-18060171.8431942</v>
      </c>
      <c r="BB173" s="355" t="n">
        <f aca="false">+BA173+AU173</f>
        <v>100754.096754223</v>
      </c>
      <c r="BC173" s="99"/>
      <c r="BD173" s="357" t="n">
        <f aca="false">+PORTS!I167+PORTS!I475</f>
        <v>1020608.66004208</v>
      </c>
    </row>
    <row r="174" customFormat="false" ht="12.75" hidden="false" customHeight="false" outlineLevel="0" collapsed="false">
      <c r="A174" s="346" t="n">
        <f aca="false">+DATE(YEAR(A173),MONTH(A173)+1,1)</f>
        <v>41456</v>
      </c>
      <c r="B174" s="327" t="n">
        <f aca="false">+IF(AND($A174&gt;=$C$8,$A174&lt;=$C$9),1,0)*PORTS!$I$5/(365.25)*(A175-A174)</f>
        <v>5339105.98184763</v>
      </c>
      <c r="C174" s="328" t="n">
        <f aca="false">+B174-(SUMIF($F$17:$IV$17,$H$17,$F174:$IV174))</f>
        <v>0</v>
      </c>
      <c r="D174" s="0" t="n">
        <f aca="false">+YEAR(E174)</f>
        <v>2013</v>
      </c>
      <c r="E174" s="346" t="n">
        <f aca="false">+DATE(YEAR(E173),MONTH(E173)+1,1)</f>
        <v>41456</v>
      </c>
      <c r="F174" s="327" t="n">
        <f aca="false">+IF(AND(G$8&lt;=E174,G$9&gt;=E174),INDEX(ROUTE_PER_DAY_BY_SHIP,MATCH(CONCATENATE(G$4,G$5,G$7),ROUTE_PER_DAY_ROUTES,0),MATCH(G$6,ROUTE_PER_DAY_SHIPS,0))*(E175-E174),0)</f>
        <v>0</v>
      </c>
      <c r="G174" s="347" t="n">
        <f aca="false">-F174*HLOOKUP(G$6,SHIPS,7,0)*INDEX(LADEN_VOYAGE_DAYS,MATCH(CONCATENATE(G$4,G$5,G$7),LADEN_VOYAGE_ROUTES,0),MATCH(G$6,LADEN_VOYAGE_SHIPS,0))</f>
        <v>-0</v>
      </c>
      <c r="H174" s="348" t="n">
        <f aca="false">SUM(F174:G174)</f>
        <v>0</v>
      </c>
      <c r="I174" s="349" t="n">
        <f aca="false">-(H174)*HLOOKUP(G$5,TERMINAL_CHARGES,3,0)</f>
        <v>-0</v>
      </c>
      <c r="J174" s="327" t="n">
        <f aca="false">+H174+I174</f>
        <v>0</v>
      </c>
      <c r="K174" s="333"/>
      <c r="L174" s="346" t="n">
        <f aca="false">+DATE(YEAR(L173),MONTH(L173)+1,1)</f>
        <v>41456</v>
      </c>
      <c r="M174" s="334" t="n">
        <f aca="false">+J174*(VLOOKUP(L174,CURVECALC!$C$6:$J$312,4,0)+N$5)</f>
        <v>0</v>
      </c>
      <c r="N174" s="350" t="n">
        <f aca="false">-F174*INDEX(ship_curves,MATCH(L174,'SHIP CURVES'!$A$9:$A$316,0),MATCH(CONCATENATE(P$4,P$5,P$6,P$7),'SHIP CURVES'!$A$9:$AZ$9,0))</f>
        <v>-0</v>
      </c>
      <c r="O174" s="351" t="n">
        <f aca="false">-H174*INDEX(port_processing_fee,MATCH(L174,PORTS!$H$626:$H$933,0),MATCH(P$5,PORTS!$H$626:$Z$626,0))</f>
        <v>-0</v>
      </c>
      <c r="P174" s="352" t="n">
        <f aca="false">(((VLOOKUP(L174,curvecalc,4,0))*IF(F174=0,0,J174/F174)-INDEX(ship_curves,MATCH(L174,'SHIP CURVES'!$A$9:$A$316,0),MATCH(CONCATENATE(P$4,P$5,P$6,P$7),'SHIP CURVES'!$A$9:$Z$9,0))-INDEX(terminal_curves,MATCH(L174,'TERMINAL CURVES'!$A$4:$A$313,0),MATCH(P$5,'TERMINAL CURVES'!$A$4:$N$4,0))*IF(F174=0,0,H174/F174))-(N$8)*((N$7-$N$5)-(INDEX(ship_curves,MATCH(L174,'SHIP CURVES'!$A$9:$A$316,0),MATCH(CONCATENATE(P$4,P$5,P$6,P$7),'SHIP CURVES'!$A$9:$Z$9,0))-INDEX(ship_curves,MATCH(L174,'SHIP CURVES'!$A$9:$A$316,0),MATCH(CONCATENATE(P$4,N$6,P$6,P$7),'SHIP CURVES'!$A$9:$Z$9,0)))-(INDEX(terminal_curves,MATCH(L174,'TERMINAL CURVES'!$A$4:$A$313,0),MATCH(P$5,'TERMINAL CURVES'!$A$4:$N$4,0))-INDEX(terminal_curves,MATCH(L174,'TERMINAL CURVES'!$A$4:$A$313,0),MATCH(N$6,'TERMINAL CURVES'!$A$4:$N$4,0)))*IF(F174=0,0,H174/F174)))*-F174</f>
        <v>0</v>
      </c>
      <c r="Q174" s="353" t="n">
        <f aca="false">SUM(N174:P174)</f>
        <v>0</v>
      </c>
      <c r="R174" s="357" t="n">
        <f aca="false">(-H174/((HLOOKUP(P$5,port_specs,2,0)/(365.25))*(L175-L174)))*(INDEX(fixed_capacity_charge,MATCH(L174,PORTS!$H$11:$H$317,0),MATCH(P$5,PORTS!$H$11:$N$11,0))+INDEX(variable_om_charge,MATCH(L174,PORTS!$H$318:$H$625,0),MATCH(P$5,PORTS!$H$318:$N$318,0)))</f>
        <v>-0</v>
      </c>
      <c r="S174" s="343" t="n">
        <f aca="false">+R174+Q174</f>
        <v>0</v>
      </c>
      <c r="T174" s="355" t="n">
        <f aca="false">+S174+M174</f>
        <v>0</v>
      </c>
      <c r="V174" s="346" t="n">
        <f aca="false">+DATE(YEAR(V173),MONTH(V173)+1,1)</f>
        <v>41456</v>
      </c>
      <c r="W174" s="327" t="n">
        <f aca="false">+Y174/(1-HLOOKUP(X$6,SHIPS,7,0)*INDEX(LADEN_VOYAGE_DAYS,MATCH(CONCATENATE(X$4,X$5),LADEN_VOYAGE_ROUTES,0),MATCH(X$6,LADEN_VOYAGE_SHIPS,0)))</f>
        <v>0</v>
      </c>
      <c r="X174" s="347" t="n">
        <f aca="false">+Y174-W174</f>
        <v>0</v>
      </c>
      <c r="Y174" s="348" t="n">
        <f aca="false">+IF(AND(X$8&lt;=V174,X$9&gt;=V174),+MIN($B174-SUMIF($H$17:X$17,Y$17,$H174:X174),((INDEX(ROUTE_PER_DAY_BY_SHIP,MATCH(CONCATENATE(X$4,X$5,X$7),ROUTE_PER_DAY_ROUTES,0),MATCH(X$6,ROUTE_PER_DAY_SHIPS,0))*(V175-V174))-(INDEX(ROUTE_PER_DAY_BY_SHIP,MATCH(CONCATENATE(X$4,X$5,X$7),ROUTE_PER_DAY_ROUTES,0),MATCH(X$6,ROUTE_PER_DAY_SHIPS,0))*(V175-V174))*HLOOKUP(X$6,SHIPS,7,0)*INDEX(LADEN_VOYAGE_DAYS,MATCH(CONCATENATE(X$4,X$5,X$7),LADEN_VOYAGE_ROUTES,0),MATCH(X$6,LADEN_VOYAGE_SHIPS,0)))),0)</f>
        <v>0</v>
      </c>
      <c r="Z174" s="349" t="n">
        <f aca="false">-(Y174)*HLOOKUP(X$5,TERMINAL_CHARGES,3,0)</f>
        <v>-0</v>
      </c>
      <c r="AA174" s="327" t="n">
        <f aca="false">+Y174+Z174</f>
        <v>0</v>
      </c>
      <c r="AB174" s="333"/>
      <c r="AC174" s="346" t="n">
        <f aca="false">+DATE(YEAR(AC173),MONTH(AC173)+1,1)</f>
        <v>41456</v>
      </c>
      <c r="AD174" s="343" t="n">
        <f aca="false">+AA174*(VLOOKUP(AC174,CURVECALC!$C$6:$J$312,4,0)+AE$5)</f>
        <v>0</v>
      </c>
      <c r="AE174" s="350" t="n">
        <f aca="false">-W174*INDEX(ship_curves,MATCH(AC174,'SHIP CURVES'!$A$9:$A$316,0),MATCH(CONCATENATE(AG$4,AG$5,AG$6,AG$7),'SHIP CURVES'!$A$9:$AZ$9,0))</f>
        <v>-0</v>
      </c>
      <c r="AF174" s="351" t="n">
        <f aca="false">-Y174*INDEX(port_processing_fee,MATCH(AC174,PORTS!$H$626:$H$933,0),MATCH(AG$5,PORTS!$H$626:$Z$626,0))</f>
        <v>-0</v>
      </c>
      <c r="AG174" s="352" t="n">
        <f aca="false">(((VLOOKUP(AC174,curvecalc,4,0))*IF(W174=0,0,AA174/W174)-INDEX(ship_curves,MATCH(AC174,'SHIP CURVES'!$A$9:$A$316,0),MATCH(CONCATENATE(AG$4,AG$5,AG$6,AG$7),'SHIP CURVES'!$A$9:$Z$9,0))-INDEX(terminal_curves,MATCH(AC174,'TERMINAL CURVES'!$A$4:$A$313,0),MATCH(AG$5,'TERMINAL CURVES'!$A$4:$N$4,0))*IF(W174=0,0,Y174/W174))-(AE$8)*((AE$7-$N$5)-(INDEX(ship_curves,MATCH(AC174,'SHIP CURVES'!$A$9:$A$316,0),MATCH(CONCATENATE(AG$4,AG$5,AG$6,AG$7),'SHIP CURVES'!$A$9:$Z$9,0))-INDEX(ship_curves,MATCH(AC174,'SHIP CURVES'!$A$9:$A$316,0),MATCH(CONCATENATE(AG$4,AE$6,AG$6,AG$7),'SHIP CURVES'!$A$9:$Z$9,0)))-(INDEX(terminal_curves,MATCH(AC174,'TERMINAL CURVES'!$A$4:$A$313,0),MATCH(AG$5,'TERMINAL CURVES'!$A$4:$N$4,0))-INDEX(terminal_curves,MATCH(AC174,'TERMINAL CURVES'!$A$4:$A$313,0),MATCH(AE$6,'TERMINAL CURVES'!$A$4:$N$4,0)))*IF(W174=0,0,Y174/W174)))*-W174</f>
        <v>0</v>
      </c>
      <c r="AH174" s="356" t="n">
        <f aca="false">SUM(AE174:AG174)</f>
        <v>0</v>
      </c>
      <c r="AI174" s="357" t="n">
        <f aca="false">(-Y174/((HLOOKUP(AG$5,port_specs,2,0)/(365.25))*(AC175-AC174)))*(INDEX(fixed_capacity_charge,MATCH(AC174,PORTS!$H$11:$H$317,0),MATCH(AG$5,PORTS!$H$11:$N$11,0))+INDEX(variable_om_charge,MATCH(AC174,PORTS!$H$318:$H$625,0),MATCH(AG$5,PORTS!$H$318:$N$318,0)))</f>
        <v>-0</v>
      </c>
      <c r="AJ174" s="343" t="n">
        <f aca="false">+AI174+AH174</f>
        <v>0</v>
      </c>
      <c r="AK174" s="355" t="n">
        <f aca="false">+AJ174+AD174</f>
        <v>0</v>
      </c>
      <c r="AM174" s="346" t="n">
        <f aca="false">+DATE(YEAR(AM173),MONTH(AM173)+1,1)</f>
        <v>41456</v>
      </c>
      <c r="AN174" s="327" t="n">
        <f aca="false">+AP174/(1-HLOOKUP(AO$6,SHIPS,7,0)*INDEX(LADEN_VOYAGE_DAYS,MATCH(CONCATENATE(AO$4,AO$5),LADEN_VOYAGE_ROUTES,0),MATCH(AO$6,LADEN_VOYAGE_SHIPS,0)))</f>
        <v>5395761.47735991</v>
      </c>
      <c r="AO174" s="347" t="n">
        <f aca="false">+AP174-AN174</f>
        <v>-56655.4955122788</v>
      </c>
      <c r="AP174" s="348" t="n">
        <f aca="false">+IF(AND(AO$8&lt;=AM174,AO$9&gt;=AM174),+MIN($B174-SUMIF($H$17:AO$17,AP$17,$H174:AO174),((INDEX(ROUTE_PER_DAY_BY_SHIP,MATCH(CONCATENATE(AO$4,AO$5,AO$7),ROUTE_PER_DAY_ROUTES,0),MATCH(AO$6,ROUTE_PER_DAY_SHIPS,0))*(AM175-AM174))-(INDEX(ROUTE_PER_DAY_BY_SHIP,MATCH(CONCATENATE(AO$4,AO$5,AO$7),ROUTE_PER_DAY_ROUTES,0),MATCH(AO$6,ROUTE_PER_DAY_SHIPS,0))*(AM175-AM174))*HLOOKUP(AO$6,SHIPS,7,0)*INDEX(LADEN_VOYAGE_DAYS,MATCH(CONCATENATE(AO$4,AO$5,AO$7),LADEN_VOYAGE_ROUTES,0),MATCH(AO$6,LADEN_VOYAGE_SHIPS,0)))),0)</f>
        <v>5339105.98184763</v>
      </c>
      <c r="AQ174" s="349" t="n">
        <f aca="false">-(AP174)*PORTS!$I$6</f>
        <v>-133477.649546191</v>
      </c>
      <c r="AR174" s="327" t="n">
        <f aca="false">+AP174+AQ174</f>
        <v>5205628.33230144</v>
      </c>
      <c r="AS174" s="333"/>
      <c r="AT174" s="346" t="n">
        <f aca="false">+DATE(YEAR(AT173),MONTH(AT173)+1,1)</f>
        <v>41456</v>
      </c>
      <c r="AU174" s="343" t="n">
        <f aca="false">+AR174*(VLOOKUP(AT174,CURVECALC!$C$6:$J$312,4,0)+AV$5)</f>
        <v>18766290.1379467</v>
      </c>
      <c r="AV174" s="350" t="n">
        <f aca="false">-AN174*INDEX(ship_curves,MATCH(AT174,'SHIP CURVES'!$A$9:$A$316,0),MATCH(CONCATENATE(AX$4,AX$5,AX$6,AX$7),'SHIP CURVES'!$A$9:$AZ$9,0))</f>
        <v>-1816353.37917757</v>
      </c>
      <c r="AW174" s="351" t="n">
        <f aca="false">-AP174*INDEX(port_processing_fee,MATCH(AT174,PORTS!$H$626:$H$933,0),MATCH(AX$5,PORTS!$H$626:$Z$626,0))</f>
        <v>-166371.021052541</v>
      </c>
      <c r="AX174" s="352" t="n">
        <f aca="false">(((VLOOKUP(AT174,curvecalc,4,0))*IF(AN174=0,0,AR174/AN174)-INDEX(ship_curves,MATCH(AT174,'SHIP CURVES'!$A$9:$A$316,0),MATCH(CONCATENATE(AX$4,AX$5,AX$6,AX$7),'SHIP CURVES'!$A$9:$Z$9,0))-INDEX(terminal_curves,MATCH(AT174,'TERMINAL CURVES'!$A$4:$A$313,0),MATCH(AX$5,'TERMINAL CURVES'!$A$4:$N$4,0))*IF(AN174=0,0,AP174/AN174))-(AV$8)*((AV$7-$N$5)-(INDEX(ship_curves,MATCH(AT174,'SHIP CURVES'!$A$9:$A$316,0),MATCH(CONCATENATE(AX$4,AX$5,AX$6,AX$7),'SHIP CURVES'!$A$9:$Z$9,0))-INDEX(ship_curves,MATCH(AT174,'SHIP CURVES'!$A$9:$A$316,0),MATCH(CONCATENATE(AX$4,AV$6,AX$6,AX$7),'SHIP CURVES'!$A$9:$Z$9,0)))-(INDEX(terminal_curves,MATCH(AT174,'TERMINAL CURVES'!$A$4:$A$313,0),MATCH(AX$5,'TERMINAL CURVES'!$A$4:$N$4,0))-INDEX(terminal_curves,MATCH(AT174,'TERMINAL CURVES'!$A$4:$A$313,0),MATCH(AV$6,'TERMINAL CURVES'!$A$4:$N$4,0)))*IF(AN174=0,0,AP174/AN174)))*-AN174</f>
        <v>-15658286.7796856</v>
      </c>
      <c r="AY174" s="356" t="n">
        <f aca="false">SUM(AV174:AX174)</f>
        <v>-17641011.1799158</v>
      </c>
      <c r="AZ174" s="357" t="n">
        <f aca="false">(-AP174/((HLOOKUP(AX$5,port_specs,2,0)/(365.25))*(AT175-AT174)))*(INDEX(fixed_capacity_charge,MATCH(AT174,PORTS!$H$11:$H$317,0),MATCH(AX$5,PORTS!$H$11:$N$11,0))+INDEX(variable_om_charge,MATCH(AT174,PORTS!$H$318:$H$625,0),MATCH(AX$5,PORTS!$H$318:$N$318,0)))</f>
        <v>-1021166.39138492</v>
      </c>
      <c r="BA174" s="343" t="n">
        <f aca="false">+AZ174+AY174</f>
        <v>-18662177.5713007</v>
      </c>
      <c r="BB174" s="355" t="n">
        <f aca="false">+BA174+AU174</f>
        <v>104112.566646025</v>
      </c>
      <c r="BC174" s="99"/>
      <c r="BD174" s="357" t="n">
        <f aca="false">+PORTS!I168+PORTS!I476</f>
        <v>1021166.39138492</v>
      </c>
    </row>
    <row r="175" customFormat="false" ht="12.75" hidden="false" customHeight="false" outlineLevel="0" collapsed="false">
      <c r="A175" s="346" t="n">
        <f aca="false">+DATE(YEAR(A174),MONTH(A174)+1,1)</f>
        <v>41487</v>
      </c>
      <c r="B175" s="327" t="n">
        <f aca="false">+IF(AND($A175&gt;=$C$8,$A175&lt;=$C$9),1,0)*PORTS!$I$5/(365.25)*(A176-A175)</f>
        <v>5339105.98184763</v>
      </c>
      <c r="C175" s="328" t="n">
        <f aca="false">+B175-(SUMIF($F$17:$IV$17,$H$17,$F175:$IV175))</f>
        <v>0</v>
      </c>
      <c r="D175" s="0" t="n">
        <f aca="false">+YEAR(E175)</f>
        <v>2013</v>
      </c>
      <c r="E175" s="346" t="n">
        <f aca="false">+DATE(YEAR(E174),MONTH(E174)+1,1)</f>
        <v>41487</v>
      </c>
      <c r="F175" s="327" t="n">
        <f aca="false">+IF(AND(G$8&lt;=E175,G$9&gt;=E175),INDEX(ROUTE_PER_DAY_BY_SHIP,MATCH(CONCATENATE(G$4,G$5,G$7),ROUTE_PER_DAY_ROUTES,0),MATCH(G$6,ROUTE_PER_DAY_SHIPS,0))*(E176-E175),0)</f>
        <v>0</v>
      </c>
      <c r="G175" s="347" t="n">
        <f aca="false">-F175*HLOOKUP(G$6,SHIPS,7,0)*INDEX(LADEN_VOYAGE_DAYS,MATCH(CONCATENATE(G$4,G$5,G$7),LADEN_VOYAGE_ROUTES,0),MATCH(G$6,LADEN_VOYAGE_SHIPS,0))</f>
        <v>-0</v>
      </c>
      <c r="H175" s="348" t="n">
        <f aca="false">SUM(F175:G175)</f>
        <v>0</v>
      </c>
      <c r="I175" s="349" t="n">
        <f aca="false">-(H175)*HLOOKUP(G$5,TERMINAL_CHARGES,3,0)</f>
        <v>-0</v>
      </c>
      <c r="J175" s="327" t="n">
        <f aca="false">+H175+I175</f>
        <v>0</v>
      </c>
      <c r="K175" s="333"/>
      <c r="L175" s="346" t="n">
        <f aca="false">+DATE(YEAR(L174),MONTH(L174)+1,1)</f>
        <v>41487</v>
      </c>
      <c r="M175" s="334" t="n">
        <f aca="false">+J175*(VLOOKUP(L175,CURVECALC!$C$6:$J$312,4,0)+N$5)</f>
        <v>0</v>
      </c>
      <c r="N175" s="350" t="n">
        <f aca="false">-F175*INDEX(ship_curves,MATCH(L175,'SHIP CURVES'!$A$9:$A$316,0),MATCH(CONCATENATE(P$4,P$5,P$6,P$7),'SHIP CURVES'!$A$9:$AZ$9,0))</f>
        <v>-0</v>
      </c>
      <c r="O175" s="351" t="n">
        <f aca="false">-H175*INDEX(port_processing_fee,MATCH(L175,PORTS!$H$626:$H$933,0),MATCH(P$5,PORTS!$H$626:$Z$626,0))</f>
        <v>-0</v>
      </c>
      <c r="P175" s="352" t="n">
        <f aca="false">(((VLOOKUP(L175,curvecalc,4,0))*IF(F175=0,0,J175/F175)-INDEX(ship_curves,MATCH(L175,'SHIP CURVES'!$A$9:$A$316,0),MATCH(CONCATENATE(P$4,P$5,P$6,P$7),'SHIP CURVES'!$A$9:$Z$9,0))-INDEX(terminal_curves,MATCH(L175,'TERMINAL CURVES'!$A$4:$A$313,0),MATCH(P$5,'TERMINAL CURVES'!$A$4:$N$4,0))*IF(F175=0,0,H175/F175))-(N$8)*((N$7-$N$5)-(INDEX(ship_curves,MATCH(L175,'SHIP CURVES'!$A$9:$A$316,0),MATCH(CONCATENATE(P$4,P$5,P$6,P$7),'SHIP CURVES'!$A$9:$Z$9,0))-INDEX(ship_curves,MATCH(L175,'SHIP CURVES'!$A$9:$A$316,0),MATCH(CONCATENATE(P$4,N$6,P$6,P$7),'SHIP CURVES'!$A$9:$Z$9,0)))-(INDEX(terminal_curves,MATCH(L175,'TERMINAL CURVES'!$A$4:$A$313,0),MATCH(P$5,'TERMINAL CURVES'!$A$4:$N$4,0))-INDEX(terminal_curves,MATCH(L175,'TERMINAL CURVES'!$A$4:$A$313,0),MATCH(N$6,'TERMINAL CURVES'!$A$4:$N$4,0)))*IF(F175=0,0,H175/F175)))*-F175</f>
        <v>0</v>
      </c>
      <c r="Q175" s="353" t="n">
        <f aca="false">SUM(N175:P175)</f>
        <v>0</v>
      </c>
      <c r="R175" s="357" t="n">
        <f aca="false">(-H175/((HLOOKUP(P$5,port_specs,2,0)/(365.25))*(L176-L175)))*(INDEX(fixed_capacity_charge,MATCH(L175,PORTS!$H$11:$H$317,0),MATCH(P$5,PORTS!$H$11:$N$11,0))+INDEX(variable_om_charge,MATCH(L175,PORTS!$H$318:$H$625,0),MATCH(P$5,PORTS!$H$318:$N$318,0)))</f>
        <v>-0</v>
      </c>
      <c r="S175" s="343" t="n">
        <f aca="false">+R175+Q175</f>
        <v>0</v>
      </c>
      <c r="T175" s="355" t="n">
        <f aca="false">+S175+M175</f>
        <v>0</v>
      </c>
      <c r="V175" s="346" t="n">
        <f aca="false">+DATE(YEAR(V174),MONTH(V174)+1,1)</f>
        <v>41487</v>
      </c>
      <c r="W175" s="327" t="n">
        <f aca="false">+Y175/(1-HLOOKUP(X$6,SHIPS,7,0)*INDEX(LADEN_VOYAGE_DAYS,MATCH(CONCATENATE(X$4,X$5),LADEN_VOYAGE_ROUTES,0),MATCH(X$6,LADEN_VOYAGE_SHIPS,0)))</f>
        <v>0</v>
      </c>
      <c r="X175" s="347" t="n">
        <f aca="false">+Y175-W175</f>
        <v>0</v>
      </c>
      <c r="Y175" s="348" t="n">
        <f aca="false">+IF(AND(X$8&lt;=V175,X$9&gt;=V175),+MIN($B175-SUMIF($H$17:X$17,Y$17,$H175:X175),((INDEX(ROUTE_PER_DAY_BY_SHIP,MATCH(CONCATENATE(X$4,X$5,X$7),ROUTE_PER_DAY_ROUTES,0),MATCH(X$6,ROUTE_PER_DAY_SHIPS,0))*(V176-V175))-(INDEX(ROUTE_PER_DAY_BY_SHIP,MATCH(CONCATENATE(X$4,X$5,X$7),ROUTE_PER_DAY_ROUTES,0),MATCH(X$6,ROUTE_PER_DAY_SHIPS,0))*(V176-V175))*HLOOKUP(X$6,SHIPS,7,0)*INDEX(LADEN_VOYAGE_DAYS,MATCH(CONCATENATE(X$4,X$5,X$7),LADEN_VOYAGE_ROUTES,0),MATCH(X$6,LADEN_VOYAGE_SHIPS,0)))),0)</f>
        <v>0</v>
      </c>
      <c r="Z175" s="349" t="n">
        <f aca="false">-(Y175)*HLOOKUP(X$5,TERMINAL_CHARGES,3,0)</f>
        <v>-0</v>
      </c>
      <c r="AA175" s="327" t="n">
        <f aca="false">+Y175+Z175</f>
        <v>0</v>
      </c>
      <c r="AB175" s="333"/>
      <c r="AC175" s="346" t="n">
        <f aca="false">+DATE(YEAR(AC174),MONTH(AC174)+1,1)</f>
        <v>41487</v>
      </c>
      <c r="AD175" s="343" t="n">
        <f aca="false">+AA175*(VLOOKUP(AC175,CURVECALC!$C$6:$J$312,4,0)+AE$5)</f>
        <v>0</v>
      </c>
      <c r="AE175" s="350" t="n">
        <f aca="false">-W175*INDEX(ship_curves,MATCH(AC175,'SHIP CURVES'!$A$9:$A$316,0),MATCH(CONCATENATE(AG$4,AG$5,AG$6,AG$7),'SHIP CURVES'!$A$9:$AZ$9,0))</f>
        <v>-0</v>
      </c>
      <c r="AF175" s="351" t="n">
        <f aca="false">-Y175*INDEX(port_processing_fee,MATCH(AC175,PORTS!$H$626:$H$933,0),MATCH(AG$5,PORTS!$H$626:$Z$626,0))</f>
        <v>-0</v>
      </c>
      <c r="AG175" s="352" t="n">
        <f aca="false">(((VLOOKUP(AC175,curvecalc,4,0))*IF(W175=0,0,AA175/W175)-INDEX(ship_curves,MATCH(AC175,'SHIP CURVES'!$A$9:$A$316,0),MATCH(CONCATENATE(AG$4,AG$5,AG$6,AG$7),'SHIP CURVES'!$A$9:$Z$9,0))-INDEX(terminal_curves,MATCH(AC175,'TERMINAL CURVES'!$A$4:$A$313,0),MATCH(AG$5,'TERMINAL CURVES'!$A$4:$N$4,0))*IF(W175=0,0,Y175/W175))-(AE$8)*((AE$7-$N$5)-(INDEX(ship_curves,MATCH(AC175,'SHIP CURVES'!$A$9:$A$316,0),MATCH(CONCATENATE(AG$4,AG$5,AG$6,AG$7),'SHIP CURVES'!$A$9:$Z$9,0))-INDEX(ship_curves,MATCH(AC175,'SHIP CURVES'!$A$9:$A$316,0),MATCH(CONCATENATE(AG$4,AE$6,AG$6,AG$7),'SHIP CURVES'!$A$9:$Z$9,0)))-(INDEX(terminal_curves,MATCH(AC175,'TERMINAL CURVES'!$A$4:$A$313,0),MATCH(AG$5,'TERMINAL CURVES'!$A$4:$N$4,0))-INDEX(terminal_curves,MATCH(AC175,'TERMINAL CURVES'!$A$4:$A$313,0),MATCH(AE$6,'TERMINAL CURVES'!$A$4:$N$4,0)))*IF(W175=0,0,Y175/W175)))*-W175</f>
        <v>0</v>
      </c>
      <c r="AH175" s="356" t="n">
        <f aca="false">SUM(AE175:AG175)</f>
        <v>0</v>
      </c>
      <c r="AI175" s="357" t="n">
        <f aca="false">(-Y175/((HLOOKUP(AG$5,port_specs,2,0)/(365.25))*(AC176-AC175)))*(INDEX(fixed_capacity_charge,MATCH(AC175,PORTS!$H$11:$H$317,0),MATCH(AG$5,PORTS!$H$11:$N$11,0))+INDEX(variable_om_charge,MATCH(AC175,PORTS!$H$318:$H$625,0),MATCH(AG$5,PORTS!$H$318:$N$318,0)))</f>
        <v>-0</v>
      </c>
      <c r="AJ175" s="343" t="n">
        <f aca="false">+AI175+AH175</f>
        <v>0</v>
      </c>
      <c r="AK175" s="355" t="n">
        <f aca="false">+AJ175+AD175</f>
        <v>0</v>
      </c>
      <c r="AM175" s="346" t="n">
        <f aca="false">+DATE(YEAR(AM174),MONTH(AM174)+1,1)</f>
        <v>41487</v>
      </c>
      <c r="AN175" s="327" t="n">
        <f aca="false">+AP175/(1-HLOOKUP(AO$6,SHIPS,7,0)*INDEX(LADEN_VOYAGE_DAYS,MATCH(CONCATENATE(AO$4,AO$5),LADEN_VOYAGE_ROUTES,0),MATCH(AO$6,LADEN_VOYAGE_SHIPS,0)))</f>
        <v>5395761.47735991</v>
      </c>
      <c r="AO175" s="347" t="n">
        <f aca="false">+AP175-AN175</f>
        <v>-56655.4955122788</v>
      </c>
      <c r="AP175" s="348" t="n">
        <f aca="false">+IF(AND(AO$8&lt;=AM175,AO$9&gt;=AM175),+MIN($B175-SUMIF($H$17:AO$17,AP$17,$H175:AO175),((INDEX(ROUTE_PER_DAY_BY_SHIP,MATCH(CONCATENATE(AO$4,AO$5,AO$7),ROUTE_PER_DAY_ROUTES,0),MATCH(AO$6,ROUTE_PER_DAY_SHIPS,0))*(AM176-AM175))-(INDEX(ROUTE_PER_DAY_BY_SHIP,MATCH(CONCATENATE(AO$4,AO$5,AO$7),ROUTE_PER_DAY_ROUTES,0),MATCH(AO$6,ROUTE_PER_DAY_SHIPS,0))*(AM176-AM175))*HLOOKUP(AO$6,SHIPS,7,0)*INDEX(LADEN_VOYAGE_DAYS,MATCH(CONCATENATE(AO$4,AO$5,AO$7),LADEN_VOYAGE_ROUTES,0),MATCH(AO$6,LADEN_VOYAGE_SHIPS,0)))),0)</f>
        <v>5339105.98184763</v>
      </c>
      <c r="AQ175" s="349" t="n">
        <f aca="false">-(AP175)*PORTS!$I$6</f>
        <v>-133477.649546191</v>
      </c>
      <c r="AR175" s="327" t="n">
        <f aca="false">+AP175+AQ175</f>
        <v>5205628.33230144</v>
      </c>
      <c r="AS175" s="333"/>
      <c r="AT175" s="346" t="n">
        <f aca="false">+DATE(YEAR(AT174),MONTH(AT174)+1,1)</f>
        <v>41487</v>
      </c>
      <c r="AU175" s="343" t="n">
        <f aca="false">+AR175*(VLOOKUP(AT175,CURVECALC!$C$6:$J$312,4,0)+AV$5)</f>
        <v>19078627.8378848</v>
      </c>
      <c r="AV175" s="350" t="n">
        <f aca="false">-AN175*INDEX(ship_curves,MATCH(AT175,'SHIP CURVES'!$A$9:$A$316,0),MATCH(CONCATENATE(AX$4,AX$5,AX$6,AX$7),'SHIP CURVES'!$A$9:$AZ$9,0))</f>
        <v>-1816941.76595291</v>
      </c>
      <c r="AW175" s="351" t="n">
        <f aca="false">-AP175*INDEX(port_processing_fee,MATCH(AT175,PORTS!$H$626:$H$933,0),MATCH(AX$5,PORTS!$H$626:$Z$626,0))</f>
        <v>-166544.324199471</v>
      </c>
      <c r="AX175" s="352" t="n">
        <f aca="false">(((VLOOKUP(AT175,curvecalc,4,0))*IF(AN175=0,0,AR175/AN175)-INDEX(ship_curves,MATCH(AT175,'SHIP CURVES'!$A$9:$A$316,0),MATCH(CONCATENATE(AX$4,AX$5,AX$6,AX$7),'SHIP CURVES'!$A$9:$Z$9,0))-INDEX(terminal_curves,MATCH(AT175,'TERMINAL CURVES'!$A$4:$A$313,0),MATCH(AX$5,'TERMINAL CURVES'!$A$4:$N$4,0))*IF(AN175=0,0,AP175/AN175))-(AV$8)*((AV$7-$N$5)-(INDEX(ship_curves,MATCH(AT175,'SHIP CURVES'!$A$9:$A$316,0),MATCH(CONCATENATE(AX$4,AX$5,AX$6,AX$7),'SHIP CURVES'!$A$9:$Z$9,0))-INDEX(ship_curves,MATCH(AT175,'SHIP CURVES'!$A$9:$A$316,0),MATCH(CONCATENATE(AX$4,AV$6,AX$6,AX$7),'SHIP CURVES'!$A$9:$Z$9,0)))-(INDEX(terminal_curves,MATCH(AT175,'TERMINAL CURVES'!$A$4:$A$313,0),MATCH(AX$5,'TERMINAL CURVES'!$A$4:$N$4,0))-INDEX(terminal_curves,MATCH(AT175,'TERMINAL CURVES'!$A$4:$A$313,0),MATCH(AV$6,'TERMINAL CURVES'!$A$4:$N$4,0)))*IF(AN175=0,0,AP175/AN175)))*-AN175</f>
        <v>-15969304.4773885</v>
      </c>
      <c r="AY175" s="356" t="n">
        <f aca="false">SUM(AV175:AX175)</f>
        <v>-17952790.5675408</v>
      </c>
      <c r="AZ175" s="357" t="n">
        <f aca="false">(-AP175/((HLOOKUP(AX$5,port_specs,2,0)/(365.25))*(AT176-AT175)))*(INDEX(fixed_capacity_charge,MATCH(AT175,PORTS!$H$11:$H$317,0),MATCH(AX$5,PORTS!$H$11:$N$11,0))+INDEX(variable_om_charge,MATCH(AT175,PORTS!$H$318:$H$625,0),MATCH(AX$5,PORTS!$H$318:$N$318,0)))</f>
        <v>-1021724.70369792</v>
      </c>
      <c r="BA175" s="343" t="n">
        <f aca="false">+AZ175+AY175</f>
        <v>-18974515.2712388</v>
      </c>
      <c r="BB175" s="355" t="n">
        <f aca="false">+BA175+AU175</f>
        <v>104112.566646028</v>
      </c>
      <c r="BC175" s="99"/>
      <c r="BD175" s="357" t="n">
        <f aca="false">+PORTS!I169+PORTS!I477</f>
        <v>1021724.70369792</v>
      </c>
    </row>
    <row r="176" customFormat="false" ht="12.75" hidden="false" customHeight="false" outlineLevel="0" collapsed="false">
      <c r="A176" s="346" t="n">
        <f aca="false">+DATE(YEAR(A175),MONTH(A175)+1,1)</f>
        <v>41518</v>
      </c>
      <c r="B176" s="327" t="n">
        <f aca="false">+IF(AND($A176&gt;=$C$8,$A176&lt;=$C$9),1,0)*PORTS!$I$5/(365.25)*(A177-A176)</f>
        <v>5166876.75662674</v>
      </c>
      <c r="C176" s="328" t="n">
        <f aca="false">+B176-(SUMIF($F$17:$IV$17,$H$17,$F176:$IV176))</f>
        <v>0</v>
      </c>
      <c r="D176" s="0" t="n">
        <f aca="false">+YEAR(E176)</f>
        <v>2013</v>
      </c>
      <c r="E176" s="346" t="n">
        <f aca="false">+DATE(YEAR(E175),MONTH(E175)+1,1)</f>
        <v>41518</v>
      </c>
      <c r="F176" s="327" t="n">
        <f aca="false">+IF(AND(G$8&lt;=E176,G$9&gt;=E176),INDEX(ROUTE_PER_DAY_BY_SHIP,MATCH(CONCATENATE(G$4,G$5,G$7),ROUTE_PER_DAY_ROUTES,0),MATCH(G$6,ROUTE_PER_DAY_SHIPS,0))*(E177-E176),0)</f>
        <v>0</v>
      </c>
      <c r="G176" s="347" t="n">
        <f aca="false">-F176*HLOOKUP(G$6,SHIPS,7,0)*INDEX(LADEN_VOYAGE_DAYS,MATCH(CONCATENATE(G$4,G$5,G$7),LADEN_VOYAGE_ROUTES,0),MATCH(G$6,LADEN_VOYAGE_SHIPS,0))</f>
        <v>-0</v>
      </c>
      <c r="H176" s="348" t="n">
        <f aca="false">SUM(F176:G176)</f>
        <v>0</v>
      </c>
      <c r="I176" s="349" t="n">
        <f aca="false">-(H176)*HLOOKUP(G$5,TERMINAL_CHARGES,3,0)</f>
        <v>-0</v>
      </c>
      <c r="J176" s="327" t="n">
        <f aca="false">+H176+I176</f>
        <v>0</v>
      </c>
      <c r="K176" s="333"/>
      <c r="L176" s="346" t="n">
        <f aca="false">+DATE(YEAR(L175),MONTH(L175)+1,1)</f>
        <v>41518</v>
      </c>
      <c r="M176" s="334" t="n">
        <f aca="false">+J176*(VLOOKUP(L176,CURVECALC!$C$6:$J$312,4,0)+N$5)</f>
        <v>0</v>
      </c>
      <c r="N176" s="350" t="n">
        <f aca="false">-F176*INDEX(ship_curves,MATCH(L176,'SHIP CURVES'!$A$9:$A$316,0),MATCH(CONCATENATE(P$4,P$5,P$6,P$7),'SHIP CURVES'!$A$9:$AZ$9,0))</f>
        <v>-0</v>
      </c>
      <c r="O176" s="351" t="n">
        <f aca="false">-H176*INDEX(port_processing_fee,MATCH(L176,PORTS!$H$626:$H$933,0),MATCH(P$5,PORTS!$H$626:$Z$626,0))</f>
        <v>-0</v>
      </c>
      <c r="P176" s="352" t="n">
        <f aca="false">(((VLOOKUP(L176,curvecalc,4,0))*IF(F176=0,0,J176/F176)-INDEX(ship_curves,MATCH(L176,'SHIP CURVES'!$A$9:$A$316,0),MATCH(CONCATENATE(P$4,P$5,P$6,P$7),'SHIP CURVES'!$A$9:$Z$9,0))-INDEX(terminal_curves,MATCH(L176,'TERMINAL CURVES'!$A$4:$A$313,0),MATCH(P$5,'TERMINAL CURVES'!$A$4:$N$4,0))*IF(F176=0,0,H176/F176))-(N$8)*((N$7-$N$5)-(INDEX(ship_curves,MATCH(L176,'SHIP CURVES'!$A$9:$A$316,0),MATCH(CONCATENATE(P$4,P$5,P$6,P$7),'SHIP CURVES'!$A$9:$Z$9,0))-INDEX(ship_curves,MATCH(L176,'SHIP CURVES'!$A$9:$A$316,0),MATCH(CONCATENATE(P$4,N$6,P$6,P$7),'SHIP CURVES'!$A$9:$Z$9,0)))-(INDEX(terminal_curves,MATCH(L176,'TERMINAL CURVES'!$A$4:$A$313,0),MATCH(P$5,'TERMINAL CURVES'!$A$4:$N$4,0))-INDEX(terminal_curves,MATCH(L176,'TERMINAL CURVES'!$A$4:$A$313,0),MATCH(N$6,'TERMINAL CURVES'!$A$4:$N$4,0)))*IF(F176=0,0,H176/F176)))*-F176</f>
        <v>0</v>
      </c>
      <c r="Q176" s="353" t="n">
        <f aca="false">SUM(N176:P176)</f>
        <v>0</v>
      </c>
      <c r="R176" s="357" t="n">
        <f aca="false">(-H176/((HLOOKUP(P$5,port_specs,2,0)/(365.25))*(L177-L176)))*(INDEX(fixed_capacity_charge,MATCH(L176,PORTS!$H$11:$H$317,0),MATCH(P$5,PORTS!$H$11:$N$11,0))+INDEX(variable_om_charge,MATCH(L176,PORTS!$H$318:$H$625,0),MATCH(P$5,PORTS!$H$318:$N$318,0)))</f>
        <v>-0</v>
      </c>
      <c r="S176" s="343" t="n">
        <f aca="false">+R176+Q176</f>
        <v>0</v>
      </c>
      <c r="T176" s="355" t="n">
        <f aca="false">+S176+M176</f>
        <v>0</v>
      </c>
      <c r="V176" s="346" t="n">
        <f aca="false">+DATE(YEAR(V175),MONTH(V175)+1,1)</f>
        <v>41518</v>
      </c>
      <c r="W176" s="327" t="n">
        <f aca="false">+Y176/(1-HLOOKUP(X$6,SHIPS,7,0)*INDEX(LADEN_VOYAGE_DAYS,MATCH(CONCATENATE(X$4,X$5),LADEN_VOYAGE_ROUTES,0),MATCH(X$6,LADEN_VOYAGE_SHIPS,0)))</f>
        <v>0</v>
      </c>
      <c r="X176" s="347" t="n">
        <f aca="false">+Y176-W176</f>
        <v>0</v>
      </c>
      <c r="Y176" s="348" t="n">
        <f aca="false">+IF(AND(X$8&lt;=V176,X$9&gt;=V176),+MIN($B176-SUMIF($H$17:X$17,Y$17,$H176:X176),((INDEX(ROUTE_PER_DAY_BY_SHIP,MATCH(CONCATENATE(X$4,X$5,X$7),ROUTE_PER_DAY_ROUTES,0),MATCH(X$6,ROUTE_PER_DAY_SHIPS,0))*(V177-V176))-(INDEX(ROUTE_PER_DAY_BY_SHIP,MATCH(CONCATENATE(X$4,X$5,X$7),ROUTE_PER_DAY_ROUTES,0),MATCH(X$6,ROUTE_PER_DAY_SHIPS,0))*(V177-V176))*HLOOKUP(X$6,SHIPS,7,0)*INDEX(LADEN_VOYAGE_DAYS,MATCH(CONCATENATE(X$4,X$5,X$7),LADEN_VOYAGE_ROUTES,0),MATCH(X$6,LADEN_VOYAGE_SHIPS,0)))),0)</f>
        <v>0</v>
      </c>
      <c r="Z176" s="349" t="n">
        <f aca="false">-(Y176)*HLOOKUP(X$5,TERMINAL_CHARGES,3,0)</f>
        <v>-0</v>
      </c>
      <c r="AA176" s="327" t="n">
        <f aca="false">+Y176+Z176</f>
        <v>0</v>
      </c>
      <c r="AB176" s="333"/>
      <c r="AC176" s="346" t="n">
        <f aca="false">+DATE(YEAR(AC175),MONTH(AC175)+1,1)</f>
        <v>41518</v>
      </c>
      <c r="AD176" s="343" t="n">
        <f aca="false">+AA176*(VLOOKUP(AC176,CURVECALC!$C$6:$J$312,4,0)+AE$5)</f>
        <v>0</v>
      </c>
      <c r="AE176" s="350" t="n">
        <f aca="false">-W176*INDEX(ship_curves,MATCH(AC176,'SHIP CURVES'!$A$9:$A$316,0),MATCH(CONCATENATE(AG$4,AG$5,AG$6,AG$7),'SHIP CURVES'!$A$9:$AZ$9,0))</f>
        <v>-0</v>
      </c>
      <c r="AF176" s="351" t="n">
        <f aca="false">-Y176*INDEX(port_processing_fee,MATCH(AC176,PORTS!$H$626:$H$933,0),MATCH(AG$5,PORTS!$H$626:$Z$626,0))</f>
        <v>-0</v>
      </c>
      <c r="AG176" s="352" t="n">
        <f aca="false">(((VLOOKUP(AC176,curvecalc,4,0))*IF(W176=0,0,AA176/W176)-INDEX(ship_curves,MATCH(AC176,'SHIP CURVES'!$A$9:$A$316,0),MATCH(CONCATENATE(AG$4,AG$5,AG$6,AG$7),'SHIP CURVES'!$A$9:$Z$9,0))-INDEX(terminal_curves,MATCH(AC176,'TERMINAL CURVES'!$A$4:$A$313,0),MATCH(AG$5,'TERMINAL CURVES'!$A$4:$N$4,0))*IF(W176=0,0,Y176/W176))-(AE$8)*((AE$7-$N$5)-(INDEX(ship_curves,MATCH(AC176,'SHIP CURVES'!$A$9:$A$316,0),MATCH(CONCATENATE(AG$4,AG$5,AG$6,AG$7),'SHIP CURVES'!$A$9:$Z$9,0))-INDEX(ship_curves,MATCH(AC176,'SHIP CURVES'!$A$9:$A$316,0),MATCH(CONCATENATE(AG$4,AE$6,AG$6,AG$7),'SHIP CURVES'!$A$9:$Z$9,0)))-(INDEX(terminal_curves,MATCH(AC176,'TERMINAL CURVES'!$A$4:$A$313,0),MATCH(AG$5,'TERMINAL CURVES'!$A$4:$N$4,0))-INDEX(terminal_curves,MATCH(AC176,'TERMINAL CURVES'!$A$4:$A$313,0),MATCH(AE$6,'TERMINAL CURVES'!$A$4:$N$4,0)))*IF(W176=0,0,Y176/W176)))*-W176</f>
        <v>0</v>
      </c>
      <c r="AH176" s="356" t="n">
        <f aca="false">SUM(AE176:AG176)</f>
        <v>0</v>
      </c>
      <c r="AI176" s="357" t="n">
        <f aca="false">(-Y176/((HLOOKUP(AG$5,port_specs,2,0)/(365.25))*(AC177-AC176)))*(INDEX(fixed_capacity_charge,MATCH(AC176,PORTS!$H$11:$H$317,0),MATCH(AG$5,PORTS!$H$11:$N$11,0))+INDEX(variable_om_charge,MATCH(AC176,PORTS!$H$318:$H$625,0),MATCH(AG$5,PORTS!$H$318:$N$318,0)))</f>
        <v>-0</v>
      </c>
      <c r="AJ176" s="343" t="n">
        <f aca="false">+AI176+AH176</f>
        <v>0</v>
      </c>
      <c r="AK176" s="355" t="n">
        <f aca="false">+AJ176+AD176</f>
        <v>0</v>
      </c>
      <c r="AM176" s="346" t="n">
        <f aca="false">+DATE(YEAR(AM175),MONTH(AM175)+1,1)</f>
        <v>41518</v>
      </c>
      <c r="AN176" s="327" t="n">
        <f aca="false">+AP176/(1-HLOOKUP(AO$6,SHIPS,7,0)*INDEX(LADEN_VOYAGE_DAYS,MATCH(CONCATENATE(AO$4,AO$5),LADEN_VOYAGE_ROUTES,0),MATCH(AO$6,LADEN_VOYAGE_SHIPS,0)))</f>
        <v>5221704.65550959</v>
      </c>
      <c r="AO176" s="347" t="n">
        <f aca="false">+AP176-AN176</f>
        <v>-54827.8988828501</v>
      </c>
      <c r="AP176" s="348" t="n">
        <f aca="false">+IF(AND(AO$8&lt;=AM176,AO$9&gt;=AM176),+MIN($B176-SUMIF($H$17:AO$17,AP$17,$H176:AO176),((INDEX(ROUTE_PER_DAY_BY_SHIP,MATCH(CONCATENATE(AO$4,AO$5,AO$7),ROUTE_PER_DAY_ROUTES,0),MATCH(AO$6,ROUTE_PER_DAY_SHIPS,0))*(AM177-AM176))-(INDEX(ROUTE_PER_DAY_BY_SHIP,MATCH(CONCATENATE(AO$4,AO$5,AO$7),ROUTE_PER_DAY_ROUTES,0),MATCH(AO$6,ROUTE_PER_DAY_SHIPS,0))*(AM177-AM176))*HLOOKUP(AO$6,SHIPS,7,0)*INDEX(LADEN_VOYAGE_DAYS,MATCH(CONCATENATE(AO$4,AO$5,AO$7),LADEN_VOYAGE_ROUTES,0),MATCH(AO$6,LADEN_VOYAGE_SHIPS,0)))),0)</f>
        <v>5166876.75662674</v>
      </c>
      <c r="AQ176" s="349" t="n">
        <f aca="false">-(AP176)*PORTS!$I$6</f>
        <v>-129171.918915669</v>
      </c>
      <c r="AR176" s="327" t="n">
        <f aca="false">+AP176+AQ176</f>
        <v>5037704.83771107</v>
      </c>
      <c r="AS176" s="333"/>
      <c r="AT176" s="346" t="n">
        <f aca="false">+DATE(YEAR(AT175),MONTH(AT175)+1,1)</f>
        <v>41518</v>
      </c>
      <c r="AU176" s="343" t="n">
        <f aca="false">+AR176*(VLOOKUP(AT176,CURVECALC!$C$6:$J$312,4,0)+AV$5)</f>
        <v>18362434.1334569</v>
      </c>
      <c r="AV176" s="350" t="n">
        <f aca="false">-AN176*INDEX(ship_curves,MATCH(AT176,'SHIP CURVES'!$A$9:$A$316,0),MATCH(CONCATENATE(AX$4,AX$5,AX$6,AX$7),'SHIP CURVES'!$A$9:$AZ$9,0))</f>
        <v>-1758901.33406519</v>
      </c>
      <c r="AW176" s="351" t="n">
        <f aca="false">-AP176*INDEX(port_processing_fee,MATCH(AT176,PORTS!$H$626:$H$933,0),MATCH(AX$5,PORTS!$H$626:$Z$626,0))</f>
        <v>-161339.814068237</v>
      </c>
      <c r="AX176" s="352" t="n">
        <f aca="false">(((VLOOKUP(AT176,curvecalc,4,0))*IF(AN176=0,0,AR176/AN176)-INDEX(ship_curves,MATCH(AT176,'SHIP CURVES'!$A$9:$A$316,0),MATCH(CONCATENATE(AX$4,AX$5,AX$6,AX$7),'SHIP CURVES'!$A$9:$Z$9,0))-INDEX(terminal_curves,MATCH(AT176,'TERMINAL CURVES'!$A$4:$A$313,0),MATCH(AX$5,'TERMINAL CURVES'!$A$4:$N$4,0))*IF(AN176=0,0,AP176/AN176))-(AV$8)*((AV$7-$N$5)-(INDEX(ship_curves,MATCH(AT176,'SHIP CURVES'!$A$9:$A$316,0),MATCH(CONCATENATE(AX$4,AX$5,AX$6,AX$7),'SHIP CURVES'!$A$9:$Z$9,0))-INDEX(ship_curves,MATCH(AT176,'SHIP CURVES'!$A$9:$A$316,0),MATCH(CONCATENATE(AX$4,AV$6,AX$6,AX$7),'SHIP CURVES'!$A$9:$Z$9,0)))-(INDEX(terminal_curves,MATCH(AT176,'TERMINAL CURVES'!$A$4:$A$313,0),MATCH(AX$5,'TERMINAL CURVES'!$A$4:$N$4,0))-INDEX(terminal_curves,MATCH(AT176,'TERMINAL CURVES'!$A$4:$A$313,0),MATCH(AV$6,'TERMINAL CURVES'!$A$4:$N$4,0)))*IF(AN176=0,0,AP176/AN176)))*-AN176</f>
        <v>-15319155.290983</v>
      </c>
      <c r="AY176" s="356" t="n">
        <f aca="false">SUM(AV176:AX176)</f>
        <v>-17239396.4391164</v>
      </c>
      <c r="AZ176" s="357" t="n">
        <f aca="false">(-AP176/((HLOOKUP(AX$5,port_specs,2,0)/(365.25))*(AT177-AT176)))*(INDEX(fixed_capacity_charge,MATCH(AT176,PORTS!$H$11:$H$317,0),MATCH(AX$5,PORTS!$H$11:$N$11,0))+INDEX(variable_om_charge,MATCH(AT176,PORTS!$H$318:$H$625,0),MATCH(AX$5,PORTS!$H$318:$N$318,0)))</f>
        <v>-1022283.59758624</v>
      </c>
      <c r="BA176" s="343" t="n">
        <f aca="false">+AZ176+AY176</f>
        <v>-18261680.0367026</v>
      </c>
      <c r="BB176" s="355" t="n">
        <f aca="false">+BA176+AU176</f>
        <v>100754.096754223</v>
      </c>
      <c r="BC176" s="99"/>
      <c r="BD176" s="357" t="n">
        <f aca="false">+PORTS!I170+PORTS!I478</f>
        <v>1022283.59758624</v>
      </c>
    </row>
    <row r="177" customFormat="false" ht="12.75" hidden="false" customHeight="false" outlineLevel="0" collapsed="false">
      <c r="A177" s="346" t="n">
        <f aca="false">+DATE(YEAR(A176),MONTH(A176)+1,1)</f>
        <v>41548</v>
      </c>
      <c r="B177" s="327" t="n">
        <f aca="false">+IF(AND($A177&gt;=$C$8,$A177&lt;=$C$9),1,0)*PORTS!$I$5/(365.25)*(A178-A177)</f>
        <v>5339105.98184763</v>
      </c>
      <c r="C177" s="328" t="n">
        <f aca="false">+B177-(SUMIF($F$17:$IV$17,$H$17,$F177:$IV177))</f>
        <v>0</v>
      </c>
      <c r="D177" s="0" t="n">
        <f aca="false">+YEAR(E177)</f>
        <v>2013</v>
      </c>
      <c r="E177" s="346" t="n">
        <f aca="false">+DATE(YEAR(E176),MONTH(E176)+1,1)</f>
        <v>41548</v>
      </c>
      <c r="F177" s="327" t="n">
        <f aca="false">+IF(AND(G$8&lt;=E177,G$9&gt;=E177),INDEX(ROUTE_PER_DAY_BY_SHIP,MATCH(CONCATENATE(G$4,G$5,G$7),ROUTE_PER_DAY_ROUTES,0),MATCH(G$6,ROUTE_PER_DAY_SHIPS,0))*(E178-E177),0)</f>
        <v>0</v>
      </c>
      <c r="G177" s="347" t="n">
        <f aca="false">-F177*HLOOKUP(G$6,SHIPS,7,0)*INDEX(LADEN_VOYAGE_DAYS,MATCH(CONCATENATE(G$4,G$5,G$7),LADEN_VOYAGE_ROUTES,0),MATCH(G$6,LADEN_VOYAGE_SHIPS,0))</f>
        <v>-0</v>
      </c>
      <c r="H177" s="348" t="n">
        <f aca="false">SUM(F177:G177)</f>
        <v>0</v>
      </c>
      <c r="I177" s="349" t="n">
        <f aca="false">-(H177)*HLOOKUP(G$5,TERMINAL_CHARGES,3,0)</f>
        <v>-0</v>
      </c>
      <c r="J177" s="327" t="n">
        <f aca="false">+H177+I177</f>
        <v>0</v>
      </c>
      <c r="K177" s="333"/>
      <c r="L177" s="346" t="n">
        <f aca="false">+DATE(YEAR(L176),MONTH(L176)+1,1)</f>
        <v>41548</v>
      </c>
      <c r="M177" s="334" t="n">
        <f aca="false">+J177*(VLOOKUP(L177,CURVECALC!$C$6:$J$312,4,0)+N$5)</f>
        <v>0</v>
      </c>
      <c r="N177" s="350" t="n">
        <f aca="false">-F177*INDEX(ship_curves,MATCH(L177,'SHIP CURVES'!$A$9:$A$316,0),MATCH(CONCATENATE(P$4,P$5,P$6,P$7),'SHIP CURVES'!$A$9:$AZ$9,0))</f>
        <v>-0</v>
      </c>
      <c r="O177" s="351" t="n">
        <f aca="false">-H177*INDEX(port_processing_fee,MATCH(L177,PORTS!$H$626:$H$933,0),MATCH(P$5,PORTS!$H$626:$Z$626,0))</f>
        <v>-0</v>
      </c>
      <c r="P177" s="352" t="n">
        <f aca="false">(((VLOOKUP(L177,curvecalc,4,0))*IF(F177=0,0,J177/F177)-INDEX(ship_curves,MATCH(L177,'SHIP CURVES'!$A$9:$A$316,0),MATCH(CONCATENATE(P$4,P$5,P$6,P$7),'SHIP CURVES'!$A$9:$Z$9,0))-INDEX(terminal_curves,MATCH(L177,'TERMINAL CURVES'!$A$4:$A$313,0),MATCH(P$5,'TERMINAL CURVES'!$A$4:$N$4,0))*IF(F177=0,0,H177/F177))-(N$8)*((N$7-$N$5)-(INDEX(ship_curves,MATCH(L177,'SHIP CURVES'!$A$9:$A$316,0),MATCH(CONCATENATE(P$4,P$5,P$6,P$7),'SHIP CURVES'!$A$9:$Z$9,0))-INDEX(ship_curves,MATCH(L177,'SHIP CURVES'!$A$9:$A$316,0),MATCH(CONCATENATE(P$4,N$6,P$6,P$7),'SHIP CURVES'!$A$9:$Z$9,0)))-(INDEX(terminal_curves,MATCH(L177,'TERMINAL CURVES'!$A$4:$A$313,0),MATCH(P$5,'TERMINAL CURVES'!$A$4:$N$4,0))-INDEX(terminal_curves,MATCH(L177,'TERMINAL CURVES'!$A$4:$A$313,0),MATCH(N$6,'TERMINAL CURVES'!$A$4:$N$4,0)))*IF(F177=0,0,H177/F177)))*-F177</f>
        <v>0</v>
      </c>
      <c r="Q177" s="353" t="n">
        <f aca="false">SUM(N177:P177)</f>
        <v>0</v>
      </c>
      <c r="R177" s="357" t="n">
        <f aca="false">(-H177/((HLOOKUP(P$5,port_specs,2,0)/(365.25))*(L178-L177)))*(INDEX(fixed_capacity_charge,MATCH(L177,PORTS!$H$11:$H$317,0),MATCH(P$5,PORTS!$H$11:$N$11,0))+INDEX(variable_om_charge,MATCH(L177,PORTS!$H$318:$H$625,0),MATCH(P$5,PORTS!$H$318:$N$318,0)))</f>
        <v>-0</v>
      </c>
      <c r="S177" s="343" t="n">
        <f aca="false">+R177+Q177</f>
        <v>0</v>
      </c>
      <c r="T177" s="355" t="n">
        <f aca="false">+S177+M177</f>
        <v>0</v>
      </c>
      <c r="V177" s="346" t="n">
        <f aca="false">+DATE(YEAR(V176),MONTH(V176)+1,1)</f>
        <v>41548</v>
      </c>
      <c r="W177" s="327" t="n">
        <f aca="false">+Y177/(1-HLOOKUP(X$6,SHIPS,7,0)*INDEX(LADEN_VOYAGE_DAYS,MATCH(CONCATENATE(X$4,X$5),LADEN_VOYAGE_ROUTES,0),MATCH(X$6,LADEN_VOYAGE_SHIPS,0)))</f>
        <v>0</v>
      </c>
      <c r="X177" s="347" t="n">
        <f aca="false">+Y177-W177</f>
        <v>0</v>
      </c>
      <c r="Y177" s="348" t="n">
        <f aca="false">+IF(AND(X$8&lt;=V177,X$9&gt;=V177),+MIN($B177-SUMIF($H$17:X$17,Y$17,$H177:X177),((INDEX(ROUTE_PER_DAY_BY_SHIP,MATCH(CONCATENATE(X$4,X$5,X$7),ROUTE_PER_DAY_ROUTES,0),MATCH(X$6,ROUTE_PER_DAY_SHIPS,0))*(V178-V177))-(INDEX(ROUTE_PER_DAY_BY_SHIP,MATCH(CONCATENATE(X$4,X$5,X$7),ROUTE_PER_DAY_ROUTES,0),MATCH(X$6,ROUTE_PER_DAY_SHIPS,0))*(V178-V177))*HLOOKUP(X$6,SHIPS,7,0)*INDEX(LADEN_VOYAGE_DAYS,MATCH(CONCATENATE(X$4,X$5,X$7),LADEN_VOYAGE_ROUTES,0),MATCH(X$6,LADEN_VOYAGE_SHIPS,0)))),0)</f>
        <v>0</v>
      </c>
      <c r="Z177" s="349" t="n">
        <f aca="false">-(Y177)*HLOOKUP(X$5,TERMINAL_CHARGES,3,0)</f>
        <v>-0</v>
      </c>
      <c r="AA177" s="327" t="n">
        <f aca="false">+Y177+Z177</f>
        <v>0</v>
      </c>
      <c r="AB177" s="333"/>
      <c r="AC177" s="346" t="n">
        <f aca="false">+DATE(YEAR(AC176),MONTH(AC176)+1,1)</f>
        <v>41548</v>
      </c>
      <c r="AD177" s="343" t="n">
        <f aca="false">+AA177*(VLOOKUP(AC177,CURVECALC!$C$6:$J$312,4,0)+AE$5)</f>
        <v>0</v>
      </c>
      <c r="AE177" s="350" t="n">
        <f aca="false">-W177*INDEX(ship_curves,MATCH(AC177,'SHIP CURVES'!$A$9:$A$316,0),MATCH(CONCATENATE(AG$4,AG$5,AG$6,AG$7),'SHIP CURVES'!$A$9:$AZ$9,0))</f>
        <v>-0</v>
      </c>
      <c r="AF177" s="351" t="n">
        <f aca="false">-Y177*INDEX(port_processing_fee,MATCH(AC177,PORTS!$H$626:$H$933,0),MATCH(AG$5,PORTS!$H$626:$Z$626,0))</f>
        <v>-0</v>
      </c>
      <c r="AG177" s="352" t="n">
        <f aca="false">(((VLOOKUP(AC177,curvecalc,4,0))*IF(W177=0,0,AA177/W177)-INDEX(ship_curves,MATCH(AC177,'SHIP CURVES'!$A$9:$A$316,0),MATCH(CONCATENATE(AG$4,AG$5,AG$6,AG$7),'SHIP CURVES'!$A$9:$Z$9,0))-INDEX(terminal_curves,MATCH(AC177,'TERMINAL CURVES'!$A$4:$A$313,0),MATCH(AG$5,'TERMINAL CURVES'!$A$4:$N$4,0))*IF(W177=0,0,Y177/W177))-(AE$8)*((AE$7-$N$5)-(INDEX(ship_curves,MATCH(AC177,'SHIP CURVES'!$A$9:$A$316,0),MATCH(CONCATENATE(AG$4,AG$5,AG$6,AG$7),'SHIP CURVES'!$A$9:$Z$9,0))-INDEX(ship_curves,MATCH(AC177,'SHIP CURVES'!$A$9:$A$316,0),MATCH(CONCATENATE(AG$4,AE$6,AG$6,AG$7),'SHIP CURVES'!$A$9:$Z$9,0)))-(INDEX(terminal_curves,MATCH(AC177,'TERMINAL CURVES'!$A$4:$A$313,0),MATCH(AG$5,'TERMINAL CURVES'!$A$4:$N$4,0))-INDEX(terminal_curves,MATCH(AC177,'TERMINAL CURVES'!$A$4:$A$313,0),MATCH(AE$6,'TERMINAL CURVES'!$A$4:$N$4,0)))*IF(W177=0,0,Y177/W177)))*-W177</f>
        <v>0</v>
      </c>
      <c r="AH177" s="356" t="n">
        <f aca="false">SUM(AE177:AG177)</f>
        <v>0</v>
      </c>
      <c r="AI177" s="357" t="n">
        <f aca="false">(-Y177/((HLOOKUP(AG$5,port_specs,2,0)/(365.25))*(AC178-AC177)))*(INDEX(fixed_capacity_charge,MATCH(AC177,PORTS!$H$11:$H$317,0),MATCH(AG$5,PORTS!$H$11:$N$11,0))+INDEX(variable_om_charge,MATCH(AC177,PORTS!$H$318:$H$625,0),MATCH(AG$5,PORTS!$H$318:$N$318,0)))</f>
        <v>-0</v>
      </c>
      <c r="AJ177" s="343" t="n">
        <f aca="false">+AI177+AH177</f>
        <v>0</v>
      </c>
      <c r="AK177" s="355" t="n">
        <f aca="false">+AJ177+AD177</f>
        <v>0</v>
      </c>
      <c r="AM177" s="346" t="n">
        <f aca="false">+DATE(YEAR(AM176),MONTH(AM176)+1,1)</f>
        <v>41548</v>
      </c>
      <c r="AN177" s="327" t="n">
        <f aca="false">+AP177/(1-HLOOKUP(AO$6,SHIPS,7,0)*INDEX(LADEN_VOYAGE_DAYS,MATCH(CONCATENATE(AO$4,AO$5),LADEN_VOYAGE_ROUTES,0),MATCH(AO$6,LADEN_VOYAGE_SHIPS,0)))</f>
        <v>5395761.47735991</v>
      </c>
      <c r="AO177" s="347" t="n">
        <f aca="false">+AP177-AN177</f>
        <v>-56655.4955122788</v>
      </c>
      <c r="AP177" s="348" t="n">
        <f aca="false">+IF(AND(AO$8&lt;=AM177,AO$9&gt;=AM177),+MIN($B177-SUMIF($H$17:AO$17,AP$17,$H177:AO177),((INDEX(ROUTE_PER_DAY_BY_SHIP,MATCH(CONCATENATE(AO$4,AO$5,AO$7),ROUTE_PER_DAY_ROUTES,0),MATCH(AO$6,ROUTE_PER_DAY_SHIPS,0))*(AM178-AM177))-(INDEX(ROUTE_PER_DAY_BY_SHIP,MATCH(CONCATENATE(AO$4,AO$5,AO$7),ROUTE_PER_DAY_ROUTES,0),MATCH(AO$6,ROUTE_PER_DAY_SHIPS,0))*(AM178-AM177))*HLOOKUP(AO$6,SHIPS,7,0)*INDEX(LADEN_VOYAGE_DAYS,MATCH(CONCATENATE(AO$4,AO$5,AO$7),LADEN_VOYAGE_ROUTES,0),MATCH(AO$6,LADEN_VOYAGE_SHIPS,0)))),0)</f>
        <v>5339105.98184763</v>
      </c>
      <c r="AQ177" s="349" t="n">
        <f aca="false">-(AP177)*PORTS!$I$6</f>
        <v>-133477.649546191</v>
      </c>
      <c r="AR177" s="327" t="n">
        <f aca="false">+AP177+AQ177</f>
        <v>5205628.33230144</v>
      </c>
      <c r="AS177" s="333"/>
      <c r="AT177" s="346" t="n">
        <f aca="false">+DATE(YEAR(AT176),MONTH(AT176)+1,1)</f>
        <v>41548</v>
      </c>
      <c r="AU177" s="343" t="n">
        <f aca="false">+AR177*(VLOOKUP(AT177,CURVECALC!$C$6:$J$312,4,0)+AV$5)</f>
        <v>19026571.5545618</v>
      </c>
      <c r="AV177" s="350" t="n">
        <f aca="false">-AN177*INDEX(ship_curves,MATCH(AT177,'SHIP CURVES'!$A$9:$A$316,0),MATCH(CONCATENATE(AX$4,AX$5,AX$6,AX$7),'SHIP CURVES'!$A$9:$AZ$9,0))</f>
        <v>-1818122.21947469</v>
      </c>
      <c r="AW177" s="351" t="n">
        <f aca="false">-AP177*INDEX(port_processing_fee,MATCH(AT177,PORTS!$H$626:$H$933,0),MATCH(AX$5,PORTS!$H$626:$Z$626,0))</f>
        <v>-166891.47225371</v>
      </c>
      <c r="AX177" s="352" t="n">
        <f aca="false">(((VLOOKUP(AT177,curvecalc,4,0))*IF(AN177=0,0,AR177/AN177)-INDEX(ship_curves,MATCH(AT177,'SHIP CURVES'!$A$9:$A$316,0),MATCH(CONCATENATE(AX$4,AX$5,AX$6,AX$7),'SHIP CURVES'!$A$9:$Z$9,0))-INDEX(terminal_curves,MATCH(AT177,'TERMINAL CURVES'!$A$4:$A$313,0),MATCH(AX$5,'TERMINAL CURVES'!$A$4:$N$4,0))*IF(AN177=0,0,AP177/AN177))-(AV$8)*((AV$7-$N$5)-(INDEX(ship_curves,MATCH(AT177,'SHIP CURVES'!$A$9:$A$316,0),MATCH(CONCATENATE(AX$4,AX$5,AX$6,AX$7),'SHIP CURVES'!$A$9:$Z$9,0))-INDEX(ship_curves,MATCH(AT177,'SHIP CURVES'!$A$9:$A$316,0),MATCH(CONCATENATE(AX$4,AV$6,AX$6,AX$7),'SHIP CURVES'!$A$9:$Z$9,0)))-(INDEX(terminal_curves,MATCH(AT177,'TERMINAL CURVES'!$A$4:$A$313,0),MATCH(AX$5,'TERMINAL CURVES'!$A$4:$N$4,0))-INDEX(terminal_curves,MATCH(AT177,'TERMINAL CURVES'!$A$4:$A$313,0),MATCH(AV$6,'TERMINAL CURVES'!$A$4:$N$4,0)))*IF(AN177=0,0,AP177/AN177)))*-AN177</f>
        <v>-15914602.2225316</v>
      </c>
      <c r="AY177" s="356" t="n">
        <f aca="false">SUM(AV177:AX177)</f>
        <v>-17899615.91426</v>
      </c>
      <c r="AZ177" s="357" t="n">
        <f aca="false">(-AP177/((HLOOKUP(AX$5,port_specs,2,0)/(365.25))*(AT178-AT177)))*(INDEX(fixed_capacity_charge,MATCH(AT177,PORTS!$H$11:$H$317,0),MATCH(AX$5,PORTS!$H$11:$N$11,0))+INDEX(variable_om_charge,MATCH(AT177,PORTS!$H$318:$H$625,0),MATCH(AX$5,PORTS!$H$318:$N$318,0)))</f>
        <v>-1022843.0736557</v>
      </c>
      <c r="BA177" s="343" t="n">
        <f aca="false">+AZ177+AY177</f>
        <v>-18922458.9879157</v>
      </c>
      <c r="BB177" s="355" t="n">
        <f aca="false">+BA177+AU177</f>
        <v>104112.566646032</v>
      </c>
      <c r="BC177" s="99"/>
      <c r="BD177" s="357" t="n">
        <f aca="false">+PORTS!I171+PORTS!I479</f>
        <v>1022843.0736557</v>
      </c>
    </row>
    <row r="178" customFormat="false" ht="12.75" hidden="false" customHeight="false" outlineLevel="0" collapsed="false">
      <c r="A178" s="346" t="n">
        <f aca="false">+DATE(YEAR(A177),MONTH(A177)+1,1)</f>
        <v>41579</v>
      </c>
      <c r="B178" s="327" t="n">
        <f aca="false">+IF(AND($A178&gt;=$C$8,$A178&lt;=$C$9),1,0)*PORTS!$I$5/(365.25)*(A179-A178)</f>
        <v>5166876.75662674</v>
      </c>
      <c r="C178" s="328" t="n">
        <f aca="false">+B178-(SUMIF($F$17:$IV$17,$H$17,$F178:$IV178))</f>
        <v>0</v>
      </c>
      <c r="D178" s="0" t="n">
        <f aca="false">+YEAR(E178)</f>
        <v>2013</v>
      </c>
      <c r="E178" s="346" t="n">
        <f aca="false">+DATE(YEAR(E177),MONTH(E177)+1,1)</f>
        <v>41579</v>
      </c>
      <c r="F178" s="327" t="n">
        <f aca="false">+IF(AND(G$8&lt;=E178,G$9&gt;=E178),INDEX(ROUTE_PER_DAY_BY_SHIP,MATCH(CONCATENATE(G$4,G$5,G$7),ROUTE_PER_DAY_ROUTES,0),MATCH(G$6,ROUTE_PER_DAY_SHIPS,0))*(E179-E178),0)</f>
        <v>0</v>
      </c>
      <c r="G178" s="347" t="n">
        <f aca="false">-F178*HLOOKUP(G$6,SHIPS,7,0)*INDEX(LADEN_VOYAGE_DAYS,MATCH(CONCATENATE(G$4,G$5,G$7),LADEN_VOYAGE_ROUTES,0),MATCH(G$6,LADEN_VOYAGE_SHIPS,0))</f>
        <v>-0</v>
      </c>
      <c r="H178" s="348" t="n">
        <f aca="false">SUM(F178:G178)</f>
        <v>0</v>
      </c>
      <c r="I178" s="349" t="n">
        <f aca="false">-(H178)*HLOOKUP(G$5,TERMINAL_CHARGES,3,0)</f>
        <v>-0</v>
      </c>
      <c r="J178" s="327" t="n">
        <f aca="false">+H178+I178</f>
        <v>0</v>
      </c>
      <c r="K178" s="333"/>
      <c r="L178" s="346" t="n">
        <f aca="false">+DATE(YEAR(L177),MONTH(L177)+1,1)</f>
        <v>41579</v>
      </c>
      <c r="M178" s="334" t="n">
        <f aca="false">+J178*(VLOOKUP(L178,CURVECALC!$C$6:$J$312,4,0)+N$5)</f>
        <v>0</v>
      </c>
      <c r="N178" s="350" t="n">
        <f aca="false">-F178*INDEX(ship_curves,MATCH(L178,'SHIP CURVES'!$A$9:$A$316,0),MATCH(CONCATENATE(P$4,P$5,P$6,P$7),'SHIP CURVES'!$A$9:$AZ$9,0))</f>
        <v>-0</v>
      </c>
      <c r="O178" s="351" t="n">
        <f aca="false">-H178*INDEX(port_processing_fee,MATCH(L178,PORTS!$H$626:$H$933,0),MATCH(P$5,PORTS!$H$626:$Z$626,0))</f>
        <v>-0</v>
      </c>
      <c r="P178" s="352" t="n">
        <f aca="false">(((VLOOKUP(L178,curvecalc,4,0))*IF(F178=0,0,J178/F178)-INDEX(ship_curves,MATCH(L178,'SHIP CURVES'!$A$9:$A$316,0),MATCH(CONCATENATE(P$4,P$5,P$6,P$7),'SHIP CURVES'!$A$9:$Z$9,0))-INDEX(terminal_curves,MATCH(L178,'TERMINAL CURVES'!$A$4:$A$313,0),MATCH(P$5,'TERMINAL CURVES'!$A$4:$N$4,0))*IF(F178=0,0,H178/F178))-(N$8)*((N$7-$N$5)-(INDEX(ship_curves,MATCH(L178,'SHIP CURVES'!$A$9:$A$316,0),MATCH(CONCATENATE(P$4,P$5,P$6,P$7),'SHIP CURVES'!$A$9:$Z$9,0))-INDEX(ship_curves,MATCH(L178,'SHIP CURVES'!$A$9:$A$316,0),MATCH(CONCATENATE(P$4,N$6,P$6,P$7),'SHIP CURVES'!$A$9:$Z$9,0)))-(INDEX(terminal_curves,MATCH(L178,'TERMINAL CURVES'!$A$4:$A$313,0),MATCH(P$5,'TERMINAL CURVES'!$A$4:$N$4,0))-INDEX(terminal_curves,MATCH(L178,'TERMINAL CURVES'!$A$4:$A$313,0),MATCH(N$6,'TERMINAL CURVES'!$A$4:$N$4,0)))*IF(F178=0,0,H178/F178)))*-F178</f>
        <v>0</v>
      </c>
      <c r="Q178" s="353" t="n">
        <f aca="false">SUM(N178:P178)</f>
        <v>0</v>
      </c>
      <c r="R178" s="357" t="n">
        <f aca="false">(-H178/((HLOOKUP(P$5,port_specs,2,0)/(365.25))*(L179-L178)))*(INDEX(fixed_capacity_charge,MATCH(L178,PORTS!$H$11:$H$317,0),MATCH(P$5,PORTS!$H$11:$N$11,0))+INDEX(variable_om_charge,MATCH(L178,PORTS!$H$318:$H$625,0),MATCH(P$5,PORTS!$H$318:$N$318,0)))</f>
        <v>-0</v>
      </c>
      <c r="S178" s="343" t="n">
        <f aca="false">+R178+Q178</f>
        <v>0</v>
      </c>
      <c r="T178" s="355" t="n">
        <f aca="false">+S178+M178</f>
        <v>0</v>
      </c>
      <c r="V178" s="346" t="n">
        <f aca="false">+DATE(YEAR(V177),MONTH(V177)+1,1)</f>
        <v>41579</v>
      </c>
      <c r="W178" s="327" t="n">
        <f aca="false">+Y178/(1-HLOOKUP(X$6,SHIPS,7,0)*INDEX(LADEN_VOYAGE_DAYS,MATCH(CONCATENATE(X$4,X$5),LADEN_VOYAGE_ROUTES,0),MATCH(X$6,LADEN_VOYAGE_SHIPS,0)))</f>
        <v>0</v>
      </c>
      <c r="X178" s="347" t="n">
        <f aca="false">+Y178-W178</f>
        <v>0</v>
      </c>
      <c r="Y178" s="348" t="n">
        <f aca="false">+IF(AND(X$8&lt;=V178,X$9&gt;=V178),+MIN($B178-SUMIF($H$17:X$17,Y$17,$H178:X178),((INDEX(ROUTE_PER_DAY_BY_SHIP,MATCH(CONCATENATE(X$4,X$5,X$7),ROUTE_PER_DAY_ROUTES,0),MATCH(X$6,ROUTE_PER_DAY_SHIPS,0))*(V179-V178))-(INDEX(ROUTE_PER_DAY_BY_SHIP,MATCH(CONCATENATE(X$4,X$5,X$7),ROUTE_PER_DAY_ROUTES,0),MATCH(X$6,ROUTE_PER_DAY_SHIPS,0))*(V179-V178))*HLOOKUP(X$6,SHIPS,7,0)*INDEX(LADEN_VOYAGE_DAYS,MATCH(CONCATENATE(X$4,X$5,X$7),LADEN_VOYAGE_ROUTES,0),MATCH(X$6,LADEN_VOYAGE_SHIPS,0)))),0)</f>
        <v>0</v>
      </c>
      <c r="Z178" s="349" t="n">
        <f aca="false">-(Y178)*HLOOKUP(X$5,TERMINAL_CHARGES,3,0)</f>
        <v>-0</v>
      </c>
      <c r="AA178" s="327" t="n">
        <f aca="false">+Y178+Z178</f>
        <v>0</v>
      </c>
      <c r="AB178" s="333"/>
      <c r="AC178" s="346" t="n">
        <f aca="false">+DATE(YEAR(AC177),MONTH(AC177)+1,1)</f>
        <v>41579</v>
      </c>
      <c r="AD178" s="343" t="n">
        <f aca="false">+AA178*(VLOOKUP(AC178,CURVECALC!$C$6:$J$312,4,0)+AE$5)</f>
        <v>0</v>
      </c>
      <c r="AE178" s="350" t="n">
        <f aca="false">-W178*INDEX(ship_curves,MATCH(AC178,'SHIP CURVES'!$A$9:$A$316,0),MATCH(CONCATENATE(AG$4,AG$5,AG$6,AG$7),'SHIP CURVES'!$A$9:$AZ$9,0))</f>
        <v>-0</v>
      </c>
      <c r="AF178" s="351" t="n">
        <f aca="false">-Y178*INDEX(port_processing_fee,MATCH(AC178,PORTS!$H$626:$H$933,0),MATCH(AG$5,PORTS!$H$626:$Z$626,0))</f>
        <v>-0</v>
      </c>
      <c r="AG178" s="352" t="n">
        <f aca="false">(((VLOOKUP(AC178,curvecalc,4,0))*IF(W178=0,0,AA178/W178)-INDEX(ship_curves,MATCH(AC178,'SHIP CURVES'!$A$9:$A$316,0),MATCH(CONCATENATE(AG$4,AG$5,AG$6,AG$7),'SHIP CURVES'!$A$9:$Z$9,0))-INDEX(terminal_curves,MATCH(AC178,'TERMINAL CURVES'!$A$4:$A$313,0),MATCH(AG$5,'TERMINAL CURVES'!$A$4:$N$4,0))*IF(W178=0,0,Y178/W178))-(AE$8)*((AE$7-$N$5)-(INDEX(ship_curves,MATCH(AC178,'SHIP CURVES'!$A$9:$A$316,0),MATCH(CONCATENATE(AG$4,AG$5,AG$6,AG$7),'SHIP CURVES'!$A$9:$Z$9,0))-INDEX(ship_curves,MATCH(AC178,'SHIP CURVES'!$A$9:$A$316,0),MATCH(CONCATENATE(AG$4,AE$6,AG$6,AG$7),'SHIP CURVES'!$A$9:$Z$9,0)))-(INDEX(terminal_curves,MATCH(AC178,'TERMINAL CURVES'!$A$4:$A$313,0),MATCH(AG$5,'TERMINAL CURVES'!$A$4:$N$4,0))-INDEX(terminal_curves,MATCH(AC178,'TERMINAL CURVES'!$A$4:$A$313,0),MATCH(AE$6,'TERMINAL CURVES'!$A$4:$N$4,0)))*IF(W178=0,0,Y178/W178)))*-W178</f>
        <v>0</v>
      </c>
      <c r="AH178" s="356" t="n">
        <f aca="false">SUM(AE178:AG178)</f>
        <v>0</v>
      </c>
      <c r="AI178" s="357" t="n">
        <f aca="false">(-Y178/((HLOOKUP(AG$5,port_specs,2,0)/(365.25))*(AC179-AC178)))*(INDEX(fixed_capacity_charge,MATCH(AC178,PORTS!$H$11:$H$317,0),MATCH(AG$5,PORTS!$H$11:$N$11,0))+INDEX(variable_om_charge,MATCH(AC178,PORTS!$H$318:$H$625,0),MATCH(AG$5,PORTS!$H$318:$N$318,0)))</f>
        <v>-0</v>
      </c>
      <c r="AJ178" s="343" t="n">
        <f aca="false">+AI178+AH178</f>
        <v>0</v>
      </c>
      <c r="AK178" s="355" t="n">
        <f aca="false">+AJ178+AD178</f>
        <v>0</v>
      </c>
      <c r="AM178" s="346" t="n">
        <f aca="false">+DATE(YEAR(AM177),MONTH(AM177)+1,1)</f>
        <v>41579</v>
      </c>
      <c r="AN178" s="327" t="n">
        <f aca="false">+AP178/(1-HLOOKUP(AO$6,SHIPS,7,0)*INDEX(LADEN_VOYAGE_DAYS,MATCH(CONCATENATE(AO$4,AO$5),LADEN_VOYAGE_ROUTES,0),MATCH(AO$6,LADEN_VOYAGE_SHIPS,0)))</f>
        <v>5221704.65550959</v>
      </c>
      <c r="AO178" s="347" t="n">
        <f aca="false">+AP178-AN178</f>
        <v>-54827.8988828501</v>
      </c>
      <c r="AP178" s="348" t="n">
        <f aca="false">+IF(AND(AO$8&lt;=AM178,AO$9&gt;=AM178),+MIN($B178-SUMIF($H$17:AO$17,AP$17,$H178:AO178),((INDEX(ROUTE_PER_DAY_BY_SHIP,MATCH(CONCATENATE(AO$4,AO$5,AO$7),ROUTE_PER_DAY_ROUTES,0),MATCH(AO$6,ROUTE_PER_DAY_SHIPS,0))*(AM179-AM178))-(INDEX(ROUTE_PER_DAY_BY_SHIP,MATCH(CONCATENATE(AO$4,AO$5,AO$7),ROUTE_PER_DAY_ROUTES,0),MATCH(AO$6,ROUTE_PER_DAY_SHIPS,0))*(AM179-AM178))*HLOOKUP(AO$6,SHIPS,7,0)*INDEX(LADEN_VOYAGE_DAYS,MATCH(CONCATENATE(AO$4,AO$5,AO$7),LADEN_VOYAGE_ROUTES,0),MATCH(AO$6,LADEN_VOYAGE_SHIPS,0)))),0)</f>
        <v>5166876.75662674</v>
      </c>
      <c r="AQ178" s="349" t="n">
        <f aca="false">-(AP178)*PORTS!$I$6</f>
        <v>-129171.918915669</v>
      </c>
      <c r="AR178" s="327" t="n">
        <f aca="false">+AP178+AQ178</f>
        <v>5037704.83771107</v>
      </c>
      <c r="AS178" s="333"/>
      <c r="AT178" s="346" t="n">
        <f aca="false">+DATE(YEAR(AT177),MONTH(AT177)+1,1)</f>
        <v>41579</v>
      </c>
      <c r="AU178" s="343" t="n">
        <f aca="false">+AR178*(VLOOKUP(AT178,CURVECALC!$C$6:$J$312,4,0)+AV$5)</f>
        <v>18710035.7672589</v>
      </c>
      <c r="AV178" s="350" t="n">
        <f aca="false">-AN178*INDEX(ship_curves,MATCH(AT178,'SHIP CURVES'!$A$9:$A$316,0),MATCH(CONCATENATE(AX$4,AX$5,AX$6,AX$7),'SHIP CURVES'!$A$9:$AZ$9,0))</f>
        <v>-1760046.08838772</v>
      </c>
      <c r="AW178" s="351" t="n">
        <f aca="false">-AP178*INDEX(port_processing_fee,MATCH(AT178,PORTS!$H$626:$H$933,0),MATCH(AX$5,PORTS!$H$626:$Z$626,0))</f>
        <v>-161676.113745782</v>
      </c>
      <c r="AX178" s="352" t="n">
        <f aca="false">(((VLOOKUP(AT178,curvecalc,4,0))*IF(AN178=0,0,AR178/AN178)-INDEX(ship_curves,MATCH(AT178,'SHIP CURVES'!$A$9:$A$316,0),MATCH(CONCATENATE(AX$4,AX$5,AX$6,AX$7),'SHIP CURVES'!$A$9:$Z$9,0))-INDEX(terminal_curves,MATCH(AT178,'TERMINAL CURVES'!$A$4:$A$313,0),MATCH(AX$5,'TERMINAL CURVES'!$A$4:$N$4,0))*IF(AN178=0,0,AP178/AN178))-(AV$8)*((AV$7-$N$5)-(INDEX(ship_curves,MATCH(AT178,'SHIP CURVES'!$A$9:$A$316,0),MATCH(CONCATENATE(AX$4,AX$5,AX$6,AX$7),'SHIP CURVES'!$A$9:$Z$9,0))-INDEX(ship_curves,MATCH(AT178,'SHIP CURVES'!$A$9:$A$316,0),MATCH(CONCATENATE(AX$4,AV$6,AX$6,AX$7),'SHIP CURVES'!$A$9:$Z$9,0)))-(INDEX(terminal_curves,MATCH(AT178,'TERMINAL CURVES'!$A$4:$A$313,0),MATCH(AX$5,'TERMINAL CURVES'!$A$4:$N$4,0))-INDEX(terminal_curves,MATCH(AT178,'TERMINAL CURVES'!$A$4:$A$313,0),MATCH(AV$6,'TERMINAL CURVES'!$A$4:$N$4,0)))*IF(AN178=0,0,AP178/AN178)))*-AN178</f>
        <v>-15664156.3358585</v>
      </c>
      <c r="AY178" s="356" t="n">
        <f aca="false">SUM(AV178:AX178)</f>
        <v>-17585878.537992</v>
      </c>
      <c r="AZ178" s="357" t="n">
        <f aca="false">(-AP178/((HLOOKUP(AX$5,port_specs,2,0)/(365.25))*(AT179-AT178)))*(INDEX(fixed_capacity_charge,MATCH(AT178,PORTS!$H$11:$H$317,0),MATCH(AX$5,PORTS!$H$11:$N$11,0))+INDEX(variable_om_charge,MATCH(AT178,PORTS!$H$318:$H$625,0),MATCH(AX$5,PORTS!$H$318:$N$318,0)))</f>
        <v>-1023403.13251273</v>
      </c>
      <c r="BA178" s="343" t="n">
        <f aca="false">+AZ178+AY178</f>
        <v>-18609281.6705047</v>
      </c>
      <c r="BB178" s="355" t="n">
        <f aca="false">+BA178+AU178</f>
        <v>100754.096754223</v>
      </c>
      <c r="BC178" s="99"/>
      <c r="BD178" s="357" t="n">
        <f aca="false">+PORTS!I172+PORTS!I480</f>
        <v>1023403.13251273</v>
      </c>
    </row>
    <row r="179" customFormat="false" ht="12.75" hidden="false" customHeight="false" outlineLevel="0" collapsed="false">
      <c r="A179" s="346" t="n">
        <f aca="false">+DATE(YEAR(A178),MONTH(A178)+1,1)</f>
        <v>41609</v>
      </c>
      <c r="B179" s="327" t="n">
        <f aca="false">+IF(AND($A179&gt;=$C$8,$A179&lt;=$C$9),1,0)*PORTS!$I$5/(365.25)*(A180-A179)</f>
        <v>5339105.98184763</v>
      </c>
      <c r="C179" s="328" t="n">
        <f aca="false">+B179-(SUMIF($F$17:$IV$17,$H$17,$F179:$IV179))</f>
        <v>0</v>
      </c>
      <c r="D179" s="0" t="n">
        <f aca="false">+YEAR(E179)</f>
        <v>2013</v>
      </c>
      <c r="E179" s="346" t="n">
        <f aca="false">+DATE(YEAR(E178),MONTH(E178)+1,1)</f>
        <v>41609</v>
      </c>
      <c r="F179" s="327" t="n">
        <f aca="false">+IF(AND(G$8&lt;=E179,G$9&gt;=E179),INDEX(ROUTE_PER_DAY_BY_SHIP,MATCH(CONCATENATE(G$4,G$5,G$7),ROUTE_PER_DAY_ROUTES,0),MATCH(G$6,ROUTE_PER_DAY_SHIPS,0))*(E180-E179),0)</f>
        <v>0</v>
      </c>
      <c r="G179" s="347" t="n">
        <f aca="false">-F179*HLOOKUP(G$6,SHIPS,7,0)*INDEX(LADEN_VOYAGE_DAYS,MATCH(CONCATENATE(G$4,G$5,G$7),LADEN_VOYAGE_ROUTES,0),MATCH(G$6,LADEN_VOYAGE_SHIPS,0))</f>
        <v>-0</v>
      </c>
      <c r="H179" s="348" t="n">
        <f aca="false">SUM(F179:G179)</f>
        <v>0</v>
      </c>
      <c r="I179" s="349" t="n">
        <f aca="false">-(H179)*HLOOKUP(G$5,TERMINAL_CHARGES,3,0)</f>
        <v>-0</v>
      </c>
      <c r="J179" s="327" t="n">
        <f aca="false">+H179+I179</f>
        <v>0</v>
      </c>
      <c r="K179" s="333"/>
      <c r="L179" s="346" t="n">
        <f aca="false">+DATE(YEAR(L178),MONTH(L178)+1,1)</f>
        <v>41609</v>
      </c>
      <c r="M179" s="334" t="n">
        <f aca="false">+J179*(VLOOKUP(L179,CURVECALC!$C$6:$J$312,4,0)+N$5)</f>
        <v>0</v>
      </c>
      <c r="N179" s="350" t="n">
        <f aca="false">-F179*INDEX(ship_curves,MATCH(L179,'SHIP CURVES'!$A$9:$A$316,0),MATCH(CONCATENATE(P$4,P$5,P$6,P$7),'SHIP CURVES'!$A$9:$AZ$9,0))</f>
        <v>-0</v>
      </c>
      <c r="O179" s="351" t="n">
        <f aca="false">-H179*INDEX(port_processing_fee,MATCH(L179,PORTS!$H$626:$H$933,0),MATCH(P$5,PORTS!$H$626:$Z$626,0))</f>
        <v>-0</v>
      </c>
      <c r="P179" s="352" t="n">
        <f aca="false">(((VLOOKUP(L179,curvecalc,4,0))*IF(F179=0,0,J179/F179)-INDEX(ship_curves,MATCH(L179,'SHIP CURVES'!$A$9:$A$316,0),MATCH(CONCATENATE(P$4,P$5,P$6,P$7),'SHIP CURVES'!$A$9:$Z$9,0))-INDEX(terminal_curves,MATCH(L179,'TERMINAL CURVES'!$A$4:$A$313,0),MATCH(P$5,'TERMINAL CURVES'!$A$4:$N$4,0))*IF(F179=0,0,H179/F179))-(N$8)*((N$7-$N$5)-(INDEX(ship_curves,MATCH(L179,'SHIP CURVES'!$A$9:$A$316,0),MATCH(CONCATENATE(P$4,P$5,P$6,P$7),'SHIP CURVES'!$A$9:$Z$9,0))-INDEX(ship_curves,MATCH(L179,'SHIP CURVES'!$A$9:$A$316,0),MATCH(CONCATENATE(P$4,N$6,P$6,P$7),'SHIP CURVES'!$A$9:$Z$9,0)))-(INDEX(terminal_curves,MATCH(L179,'TERMINAL CURVES'!$A$4:$A$313,0),MATCH(P$5,'TERMINAL CURVES'!$A$4:$N$4,0))-INDEX(terminal_curves,MATCH(L179,'TERMINAL CURVES'!$A$4:$A$313,0),MATCH(N$6,'TERMINAL CURVES'!$A$4:$N$4,0)))*IF(F179=0,0,H179/F179)))*-F179</f>
        <v>0</v>
      </c>
      <c r="Q179" s="353" t="n">
        <f aca="false">SUM(N179:P179)</f>
        <v>0</v>
      </c>
      <c r="R179" s="357" t="n">
        <f aca="false">(-H179/((HLOOKUP(P$5,port_specs,2,0)/(365.25))*(L180-L179)))*(INDEX(fixed_capacity_charge,MATCH(L179,PORTS!$H$11:$H$317,0),MATCH(P$5,PORTS!$H$11:$N$11,0))+INDEX(variable_om_charge,MATCH(L179,PORTS!$H$318:$H$625,0),MATCH(P$5,PORTS!$H$318:$N$318,0)))</f>
        <v>-0</v>
      </c>
      <c r="S179" s="343" t="n">
        <f aca="false">+R179+Q179</f>
        <v>0</v>
      </c>
      <c r="T179" s="355" t="n">
        <f aca="false">+S179+M179</f>
        <v>0</v>
      </c>
      <c r="V179" s="346" t="n">
        <f aca="false">+DATE(YEAR(V178),MONTH(V178)+1,1)</f>
        <v>41609</v>
      </c>
      <c r="W179" s="327" t="n">
        <f aca="false">+Y179/(1-HLOOKUP(X$6,SHIPS,7,0)*INDEX(LADEN_VOYAGE_DAYS,MATCH(CONCATENATE(X$4,X$5),LADEN_VOYAGE_ROUTES,0),MATCH(X$6,LADEN_VOYAGE_SHIPS,0)))</f>
        <v>0</v>
      </c>
      <c r="X179" s="347" t="n">
        <f aca="false">+Y179-W179</f>
        <v>0</v>
      </c>
      <c r="Y179" s="348" t="n">
        <f aca="false">+IF(AND(X$8&lt;=V179,X$9&gt;=V179),+MIN($B179-SUMIF($H$17:X$17,Y$17,$H179:X179),((INDEX(ROUTE_PER_DAY_BY_SHIP,MATCH(CONCATENATE(X$4,X$5,X$7),ROUTE_PER_DAY_ROUTES,0),MATCH(X$6,ROUTE_PER_DAY_SHIPS,0))*(V180-V179))-(INDEX(ROUTE_PER_DAY_BY_SHIP,MATCH(CONCATENATE(X$4,X$5,X$7),ROUTE_PER_DAY_ROUTES,0),MATCH(X$6,ROUTE_PER_DAY_SHIPS,0))*(V180-V179))*HLOOKUP(X$6,SHIPS,7,0)*INDEX(LADEN_VOYAGE_DAYS,MATCH(CONCATENATE(X$4,X$5,X$7),LADEN_VOYAGE_ROUTES,0),MATCH(X$6,LADEN_VOYAGE_SHIPS,0)))),0)</f>
        <v>0</v>
      </c>
      <c r="Z179" s="349" t="n">
        <f aca="false">-(Y179)*HLOOKUP(X$5,TERMINAL_CHARGES,3,0)</f>
        <v>-0</v>
      </c>
      <c r="AA179" s="327" t="n">
        <f aca="false">+Y179+Z179</f>
        <v>0</v>
      </c>
      <c r="AB179" s="333"/>
      <c r="AC179" s="346" t="n">
        <f aca="false">+DATE(YEAR(AC178),MONTH(AC178)+1,1)</f>
        <v>41609</v>
      </c>
      <c r="AD179" s="343" t="n">
        <f aca="false">+AA179*(VLOOKUP(AC179,CURVECALC!$C$6:$J$312,4,0)+AE$5)</f>
        <v>0</v>
      </c>
      <c r="AE179" s="350" t="n">
        <f aca="false">-W179*INDEX(ship_curves,MATCH(AC179,'SHIP CURVES'!$A$9:$A$316,0),MATCH(CONCATENATE(AG$4,AG$5,AG$6,AG$7),'SHIP CURVES'!$A$9:$AZ$9,0))</f>
        <v>-0</v>
      </c>
      <c r="AF179" s="351" t="n">
        <f aca="false">-Y179*INDEX(port_processing_fee,MATCH(AC179,PORTS!$H$626:$H$933,0),MATCH(AG$5,PORTS!$H$626:$Z$626,0))</f>
        <v>-0</v>
      </c>
      <c r="AG179" s="352" t="n">
        <f aca="false">(((VLOOKUP(AC179,curvecalc,4,0))*IF(W179=0,0,AA179/W179)-INDEX(ship_curves,MATCH(AC179,'SHIP CURVES'!$A$9:$A$316,0),MATCH(CONCATENATE(AG$4,AG$5,AG$6,AG$7),'SHIP CURVES'!$A$9:$Z$9,0))-INDEX(terminal_curves,MATCH(AC179,'TERMINAL CURVES'!$A$4:$A$313,0),MATCH(AG$5,'TERMINAL CURVES'!$A$4:$N$4,0))*IF(W179=0,0,Y179/W179))-(AE$8)*((AE$7-$N$5)-(INDEX(ship_curves,MATCH(AC179,'SHIP CURVES'!$A$9:$A$316,0),MATCH(CONCATENATE(AG$4,AG$5,AG$6,AG$7),'SHIP CURVES'!$A$9:$Z$9,0))-INDEX(ship_curves,MATCH(AC179,'SHIP CURVES'!$A$9:$A$316,0),MATCH(CONCATENATE(AG$4,AE$6,AG$6,AG$7),'SHIP CURVES'!$A$9:$Z$9,0)))-(INDEX(terminal_curves,MATCH(AC179,'TERMINAL CURVES'!$A$4:$A$313,0),MATCH(AG$5,'TERMINAL CURVES'!$A$4:$N$4,0))-INDEX(terminal_curves,MATCH(AC179,'TERMINAL CURVES'!$A$4:$A$313,0),MATCH(AE$6,'TERMINAL CURVES'!$A$4:$N$4,0)))*IF(W179=0,0,Y179/W179)))*-W179</f>
        <v>0</v>
      </c>
      <c r="AH179" s="356" t="n">
        <f aca="false">SUM(AE179:AG179)</f>
        <v>0</v>
      </c>
      <c r="AI179" s="357" t="n">
        <f aca="false">(-Y179/((HLOOKUP(AG$5,port_specs,2,0)/(365.25))*(AC180-AC179)))*(INDEX(fixed_capacity_charge,MATCH(AC179,PORTS!$H$11:$H$317,0),MATCH(AG$5,PORTS!$H$11:$N$11,0))+INDEX(variable_om_charge,MATCH(AC179,PORTS!$H$318:$H$625,0),MATCH(AG$5,PORTS!$H$318:$N$318,0)))</f>
        <v>-0</v>
      </c>
      <c r="AJ179" s="343" t="n">
        <f aca="false">+AI179+AH179</f>
        <v>0</v>
      </c>
      <c r="AK179" s="355" t="n">
        <f aca="false">+AJ179+AD179</f>
        <v>0</v>
      </c>
      <c r="AM179" s="346" t="n">
        <f aca="false">+DATE(YEAR(AM178),MONTH(AM178)+1,1)</f>
        <v>41609</v>
      </c>
      <c r="AN179" s="327" t="n">
        <f aca="false">+AP179/(1-HLOOKUP(AO$6,SHIPS,7,0)*INDEX(LADEN_VOYAGE_DAYS,MATCH(CONCATENATE(AO$4,AO$5),LADEN_VOYAGE_ROUTES,0),MATCH(AO$6,LADEN_VOYAGE_SHIPS,0)))</f>
        <v>5395761.47735991</v>
      </c>
      <c r="AO179" s="347" t="n">
        <f aca="false">+AP179-AN179</f>
        <v>-56655.4955122788</v>
      </c>
      <c r="AP179" s="348" t="n">
        <f aca="false">+IF(AND(AO$8&lt;=AM179,AO$9&gt;=AM179),+MIN($B179-SUMIF($H$17:AO$17,AP$17,$H179:AO179),((INDEX(ROUTE_PER_DAY_BY_SHIP,MATCH(CONCATENATE(AO$4,AO$5,AO$7),ROUTE_PER_DAY_ROUTES,0),MATCH(AO$6,ROUTE_PER_DAY_SHIPS,0))*(AM180-AM179))-(INDEX(ROUTE_PER_DAY_BY_SHIP,MATCH(CONCATENATE(AO$4,AO$5,AO$7),ROUTE_PER_DAY_ROUTES,0),MATCH(AO$6,ROUTE_PER_DAY_SHIPS,0))*(AM180-AM179))*HLOOKUP(AO$6,SHIPS,7,0)*INDEX(LADEN_VOYAGE_DAYS,MATCH(CONCATENATE(AO$4,AO$5,AO$7),LADEN_VOYAGE_ROUTES,0),MATCH(AO$6,LADEN_VOYAGE_SHIPS,0)))),0)</f>
        <v>5339105.98184763</v>
      </c>
      <c r="AQ179" s="349" t="n">
        <f aca="false">-(AP179)*PORTS!$I$6</f>
        <v>-133477.649546191</v>
      </c>
      <c r="AR179" s="327" t="n">
        <f aca="false">+AP179+AQ179</f>
        <v>5205628.33230144</v>
      </c>
      <c r="AS179" s="333"/>
      <c r="AT179" s="346" t="n">
        <f aca="false">+DATE(YEAR(AT178),MONTH(AT178)+1,1)</f>
        <v>41609</v>
      </c>
      <c r="AU179" s="343" t="n">
        <f aca="false">+AR179*(VLOOKUP(AT179,CURVECALC!$C$6:$J$312,4,0)+AV$5)</f>
        <v>19724125.7510902</v>
      </c>
      <c r="AV179" s="350" t="n">
        <f aca="false">-AN179*INDEX(ship_curves,MATCH(AT179,'SHIP CURVES'!$A$9:$A$316,0),MATCH(CONCATENATE(AX$4,AX$5,AX$6,AX$7),'SHIP CURVES'!$A$9:$AZ$9,0))</f>
        <v>-1819307.59667631</v>
      </c>
      <c r="AW179" s="351" t="n">
        <f aca="false">-AP179*INDEX(port_processing_fee,MATCH(AT179,PORTS!$H$626:$H$933,0),MATCH(AX$5,PORTS!$H$626:$Z$626,0))</f>
        <v>-167239.343909743</v>
      </c>
      <c r="AX179" s="352" t="n">
        <f aca="false">(((VLOOKUP(AT179,curvecalc,4,0))*IF(AN179=0,0,AR179/AN179)-INDEX(ship_curves,MATCH(AT179,'SHIP CURVES'!$A$9:$A$316,0),MATCH(CONCATENATE(AX$4,AX$5,AX$6,AX$7),'SHIP CURVES'!$A$9:$Z$9,0))-INDEX(terminal_curves,MATCH(AT179,'TERMINAL CURVES'!$A$4:$A$313,0),MATCH(AX$5,'TERMINAL CURVES'!$A$4:$N$4,0))*IF(AN179=0,0,AP179/AN179))-(AV$8)*((AV$7-$N$5)-(INDEX(ship_curves,MATCH(AT179,'SHIP CURVES'!$A$9:$A$316,0),MATCH(CONCATENATE(AX$4,AX$5,AX$6,AX$7),'SHIP CURVES'!$A$9:$Z$9,0))-INDEX(ship_curves,MATCH(AT179,'SHIP CURVES'!$A$9:$A$316,0),MATCH(CONCATENATE(AX$4,AV$6,AX$6,AX$7),'SHIP CURVES'!$A$9:$Z$9,0)))-(INDEX(terminal_curves,MATCH(AT179,'TERMINAL CURVES'!$A$4:$A$313,0),MATCH(AX$5,'TERMINAL CURVES'!$A$4:$N$4,0))-INDEX(terminal_curves,MATCH(AT179,'TERMINAL CURVES'!$A$4:$A$313,0),MATCH(AV$6,'TERMINAL CURVES'!$A$4:$N$4,0)))*IF(AN179=0,0,AP179/AN179)))*-AN179</f>
        <v>-16609502.4690937</v>
      </c>
      <c r="AY179" s="356" t="n">
        <f aca="false">SUM(AV179:AX179)</f>
        <v>-18596049.4096797</v>
      </c>
      <c r="AZ179" s="357" t="n">
        <f aca="false">(-AP179/((HLOOKUP(AX$5,port_specs,2,0)/(365.25))*(AT180-AT179)))*(INDEX(fixed_capacity_charge,MATCH(AT179,PORTS!$H$11:$H$317,0),MATCH(AX$5,PORTS!$H$11:$N$11,0))+INDEX(variable_om_charge,MATCH(AT179,PORTS!$H$318:$H$625,0),MATCH(AX$5,PORTS!$H$318:$N$318,0)))</f>
        <v>-1023963.7747644</v>
      </c>
      <c r="BA179" s="343" t="n">
        <f aca="false">+AZ179+AY179</f>
        <v>-19620013.1844441</v>
      </c>
      <c r="BB179" s="355" t="n">
        <f aca="false">+BA179+AU179</f>
        <v>104112.566646025</v>
      </c>
      <c r="BC179" s="99"/>
      <c r="BD179" s="357" t="n">
        <f aca="false">+PORTS!I173+PORTS!I481</f>
        <v>1023963.7747644</v>
      </c>
    </row>
    <row r="180" customFormat="false" ht="12.75" hidden="false" customHeight="false" outlineLevel="0" collapsed="false">
      <c r="A180" s="346" t="n">
        <f aca="false">+DATE(YEAR(A179),MONTH(A179)+1,1)</f>
        <v>41640</v>
      </c>
      <c r="B180" s="327" t="n">
        <f aca="false">+IF(AND($A180&gt;=$C$8,$A180&lt;=$C$9),1,0)*PORTS!$I$5/(365.25)*(A181-A180)</f>
        <v>5339105.98184763</v>
      </c>
      <c r="C180" s="328" t="n">
        <f aca="false">+B180-(SUMIF($F$17:$IV$17,$H$17,$F180:$IV180))</f>
        <v>0</v>
      </c>
      <c r="D180" s="0" t="n">
        <f aca="false">+YEAR(E180)</f>
        <v>2014</v>
      </c>
      <c r="E180" s="346" t="n">
        <f aca="false">+DATE(YEAR(E179),MONTH(E179)+1,1)</f>
        <v>41640</v>
      </c>
      <c r="F180" s="327" t="n">
        <f aca="false">+IF(AND(G$8&lt;=E180,G$9&gt;=E180),INDEX(ROUTE_PER_DAY_BY_SHIP,MATCH(CONCATENATE(G$4,G$5,G$7),ROUTE_PER_DAY_ROUTES,0),MATCH(G$6,ROUTE_PER_DAY_SHIPS,0))*(E181-E180),0)</f>
        <v>0</v>
      </c>
      <c r="G180" s="347" t="n">
        <f aca="false">-F180*HLOOKUP(G$6,SHIPS,7,0)*INDEX(LADEN_VOYAGE_DAYS,MATCH(CONCATENATE(G$4,G$5,G$7),LADEN_VOYAGE_ROUTES,0),MATCH(G$6,LADEN_VOYAGE_SHIPS,0))</f>
        <v>-0</v>
      </c>
      <c r="H180" s="348" t="n">
        <f aca="false">SUM(F180:G180)</f>
        <v>0</v>
      </c>
      <c r="I180" s="349" t="n">
        <f aca="false">-(H180)*HLOOKUP(G$5,TERMINAL_CHARGES,3,0)</f>
        <v>-0</v>
      </c>
      <c r="J180" s="327" t="n">
        <f aca="false">+H180+I180</f>
        <v>0</v>
      </c>
      <c r="K180" s="333"/>
      <c r="L180" s="346" t="n">
        <f aca="false">+DATE(YEAR(L179),MONTH(L179)+1,1)</f>
        <v>41640</v>
      </c>
      <c r="M180" s="334" t="n">
        <f aca="false">+J180*(VLOOKUP(L180,CURVECALC!$C$6:$J$312,4,0)+N$5)</f>
        <v>0</v>
      </c>
      <c r="N180" s="350" t="n">
        <f aca="false">-F180*INDEX(ship_curves,MATCH(L180,'SHIP CURVES'!$A$9:$A$316,0),MATCH(CONCATENATE(P$4,P$5,P$6,P$7),'SHIP CURVES'!$A$9:$AZ$9,0))</f>
        <v>-0</v>
      </c>
      <c r="O180" s="351" t="n">
        <f aca="false">-H180*INDEX(port_processing_fee,MATCH(L180,PORTS!$H$626:$H$933,0),MATCH(P$5,PORTS!$H$626:$Z$626,0))</f>
        <v>-0</v>
      </c>
      <c r="P180" s="352" t="n">
        <f aca="false">(((VLOOKUP(L180,curvecalc,4,0))*IF(F180=0,0,J180/F180)-INDEX(ship_curves,MATCH(L180,'SHIP CURVES'!$A$9:$A$316,0),MATCH(CONCATENATE(P$4,P$5,P$6,P$7),'SHIP CURVES'!$A$9:$Z$9,0))-INDEX(terminal_curves,MATCH(L180,'TERMINAL CURVES'!$A$4:$A$313,0),MATCH(P$5,'TERMINAL CURVES'!$A$4:$N$4,0))*IF(F180=0,0,H180/F180))-(N$8)*((N$7-$N$5)-(INDEX(ship_curves,MATCH(L180,'SHIP CURVES'!$A$9:$A$316,0),MATCH(CONCATENATE(P$4,P$5,P$6,P$7),'SHIP CURVES'!$A$9:$Z$9,0))-INDEX(ship_curves,MATCH(L180,'SHIP CURVES'!$A$9:$A$316,0),MATCH(CONCATENATE(P$4,N$6,P$6,P$7),'SHIP CURVES'!$A$9:$Z$9,0)))-(INDEX(terminal_curves,MATCH(L180,'TERMINAL CURVES'!$A$4:$A$313,0),MATCH(P$5,'TERMINAL CURVES'!$A$4:$N$4,0))-INDEX(terminal_curves,MATCH(L180,'TERMINAL CURVES'!$A$4:$A$313,0),MATCH(N$6,'TERMINAL CURVES'!$A$4:$N$4,0)))*IF(F180=0,0,H180/F180)))*-F180</f>
        <v>0</v>
      </c>
      <c r="Q180" s="353" t="n">
        <f aca="false">SUM(N180:P180)</f>
        <v>0</v>
      </c>
      <c r="R180" s="357" t="n">
        <f aca="false">(-H180/((HLOOKUP(P$5,port_specs,2,0)/(365.25))*(L181-L180)))*(INDEX(fixed_capacity_charge,MATCH(L180,PORTS!$H$11:$H$317,0),MATCH(P$5,PORTS!$H$11:$N$11,0))+INDEX(variable_om_charge,MATCH(L180,PORTS!$H$318:$H$625,0),MATCH(P$5,PORTS!$H$318:$N$318,0)))</f>
        <v>-0</v>
      </c>
      <c r="S180" s="343" t="n">
        <f aca="false">+R180+Q180</f>
        <v>0</v>
      </c>
      <c r="T180" s="355" t="n">
        <f aca="false">+S180+M180</f>
        <v>0</v>
      </c>
      <c r="V180" s="346" t="n">
        <f aca="false">+DATE(YEAR(V179),MONTH(V179)+1,1)</f>
        <v>41640</v>
      </c>
      <c r="W180" s="327" t="n">
        <f aca="false">+Y180/(1-HLOOKUP(X$6,SHIPS,7,0)*INDEX(LADEN_VOYAGE_DAYS,MATCH(CONCATENATE(X$4,X$5),LADEN_VOYAGE_ROUTES,0),MATCH(X$6,LADEN_VOYAGE_SHIPS,0)))</f>
        <v>0</v>
      </c>
      <c r="X180" s="347" t="n">
        <f aca="false">+Y180-W180</f>
        <v>0</v>
      </c>
      <c r="Y180" s="348" t="n">
        <f aca="false">+IF(AND(X$8&lt;=V180,X$9&gt;=V180),+MIN($B180-SUMIF($H$17:X$17,Y$17,$H180:X180),((INDEX(ROUTE_PER_DAY_BY_SHIP,MATCH(CONCATENATE(X$4,X$5,X$7),ROUTE_PER_DAY_ROUTES,0),MATCH(X$6,ROUTE_PER_DAY_SHIPS,0))*(V181-V180))-(INDEX(ROUTE_PER_DAY_BY_SHIP,MATCH(CONCATENATE(X$4,X$5,X$7),ROUTE_PER_DAY_ROUTES,0),MATCH(X$6,ROUTE_PER_DAY_SHIPS,0))*(V181-V180))*HLOOKUP(X$6,SHIPS,7,0)*INDEX(LADEN_VOYAGE_DAYS,MATCH(CONCATENATE(X$4,X$5,X$7),LADEN_VOYAGE_ROUTES,0),MATCH(X$6,LADEN_VOYAGE_SHIPS,0)))),0)</f>
        <v>0</v>
      </c>
      <c r="Z180" s="349" t="n">
        <f aca="false">-(Y180)*HLOOKUP(X$5,TERMINAL_CHARGES,3,0)</f>
        <v>-0</v>
      </c>
      <c r="AA180" s="327" t="n">
        <f aca="false">+Y180+Z180</f>
        <v>0</v>
      </c>
      <c r="AB180" s="333"/>
      <c r="AC180" s="346" t="n">
        <f aca="false">+DATE(YEAR(AC179),MONTH(AC179)+1,1)</f>
        <v>41640</v>
      </c>
      <c r="AD180" s="343" t="n">
        <f aca="false">+AA180*(VLOOKUP(AC180,CURVECALC!$C$6:$J$312,4,0)+AE$5)</f>
        <v>0</v>
      </c>
      <c r="AE180" s="350" t="n">
        <f aca="false">-W180*INDEX(ship_curves,MATCH(AC180,'SHIP CURVES'!$A$9:$A$316,0),MATCH(CONCATENATE(AG$4,AG$5,AG$6,AG$7),'SHIP CURVES'!$A$9:$AZ$9,0))</f>
        <v>-0</v>
      </c>
      <c r="AF180" s="351" t="n">
        <f aca="false">-Y180*INDEX(port_processing_fee,MATCH(AC180,PORTS!$H$626:$H$933,0),MATCH(AG$5,PORTS!$H$626:$Z$626,0))</f>
        <v>-0</v>
      </c>
      <c r="AG180" s="352" t="n">
        <f aca="false">(((VLOOKUP(AC180,curvecalc,4,0))*IF(W180=0,0,AA180/W180)-INDEX(ship_curves,MATCH(AC180,'SHIP CURVES'!$A$9:$A$316,0),MATCH(CONCATENATE(AG$4,AG$5,AG$6,AG$7),'SHIP CURVES'!$A$9:$Z$9,0))-INDEX(terminal_curves,MATCH(AC180,'TERMINAL CURVES'!$A$4:$A$313,0),MATCH(AG$5,'TERMINAL CURVES'!$A$4:$N$4,0))*IF(W180=0,0,Y180/W180))-(AE$8)*((AE$7-$N$5)-(INDEX(ship_curves,MATCH(AC180,'SHIP CURVES'!$A$9:$A$316,0),MATCH(CONCATENATE(AG$4,AG$5,AG$6,AG$7),'SHIP CURVES'!$A$9:$Z$9,0))-INDEX(ship_curves,MATCH(AC180,'SHIP CURVES'!$A$9:$A$316,0),MATCH(CONCATENATE(AG$4,AE$6,AG$6,AG$7),'SHIP CURVES'!$A$9:$Z$9,0)))-(INDEX(terminal_curves,MATCH(AC180,'TERMINAL CURVES'!$A$4:$A$313,0),MATCH(AG$5,'TERMINAL CURVES'!$A$4:$N$4,0))-INDEX(terminal_curves,MATCH(AC180,'TERMINAL CURVES'!$A$4:$A$313,0),MATCH(AE$6,'TERMINAL CURVES'!$A$4:$N$4,0)))*IF(W180=0,0,Y180/W180)))*-W180</f>
        <v>0</v>
      </c>
      <c r="AH180" s="356" t="n">
        <f aca="false">SUM(AE180:AG180)</f>
        <v>0</v>
      </c>
      <c r="AI180" s="357" t="n">
        <f aca="false">(-Y180/((HLOOKUP(AG$5,port_specs,2,0)/(365.25))*(AC181-AC180)))*(INDEX(fixed_capacity_charge,MATCH(AC180,PORTS!$H$11:$H$317,0),MATCH(AG$5,PORTS!$H$11:$N$11,0))+INDEX(variable_om_charge,MATCH(AC180,PORTS!$H$318:$H$625,0),MATCH(AG$5,PORTS!$H$318:$N$318,0)))</f>
        <v>-0</v>
      </c>
      <c r="AJ180" s="343" t="n">
        <f aca="false">+AI180+AH180</f>
        <v>0</v>
      </c>
      <c r="AK180" s="355" t="n">
        <f aca="false">+AJ180+AD180</f>
        <v>0</v>
      </c>
      <c r="AM180" s="346" t="n">
        <f aca="false">+DATE(YEAR(AM179),MONTH(AM179)+1,1)</f>
        <v>41640</v>
      </c>
      <c r="AN180" s="327" t="n">
        <f aca="false">+AP180/(1-HLOOKUP(AO$6,SHIPS,7,0)*INDEX(LADEN_VOYAGE_DAYS,MATCH(CONCATENATE(AO$4,AO$5),LADEN_VOYAGE_ROUTES,0),MATCH(AO$6,LADEN_VOYAGE_SHIPS,0)))</f>
        <v>5395761.47735991</v>
      </c>
      <c r="AO180" s="347" t="n">
        <f aca="false">+AP180-AN180</f>
        <v>-56655.4955122788</v>
      </c>
      <c r="AP180" s="348" t="n">
        <f aca="false">+IF(AND(AO$8&lt;=AM180,AO$9&gt;=AM180),+MIN($B180-SUMIF($H$17:AO$17,AP$17,$H180:AO180),((INDEX(ROUTE_PER_DAY_BY_SHIP,MATCH(CONCATENATE(AO$4,AO$5,AO$7),ROUTE_PER_DAY_ROUTES,0),MATCH(AO$6,ROUTE_PER_DAY_SHIPS,0))*(AM181-AM180))-(INDEX(ROUTE_PER_DAY_BY_SHIP,MATCH(CONCATENATE(AO$4,AO$5,AO$7),ROUTE_PER_DAY_ROUTES,0),MATCH(AO$6,ROUTE_PER_DAY_SHIPS,0))*(AM181-AM180))*HLOOKUP(AO$6,SHIPS,7,0)*INDEX(LADEN_VOYAGE_DAYS,MATCH(CONCATENATE(AO$4,AO$5,AO$7),LADEN_VOYAGE_ROUTES,0),MATCH(AO$6,LADEN_VOYAGE_SHIPS,0)))),0)</f>
        <v>5339105.98184763</v>
      </c>
      <c r="AQ180" s="349" t="n">
        <f aca="false">-(AP180)*PORTS!$I$6</f>
        <v>-133477.649546191</v>
      </c>
      <c r="AR180" s="327" t="n">
        <f aca="false">+AP180+AQ180</f>
        <v>5205628.33230144</v>
      </c>
      <c r="AS180" s="333"/>
      <c r="AT180" s="346" t="n">
        <f aca="false">+DATE(YEAR(AT179),MONTH(AT179)+1,1)</f>
        <v>41640</v>
      </c>
      <c r="AU180" s="343" t="n">
        <f aca="false">+AR180*(VLOOKUP(AT180,CURVECALC!$C$6:$J$312,4,0)+AV$5)</f>
        <v>20702783.8775628</v>
      </c>
      <c r="AV180" s="350" t="n">
        <f aca="false">-AN180*INDEX(ship_curves,MATCH(AT180,'SHIP CURVES'!$A$9:$A$316,0),MATCH(CONCATENATE(AX$4,AX$5,AX$6,AX$7),'SHIP CURVES'!$A$9:$AZ$9,0))</f>
        <v>-1819902.13807143</v>
      </c>
      <c r="AW180" s="351" t="n">
        <f aca="false">-AP180*INDEX(port_processing_fee,MATCH(AT180,PORTS!$H$626:$H$933,0),MATCH(AX$5,PORTS!$H$626:$Z$626,0))</f>
        <v>-167413.551559649</v>
      </c>
      <c r="AX180" s="352" t="n">
        <f aca="false">(((VLOOKUP(AT180,curvecalc,4,0))*IF(AN180=0,0,AR180/AN180)-INDEX(ship_curves,MATCH(AT180,'SHIP CURVES'!$A$9:$A$316,0),MATCH(CONCATENATE(AX$4,AX$5,AX$6,AX$7),'SHIP CURVES'!$A$9:$Z$9,0))-INDEX(terminal_curves,MATCH(AT180,'TERMINAL CURVES'!$A$4:$A$313,0),MATCH(AX$5,'TERMINAL CURVES'!$A$4:$N$4,0))*IF(AN180=0,0,AP180/AN180))-(AV$8)*((AV$7-$N$5)-(INDEX(ship_curves,MATCH(AT180,'SHIP CURVES'!$A$9:$A$316,0),MATCH(CONCATENATE(AX$4,AX$5,AX$6,AX$7),'SHIP CURVES'!$A$9:$Z$9,0))-INDEX(ship_curves,MATCH(AT180,'SHIP CURVES'!$A$9:$A$316,0),MATCH(CONCATENATE(AX$4,AV$6,AX$6,AX$7),'SHIP CURVES'!$A$9:$Z$9,0)))-(INDEX(terminal_curves,MATCH(AT180,'TERMINAL CURVES'!$A$4:$A$313,0),MATCH(AX$5,'TERMINAL CURVES'!$A$4:$N$4,0))-INDEX(terminal_curves,MATCH(AT180,'TERMINAL CURVES'!$A$4:$A$313,0),MATCH(AV$6,'TERMINAL CURVES'!$A$4:$N$4,0)))*IF(AN180=0,0,AP180/AN180)))*-AN180</f>
        <v>-17586830.6202673</v>
      </c>
      <c r="AY180" s="356" t="n">
        <f aca="false">SUM(AV180:AX180)</f>
        <v>-19574146.3098984</v>
      </c>
      <c r="AZ180" s="357" t="n">
        <f aca="false">(-AP180/((HLOOKUP(AX$5,port_specs,2,0)/(365.25))*(AT181-AT180)))*(INDEX(fixed_capacity_charge,MATCH(AT180,PORTS!$H$11:$H$317,0),MATCH(AX$5,PORTS!$H$11:$N$11,0))+INDEX(variable_om_charge,MATCH(AT180,PORTS!$H$318:$H$625,0),MATCH(AX$5,PORTS!$H$318:$N$318,0)))</f>
        <v>-1024525.00101842</v>
      </c>
      <c r="BA180" s="343" t="n">
        <f aca="false">+AZ180+AY180</f>
        <v>-20598671.3109168</v>
      </c>
      <c r="BB180" s="355" t="n">
        <f aca="false">+BA180+AU180</f>
        <v>104112.566646028</v>
      </c>
      <c r="BC180" s="99"/>
      <c r="BD180" s="357" t="n">
        <f aca="false">+PORTS!I174+PORTS!I482</f>
        <v>1024525.00101842</v>
      </c>
    </row>
    <row r="181" customFormat="false" ht="12.75" hidden="false" customHeight="false" outlineLevel="0" collapsed="false">
      <c r="A181" s="346" t="n">
        <f aca="false">+DATE(YEAR(A180),MONTH(A180)+1,1)</f>
        <v>41671</v>
      </c>
      <c r="B181" s="327" t="n">
        <f aca="false">+IF(AND($A181&gt;=$C$8,$A181&lt;=$C$9),1,0)*PORTS!$I$5/(365.25)*(A182-A181)</f>
        <v>4822418.30618496</v>
      </c>
      <c r="C181" s="328" t="n">
        <f aca="false">+B181-(SUMIF($F$17:$IV$17,$H$17,$F181:$IV181))</f>
        <v>0</v>
      </c>
      <c r="D181" s="0" t="n">
        <f aca="false">+YEAR(E181)</f>
        <v>2014</v>
      </c>
      <c r="E181" s="346" t="n">
        <f aca="false">+DATE(YEAR(E180),MONTH(E180)+1,1)</f>
        <v>41671</v>
      </c>
      <c r="F181" s="327" t="n">
        <f aca="false">+IF(AND(G$8&lt;=E181,G$9&gt;=E181),INDEX(ROUTE_PER_DAY_BY_SHIP,MATCH(CONCATENATE(G$4,G$5,G$7),ROUTE_PER_DAY_ROUTES,0),MATCH(G$6,ROUTE_PER_DAY_SHIPS,0))*(E182-E181),0)</f>
        <v>0</v>
      </c>
      <c r="G181" s="347" t="n">
        <f aca="false">-F181*HLOOKUP(G$6,SHIPS,7,0)*INDEX(LADEN_VOYAGE_DAYS,MATCH(CONCATENATE(G$4,G$5,G$7),LADEN_VOYAGE_ROUTES,0),MATCH(G$6,LADEN_VOYAGE_SHIPS,0))</f>
        <v>-0</v>
      </c>
      <c r="H181" s="348" t="n">
        <f aca="false">SUM(F181:G181)</f>
        <v>0</v>
      </c>
      <c r="I181" s="349" t="n">
        <f aca="false">-(H181)*HLOOKUP(G$5,TERMINAL_CHARGES,3,0)</f>
        <v>-0</v>
      </c>
      <c r="J181" s="327" t="n">
        <f aca="false">+H181+I181</f>
        <v>0</v>
      </c>
      <c r="K181" s="333"/>
      <c r="L181" s="346" t="n">
        <f aca="false">+DATE(YEAR(L180),MONTH(L180)+1,1)</f>
        <v>41671</v>
      </c>
      <c r="M181" s="334" t="n">
        <f aca="false">+J181*(VLOOKUP(L181,CURVECALC!$C$6:$J$312,4,0)+N$5)</f>
        <v>0</v>
      </c>
      <c r="N181" s="350" t="n">
        <f aca="false">-F181*INDEX(ship_curves,MATCH(L181,'SHIP CURVES'!$A$9:$A$316,0),MATCH(CONCATENATE(P$4,P$5,P$6,P$7),'SHIP CURVES'!$A$9:$AZ$9,0))</f>
        <v>-0</v>
      </c>
      <c r="O181" s="351" t="n">
        <f aca="false">-H181*INDEX(port_processing_fee,MATCH(L181,PORTS!$H$626:$H$933,0),MATCH(P$5,PORTS!$H$626:$Z$626,0))</f>
        <v>-0</v>
      </c>
      <c r="P181" s="352" t="n">
        <f aca="false">(((VLOOKUP(L181,curvecalc,4,0))*IF(F181=0,0,J181/F181)-INDEX(ship_curves,MATCH(L181,'SHIP CURVES'!$A$9:$A$316,0),MATCH(CONCATENATE(P$4,P$5,P$6,P$7),'SHIP CURVES'!$A$9:$Z$9,0))-INDEX(terminal_curves,MATCH(L181,'TERMINAL CURVES'!$A$4:$A$313,0),MATCH(P$5,'TERMINAL CURVES'!$A$4:$N$4,0))*IF(F181=0,0,H181/F181))-(N$8)*((N$7-$N$5)-(INDEX(ship_curves,MATCH(L181,'SHIP CURVES'!$A$9:$A$316,0),MATCH(CONCATENATE(P$4,P$5,P$6,P$7),'SHIP CURVES'!$A$9:$Z$9,0))-INDEX(ship_curves,MATCH(L181,'SHIP CURVES'!$A$9:$A$316,0),MATCH(CONCATENATE(P$4,N$6,P$6,P$7),'SHIP CURVES'!$A$9:$Z$9,0)))-(INDEX(terminal_curves,MATCH(L181,'TERMINAL CURVES'!$A$4:$A$313,0),MATCH(P$5,'TERMINAL CURVES'!$A$4:$N$4,0))-INDEX(terminal_curves,MATCH(L181,'TERMINAL CURVES'!$A$4:$A$313,0),MATCH(N$6,'TERMINAL CURVES'!$A$4:$N$4,0)))*IF(F181=0,0,H181/F181)))*-F181</f>
        <v>0</v>
      </c>
      <c r="Q181" s="353" t="n">
        <f aca="false">SUM(N181:P181)</f>
        <v>0</v>
      </c>
      <c r="R181" s="357" t="n">
        <f aca="false">(-H181/((HLOOKUP(P$5,port_specs,2,0)/(365.25))*(L182-L181)))*(INDEX(fixed_capacity_charge,MATCH(L181,PORTS!$H$11:$H$317,0),MATCH(P$5,PORTS!$H$11:$N$11,0))+INDEX(variable_om_charge,MATCH(L181,PORTS!$H$318:$H$625,0),MATCH(P$5,PORTS!$H$318:$N$318,0)))</f>
        <v>-0</v>
      </c>
      <c r="S181" s="343" t="n">
        <f aca="false">+R181+Q181</f>
        <v>0</v>
      </c>
      <c r="T181" s="355" t="n">
        <f aca="false">+S181+M181</f>
        <v>0</v>
      </c>
      <c r="V181" s="346" t="n">
        <f aca="false">+DATE(YEAR(V180),MONTH(V180)+1,1)</f>
        <v>41671</v>
      </c>
      <c r="W181" s="327" t="n">
        <f aca="false">+Y181/(1-HLOOKUP(X$6,SHIPS,7,0)*INDEX(LADEN_VOYAGE_DAYS,MATCH(CONCATENATE(X$4,X$5),LADEN_VOYAGE_ROUTES,0),MATCH(X$6,LADEN_VOYAGE_SHIPS,0)))</f>
        <v>0</v>
      </c>
      <c r="X181" s="347" t="n">
        <f aca="false">+Y181-W181</f>
        <v>0</v>
      </c>
      <c r="Y181" s="348" t="n">
        <f aca="false">+IF(AND(X$8&lt;=V181,X$9&gt;=V181),+MIN($B181-SUMIF($H$17:X$17,Y$17,$H181:X181),((INDEX(ROUTE_PER_DAY_BY_SHIP,MATCH(CONCATENATE(X$4,X$5,X$7),ROUTE_PER_DAY_ROUTES,0),MATCH(X$6,ROUTE_PER_DAY_SHIPS,0))*(V182-V181))-(INDEX(ROUTE_PER_DAY_BY_SHIP,MATCH(CONCATENATE(X$4,X$5,X$7),ROUTE_PER_DAY_ROUTES,0),MATCH(X$6,ROUTE_PER_DAY_SHIPS,0))*(V182-V181))*HLOOKUP(X$6,SHIPS,7,0)*INDEX(LADEN_VOYAGE_DAYS,MATCH(CONCATENATE(X$4,X$5,X$7),LADEN_VOYAGE_ROUTES,0),MATCH(X$6,LADEN_VOYAGE_SHIPS,0)))),0)</f>
        <v>0</v>
      </c>
      <c r="Z181" s="349" t="n">
        <f aca="false">-(Y181)*HLOOKUP(X$5,TERMINAL_CHARGES,3,0)</f>
        <v>-0</v>
      </c>
      <c r="AA181" s="327" t="n">
        <f aca="false">+Y181+Z181</f>
        <v>0</v>
      </c>
      <c r="AB181" s="333"/>
      <c r="AC181" s="346" t="n">
        <f aca="false">+DATE(YEAR(AC180),MONTH(AC180)+1,1)</f>
        <v>41671</v>
      </c>
      <c r="AD181" s="343" t="n">
        <f aca="false">+AA181*(VLOOKUP(AC181,CURVECALC!$C$6:$J$312,4,0)+AE$5)</f>
        <v>0</v>
      </c>
      <c r="AE181" s="350" t="n">
        <f aca="false">-W181*INDEX(ship_curves,MATCH(AC181,'SHIP CURVES'!$A$9:$A$316,0),MATCH(CONCATENATE(AG$4,AG$5,AG$6,AG$7),'SHIP CURVES'!$A$9:$AZ$9,0))</f>
        <v>-0</v>
      </c>
      <c r="AF181" s="351" t="n">
        <f aca="false">-Y181*INDEX(port_processing_fee,MATCH(AC181,PORTS!$H$626:$H$933,0),MATCH(AG$5,PORTS!$H$626:$Z$626,0))</f>
        <v>-0</v>
      </c>
      <c r="AG181" s="352" t="n">
        <f aca="false">(((VLOOKUP(AC181,curvecalc,4,0))*IF(W181=0,0,AA181/W181)-INDEX(ship_curves,MATCH(AC181,'SHIP CURVES'!$A$9:$A$316,0),MATCH(CONCATENATE(AG$4,AG$5,AG$6,AG$7),'SHIP CURVES'!$A$9:$Z$9,0))-INDEX(terminal_curves,MATCH(AC181,'TERMINAL CURVES'!$A$4:$A$313,0),MATCH(AG$5,'TERMINAL CURVES'!$A$4:$N$4,0))*IF(W181=0,0,Y181/W181))-(AE$8)*((AE$7-$N$5)-(INDEX(ship_curves,MATCH(AC181,'SHIP CURVES'!$A$9:$A$316,0),MATCH(CONCATENATE(AG$4,AG$5,AG$6,AG$7),'SHIP CURVES'!$A$9:$Z$9,0))-INDEX(ship_curves,MATCH(AC181,'SHIP CURVES'!$A$9:$A$316,0),MATCH(CONCATENATE(AG$4,AE$6,AG$6,AG$7),'SHIP CURVES'!$A$9:$Z$9,0)))-(INDEX(terminal_curves,MATCH(AC181,'TERMINAL CURVES'!$A$4:$A$313,0),MATCH(AG$5,'TERMINAL CURVES'!$A$4:$N$4,0))-INDEX(terminal_curves,MATCH(AC181,'TERMINAL CURVES'!$A$4:$A$313,0),MATCH(AE$6,'TERMINAL CURVES'!$A$4:$N$4,0)))*IF(W181=0,0,Y181/W181)))*-W181</f>
        <v>0</v>
      </c>
      <c r="AH181" s="356" t="n">
        <f aca="false">SUM(AE181:AG181)</f>
        <v>0</v>
      </c>
      <c r="AI181" s="357" t="n">
        <f aca="false">(-Y181/((HLOOKUP(AG$5,port_specs,2,0)/(365.25))*(AC182-AC181)))*(INDEX(fixed_capacity_charge,MATCH(AC181,PORTS!$H$11:$H$317,0),MATCH(AG$5,PORTS!$H$11:$N$11,0))+INDEX(variable_om_charge,MATCH(AC181,PORTS!$H$318:$H$625,0),MATCH(AG$5,PORTS!$H$318:$N$318,0)))</f>
        <v>-0</v>
      </c>
      <c r="AJ181" s="343" t="n">
        <f aca="false">+AI181+AH181</f>
        <v>0</v>
      </c>
      <c r="AK181" s="355" t="n">
        <f aca="false">+AJ181+AD181</f>
        <v>0</v>
      </c>
      <c r="AM181" s="346" t="n">
        <f aca="false">+DATE(YEAR(AM180),MONTH(AM180)+1,1)</f>
        <v>41671</v>
      </c>
      <c r="AN181" s="327" t="n">
        <f aca="false">+AP181/(1-HLOOKUP(AO$6,SHIPS,7,0)*INDEX(LADEN_VOYAGE_DAYS,MATCH(CONCATENATE(AO$4,AO$5),LADEN_VOYAGE_ROUTES,0),MATCH(AO$6,LADEN_VOYAGE_SHIPS,0)))</f>
        <v>4873591.01180895</v>
      </c>
      <c r="AO181" s="347" t="n">
        <f aca="false">+AP181-AN181</f>
        <v>-51172.7056239937</v>
      </c>
      <c r="AP181" s="348" t="n">
        <f aca="false">+IF(AND(AO$8&lt;=AM181,AO$9&gt;=AM181),+MIN($B181-SUMIF($H$17:AO$17,AP$17,$H181:AO181),((INDEX(ROUTE_PER_DAY_BY_SHIP,MATCH(CONCATENATE(AO$4,AO$5,AO$7),ROUTE_PER_DAY_ROUTES,0),MATCH(AO$6,ROUTE_PER_DAY_SHIPS,0))*(AM182-AM181))-(INDEX(ROUTE_PER_DAY_BY_SHIP,MATCH(CONCATENATE(AO$4,AO$5,AO$7),ROUTE_PER_DAY_ROUTES,0),MATCH(AO$6,ROUTE_PER_DAY_SHIPS,0))*(AM182-AM181))*HLOOKUP(AO$6,SHIPS,7,0)*INDEX(LADEN_VOYAGE_DAYS,MATCH(CONCATENATE(AO$4,AO$5,AO$7),LADEN_VOYAGE_ROUTES,0),MATCH(AO$6,LADEN_VOYAGE_SHIPS,0)))),0)</f>
        <v>4822418.30618496</v>
      </c>
      <c r="AQ181" s="349" t="n">
        <f aca="false">-(AP181)*PORTS!$I$6</f>
        <v>-120560.457654624</v>
      </c>
      <c r="AR181" s="327" t="n">
        <f aca="false">+AP181+AQ181</f>
        <v>4701857.84853034</v>
      </c>
      <c r="AS181" s="333"/>
      <c r="AT181" s="346" t="n">
        <f aca="false">+DATE(YEAR(AT180),MONTH(AT180)+1,1)</f>
        <v>41671</v>
      </c>
      <c r="AU181" s="343" t="n">
        <f aca="false">+AR181*(VLOOKUP(AT181,CURVECALC!$C$6:$J$312,4,0)+AV$5)</f>
        <v>18294928.8886315</v>
      </c>
      <c r="AV181" s="350" t="n">
        <f aca="false">-AN181*INDEX(ship_curves,MATCH(AT181,'SHIP CURVES'!$A$9:$A$316,0),MATCH(CONCATENATE(AX$4,AX$5,AX$6,AX$7),'SHIP CURVES'!$A$9:$AZ$9,0))</f>
        <v>-1644320.70021435</v>
      </c>
      <c r="AW181" s="351" t="n">
        <f aca="false">-AP181*INDEX(port_processing_fee,MATCH(AT181,PORTS!$H$626:$H$933,0),MATCH(AX$5,PORTS!$H$626:$Z$626,0))</f>
        <v>-151369.752868516</v>
      </c>
      <c r="AX181" s="352" t="n">
        <f aca="false">(((VLOOKUP(AT181,curvecalc,4,0))*IF(AN181=0,0,AR181/AN181)-INDEX(ship_curves,MATCH(AT181,'SHIP CURVES'!$A$9:$A$316,0),MATCH(CONCATENATE(AX$4,AX$5,AX$6,AX$7),'SHIP CURVES'!$A$9:$Z$9,0))-INDEX(terminal_curves,MATCH(AT181,'TERMINAL CURVES'!$A$4:$A$313,0),MATCH(AX$5,'TERMINAL CURVES'!$A$4:$N$4,0))*IF(AN181=0,0,AP181/AN181))-(AV$8)*((AV$7-$N$5)-(INDEX(ship_curves,MATCH(AT181,'SHIP CURVES'!$A$9:$A$316,0),MATCH(CONCATENATE(AX$4,AX$5,AX$6,AX$7),'SHIP CURVES'!$A$9:$Z$9,0))-INDEX(ship_curves,MATCH(AT181,'SHIP CURVES'!$A$9:$A$316,0),MATCH(CONCATENATE(AX$4,AV$6,AX$6,AX$7),'SHIP CURVES'!$A$9:$Z$9,0)))-(INDEX(terminal_curves,MATCH(AT181,'TERMINAL CURVES'!$A$4:$A$313,0),MATCH(AX$5,'TERMINAL CURVES'!$A$4:$N$4,0))-INDEX(terminal_curves,MATCH(AT181,'TERMINAL CURVES'!$A$4:$A$313,0),MATCH(AV$6,'TERMINAL CURVES'!$A$4:$N$4,0)))*IF(AN181=0,0,AP181/AN181)))*-AN181</f>
        <v>-15380114.4666949</v>
      </c>
      <c r="AY181" s="356" t="n">
        <f aca="false">SUM(AV181:AX181)</f>
        <v>-17175804.9197778</v>
      </c>
      <c r="AZ181" s="357" t="n">
        <f aca="false">(-AP181/((HLOOKUP(AX$5,port_specs,2,0)/(365.25))*(AT182-AT181)))*(INDEX(fixed_capacity_charge,MATCH(AT181,PORTS!$H$11:$H$317,0),MATCH(AX$5,PORTS!$H$11:$N$11,0))+INDEX(variable_om_charge,MATCH(AT181,PORTS!$H$318:$H$625,0),MATCH(AX$5,PORTS!$H$318:$N$318,0)))</f>
        <v>-1025086.81188311</v>
      </c>
      <c r="BA181" s="343" t="n">
        <f aca="false">+AZ181+AY181</f>
        <v>-18200891.7316609</v>
      </c>
      <c r="BB181" s="355" t="n">
        <f aca="false">+BA181+AU181</f>
        <v>94037.156970609</v>
      </c>
      <c r="BC181" s="99"/>
      <c r="BD181" s="357" t="n">
        <f aca="false">+PORTS!I175+PORTS!I483</f>
        <v>1025086.81188311</v>
      </c>
    </row>
    <row r="182" customFormat="false" ht="12.75" hidden="false" customHeight="false" outlineLevel="0" collapsed="false">
      <c r="A182" s="346" t="n">
        <f aca="false">+DATE(YEAR(A181),MONTH(A181)+1,1)</f>
        <v>41699</v>
      </c>
      <c r="B182" s="327" t="n">
        <f aca="false">+IF(AND($A182&gt;=$C$8,$A182&lt;=$C$9),1,0)*PORTS!$I$5/(365.25)*(A183-A182)</f>
        <v>5339105.98184763</v>
      </c>
      <c r="C182" s="328" t="n">
        <f aca="false">+B182-(SUMIF($F$17:$IV$17,$H$17,$F182:$IV182))</f>
        <v>0</v>
      </c>
      <c r="D182" s="0" t="n">
        <f aca="false">+YEAR(E182)</f>
        <v>2014</v>
      </c>
      <c r="E182" s="346" t="n">
        <f aca="false">+DATE(YEAR(E181),MONTH(E181)+1,1)</f>
        <v>41699</v>
      </c>
      <c r="F182" s="327" t="n">
        <f aca="false">+IF(AND(G$8&lt;=E182,G$9&gt;=E182),INDEX(ROUTE_PER_DAY_BY_SHIP,MATCH(CONCATENATE(G$4,G$5,G$7),ROUTE_PER_DAY_ROUTES,0),MATCH(G$6,ROUTE_PER_DAY_SHIPS,0))*(E183-E182),0)</f>
        <v>0</v>
      </c>
      <c r="G182" s="347" t="n">
        <f aca="false">-F182*HLOOKUP(G$6,SHIPS,7,0)*INDEX(LADEN_VOYAGE_DAYS,MATCH(CONCATENATE(G$4,G$5,G$7),LADEN_VOYAGE_ROUTES,0),MATCH(G$6,LADEN_VOYAGE_SHIPS,0))</f>
        <v>-0</v>
      </c>
      <c r="H182" s="348" t="n">
        <f aca="false">SUM(F182:G182)</f>
        <v>0</v>
      </c>
      <c r="I182" s="349" t="n">
        <f aca="false">-(H182)*HLOOKUP(G$5,TERMINAL_CHARGES,3,0)</f>
        <v>-0</v>
      </c>
      <c r="J182" s="327" t="n">
        <f aca="false">+H182+I182</f>
        <v>0</v>
      </c>
      <c r="K182" s="333"/>
      <c r="L182" s="346" t="n">
        <f aca="false">+DATE(YEAR(L181),MONTH(L181)+1,1)</f>
        <v>41699</v>
      </c>
      <c r="M182" s="334" t="n">
        <f aca="false">+J182*(VLOOKUP(L182,CURVECALC!$C$6:$J$312,4,0)+N$5)</f>
        <v>0</v>
      </c>
      <c r="N182" s="350" t="n">
        <f aca="false">-F182*INDEX(ship_curves,MATCH(L182,'SHIP CURVES'!$A$9:$A$316,0),MATCH(CONCATENATE(P$4,P$5,P$6,P$7),'SHIP CURVES'!$A$9:$AZ$9,0))</f>
        <v>-0</v>
      </c>
      <c r="O182" s="351" t="n">
        <f aca="false">-H182*INDEX(port_processing_fee,MATCH(L182,PORTS!$H$626:$H$933,0),MATCH(P$5,PORTS!$H$626:$Z$626,0))</f>
        <v>-0</v>
      </c>
      <c r="P182" s="352" t="n">
        <f aca="false">(((VLOOKUP(L182,curvecalc,4,0))*IF(F182=0,0,J182/F182)-INDEX(ship_curves,MATCH(L182,'SHIP CURVES'!$A$9:$A$316,0),MATCH(CONCATENATE(P$4,P$5,P$6,P$7),'SHIP CURVES'!$A$9:$Z$9,0))-INDEX(terminal_curves,MATCH(L182,'TERMINAL CURVES'!$A$4:$A$313,0),MATCH(P$5,'TERMINAL CURVES'!$A$4:$N$4,0))*IF(F182=0,0,H182/F182))-(N$8)*((N$7-$N$5)-(INDEX(ship_curves,MATCH(L182,'SHIP CURVES'!$A$9:$A$316,0),MATCH(CONCATENATE(P$4,P$5,P$6,P$7),'SHIP CURVES'!$A$9:$Z$9,0))-INDEX(ship_curves,MATCH(L182,'SHIP CURVES'!$A$9:$A$316,0),MATCH(CONCATENATE(P$4,N$6,P$6,P$7),'SHIP CURVES'!$A$9:$Z$9,0)))-(INDEX(terminal_curves,MATCH(L182,'TERMINAL CURVES'!$A$4:$A$313,0),MATCH(P$5,'TERMINAL CURVES'!$A$4:$N$4,0))-INDEX(terminal_curves,MATCH(L182,'TERMINAL CURVES'!$A$4:$A$313,0),MATCH(N$6,'TERMINAL CURVES'!$A$4:$N$4,0)))*IF(F182=0,0,H182/F182)))*-F182</f>
        <v>0</v>
      </c>
      <c r="Q182" s="353" t="n">
        <f aca="false">SUM(N182:P182)</f>
        <v>0</v>
      </c>
      <c r="R182" s="357" t="n">
        <f aca="false">(-H182/((HLOOKUP(P$5,port_specs,2,0)/(365.25))*(L183-L182)))*(INDEX(fixed_capacity_charge,MATCH(L182,PORTS!$H$11:$H$317,0),MATCH(P$5,PORTS!$H$11:$N$11,0))+INDEX(variable_om_charge,MATCH(L182,PORTS!$H$318:$H$625,0),MATCH(P$5,PORTS!$H$318:$N$318,0)))</f>
        <v>-0</v>
      </c>
      <c r="S182" s="343" t="n">
        <f aca="false">+R182+Q182</f>
        <v>0</v>
      </c>
      <c r="T182" s="355" t="n">
        <f aca="false">+S182+M182</f>
        <v>0</v>
      </c>
      <c r="V182" s="346" t="n">
        <f aca="false">+DATE(YEAR(V181),MONTH(V181)+1,1)</f>
        <v>41699</v>
      </c>
      <c r="W182" s="327" t="n">
        <f aca="false">+Y182/(1-HLOOKUP(X$6,SHIPS,7,0)*INDEX(LADEN_VOYAGE_DAYS,MATCH(CONCATENATE(X$4,X$5),LADEN_VOYAGE_ROUTES,0),MATCH(X$6,LADEN_VOYAGE_SHIPS,0)))</f>
        <v>0</v>
      </c>
      <c r="X182" s="347" t="n">
        <f aca="false">+Y182-W182</f>
        <v>0</v>
      </c>
      <c r="Y182" s="348" t="n">
        <f aca="false">+IF(AND(X$8&lt;=V182,X$9&gt;=V182),+MIN($B182-SUMIF($H$17:X$17,Y$17,$H182:X182),((INDEX(ROUTE_PER_DAY_BY_SHIP,MATCH(CONCATENATE(X$4,X$5,X$7),ROUTE_PER_DAY_ROUTES,0),MATCH(X$6,ROUTE_PER_DAY_SHIPS,0))*(V183-V182))-(INDEX(ROUTE_PER_DAY_BY_SHIP,MATCH(CONCATENATE(X$4,X$5,X$7),ROUTE_PER_DAY_ROUTES,0),MATCH(X$6,ROUTE_PER_DAY_SHIPS,0))*(V183-V182))*HLOOKUP(X$6,SHIPS,7,0)*INDEX(LADEN_VOYAGE_DAYS,MATCH(CONCATENATE(X$4,X$5,X$7),LADEN_VOYAGE_ROUTES,0),MATCH(X$6,LADEN_VOYAGE_SHIPS,0)))),0)</f>
        <v>0</v>
      </c>
      <c r="Z182" s="349" t="n">
        <f aca="false">-(Y182)*HLOOKUP(X$5,TERMINAL_CHARGES,3,0)</f>
        <v>-0</v>
      </c>
      <c r="AA182" s="327" t="n">
        <f aca="false">+Y182+Z182</f>
        <v>0</v>
      </c>
      <c r="AB182" s="333"/>
      <c r="AC182" s="346" t="n">
        <f aca="false">+DATE(YEAR(AC181),MONTH(AC181)+1,1)</f>
        <v>41699</v>
      </c>
      <c r="AD182" s="343" t="n">
        <f aca="false">+AA182*(VLOOKUP(AC182,CURVECALC!$C$6:$J$312,4,0)+AE$5)</f>
        <v>0</v>
      </c>
      <c r="AE182" s="350" t="n">
        <f aca="false">-W182*INDEX(ship_curves,MATCH(AC182,'SHIP CURVES'!$A$9:$A$316,0),MATCH(CONCATENATE(AG$4,AG$5,AG$6,AG$7),'SHIP CURVES'!$A$9:$AZ$9,0))</f>
        <v>-0</v>
      </c>
      <c r="AF182" s="351" t="n">
        <f aca="false">-Y182*INDEX(port_processing_fee,MATCH(AC182,PORTS!$H$626:$H$933,0),MATCH(AG$5,PORTS!$H$626:$Z$626,0))</f>
        <v>-0</v>
      </c>
      <c r="AG182" s="352" t="n">
        <f aca="false">(((VLOOKUP(AC182,curvecalc,4,0))*IF(W182=0,0,AA182/W182)-INDEX(ship_curves,MATCH(AC182,'SHIP CURVES'!$A$9:$A$316,0),MATCH(CONCATENATE(AG$4,AG$5,AG$6,AG$7),'SHIP CURVES'!$A$9:$Z$9,0))-INDEX(terminal_curves,MATCH(AC182,'TERMINAL CURVES'!$A$4:$A$313,0),MATCH(AG$5,'TERMINAL CURVES'!$A$4:$N$4,0))*IF(W182=0,0,Y182/W182))-(AE$8)*((AE$7-$N$5)-(INDEX(ship_curves,MATCH(AC182,'SHIP CURVES'!$A$9:$A$316,0),MATCH(CONCATENATE(AG$4,AG$5,AG$6,AG$7),'SHIP CURVES'!$A$9:$Z$9,0))-INDEX(ship_curves,MATCH(AC182,'SHIP CURVES'!$A$9:$A$316,0),MATCH(CONCATENATE(AG$4,AE$6,AG$6,AG$7),'SHIP CURVES'!$A$9:$Z$9,0)))-(INDEX(terminal_curves,MATCH(AC182,'TERMINAL CURVES'!$A$4:$A$313,0),MATCH(AG$5,'TERMINAL CURVES'!$A$4:$N$4,0))-INDEX(terminal_curves,MATCH(AC182,'TERMINAL CURVES'!$A$4:$A$313,0),MATCH(AE$6,'TERMINAL CURVES'!$A$4:$N$4,0)))*IF(W182=0,0,Y182/W182)))*-W182</f>
        <v>0</v>
      </c>
      <c r="AH182" s="356" t="n">
        <f aca="false">SUM(AE182:AG182)</f>
        <v>0</v>
      </c>
      <c r="AI182" s="357" t="n">
        <f aca="false">(-Y182/((HLOOKUP(AG$5,port_specs,2,0)/(365.25))*(AC183-AC182)))*(INDEX(fixed_capacity_charge,MATCH(AC182,PORTS!$H$11:$H$317,0),MATCH(AG$5,PORTS!$H$11:$N$11,0))+INDEX(variable_om_charge,MATCH(AC182,PORTS!$H$318:$H$625,0),MATCH(AG$5,PORTS!$H$318:$N$318,0)))</f>
        <v>-0</v>
      </c>
      <c r="AJ182" s="343" t="n">
        <f aca="false">+AI182+AH182</f>
        <v>0</v>
      </c>
      <c r="AK182" s="355" t="n">
        <f aca="false">+AJ182+AD182</f>
        <v>0</v>
      </c>
      <c r="AM182" s="346" t="n">
        <f aca="false">+DATE(YEAR(AM181),MONTH(AM181)+1,1)</f>
        <v>41699</v>
      </c>
      <c r="AN182" s="327" t="n">
        <f aca="false">+AP182/(1-HLOOKUP(AO$6,SHIPS,7,0)*INDEX(LADEN_VOYAGE_DAYS,MATCH(CONCATENATE(AO$4,AO$5),LADEN_VOYAGE_ROUTES,0),MATCH(AO$6,LADEN_VOYAGE_SHIPS,0)))</f>
        <v>5395761.47735991</v>
      </c>
      <c r="AO182" s="347" t="n">
        <f aca="false">+AP182-AN182</f>
        <v>-56655.4955122788</v>
      </c>
      <c r="AP182" s="348" t="n">
        <f aca="false">+IF(AND(AO$8&lt;=AM182,AO$9&gt;=AM182),+MIN($B182-SUMIF($H$17:AO$17,AP$17,$H182:AO182),((INDEX(ROUTE_PER_DAY_BY_SHIP,MATCH(CONCATENATE(AO$4,AO$5,AO$7),ROUTE_PER_DAY_ROUTES,0),MATCH(AO$6,ROUTE_PER_DAY_SHIPS,0))*(AM183-AM182))-(INDEX(ROUTE_PER_DAY_BY_SHIP,MATCH(CONCATENATE(AO$4,AO$5,AO$7),ROUTE_PER_DAY_ROUTES,0),MATCH(AO$6,ROUTE_PER_DAY_SHIPS,0))*(AM183-AM182))*HLOOKUP(AO$6,SHIPS,7,0)*INDEX(LADEN_VOYAGE_DAYS,MATCH(CONCATENATE(AO$4,AO$5,AO$7),LADEN_VOYAGE_ROUTES,0),MATCH(AO$6,LADEN_VOYAGE_SHIPS,0)))),0)</f>
        <v>5339105.98184763</v>
      </c>
      <c r="AQ182" s="349" t="n">
        <f aca="false">-(AP182)*PORTS!$I$6</f>
        <v>-133477.649546191</v>
      </c>
      <c r="AR182" s="327" t="n">
        <f aca="false">+AP182+AQ182</f>
        <v>5205628.33230144</v>
      </c>
      <c r="AS182" s="333"/>
      <c r="AT182" s="346" t="n">
        <f aca="false">+DATE(YEAR(AT181),MONTH(AT181)+1,1)</f>
        <v>41699</v>
      </c>
      <c r="AU182" s="343" t="n">
        <f aca="false">+AR182*(VLOOKUP(AT182,CURVECALC!$C$6:$J$312,4,0)+AV$5)</f>
        <v>19698097.6094287</v>
      </c>
      <c r="AV182" s="350" t="n">
        <f aca="false">-AN182*INDEX(ship_curves,MATCH(AT182,'SHIP CURVES'!$A$9:$A$316,0),MATCH(CONCATENATE(AX$4,AX$5,AX$6,AX$7),'SHIP CURVES'!$A$9:$AZ$9,0))</f>
        <v>-1821094.93932588</v>
      </c>
      <c r="AW182" s="351" t="n">
        <f aca="false">-AP182*INDEX(port_processing_fee,MATCH(AT182,PORTS!$H$626:$H$933,0),MATCH(AX$5,PORTS!$H$626:$Z$626,0))</f>
        <v>-167762.511447394</v>
      </c>
      <c r="AX182" s="352" t="n">
        <f aca="false">(((VLOOKUP(AT182,curvecalc,4,0))*IF(AN182=0,0,AR182/AN182)-INDEX(ship_curves,MATCH(AT182,'SHIP CURVES'!$A$9:$A$316,0),MATCH(CONCATENATE(AX$4,AX$5,AX$6,AX$7),'SHIP CURVES'!$A$9:$Z$9,0))-INDEX(terminal_curves,MATCH(AT182,'TERMINAL CURVES'!$A$4:$A$313,0),MATCH(AX$5,'TERMINAL CURVES'!$A$4:$N$4,0))*IF(AN182=0,0,AP182/AN182))-(AV$8)*((AV$7-$N$5)-(INDEX(ship_curves,MATCH(AT182,'SHIP CURVES'!$A$9:$A$316,0),MATCH(CONCATENATE(AX$4,AX$5,AX$6,AX$7),'SHIP CURVES'!$A$9:$Z$9,0))-INDEX(ship_curves,MATCH(AT182,'SHIP CURVES'!$A$9:$A$316,0),MATCH(CONCATENATE(AX$4,AV$6,AX$6,AX$7),'SHIP CURVES'!$A$9:$Z$9,0)))-(INDEX(terminal_curves,MATCH(AT182,'TERMINAL CURVES'!$A$4:$A$313,0),MATCH(AX$5,'TERMINAL CURVES'!$A$4:$N$4,0))-INDEX(terminal_curves,MATCH(AT182,'TERMINAL CURVES'!$A$4:$A$313,0),MATCH(AV$6,'TERMINAL CURVES'!$A$4:$N$4,0)))*IF(AN182=0,0,AP182/AN182)))*-AN182</f>
        <v>-16579478.3840419</v>
      </c>
      <c r="AY182" s="356" t="n">
        <f aca="false">SUM(AV182:AX182)</f>
        <v>-18568335.8348152</v>
      </c>
      <c r="AZ182" s="357" t="n">
        <f aca="false">(-AP182/((HLOOKUP(AX$5,port_specs,2,0)/(365.25))*(AT183-AT182)))*(INDEX(fixed_capacity_charge,MATCH(AT182,PORTS!$H$11:$H$317,0),MATCH(AX$5,PORTS!$H$11:$N$11,0))+INDEX(variable_om_charge,MATCH(AT182,PORTS!$H$318:$H$625,0),MATCH(AX$5,PORTS!$H$318:$N$318,0)))</f>
        <v>-1025649.20796746</v>
      </c>
      <c r="BA182" s="343" t="n">
        <f aca="false">+AZ182+AY182</f>
        <v>-19593985.0427826</v>
      </c>
      <c r="BB182" s="355" t="n">
        <f aca="false">+BA182+AU182</f>
        <v>104112.566646028</v>
      </c>
      <c r="BC182" s="99"/>
      <c r="BD182" s="357" t="n">
        <f aca="false">+PORTS!I176+PORTS!I484</f>
        <v>1025649.20796746</v>
      </c>
    </row>
    <row r="183" customFormat="false" ht="12.75" hidden="false" customHeight="false" outlineLevel="0" collapsed="false">
      <c r="A183" s="346" t="n">
        <f aca="false">+DATE(YEAR(A182),MONTH(A182)+1,1)</f>
        <v>41730</v>
      </c>
      <c r="B183" s="327" t="n">
        <f aca="false">+IF(AND($A183&gt;=$C$8,$A183&lt;=$C$9),1,0)*PORTS!$I$5/(365.25)*(A184-A183)</f>
        <v>5166876.75662674</v>
      </c>
      <c r="C183" s="328" t="n">
        <f aca="false">+B183-(SUMIF($F$17:$IV$17,$H$17,$F183:$IV183))</f>
        <v>0</v>
      </c>
      <c r="D183" s="0" t="n">
        <f aca="false">+YEAR(E183)</f>
        <v>2014</v>
      </c>
      <c r="E183" s="346" t="n">
        <f aca="false">+DATE(YEAR(E182),MONTH(E182)+1,1)</f>
        <v>41730</v>
      </c>
      <c r="F183" s="327" t="n">
        <f aca="false">+IF(AND(G$8&lt;=E183,G$9&gt;=E183),INDEX(ROUTE_PER_DAY_BY_SHIP,MATCH(CONCATENATE(G$4,G$5,G$7),ROUTE_PER_DAY_ROUTES,0),MATCH(G$6,ROUTE_PER_DAY_SHIPS,0))*(E184-E183),0)</f>
        <v>0</v>
      </c>
      <c r="G183" s="347" t="n">
        <f aca="false">-F183*HLOOKUP(G$6,SHIPS,7,0)*INDEX(LADEN_VOYAGE_DAYS,MATCH(CONCATENATE(G$4,G$5,G$7),LADEN_VOYAGE_ROUTES,0),MATCH(G$6,LADEN_VOYAGE_SHIPS,0))</f>
        <v>-0</v>
      </c>
      <c r="H183" s="348" t="n">
        <f aca="false">SUM(F183:G183)</f>
        <v>0</v>
      </c>
      <c r="I183" s="349" t="n">
        <f aca="false">-(H183)*HLOOKUP(G$5,TERMINAL_CHARGES,3,0)</f>
        <v>-0</v>
      </c>
      <c r="J183" s="327" t="n">
        <f aca="false">+H183+I183</f>
        <v>0</v>
      </c>
      <c r="K183" s="333"/>
      <c r="L183" s="346" t="n">
        <f aca="false">+DATE(YEAR(L182),MONTH(L182)+1,1)</f>
        <v>41730</v>
      </c>
      <c r="M183" s="334" t="n">
        <f aca="false">+J183*(VLOOKUP(L183,CURVECALC!$C$6:$J$312,4,0)+N$5)</f>
        <v>0</v>
      </c>
      <c r="N183" s="350" t="n">
        <f aca="false">-F183*INDEX(ship_curves,MATCH(L183,'SHIP CURVES'!$A$9:$A$316,0),MATCH(CONCATENATE(P$4,P$5,P$6,P$7),'SHIP CURVES'!$A$9:$AZ$9,0))</f>
        <v>-0</v>
      </c>
      <c r="O183" s="351" t="n">
        <f aca="false">-H183*INDEX(port_processing_fee,MATCH(L183,PORTS!$H$626:$H$933,0),MATCH(P$5,PORTS!$H$626:$Z$626,0))</f>
        <v>-0</v>
      </c>
      <c r="P183" s="352" t="n">
        <f aca="false">(((VLOOKUP(L183,curvecalc,4,0))*IF(F183=0,0,J183/F183)-INDEX(ship_curves,MATCH(L183,'SHIP CURVES'!$A$9:$A$316,0),MATCH(CONCATENATE(P$4,P$5,P$6,P$7),'SHIP CURVES'!$A$9:$Z$9,0))-INDEX(terminal_curves,MATCH(L183,'TERMINAL CURVES'!$A$4:$A$313,0),MATCH(P$5,'TERMINAL CURVES'!$A$4:$N$4,0))*IF(F183=0,0,H183/F183))-(N$8)*((N$7-$N$5)-(INDEX(ship_curves,MATCH(L183,'SHIP CURVES'!$A$9:$A$316,0),MATCH(CONCATENATE(P$4,P$5,P$6,P$7),'SHIP CURVES'!$A$9:$Z$9,0))-INDEX(ship_curves,MATCH(L183,'SHIP CURVES'!$A$9:$A$316,0),MATCH(CONCATENATE(P$4,N$6,P$6,P$7),'SHIP CURVES'!$A$9:$Z$9,0)))-(INDEX(terminal_curves,MATCH(L183,'TERMINAL CURVES'!$A$4:$A$313,0),MATCH(P$5,'TERMINAL CURVES'!$A$4:$N$4,0))-INDEX(terminal_curves,MATCH(L183,'TERMINAL CURVES'!$A$4:$A$313,0),MATCH(N$6,'TERMINAL CURVES'!$A$4:$N$4,0)))*IF(F183=0,0,H183/F183)))*-F183</f>
        <v>0</v>
      </c>
      <c r="Q183" s="353" t="n">
        <f aca="false">SUM(N183:P183)</f>
        <v>0</v>
      </c>
      <c r="R183" s="357" t="n">
        <f aca="false">(-H183/((HLOOKUP(P$5,port_specs,2,0)/(365.25))*(L184-L183)))*(INDEX(fixed_capacity_charge,MATCH(L183,PORTS!$H$11:$H$317,0),MATCH(P$5,PORTS!$H$11:$N$11,0))+INDEX(variable_om_charge,MATCH(L183,PORTS!$H$318:$H$625,0),MATCH(P$5,PORTS!$H$318:$N$318,0)))</f>
        <v>-0</v>
      </c>
      <c r="S183" s="343" t="n">
        <f aca="false">+R183+Q183</f>
        <v>0</v>
      </c>
      <c r="T183" s="355" t="n">
        <f aca="false">+S183+M183</f>
        <v>0</v>
      </c>
      <c r="V183" s="346" t="n">
        <f aca="false">+DATE(YEAR(V182),MONTH(V182)+1,1)</f>
        <v>41730</v>
      </c>
      <c r="W183" s="327" t="n">
        <f aca="false">+Y183/(1-HLOOKUP(X$6,SHIPS,7,0)*INDEX(LADEN_VOYAGE_DAYS,MATCH(CONCATENATE(X$4,X$5),LADEN_VOYAGE_ROUTES,0),MATCH(X$6,LADEN_VOYAGE_SHIPS,0)))</f>
        <v>0</v>
      </c>
      <c r="X183" s="347" t="n">
        <f aca="false">+Y183-W183</f>
        <v>0</v>
      </c>
      <c r="Y183" s="348" t="n">
        <f aca="false">+IF(AND(X$8&lt;=V183,X$9&gt;=V183),+MIN($B183-SUMIF($H$17:X$17,Y$17,$H183:X183),((INDEX(ROUTE_PER_DAY_BY_SHIP,MATCH(CONCATENATE(X$4,X$5,X$7),ROUTE_PER_DAY_ROUTES,0),MATCH(X$6,ROUTE_PER_DAY_SHIPS,0))*(V184-V183))-(INDEX(ROUTE_PER_DAY_BY_SHIP,MATCH(CONCATENATE(X$4,X$5,X$7),ROUTE_PER_DAY_ROUTES,0),MATCH(X$6,ROUTE_PER_DAY_SHIPS,0))*(V184-V183))*HLOOKUP(X$6,SHIPS,7,0)*INDEX(LADEN_VOYAGE_DAYS,MATCH(CONCATENATE(X$4,X$5,X$7),LADEN_VOYAGE_ROUTES,0),MATCH(X$6,LADEN_VOYAGE_SHIPS,0)))),0)</f>
        <v>0</v>
      </c>
      <c r="Z183" s="349" t="n">
        <f aca="false">-(Y183)*HLOOKUP(X$5,TERMINAL_CHARGES,3,0)</f>
        <v>-0</v>
      </c>
      <c r="AA183" s="327" t="n">
        <f aca="false">+Y183+Z183</f>
        <v>0</v>
      </c>
      <c r="AB183" s="333"/>
      <c r="AC183" s="346" t="n">
        <f aca="false">+DATE(YEAR(AC182),MONTH(AC182)+1,1)</f>
        <v>41730</v>
      </c>
      <c r="AD183" s="343" t="n">
        <f aca="false">+AA183*(VLOOKUP(AC183,CURVECALC!$C$6:$J$312,4,0)+AE$5)</f>
        <v>0</v>
      </c>
      <c r="AE183" s="350" t="n">
        <f aca="false">-W183*INDEX(ship_curves,MATCH(AC183,'SHIP CURVES'!$A$9:$A$316,0),MATCH(CONCATENATE(AG$4,AG$5,AG$6,AG$7),'SHIP CURVES'!$A$9:$AZ$9,0))</f>
        <v>-0</v>
      </c>
      <c r="AF183" s="351" t="n">
        <f aca="false">-Y183*INDEX(port_processing_fee,MATCH(AC183,PORTS!$H$626:$H$933,0),MATCH(AG$5,PORTS!$H$626:$Z$626,0))</f>
        <v>-0</v>
      </c>
      <c r="AG183" s="352" t="n">
        <f aca="false">(((VLOOKUP(AC183,curvecalc,4,0))*IF(W183=0,0,AA183/W183)-INDEX(ship_curves,MATCH(AC183,'SHIP CURVES'!$A$9:$A$316,0),MATCH(CONCATENATE(AG$4,AG$5,AG$6,AG$7),'SHIP CURVES'!$A$9:$Z$9,0))-INDEX(terminal_curves,MATCH(AC183,'TERMINAL CURVES'!$A$4:$A$313,0),MATCH(AG$5,'TERMINAL CURVES'!$A$4:$N$4,0))*IF(W183=0,0,Y183/W183))-(AE$8)*((AE$7-$N$5)-(INDEX(ship_curves,MATCH(AC183,'SHIP CURVES'!$A$9:$A$316,0),MATCH(CONCATENATE(AG$4,AG$5,AG$6,AG$7),'SHIP CURVES'!$A$9:$Z$9,0))-INDEX(ship_curves,MATCH(AC183,'SHIP CURVES'!$A$9:$A$316,0),MATCH(CONCATENATE(AG$4,AE$6,AG$6,AG$7),'SHIP CURVES'!$A$9:$Z$9,0)))-(INDEX(terminal_curves,MATCH(AC183,'TERMINAL CURVES'!$A$4:$A$313,0),MATCH(AG$5,'TERMINAL CURVES'!$A$4:$N$4,0))-INDEX(terminal_curves,MATCH(AC183,'TERMINAL CURVES'!$A$4:$A$313,0),MATCH(AE$6,'TERMINAL CURVES'!$A$4:$N$4,0)))*IF(W183=0,0,Y183/W183)))*-W183</f>
        <v>0</v>
      </c>
      <c r="AH183" s="356" t="n">
        <f aca="false">SUM(AE183:AG183)</f>
        <v>0</v>
      </c>
      <c r="AI183" s="357" t="n">
        <f aca="false">(-Y183/((HLOOKUP(AG$5,port_specs,2,0)/(365.25))*(AC184-AC183)))*(INDEX(fixed_capacity_charge,MATCH(AC183,PORTS!$H$11:$H$317,0),MATCH(AG$5,PORTS!$H$11:$N$11,0))+INDEX(variable_om_charge,MATCH(AC183,PORTS!$H$318:$H$625,0),MATCH(AG$5,PORTS!$H$318:$N$318,0)))</f>
        <v>-0</v>
      </c>
      <c r="AJ183" s="343" t="n">
        <f aca="false">+AI183+AH183</f>
        <v>0</v>
      </c>
      <c r="AK183" s="355" t="n">
        <f aca="false">+AJ183+AD183</f>
        <v>0</v>
      </c>
      <c r="AM183" s="346" t="n">
        <f aca="false">+DATE(YEAR(AM182),MONTH(AM182)+1,1)</f>
        <v>41730</v>
      </c>
      <c r="AN183" s="327" t="n">
        <f aca="false">+AP183/(1-HLOOKUP(AO$6,SHIPS,7,0)*INDEX(LADEN_VOYAGE_DAYS,MATCH(CONCATENATE(AO$4,AO$5),LADEN_VOYAGE_ROUTES,0),MATCH(AO$6,LADEN_VOYAGE_SHIPS,0)))</f>
        <v>5221704.65550959</v>
      </c>
      <c r="AO183" s="347" t="n">
        <f aca="false">+AP183-AN183</f>
        <v>-54827.8988828501</v>
      </c>
      <c r="AP183" s="348" t="n">
        <f aca="false">+IF(AND(AO$8&lt;=AM183,AO$9&gt;=AM183),+MIN($B183-SUMIF($H$17:AO$17,AP$17,$H183:AO183),((INDEX(ROUTE_PER_DAY_BY_SHIP,MATCH(CONCATENATE(AO$4,AO$5,AO$7),ROUTE_PER_DAY_ROUTES,0),MATCH(AO$6,ROUTE_PER_DAY_SHIPS,0))*(AM184-AM183))-(INDEX(ROUTE_PER_DAY_BY_SHIP,MATCH(CONCATENATE(AO$4,AO$5,AO$7),ROUTE_PER_DAY_ROUTES,0),MATCH(AO$6,ROUTE_PER_DAY_SHIPS,0))*(AM184-AM183))*HLOOKUP(AO$6,SHIPS,7,0)*INDEX(LADEN_VOYAGE_DAYS,MATCH(CONCATENATE(AO$4,AO$5,AO$7),LADEN_VOYAGE_ROUTES,0),MATCH(AO$6,LADEN_VOYAGE_SHIPS,0)))),0)</f>
        <v>5166876.75662674</v>
      </c>
      <c r="AQ183" s="349" t="n">
        <f aca="false">-(AP183)*PORTS!$I$6</f>
        <v>-129171.918915669</v>
      </c>
      <c r="AR183" s="327" t="n">
        <f aca="false">+AP183+AQ183</f>
        <v>5037704.83771107</v>
      </c>
      <c r="AS183" s="333"/>
      <c r="AT183" s="346" t="n">
        <f aca="false">+DATE(YEAR(AT182),MONTH(AT182)+1,1)</f>
        <v>41730</v>
      </c>
      <c r="AU183" s="343" t="n">
        <f aca="false">+AR183*(VLOOKUP(AT183,CURVECALC!$C$6:$J$312,4,0)+AV$5)</f>
        <v>18523640.6882636</v>
      </c>
      <c r="AV183" s="350" t="n">
        <f aca="false">-AN183*INDEX(ship_curves,MATCH(AT183,'SHIP CURVES'!$A$9:$A$316,0),MATCH(CONCATENATE(AX$4,AX$5,AX$6,AX$7),'SHIP CURVES'!$A$9:$AZ$9,0))</f>
        <v>-1762928.90743696</v>
      </c>
      <c r="AW183" s="351" t="n">
        <f aca="false">-AP183*INDEX(port_processing_fee,MATCH(AT183,PORTS!$H$626:$H$933,0),MATCH(AX$5,PORTS!$H$626:$Z$626,0))</f>
        <v>-162519.932964663</v>
      </c>
      <c r="AX183" s="352" t="n">
        <f aca="false">(((VLOOKUP(AT183,curvecalc,4,0))*IF(AN183=0,0,AR183/AN183)-INDEX(ship_curves,MATCH(AT183,'SHIP CURVES'!$A$9:$A$316,0),MATCH(CONCATENATE(AX$4,AX$5,AX$6,AX$7),'SHIP CURVES'!$A$9:$Z$9,0))-INDEX(terminal_curves,MATCH(AT183,'TERMINAL CURVES'!$A$4:$A$313,0),MATCH(AX$5,'TERMINAL CURVES'!$A$4:$N$4,0))*IF(AN183=0,0,AP183/AN183))-(AV$8)*((AV$7-$N$5)-(INDEX(ship_curves,MATCH(AT183,'SHIP CURVES'!$A$9:$A$316,0),MATCH(CONCATENATE(AX$4,AX$5,AX$6,AX$7),'SHIP CURVES'!$A$9:$Z$9,0))-INDEX(ship_curves,MATCH(AT183,'SHIP CURVES'!$A$9:$A$316,0),MATCH(CONCATENATE(AX$4,AV$6,AX$6,AX$7),'SHIP CURVES'!$A$9:$Z$9,0)))-(INDEX(terminal_curves,MATCH(AT183,'TERMINAL CURVES'!$A$4:$A$313,0),MATCH(AX$5,'TERMINAL CURVES'!$A$4:$N$4,0))-INDEX(terminal_curves,MATCH(AT183,'TERMINAL CURVES'!$A$4:$A$313,0),MATCH(AV$6,'TERMINAL CURVES'!$A$4:$N$4,0)))*IF(AN183=0,0,AP183/AN183)))*-AN183</f>
        <v>-15471225.5612267</v>
      </c>
      <c r="AY183" s="356" t="n">
        <f aca="false">SUM(AV183:AX183)</f>
        <v>-17396674.4016283</v>
      </c>
      <c r="AZ183" s="357" t="n">
        <f aca="false">(-AP183/((HLOOKUP(AX$5,port_specs,2,0)/(365.25))*(AT184-AT183)))*(INDEX(fixed_capacity_charge,MATCH(AT183,PORTS!$H$11:$H$317,0),MATCH(AX$5,PORTS!$H$11:$N$11,0))+INDEX(variable_om_charge,MATCH(AT183,PORTS!$H$318:$H$625,0),MATCH(AX$5,PORTS!$H$318:$N$318,0)))</f>
        <v>-1026212.18988107</v>
      </c>
      <c r="BA183" s="343" t="n">
        <f aca="false">+AZ183+AY183</f>
        <v>-18422886.5915094</v>
      </c>
      <c r="BB183" s="355" t="n">
        <f aca="false">+BA183+AU183</f>
        <v>100754.096754223</v>
      </c>
      <c r="BC183" s="99"/>
      <c r="BD183" s="357" t="n">
        <f aca="false">+PORTS!I177+PORTS!I485</f>
        <v>1026212.18988107</v>
      </c>
    </row>
    <row r="184" customFormat="false" ht="12.75" hidden="false" customHeight="false" outlineLevel="0" collapsed="false">
      <c r="A184" s="346" t="n">
        <f aca="false">+DATE(YEAR(A183),MONTH(A183)+1,1)</f>
        <v>41760</v>
      </c>
      <c r="B184" s="327" t="n">
        <f aca="false">+IF(AND($A184&gt;=$C$8,$A184&lt;=$C$9),1,0)*PORTS!$I$5/(365.25)*(A185-A184)</f>
        <v>5339105.98184763</v>
      </c>
      <c r="C184" s="328" t="n">
        <f aca="false">+B184-(SUMIF($F$17:$IV$17,$H$17,$F184:$IV184))</f>
        <v>0</v>
      </c>
      <c r="D184" s="0" t="n">
        <f aca="false">+YEAR(E184)</f>
        <v>2014</v>
      </c>
      <c r="E184" s="346" t="n">
        <f aca="false">+DATE(YEAR(E183),MONTH(E183)+1,1)</f>
        <v>41760</v>
      </c>
      <c r="F184" s="327" t="n">
        <f aca="false">+IF(AND(G$8&lt;=E184,G$9&gt;=E184),INDEX(ROUTE_PER_DAY_BY_SHIP,MATCH(CONCATENATE(G$4,G$5,G$7),ROUTE_PER_DAY_ROUTES,0),MATCH(G$6,ROUTE_PER_DAY_SHIPS,0))*(E185-E184),0)</f>
        <v>0</v>
      </c>
      <c r="G184" s="347" t="n">
        <f aca="false">-F184*HLOOKUP(G$6,SHIPS,7,0)*INDEX(LADEN_VOYAGE_DAYS,MATCH(CONCATENATE(G$4,G$5,G$7),LADEN_VOYAGE_ROUTES,0),MATCH(G$6,LADEN_VOYAGE_SHIPS,0))</f>
        <v>-0</v>
      </c>
      <c r="H184" s="348" t="n">
        <f aca="false">SUM(F184:G184)</f>
        <v>0</v>
      </c>
      <c r="I184" s="349" t="n">
        <f aca="false">-(H184)*HLOOKUP(G$5,TERMINAL_CHARGES,3,0)</f>
        <v>-0</v>
      </c>
      <c r="J184" s="327" t="n">
        <f aca="false">+H184+I184</f>
        <v>0</v>
      </c>
      <c r="K184" s="333"/>
      <c r="L184" s="346" t="n">
        <f aca="false">+DATE(YEAR(L183),MONTH(L183)+1,1)</f>
        <v>41760</v>
      </c>
      <c r="M184" s="334" t="n">
        <f aca="false">+J184*(VLOOKUP(L184,CURVECALC!$C$6:$J$312,4,0)+N$5)</f>
        <v>0</v>
      </c>
      <c r="N184" s="350" t="n">
        <f aca="false">-F184*INDEX(ship_curves,MATCH(L184,'SHIP CURVES'!$A$9:$A$316,0),MATCH(CONCATENATE(P$4,P$5,P$6,P$7),'SHIP CURVES'!$A$9:$AZ$9,0))</f>
        <v>-0</v>
      </c>
      <c r="O184" s="351" t="n">
        <f aca="false">-H184*INDEX(port_processing_fee,MATCH(L184,PORTS!$H$626:$H$933,0),MATCH(P$5,PORTS!$H$626:$Z$626,0))</f>
        <v>-0</v>
      </c>
      <c r="P184" s="352" t="n">
        <f aca="false">(((VLOOKUP(L184,curvecalc,4,0))*IF(F184=0,0,J184/F184)-INDEX(ship_curves,MATCH(L184,'SHIP CURVES'!$A$9:$A$316,0),MATCH(CONCATENATE(P$4,P$5,P$6,P$7),'SHIP CURVES'!$A$9:$Z$9,0))-INDEX(terminal_curves,MATCH(L184,'TERMINAL CURVES'!$A$4:$A$313,0),MATCH(P$5,'TERMINAL CURVES'!$A$4:$N$4,0))*IF(F184=0,0,H184/F184))-(N$8)*((N$7-$N$5)-(INDEX(ship_curves,MATCH(L184,'SHIP CURVES'!$A$9:$A$316,0),MATCH(CONCATENATE(P$4,P$5,P$6,P$7),'SHIP CURVES'!$A$9:$Z$9,0))-INDEX(ship_curves,MATCH(L184,'SHIP CURVES'!$A$9:$A$316,0),MATCH(CONCATENATE(P$4,N$6,P$6,P$7),'SHIP CURVES'!$A$9:$Z$9,0)))-(INDEX(terminal_curves,MATCH(L184,'TERMINAL CURVES'!$A$4:$A$313,0),MATCH(P$5,'TERMINAL CURVES'!$A$4:$N$4,0))-INDEX(terminal_curves,MATCH(L184,'TERMINAL CURVES'!$A$4:$A$313,0),MATCH(N$6,'TERMINAL CURVES'!$A$4:$N$4,0)))*IF(F184=0,0,H184/F184)))*-F184</f>
        <v>0</v>
      </c>
      <c r="Q184" s="353" t="n">
        <f aca="false">SUM(N184:P184)</f>
        <v>0</v>
      </c>
      <c r="R184" s="357" t="n">
        <f aca="false">(-H184/((HLOOKUP(P$5,port_specs,2,0)/(365.25))*(L185-L184)))*(INDEX(fixed_capacity_charge,MATCH(L184,PORTS!$H$11:$H$317,0),MATCH(P$5,PORTS!$H$11:$N$11,0))+INDEX(variable_om_charge,MATCH(L184,PORTS!$H$318:$H$625,0),MATCH(P$5,PORTS!$H$318:$N$318,0)))</f>
        <v>-0</v>
      </c>
      <c r="S184" s="343" t="n">
        <f aca="false">+R184+Q184</f>
        <v>0</v>
      </c>
      <c r="T184" s="355" t="n">
        <f aca="false">+S184+M184</f>
        <v>0</v>
      </c>
      <c r="V184" s="346" t="n">
        <f aca="false">+DATE(YEAR(V183),MONTH(V183)+1,1)</f>
        <v>41760</v>
      </c>
      <c r="W184" s="327" t="n">
        <f aca="false">+Y184/(1-HLOOKUP(X$6,SHIPS,7,0)*INDEX(LADEN_VOYAGE_DAYS,MATCH(CONCATENATE(X$4,X$5),LADEN_VOYAGE_ROUTES,0),MATCH(X$6,LADEN_VOYAGE_SHIPS,0)))</f>
        <v>0</v>
      </c>
      <c r="X184" s="347" t="n">
        <f aca="false">+Y184-W184</f>
        <v>0</v>
      </c>
      <c r="Y184" s="348" t="n">
        <f aca="false">+IF(AND(X$8&lt;=V184,X$9&gt;=V184),+MIN($B184-SUMIF($H$17:X$17,Y$17,$H184:X184),((INDEX(ROUTE_PER_DAY_BY_SHIP,MATCH(CONCATENATE(X$4,X$5,X$7),ROUTE_PER_DAY_ROUTES,0),MATCH(X$6,ROUTE_PER_DAY_SHIPS,0))*(V185-V184))-(INDEX(ROUTE_PER_DAY_BY_SHIP,MATCH(CONCATENATE(X$4,X$5,X$7),ROUTE_PER_DAY_ROUTES,0),MATCH(X$6,ROUTE_PER_DAY_SHIPS,0))*(V185-V184))*HLOOKUP(X$6,SHIPS,7,0)*INDEX(LADEN_VOYAGE_DAYS,MATCH(CONCATENATE(X$4,X$5,X$7),LADEN_VOYAGE_ROUTES,0),MATCH(X$6,LADEN_VOYAGE_SHIPS,0)))),0)</f>
        <v>0</v>
      </c>
      <c r="Z184" s="349" t="n">
        <f aca="false">-(Y184)*HLOOKUP(X$5,TERMINAL_CHARGES,3,0)</f>
        <v>-0</v>
      </c>
      <c r="AA184" s="327" t="n">
        <f aca="false">+Y184+Z184</f>
        <v>0</v>
      </c>
      <c r="AB184" s="333"/>
      <c r="AC184" s="346" t="n">
        <f aca="false">+DATE(YEAR(AC183),MONTH(AC183)+1,1)</f>
        <v>41760</v>
      </c>
      <c r="AD184" s="343" t="n">
        <f aca="false">+AA184*(VLOOKUP(AC184,CURVECALC!$C$6:$J$312,4,0)+AE$5)</f>
        <v>0</v>
      </c>
      <c r="AE184" s="350" t="n">
        <f aca="false">-W184*INDEX(ship_curves,MATCH(AC184,'SHIP CURVES'!$A$9:$A$316,0),MATCH(CONCATENATE(AG$4,AG$5,AG$6,AG$7),'SHIP CURVES'!$A$9:$AZ$9,0))</f>
        <v>-0</v>
      </c>
      <c r="AF184" s="351" t="n">
        <f aca="false">-Y184*INDEX(port_processing_fee,MATCH(AC184,PORTS!$H$626:$H$933,0),MATCH(AG$5,PORTS!$H$626:$Z$626,0))</f>
        <v>-0</v>
      </c>
      <c r="AG184" s="352" t="n">
        <f aca="false">(((VLOOKUP(AC184,curvecalc,4,0))*IF(W184=0,0,AA184/W184)-INDEX(ship_curves,MATCH(AC184,'SHIP CURVES'!$A$9:$A$316,0),MATCH(CONCATENATE(AG$4,AG$5,AG$6,AG$7),'SHIP CURVES'!$A$9:$Z$9,0))-INDEX(terminal_curves,MATCH(AC184,'TERMINAL CURVES'!$A$4:$A$313,0),MATCH(AG$5,'TERMINAL CURVES'!$A$4:$N$4,0))*IF(W184=0,0,Y184/W184))-(AE$8)*((AE$7-$N$5)-(INDEX(ship_curves,MATCH(AC184,'SHIP CURVES'!$A$9:$A$316,0),MATCH(CONCATENATE(AG$4,AG$5,AG$6,AG$7),'SHIP CURVES'!$A$9:$Z$9,0))-INDEX(ship_curves,MATCH(AC184,'SHIP CURVES'!$A$9:$A$316,0),MATCH(CONCATENATE(AG$4,AE$6,AG$6,AG$7),'SHIP CURVES'!$A$9:$Z$9,0)))-(INDEX(terminal_curves,MATCH(AC184,'TERMINAL CURVES'!$A$4:$A$313,0),MATCH(AG$5,'TERMINAL CURVES'!$A$4:$N$4,0))-INDEX(terminal_curves,MATCH(AC184,'TERMINAL CURVES'!$A$4:$A$313,0),MATCH(AE$6,'TERMINAL CURVES'!$A$4:$N$4,0)))*IF(W184=0,0,Y184/W184)))*-W184</f>
        <v>0</v>
      </c>
      <c r="AH184" s="356" t="n">
        <f aca="false">SUM(AE184:AG184)</f>
        <v>0</v>
      </c>
      <c r="AI184" s="357" t="n">
        <f aca="false">(-Y184/((HLOOKUP(AG$5,port_specs,2,0)/(365.25))*(AC185-AC184)))*(INDEX(fixed_capacity_charge,MATCH(AC184,PORTS!$H$11:$H$317,0),MATCH(AG$5,PORTS!$H$11:$N$11,0))+INDEX(variable_om_charge,MATCH(AC184,PORTS!$H$318:$H$625,0),MATCH(AG$5,PORTS!$H$318:$N$318,0)))</f>
        <v>-0</v>
      </c>
      <c r="AJ184" s="343" t="n">
        <f aca="false">+AI184+AH184</f>
        <v>0</v>
      </c>
      <c r="AK184" s="355" t="n">
        <f aca="false">+AJ184+AD184</f>
        <v>0</v>
      </c>
      <c r="AM184" s="346" t="n">
        <f aca="false">+DATE(YEAR(AM183),MONTH(AM183)+1,1)</f>
        <v>41760</v>
      </c>
      <c r="AN184" s="327" t="n">
        <f aca="false">+AP184/(1-HLOOKUP(AO$6,SHIPS,7,0)*INDEX(LADEN_VOYAGE_DAYS,MATCH(CONCATENATE(AO$4,AO$5),LADEN_VOYAGE_ROUTES,0),MATCH(AO$6,LADEN_VOYAGE_SHIPS,0)))</f>
        <v>5395761.47735991</v>
      </c>
      <c r="AO184" s="347" t="n">
        <f aca="false">+AP184-AN184</f>
        <v>-56655.4955122788</v>
      </c>
      <c r="AP184" s="348" t="n">
        <f aca="false">+IF(AND(AO$8&lt;=AM184,AO$9&gt;=AM184),+MIN($B184-SUMIF($H$17:AO$17,AP$17,$H184:AO184),((INDEX(ROUTE_PER_DAY_BY_SHIP,MATCH(CONCATENATE(AO$4,AO$5,AO$7),ROUTE_PER_DAY_ROUTES,0),MATCH(AO$6,ROUTE_PER_DAY_SHIPS,0))*(AM185-AM184))-(INDEX(ROUTE_PER_DAY_BY_SHIP,MATCH(CONCATENATE(AO$4,AO$5,AO$7),ROUTE_PER_DAY_ROUTES,0),MATCH(AO$6,ROUTE_PER_DAY_SHIPS,0))*(AM185-AM184))*HLOOKUP(AO$6,SHIPS,7,0)*INDEX(LADEN_VOYAGE_DAYS,MATCH(CONCATENATE(AO$4,AO$5,AO$7),LADEN_VOYAGE_ROUTES,0),MATCH(AO$6,LADEN_VOYAGE_SHIPS,0)))),0)</f>
        <v>5339105.98184763</v>
      </c>
      <c r="AQ184" s="349" t="n">
        <f aca="false">-(AP184)*PORTS!$I$6</f>
        <v>-133477.649546191</v>
      </c>
      <c r="AR184" s="327" t="n">
        <f aca="false">+AP184+AQ184</f>
        <v>5205628.33230144</v>
      </c>
      <c r="AS184" s="333"/>
      <c r="AT184" s="346" t="n">
        <f aca="false">+DATE(YEAR(AT183),MONTH(AT183)+1,1)</f>
        <v>41760</v>
      </c>
      <c r="AU184" s="343" t="n">
        <f aca="false">+AR184*(VLOOKUP(AT184,CURVECALC!$C$6:$J$312,4,0)+AV$5)</f>
        <v>19120272.8645432</v>
      </c>
      <c r="AV184" s="350" t="n">
        <f aca="false">-AN184*INDEX(ship_curves,MATCH(AT184,'SHIP CURVES'!$A$9:$A$316,0),MATCH(CONCATENATE(AX$4,AX$5,AX$6,AX$7),'SHIP CURVES'!$A$9:$AZ$9,0))</f>
        <v>-1822292.71576264</v>
      </c>
      <c r="AW184" s="351" t="n">
        <f aca="false">-AP184*INDEX(port_processing_fee,MATCH(AT184,PORTS!$H$626:$H$933,0),MATCH(AX$5,PORTS!$H$626:$Z$626,0))</f>
        <v>-168112.198713551</v>
      </c>
      <c r="AX184" s="352" t="n">
        <f aca="false">(((VLOOKUP(AT184,curvecalc,4,0))*IF(AN184=0,0,AR184/AN184)-INDEX(ship_curves,MATCH(AT184,'SHIP CURVES'!$A$9:$A$316,0),MATCH(CONCATENATE(AX$4,AX$5,AX$6,AX$7),'SHIP CURVES'!$A$9:$Z$9,0))-INDEX(terminal_curves,MATCH(AT184,'TERMINAL CURVES'!$A$4:$A$313,0),MATCH(AX$5,'TERMINAL CURVES'!$A$4:$N$4,0))*IF(AN184=0,0,AP184/AN184))-(AV$8)*((AV$7-$N$5)-(INDEX(ship_curves,MATCH(AT184,'SHIP CURVES'!$A$9:$A$316,0),MATCH(CONCATENATE(AX$4,AX$5,AX$6,AX$7),'SHIP CURVES'!$A$9:$Z$9,0))-INDEX(ship_curves,MATCH(AT184,'SHIP CURVES'!$A$9:$A$316,0),MATCH(CONCATENATE(AX$4,AV$6,AX$6,AX$7),'SHIP CURVES'!$A$9:$Z$9,0)))-(INDEX(terminal_curves,MATCH(AT184,'TERMINAL CURVES'!$A$4:$A$313,0),MATCH(AX$5,'TERMINAL CURVES'!$A$4:$N$4,0))-INDEX(terminal_curves,MATCH(AT184,'TERMINAL CURVES'!$A$4:$A$313,0),MATCH(AV$6,'TERMINAL CURVES'!$A$4:$N$4,0)))*IF(AN184=0,0,AP184/AN184)))*-AN184</f>
        <v>-15998979.6251868</v>
      </c>
      <c r="AY184" s="356" t="n">
        <f aca="false">SUM(AV184:AX184)</f>
        <v>-17989384.539663</v>
      </c>
      <c r="AZ184" s="357" t="n">
        <f aca="false">(-AP184/((HLOOKUP(AX$5,port_specs,2,0)/(365.25))*(AT185-AT184)))*(INDEX(fixed_capacity_charge,MATCH(AT184,PORTS!$H$11:$H$317,0),MATCH(AX$5,PORTS!$H$11:$N$11,0))+INDEX(variable_om_charge,MATCH(AT184,PORTS!$H$318:$H$625,0),MATCH(AX$5,PORTS!$H$318:$N$318,0)))</f>
        <v>-1026775.75823416</v>
      </c>
      <c r="BA184" s="343" t="n">
        <f aca="false">+AZ184+AY184</f>
        <v>-19016160.2978972</v>
      </c>
      <c r="BB184" s="355" t="n">
        <f aca="false">+BA184+AU184</f>
        <v>104112.566646032</v>
      </c>
      <c r="BC184" s="99"/>
      <c r="BD184" s="357" t="n">
        <f aca="false">+PORTS!I178+PORTS!I486</f>
        <v>1026775.75823416</v>
      </c>
    </row>
    <row r="185" customFormat="false" ht="12.75" hidden="false" customHeight="false" outlineLevel="0" collapsed="false">
      <c r="A185" s="346" t="n">
        <f aca="false">+DATE(YEAR(A184),MONTH(A184)+1,1)</f>
        <v>41791</v>
      </c>
      <c r="B185" s="327" t="n">
        <f aca="false">+IF(AND($A185&gt;=$C$8,$A185&lt;=$C$9),1,0)*PORTS!$I$5/(365.25)*(A186-A185)</f>
        <v>5166876.75662674</v>
      </c>
      <c r="C185" s="328" t="n">
        <f aca="false">+B185-(SUMIF($F$17:$IV$17,$H$17,$F185:$IV185))</f>
        <v>0</v>
      </c>
      <c r="D185" s="0" t="n">
        <f aca="false">+YEAR(E185)</f>
        <v>2014</v>
      </c>
      <c r="E185" s="346" t="n">
        <f aca="false">+DATE(YEAR(E184),MONTH(E184)+1,1)</f>
        <v>41791</v>
      </c>
      <c r="F185" s="327" t="n">
        <f aca="false">+IF(AND(G$8&lt;=E185,G$9&gt;=E185),INDEX(ROUTE_PER_DAY_BY_SHIP,MATCH(CONCATENATE(G$4,G$5,G$7),ROUTE_PER_DAY_ROUTES,0),MATCH(G$6,ROUTE_PER_DAY_SHIPS,0))*(E186-E185),0)</f>
        <v>0</v>
      </c>
      <c r="G185" s="347" t="n">
        <f aca="false">-F185*HLOOKUP(G$6,SHIPS,7,0)*INDEX(LADEN_VOYAGE_DAYS,MATCH(CONCATENATE(G$4,G$5,G$7),LADEN_VOYAGE_ROUTES,0),MATCH(G$6,LADEN_VOYAGE_SHIPS,0))</f>
        <v>-0</v>
      </c>
      <c r="H185" s="348" t="n">
        <f aca="false">SUM(F185:G185)</f>
        <v>0</v>
      </c>
      <c r="I185" s="349" t="n">
        <f aca="false">-(H185)*HLOOKUP(G$5,TERMINAL_CHARGES,3,0)</f>
        <v>-0</v>
      </c>
      <c r="J185" s="327" t="n">
        <f aca="false">+H185+I185</f>
        <v>0</v>
      </c>
      <c r="K185" s="333"/>
      <c r="L185" s="346" t="n">
        <f aca="false">+DATE(YEAR(L184),MONTH(L184)+1,1)</f>
        <v>41791</v>
      </c>
      <c r="M185" s="334" t="n">
        <f aca="false">+J185*(VLOOKUP(L185,CURVECALC!$C$6:$J$312,4,0)+N$5)</f>
        <v>0</v>
      </c>
      <c r="N185" s="350" t="n">
        <f aca="false">-F185*INDEX(ship_curves,MATCH(L185,'SHIP CURVES'!$A$9:$A$316,0),MATCH(CONCATENATE(P$4,P$5,P$6,P$7),'SHIP CURVES'!$A$9:$AZ$9,0))</f>
        <v>-0</v>
      </c>
      <c r="O185" s="351" t="n">
        <f aca="false">-H185*INDEX(port_processing_fee,MATCH(L185,PORTS!$H$626:$H$933,0),MATCH(P$5,PORTS!$H$626:$Z$626,0))</f>
        <v>-0</v>
      </c>
      <c r="P185" s="352" t="n">
        <f aca="false">(((VLOOKUP(L185,curvecalc,4,0))*IF(F185=0,0,J185/F185)-INDEX(ship_curves,MATCH(L185,'SHIP CURVES'!$A$9:$A$316,0),MATCH(CONCATENATE(P$4,P$5,P$6,P$7),'SHIP CURVES'!$A$9:$Z$9,0))-INDEX(terminal_curves,MATCH(L185,'TERMINAL CURVES'!$A$4:$A$313,0),MATCH(P$5,'TERMINAL CURVES'!$A$4:$N$4,0))*IF(F185=0,0,H185/F185))-(N$8)*((N$7-$N$5)-(INDEX(ship_curves,MATCH(L185,'SHIP CURVES'!$A$9:$A$316,0),MATCH(CONCATENATE(P$4,P$5,P$6,P$7),'SHIP CURVES'!$A$9:$Z$9,0))-INDEX(ship_curves,MATCH(L185,'SHIP CURVES'!$A$9:$A$316,0),MATCH(CONCATENATE(P$4,N$6,P$6,P$7),'SHIP CURVES'!$A$9:$Z$9,0)))-(INDEX(terminal_curves,MATCH(L185,'TERMINAL CURVES'!$A$4:$A$313,0),MATCH(P$5,'TERMINAL CURVES'!$A$4:$N$4,0))-INDEX(terminal_curves,MATCH(L185,'TERMINAL CURVES'!$A$4:$A$313,0),MATCH(N$6,'TERMINAL CURVES'!$A$4:$N$4,0)))*IF(F185=0,0,H185/F185)))*-F185</f>
        <v>0</v>
      </c>
      <c r="Q185" s="353" t="n">
        <f aca="false">SUM(N185:P185)</f>
        <v>0</v>
      </c>
      <c r="R185" s="357" t="n">
        <f aca="false">(-H185/((HLOOKUP(P$5,port_specs,2,0)/(365.25))*(L186-L185)))*(INDEX(fixed_capacity_charge,MATCH(L185,PORTS!$H$11:$H$317,0),MATCH(P$5,PORTS!$H$11:$N$11,0))+INDEX(variable_om_charge,MATCH(L185,PORTS!$H$318:$H$625,0),MATCH(P$5,PORTS!$H$318:$N$318,0)))</f>
        <v>-0</v>
      </c>
      <c r="S185" s="343" t="n">
        <f aca="false">+R185+Q185</f>
        <v>0</v>
      </c>
      <c r="T185" s="355" t="n">
        <f aca="false">+S185+M185</f>
        <v>0</v>
      </c>
      <c r="V185" s="346" t="n">
        <f aca="false">+DATE(YEAR(V184),MONTH(V184)+1,1)</f>
        <v>41791</v>
      </c>
      <c r="W185" s="327" t="n">
        <f aca="false">+Y185/(1-HLOOKUP(X$6,SHIPS,7,0)*INDEX(LADEN_VOYAGE_DAYS,MATCH(CONCATENATE(X$4,X$5),LADEN_VOYAGE_ROUTES,0),MATCH(X$6,LADEN_VOYAGE_SHIPS,0)))</f>
        <v>0</v>
      </c>
      <c r="X185" s="347" t="n">
        <f aca="false">+Y185-W185</f>
        <v>0</v>
      </c>
      <c r="Y185" s="348" t="n">
        <f aca="false">+IF(AND(X$8&lt;=V185,X$9&gt;=V185),+MIN($B185-SUMIF($H$17:X$17,Y$17,$H185:X185),((INDEX(ROUTE_PER_DAY_BY_SHIP,MATCH(CONCATENATE(X$4,X$5,X$7),ROUTE_PER_DAY_ROUTES,0),MATCH(X$6,ROUTE_PER_DAY_SHIPS,0))*(V186-V185))-(INDEX(ROUTE_PER_DAY_BY_SHIP,MATCH(CONCATENATE(X$4,X$5,X$7),ROUTE_PER_DAY_ROUTES,0),MATCH(X$6,ROUTE_PER_DAY_SHIPS,0))*(V186-V185))*HLOOKUP(X$6,SHIPS,7,0)*INDEX(LADEN_VOYAGE_DAYS,MATCH(CONCATENATE(X$4,X$5,X$7),LADEN_VOYAGE_ROUTES,0),MATCH(X$6,LADEN_VOYAGE_SHIPS,0)))),0)</f>
        <v>0</v>
      </c>
      <c r="Z185" s="349" t="n">
        <f aca="false">-(Y185)*HLOOKUP(X$5,TERMINAL_CHARGES,3,0)</f>
        <v>-0</v>
      </c>
      <c r="AA185" s="327" t="n">
        <f aca="false">+Y185+Z185</f>
        <v>0</v>
      </c>
      <c r="AB185" s="333"/>
      <c r="AC185" s="346" t="n">
        <f aca="false">+DATE(YEAR(AC184),MONTH(AC184)+1,1)</f>
        <v>41791</v>
      </c>
      <c r="AD185" s="343" t="n">
        <f aca="false">+AA185*(VLOOKUP(AC185,CURVECALC!$C$6:$J$312,4,0)+AE$5)</f>
        <v>0</v>
      </c>
      <c r="AE185" s="350" t="n">
        <f aca="false">-W185*INDEX(ship_curves,MATCH(AC185,'SHIP CURVES'!$A$9:$A$316,0),MATCH(CONCATENATE(AG$4,AG$5,AG$6,AG$7),'SHIP CURVES'!$A$9:$AZ$9,0))</f>
        <v>-0</v>
      </c>
      <c r="AF185" s="351" t="n">
        <f aca="false">-Y185*INDEX(port_processing_fee,MATCH(AC185,PORTS!$H$626:$H$933,0),MATCH(AG$5,PORTS!$H$626:$Z$626,0))</f>
        <v>-0</v>
      </c>
      <c r="AG185" s="352" t="n">
        <f aca="false">(((VLOOKUP(AC185,curvecalc,4,0))*IF(W185=0,0,AA185/W185)-INDEX(ship_curves,MATCH(AC185,'SHIP CURVES'!$A$9:$A$316,0),MATCH(CONCATENATE(AG$4,AG$5,AG$6,AG$7),'SHIP CURVES'!$A$9:$Z$9,0))-INDEX(terminal_curves,MATCH(AC185,'TERMINAL CURVES'!$A$4:$A$313,0),MATCH(AG$5,'TERMINAL CURVES'!$A$4:$N$4,0))*IF(W185=0,0,Y185/W185))-(AE$8)*((AE$7-$N$5)-(INDEX(ship_curves,MATCH(AC185,'SHIP CURVES'!$A$9:$A$316,0),MATCH(CONCATENATE(AG$4,AG$5,AG$6,AG$7),'SHIP CURVES'!$A$9:$Z$9,0))-INDEX(ship_curves,MATCH(AC185,'SHIP CURVES'!$A$9:$A$316,0),MATCH(CONCATENATE(AG$4,AE$6,AG$6,AG$7),'SHIP CURVES'!$A$9:$Z$9,0)))-(INDEX(terminal_curves,MATCH(AC185,'TERMINAL CURVES'!$A$4:$A$313,0),MATCH(AG$5,'TERMINAL CURVES'!$A$4:$N$4,0))-INDEX(terminal_curves,MATCH(AC185,'TERMINAL CURVES'!$A$4:$A$313,0),MATCH(AE$6,'TERMINAL CURVES'!$A$4:$N$4,0)))*IF(W185=0,0,Y185/W185)))*-W185</f>
        <v>0</v>
      </c>
      <c r="AH185" s="356" t="n">
        <f aca="false">SUM(AE185:AG185)</f>
        <v>0</v>
      </c>
      <c r="AI185" s="357" t="n">
        <f aca="false">(-Y185/((HLOOKUP(AG$5,port_specs,2,0)/(365.25))*(AC186-AC185)))*(INDEX(fixed_capacity_charge,MATCH(AC185,PORTS!$H$11:$H$317,0),MATCH(AG$5,PORTS!$H$11:$N$11,0))+INDEX(variable_om_charge,MATCH(AC185,PORTS!$H$318:$H$625,0),MATCH(AG$5,PORTS!$H$318:$N$318,0)))</f>
        <v>-0</v>
      </c>
      <c r="AJ185" s="343" t="n">
        <f aca="false">+AI185+AH185</f>
        <v>0</v>
      </c>
      <c r="AK185" s="355" t="n">
        <f aca="false">+AJ185+AD185</f>
        <v>0</v>
      </c>
      <c r="AM185" s="346" t="n">
        <f aca="false">+DATE(YEAR(AM184),MONTH(AM184)+1,1)</f>
        <v>41791</v>
      </c>
      <c r="AN185" s="327" t="n">
        <f aca="false">+AP185/(1-HLOOKUP(AO$6,SHIPS,7,0)*INDEX(LADEN_VOYAGE_DAYS,MATCH(CONCATENATE(AO$4,AO$5),LADEN_VOYAGE_ROUTES,0),MATCH(AO$6,LADEN_VOYAGE_SHIPS,0)))</f>
        <v>5221704.65550959</v>
      </c>
      <c r="AO185" s="347" t="n">
        <f aca="false">+AP185-AN185</f>
        <v>-54827.8988828501</v>
      </c>
      <c r="AP185" s="348" t="n">
        <f aca="false">+IF(AND(AO$8&lt;=AM185,AO$9&gt;=AM185),+MIN($B185-SUMIF($H$17:AO$17,AP$17,$H185:AO185),((INDEX(ROUTE_PER_DAY_BY_SHIP,MATCH(CONCATENATE(AO$4,AO$5,AO$7),ROUTE_PER_DAY_ROUTES,0),MATCH(AO$6,ROUTE_PER_DAY_SHIPS,0))*(AM186-AM185))-(INDEX(ROUTE_PER_DAY_BY_SHIP,MATCH(CONCATENATE(AO$4,AO$5,AO$7),ROUTE_PER_DAY_ROUTES,0),MATCH(AO$6,ROUTE_PER_DAY_SHIPS,0))*(AM186-AM185))*HLOOKUP(AO$6,SHIPS,7,0)*INDEX(LADEN_VOYAGE_DAYS,MATCH(CONCATENATE(AO$4,AO$5,AO$7),LADEN_VOYAGE_ROUTES,0),MATCH(AO$6,LADEN_VOYAGE_SHIPS,0)))),0)</f>
        <v>5166876.75662674</v>
      </c>
      <c r="AQ185" s="349" t="n">
        <f aca="false">-(AP185)*PORTS!$I$6</f>
        <v>-129171.918915669</v>
      </c>
      <c r="AR185" s="327" t="n">
        <f aca="false">+AP185+AQ185</f>
        <v>5037704.83771107</v>
      </c>
      <c r="AS185" s="333"/>
      <c r="AT185" s="346" t="n">
        <f aca="false">+DATE(YEAR(AT184),MONTH(AT184)+1,1)</f>
        <v>41791</v>
      </c>
      <c r="AU185" s="343" t="n">
        <f aca="false">+AR185*(VLOOKUP(AT185,CURVECALC!$C$6:$J$312,4,0)+AV$5)</f>
        <v>18710035.7672589</v>
      </c>
      <c r="AV185" s="350" t="n">
        <f aca="false">-AN185*INDEX(ship_curves,MATCH(AT185,'SHIP CURVES'!$A$9:$A$316,0),MATCH(CONCATENATE(AX$4,AX$5,AX$6,AX$7),'SHIP CURVES'!$A$9:$AZ$9,0))</f>
        <v>-1764090.46079599</v>
      </c>
      <c r="AW185" s="351" t="n">
        <f aca="false">-AP185*INDEX(port_processing_fee,MATCH(AT185,PORTS!$H$626:$H$933,0),MATCH(AX$5,PORTS!$H$626:$Z$626,0))</f>
        <v>-162858.692503752</v>
      </c>
      <c r="AX185" s="352" t="n">
        <f aca="false">(((VLOOKUP(AT185,curvecalc,4,0))*IF(AN185=0,0,AR185/AN185)-INDEX(ship_curves,MATCH(AT185,'SHIP CURVES'!$A$9:$A$316,0),MATCH(CONCATENATE(AX$4,AX$5,AX$6,AX$7),'SHIP CURVES'!$A$9:$Z$9,0))-INDEX(terminal_curves,MATCH(AT185,'TERMINAL CURVES'!$A$4:$A$313,0),MATCH(AX$5,'TERMINAL CURVES'!$A$4:$N$4,0))*IF(AN185=0,0,AP185/AN185))-(AV$8)*((AV$7-$N$5)-(INDEX(ship_curves,MATCH(AT185,'SHIP CURVES'!$A$9:$A$316,0),MATCH(CONCATENATE(AX$4,AX$5,AX$6,AX$7),'SHIP CURVES'!$A$9:$Z$9,0))-INDEX(ship_curves,MATCH(AT185,'SHIP CURVES'!$A$9:$A$316,0),MATCH(CONCATENATE(AX$4,AV$6,AX$6,AX$7),'SHIP CURVES'!$A$9:$Z$9,0)))-(INDEX(terminal_curves,MATCH(AT185,'TERMINAL CURVES'!$A$4:$A$313,0),MATCH(AX$5,'TERMINAL CURVES'!$A$4:$N$4,0))-INDEX(terminal_curves,MATCH(AT185,'TERMINAL CURVES'!$A$4:$A$313,0),MATCH(AV$6,'TERMINAL CURVES'!$A$4:$N$4,0)))*IF(AN185=0,0,AP185/AN185)))*-AN185</f>
        <v>-15654992.6035673</v>
      </c>
      <c r="AY185" s="356" t="n">
        <f aca="false">SUM(AV185:AX185)</f>
        <v>-17581941.7568671</v>
      </c>
      <c r="AZ185" s="357" t="n">
        <f aca="false">(-AP185/((HLOOKUP(AX$5,port_specs,2,0)/(365.25))*(AT186-AT185)))*(INDEX(fixed_capacity_charge,MATCH(AT185,PORTS!$H$11:$H$317,0),MATCH(AX$5,PORTS!$H$11:$N$11,0))+INDEX(variable_om_charge,MATCH(AT185,PORTS!$H$318:$H$625,0),MATCH(AX$5,PORTS!$H$318:$N$318,0)))</f>
        <v>-1027339.91363763</v>
      </c>
      <c r="BA185" s="343" t="n">
        <f aca="false">+AZ185+AY185</f>
        <v>-18609281.6705047</v>
      </c>
      <c r="BB185" s="355" t="n">
        <f aca="false">+BA185+AU185</f>
        <v>100754.096754223</v>
      </c>
      <c r="BC185" s="99"/>
      <c r="BD185" s="357" t="n">
        <f aca="false">+PORTS!I179+PORTS!I487</f>
        <v>1027339.91363763</v>
      </c>
    </row>
    <row r="186" customFormat="false" ht="12.75" hidden="false" customHeight="false" outlineLevel="0" collapsed="false">
      <c r="A186" s="346" t="n">
        <f aca="false">+DATE(YEAR(A185),MONTH(A185)+1,1)</f>
        <v>41821</v>
      </c>
      <c r="B186" s="327" t="n">
        <f aca="false">+IF(AND($A186&gt;=$C$8,$A186&lt;=$C$9),1,0)*PORTS!$I$5/(365.25)*(A187-A186)</f>
        <v>5339105.98184763</v>
      </c>
      <c r="C186" s="328" t="n">
        <f aca="false">+B186-(SUMIF($F$17:$IV$17,$H$17,$F186:$IV186))</f>
        <v>0</v>
      </c>
      <c r="D186" s="0" t="n">
        <f aca="false">+YEAR(E186)</f>
        <v>2014</v>
      </c>
      <c r="E186" s="346" t="n">
        <f aca="false">+DATE(YEAR(E185),MONTH(E185)+1,1)</f>
        <v>41821</v>
      </c>
      <c r="F186" s="327" t="n">
        <f aca="false">+IF(AND(G$8&lt;=E186,G$9&gt;=E186),INDEX(ROUTE_PER_DAY_BY_SHIP,MATCH(CONCATENATE(G$4,G$5,G$7),ROUTE_PER_DAY_ROUTES,0),MATCH(G$6,ROUTE_PER_DAY_SHIPS,0))*(E187-E186),0)</f>
        <v>0</v>
      </c>
      <c r="G186" s="347" t="n">
        <f aca="false">-F186*HLOOKUP(G$6,SHIPS,7,0)*INDEX(LADEN_VOYAGE_DAYS,MATCH(CONCATENATE(G$4,G$5,G$7),LADEN_VOYAGE_ROUTES,0),MATCH(G$6,LADEN_VOYAGE_SHIPS,0))</f>
        <v>-0</v>
      </c>
      <c r="H186" s="348" t="n">
        <f aca="false">SUM(F186:G186)</f>
        <v>0</v>
      </c>
      <c r="I186" s="349" t="n">
        <f aca="false">-(H186)*HLOOKUP(G$5,TERMINAL_CHARGES,3,0)</f>
        <v>-0</v>
      </c>
      <c r="J186" s="327" t="n">
        <f aca="false">+H186+I186</f>
        <v>0</v>
      </c>
      <c r="K186" s="333"/>
      <c r="L186" s="346" t="n">
        <f aca="false">+DATE(YEAR(L185),MONTH(L185)+1,1)</f>
        <v>41821</v>
      </c>
      <c r="M186" s="334" t="n">
        <f aca="false">+J186*(VLOOKUP(L186,CURVECALC!$C$6:$J$312,4,0)+N$5)</f>
        <v>0</v>
      </c>
      <c r="N186" s="350" t="n">
        <f aca="false">-F186*INDEX(ship_curves,MATCH(L186,'SHIP CURVES'!$A$9:$A$316,0),MATCH(CONCATENATE(P$4,P$5,P$6,P$7),'SHIP CURVES'!$A$9:$AZ$9,0))</f>
        <v>-0</v>
      </c>
      <c r="O186" s="351" t="n">
        <f aca="false">-H186*INDEX(port_processing_fee,MATCH(L186,PORTS!$H$626:$H$933,0),MATCH(P$5,PORTS!$H$626:$Z$626,0))</f>
        <v>-0</v>
      </c>
      <c r="P186" s="352" t="n">
        <f aca="false">(((VLOOKUP(L186,curvecalc,4,0))*IF(F186=0,0,J186/F186)-INDEX(ship_curves,MATCH(L186,'SHIP CURVES'!$A$9:$A$316,0),MATCH(CONCATENATE(P$4,P$5,P$6,P$7),'SHIP CURVES'!$A$9:$Z$9,0))-INDEX(terminal_curves,MATCH(L186,'TERMINAL CURVES'!$A$4:$A$313,0),MATCH(P$5,'TERMINAL CURVES'!$A$4:$N$4,0))*IF(F186=0,0,H186/F186))-(N$8)*((N$7-$N$5)-(INDEX(ship_curves,MATCH(L186,'SHIP CURVES'!$A$9:$A$316,0),MATCH(CONCATENATE(P$4,P$5,P$6,P$7),'SHIP CURVES'!$A$9:$Z$9,0))-INDEX(ship_curves,MATCH(L186,'SHIP CURVES'!$A$9:$A$316,0),MATCH(CONCATENATE(P$4,N$6,P$6,P$7),'SHIP CURVES'!$A$9:$Z$9,0)))-(INDEX(terminal_curves,MATCH(L186,'TERMINAL CURVES'!$A$4:$A$313,0),MATCH(P$5,'TERMINAL CURVES'!$A$4:$N$4,0))-INDEX(terminal_curves,MATCH(L186,'TERMINAL CURVES'!$A$4:$A$313,0),MATCH(N$6,'TERMINAL CURVES'!$A$4:$N$4,0)))*IF(F186=0,0,H186/F186)))*-F186</f>
        <v>0</v>
      </c>
      <c r="Q186" s="353" t="n">
        <f aca="false">SUM(N186:P186)</f>
        <v>0</v>
      </c>
      <c r="R186" s="357" t="n">
        <f aca="false">(-H186/((HLOOKUP(P$5,port_specs,2,0)/(365.25))*(L187-L186)))*(INDEX(fixed_capacity_charge,MATCH(L186,PORTS!$H$11:$H$317,0),MATCH(P$5,PORTS!$H$11:$N$11,0))+INDEX(variable_om_charge,MATCH(L186,PORTS!$H$318:$H$625,0),MATCH(P$5,PORTS!$H$318:$N$318,0)))</f>
        <v>-0</v>
      </c>
      <c r="S186" s="343" t="n">
        <f aca="false">+R186+Q186</f>
        <v>0</v>
      </c>
      <c r="T186" s="355" t="n">
        <f aca="false">+S186+M186</f>
        <v>0</v>
      </c>
      <c r="V186" s="346" t="n">
        <f aca="false">+DATE(YEAR(V185),MONTH(V185)+1,1)</f>
        <v>41821</v>
      </c>
      <c r="W186" s="327" t="n">
        <f aca="false">+Y186/(1-HLOOKUP(X$6,SHIPS,7,0)*INDEX(LADEN_VOYAGE_DAYS,MATCH(CONCATENATE(X$4,X$5),LADEN_VOYAGE_ROUTES,0),MATCH(X$6,LADEN_VOYAGE_SHIPS,0)))</f>
        <v>0</v>
      </c>
      <c r="X186" s="347" t="n">
        <f aca="false">+Y186-W186</f>
        <v>0</v>
      </c>
      <c r="Y186" s="348" t="n">
        <f aca="false">+IF(AND(X$8&lt;=V186,X$9&gt;=V186),+MIN($B186-SUMIF($H$17:X$17,Y$17,$H186:X186),((INDEX(ROUTE_PER_DAY_BY_SHIP,MATCH(CONCATENATE(X$4,X$5,X$7),ROUTE_PER_DAY_ROUTES,0),MATCH(X$6,ROUTE_PER_DAY_SHIPS,0))*(V187-V186))-(INDEX(ROUTE_PER_DAY_BY_SHIP,MATCH(CONCATENATE(X$4,X$5,X$7),ROUTE_PER_DAY_ROUTES,0),MATCH(X$6,ROUTE_PER_DAY_SHIPS,0))*(V187-V186))*HLOOKUP(X$6,SHIPS,7,0)*INDEX(LADEN_VOYAGE_DAYS,MATCH(CONCATENATE(X$4,X$5,X$7),LADEN_VOYAGE_ROUTES,0),MATCH(X$6,LADEN_VOYAGE_SHIPS,0)))),0)</f>
        <v>0</v>
      </c>
      <c r="Z186" s="349" t="n">
        <f aca="false">-(Y186)*HLOOKUP(X$5,TERMINAL_CHARGES,3,0)</f>
        <v>-0</v>
      </c>
      <c r="AA186" s="327" t="n">
        <f aca="false">+Y186+Z186</f>
        <v>0</v>
      </c>
      <c r="AB186" s="333"/>
      <c r="AC186" s="346" t="n">
        <f aca="false">+DATE(YEAR(AC185),MONTH(AC185)+1,1)</f>
        <v>41821</v>
      </c>
      <c r="AD186" s="343" t="n">
        <f aca="false">+AA186*(VLOOKUP(AC186,CURVECALC!$C$6:$J$312,4,0)+AE$5)</f>
        <v>0</v>
      </c>
      <c r="AE186" s="350" t="n">
        <f aca="false">-W186*INDEX(ship_curves,MATCH(AC186,'SHIP CURVES'!$A$9:$A$316,0),MATCH(CONCATENATE(AG$4,AG$5,AG$6,AG$7),'SHIP CURVES'!$A$9:$AZ$9,0))</f>
        <v>-0</v>
      </c>
      <c r="AF186" s="351" t="n">
        <f aca="false">-Y186*INDEX(port_processing_fee,MATCH(AC186,PORTS!$H$626:$H$933,0),MATCH(AG$5,PORTS!$H$626:$Z$626,0))</f>
        <v>-0</v>
      </c>
      <c r="AG186" s="352" t="n">
        <f aca="false">(((VLOOKUP(AC186,curvecalc,4,0))*IF(W186=0,0,AA186/W186)-INDEX(ship_curves,MATCH(AC186,'SHIP CURVES'!$A$9:$A$316,0),MATCH(CONCATENATE(AG$4,AG$5,AG$6,AG$7),'SHIP CURVES'!$A$9:$Z$9,0))-INDEX(terminal_curves,MATCH(AC186,'TERMINAL CURVES'!$A$4:$A$313,0),MATCH(AG$5,'TERMINAL CURVES'!$A$4:$N$4,0))*IF(W186=0,0,Y186/W186))-(AE$8)*((AE$7-$N$5)-(INDEX(ship_curves,MATCH(AC186,'SHIP CURVES'!$A$9:$A$316,0),MATCH(CONCATENATE(AG$4,AG$5,AG$6,AG$7),'SHIP CURVES'!$A$9:$Z$9,0))-INDEX(ship_curves,MATCH(AC186,'SHIP CURVES'!$A$9:$A$316,0),MATCH(CONCATENATE(AG$4,AE$6,AG$6,AG$7),'SHIP CURVES'!$A$9:$Z$9,0)))-(INDEX(terminal_curves,MATCH(AC186,'TERMINAL CURVES'!$A$4:$A$313,0),MATCH(AG$5,'TERMINAL CURVES'!$A$4:$N$4,0))-INDEX(terminal_curves,MATCH(AC186,'TERMINAL CURVES'!$A$4:$A$313,0),MATCH(AE$6,'TERMINAL CURVES'!$A$4:$N$4,0)))*IF(W186=0,0,Y186/W186)))*-W186</f>
        <v>0</v>
      </c>
      <c r="AH186" s="356" t="n">
        <f aca="false">SUM(AE186:AG186)</f>
        <v>0</v>
      </c>
      <c r="AI186" s="357" t="n">
        <f aca="false">(-Y186/((HLOOKUP(AG$5,port_specs,2,0)/(365.25))*(AC187-AC186)))*(INDEX(fixed_capacity_charge,MATCH(AC186,PORTS!$H$11:$H$317,0),MATCH(AG$5,PORTS!$H$11:$N$11,0))+INDEX(variable_om_charge,MATCH(AC186,PORTS!$H$318:$H$625,0),MATCH(AG$5,PORTS!$H$318:$N$318,0)))</f>
        <v>-0</v>
      </c>
      <c r="AJ186" s="343" t="n">
        <f aca="false">+AI186+AH186</f>
        <v>0</v>
      </c>
      <c r="AK186" s="355" t="n">
        <f aca="false">+AJ186+AD186</f>
        <v>0</v>
      </c>
      <c r="AM186" s="346" t="n">
        <f aca="false">+DATE(YEAR(AM185),MONTH(AM185)+1,1)</f>
        <v>41821</v>
      </c>
      <c r="AN186" s="327" t="n">
        <f aca="false">+AP186/(1-HLOOKUP(AO$6,SHIPS,7,0)*INDEX(LADEN_VOYAGE_DAYS,MATCH(CONCATENATE(AO$4,AO$5),LADEN_VOYAGE_ROUTES,0),MATCH(AO$6,LADEN_VOYAGE_SHIPS,0)))</f>
        <v>5395761.47735991</v>
      </c>
      <c r="AO186" s="347" t="n">
        <f aca="false">+AP186-AN186</f>
        <v>-56655.4955122788</v>
      </c>
      <c r="AP186" s="348" t="n">
        <f aca="false">+IF(AND(AO$8&lt;=AM186,AO$9&gt;=AM186),+MIN($B186-SUMIF($H$17:AO$17,AP$17,$H186:AO186),((INDEX(ROUTE_PER_DAY_BY_SHIP,MATCH(CONCATENATE(AO$4,AO$5,AO$7),ROUTE_PER_DAY_ROUTES,0),MATCH(AO$6,ROUTE_PER_DAY_SHIPS,0))*(AM187-AM186))-(INDEX(ROUTE_PER_DAY_BY_SHIP,MATCH(CONCATENATE(AO$4,AO$5,AO$7),ROUTE_PER_DAY_ROUTES,0),MATCH(AO$6,ROUTE_PER_DAY_SHIPS,0))*(AM187-AM186))*HLOOKUP(AO$6,SHIPS,7,0)*INDEX(LADEN_VOYAGE_DAYS,MATCH(CONCATENATE(AO$4,AO$5,AO$7),LADEN_VOYAGE_ROUTES,0),MATCH(AO$6,LADEN_VOYAGE_SHIPS,0)))),0)</f>
        <v>5339105.98184763</v>
      </c>
      <c r="AQ186" s="349" t="n">
        <f aca="false">-(AP186)*PORTS!$I$6</f>
        <v>-133477.649546191</v>
      </c>
      <c r="AR186" s="327" t="n">
        <f aca="false">+AP186+AQ186</f>
        <v>5205628.33230144</v>
      </c>
      <c r="AS186" s="333"/>
      <c r="AT186" s="346" t="n">
        <f aca="false">+DATE(YEAR(AT185),MONTH(AT185)+1,1)</f>
        <v>41821</v>
      </c>
      <c r="AU186" s="343" t="n">
        <f aca="false">+AR186*(VLOOKUP(AT186,CURVECALC!$C$6:$J$312,4,0)+AV$5)</f>
        <v>19333703.6261676</v>
      </c>
      <c r="AV186" s="350" t="n">
        <f aca="false">-AN186*INDEX(ship_curves,MATCH(AT186,'SHIP CURVES'!$A$9:$A$316,0),MATCH(CONCATENATE(AX$4,AX$5,AX$6,AX$7),'SHIP CURVES'!$A$9:$AZ$9,0))</f>
        <v>-1823495.48813323</v>
      </c>
      <c r="AW186" s="351" t="n">
        <f aca="false">-AP186*INDEX(port_processing_fee,MATCH(AT186,PORTS!$H$626:$H$933,0),MATCH(AX$5,PORTS!$H$626:$Z$626,0))</f>
        <v>-168462.614874281</v>
      </c>
      <c r="AX186" s="352" t="n">
        <f aca="false">(((VLOOKUP(AT186,curvecalc,4,0))*IF(AN186=0,0,AR186/AN186)-INDEX(ship_curves,MATCH(AT186,'SHIP CURVES'!$A$9:$A$316,0),MATCH(CONCATENATE(AX$4,AX$5,AX$6,AX$7),'SHIP CURVES'!$A$9:$Z$9,0))-INDEX(terminal_curves,MATCH(AT186,'TERMINAL CURVES'!$A$4:$A$313,0),MATCH(AX$5,'TERMINAL CURVES'!$A$4:$N$4,0))*IF(AN186=0,0,AP186/AN186))-(AV$8)*((AV$7-$N$5)-(INDEX(ship_curves,MATCH(AT186,'SHIP CURVES'!$A$9:$A$316,0),MATCH(CONCATENATE(AX$4,AX$5,AX$6,AX$7),'SHIP CURVES'!$A$9:$Z$9,0))-INDEX(ship_curves,MATCH(AT186,'SHIP CURVES'!$A$9:$A$316,0),MATCH(CONCATENATE(AX$4,AV$6,AX$6,AX$7),'SHIP CURVES'!$A$9:$Z$9,0)))-(INDEX(terminal_curves,MATCH(AT186,'TERMINAL CURVES'!$A$4:$A$313,0),MATCH(AX$5,'TERMINAL CURVES'!$A$4:$N$4,0))-INDEX(terminal_curves,MATCH(AT186,'TERMINAL CURVES'!$A$4:$A$313,0),MATCH(AV$6,'TERMINAL CURVES'!$A$4:$N$4,0)))*IF(AN186=0,0,AP186/AN186)))*-AN186</f>
        <v>-16209728.299811</v>
      </c>
      <c r="AY186" s="356" t="n">
        <f aca="false">SUM(AV186:AX186)</f>
        <v>-18201686.4028186</v>
      </c>
      <c r="AZ186" s="357" t="n">
        <f aca="false">(-AP186/((HLOOKUP(AX$5,port_specs,2,0)/(365.25))*(AT187-AT186)))*(INDEX(fixed_capacity_charge,MATCH(AT186,PORTS!$H$11:$H$317,0),MATCH(AX$5,PORTS!$H$11:$N$11,0))+INDEX(variable_om_charge,MATCH(AT186,PORTS!$H$318:$H$625,0),MATCH(AX$5,PORTS!$H$318:$N$318,0)))</f>
        <v>-1027904.65670297</v>
      </c>
      <c r="BA186" s="343" t="n">
        <f aca="false">+AZ186+AY186</f>
        <v>-19229591.0595215</v>
      </c>
      <c r="BB186" s="355" t="n">
        <f aca="false">+BA186+AU186</f>
        <v>104112.566646028</v>
      </c>
      <c r="BC186" s="99"/>
      <c r="BD186" s="357" t="n">
        <f aca="false">+PORTS!I180+PORTS!I488</f>
        <v>1027904.65670297</v>
      </c>
    </row>
    <row r="187" customFormat="false" ht="12.75" hidden="false" customHeight="false" outlineLevel="0" collapsed="false">
      <c r="A187" s="346" t="n">
        <f aca="false">+DATE(YEAR(A186),MONTH(A186)+1,1)</f>
        <v>41852</v>
      </c>
      <c r="B187" s="327" t="n">
        <f aca="false">+IF(AND($A187&gt;=$C$8,$A187&lt;=$C$9),1,0)*PORTS!$I$5/(365.25)*(A188-A187)</f>
        <v>5339105.98184763</v>
      </c>
      <c r="C187" s="328" t="n">
        <f aca="false">+B187-(SUMIF($F$17:$IV$17,$H$17,$F187:$IV187))</f>
        <v>0</v>
      </c>
      <c r="D187" s="0" t="n">
        <f aca="false">+YEAR(E187)</f>
        <v>2014</v>
      </c>
      <c r="E187" s="346" t="n">
        <f aca="false">+DATE(YEAR(E186),MONTH(E186)+1,1)</f>
        <v>41852</v>
      </c>
      <c r="F187" s="327" t="n">
        <f aca="false">+IF(AND(G$8&lt;=E187,G$9&gt;=E187),INDEX(ROUTE_PER_DAY_BY_SHIP,MATCH(CONCATENATE(G$4,G$5,G$7),ROUTE_PER_DAY_ROUTES,0),MATCH(G$6,ROUTE_PER_DAY_SHIPS,0))*(E188-E187),0)</f>
        <v>0</v>
      </c>
      <c r="G187" s="347" t="n">
        <f aca="false">-F187*HLOOKUP(G$6,SHIPS,7,0)*INDEX(LADEN_VOYAGE_DAYS,MATCH(CONCATENATE(G$4,G$5,G$7),LADEN_VOYAGE_ROUTES,0),MATCH(G$6,LADEN_VOYAGE_SHIPS,0))</f>
        <v>-0</v>
      </c>
      <c r="H187" s="348" t="n">
        <f aca="false">SUM(F187:G187)</f>
        <v>0</v>
      </c>
      <c r="I187" s="349" t="n">
        <f aca="false">-(H187)*HLOOKUP(G$5,TERMINAL_CHARGES,3,0)</f>
        <v>-0</v>
      </c>
      <c r="J187" s="327" t="n">
        <f aca="false">+H187+I187</f>
        <v>0</v>
      </c>
      <c r="K187" s="333"/>
      <c r="L187" s="346" t="n">
        <f aca="false">+DATE(YEAR(L186),MONTH(L186)+1,1)</f>
        <v>41852</v>
      </c>
      <c r="M187" s="334" t="n">
        <f aca="false">+J187*(VLOOKUP(L187,CURVECALC!$C$6:$J$312,4,0)+N$5)</f>
        <v>0</v>
      </c>
      <c r="N187" s="350" t="n">
        <f aca="false">-F187*INDEX(ship_curves,MATCH(L187,'SHIP CURVES'!$A$9:$A$316,0),MATCH(CONCATENATE(P$4,P$5,P$6,P$7),'SHIP CURVES'!$A$9:$AZ$9,0))</f>
        <v>-0</v>
      </c>
      <c r="O187" s="351" t="n">
        <f aca="false">-H187*INDEX(port_processing_fee,MATCH(L187,PORTS!$H$626:$H$933,0),MATCH(P$5,PORTS!$H$626:$Z$626,0))</f>
        <v>-0</v>
      </c>
      <c r="P187" s="352" t="n">
        <f aca="false">(((VLOOKUP(L187,curvecalc,4,0))*IF(F187=0,0,J187/F187)-INDEX(ship_curves,MATCH(L187,'SHIP CURVES'!$A$9:$A$316,0),MATCH(CONCATENATE(P$4,P$5,P$6,P$7),'SHIP CURVES'!$A$9:$Z$9,0))-INDEX(terminal_curves,MATCH(L187,'TERMINAL CURVES'!$A$4:$A$313,0),MATCH(P$5,'TERMINAL CURVES'!$A$4:$N$4,0))*IF(F187=0,0,H187/F187))-(N$8)*((N$7-$N$5)-(INDEX(ship_curves,MATCH(L187,'SHIP CURVES'!$A$9:$A$316,0),MATCH(CONCATENATE(P$4,P$5,P$6,P$7),'SHIP CURVES'!$A$9:$Z$9,0))-INDEX(ship_curves,MATCH(L187,'SHIP CURVES'!$A$9:$A$316,0),MATCH(CONCATENATE(P$4,N$6,P$6,P$7),'SHIP CURVES'!$A$9:$Z$9,0)))-(INDEX(terminal_curves,MATCH(L187,'TERMINAL CURVES'!$A$4:$A$313,0),MATCH(P$5,'TERMINAL CURVES'!$A$4:$N$4,0))-INDEX(terminal_curves,MATCH(L187,'TERMINAL CURVES'!$A$4:$A$313,0),MATCH(N$6,'TERMINAL CURVES'!$A$4:$N$4,0)))*IF(F187=0,0,H187/F187)))*-F187</f>
        <v>0</v>
      </c>
      <c r="Q187" s="353" t="n">
        <f aca="false">SUM(N187:P187)</f>
        <v>0</v>
      </c>
      <c r="R187" s="357" t="n">
        <f aca="false">(-H187/((HLOOKUP(P$5,port_specs,2,0)/(365.25))*(L188-L187)))*(INDEX(fixed_capacity_charge,MATCH(L187,PORTS!$H$11:$H$317,0),MATCH(P$5,PORTS!$H$11:$N$11,0))+INDEX(variable_om_charge,MATCH(L187,PORTS!$H$318:$H$625,0),MATCH(P$5,PORTS!$H$318:$N$318,0)))</f>
        <v>-0</v>
      </c>
      <c r="S187" s="343" t="n">
        <f aca="false">+R187+Q187</f>
        <v>0</v>
      </c>
      <c r="T187" s="355" t="n">
        <f aca="false">+S187+M187</f>
        <v>0</v>
      </c>
      <c r="V187" s="346" t="n">
        <f aca="false">+DATE(YEAR(V186),MONTH(V186)+1,1)</f>
        <v>41852</v>
      </c>
      <c r="W187" s="327" t="n">
        <f aca="false">+Y187/(1-HLOOKUP(X$6,SHIPS,7,0)*INDEX(LADEN_VOYAGE_DAYS,MATCH(CONCATENATE(X$4,X$5),LADEN_VOYAGE_ROUTES,0),MATCH(X$6,LADEN_VOYAGE_SHIPS,0)))</f>
        <v>0</v>
      </c>
      <c r="X187" s="347" t="n">
        <f aca="false">+Y187-W187</f>
        <v>0</v>
      </c>
      <c r="Y187" s="348" t="n">
        <f aca="false">+IF(AND(X$8&lt;=V187,X$9&gt;=V187),+MIN($B187-SUMIF($H$17:X$17,Y$17,$H187:X187),((INDEX(ROUTE_PER_DAY_BY_SHIP,MATCH(CONCATENATE(X$4,X$5,X$7),ROUTE_PER_DAY_ROUTES,0),MATCH(X$6,ROUTE_PER_DAY_SHIPS,0))*(V188-V187))-(INDEX(ROUTE_PER_DAY_BY_SHIP,MATCH(CONCATENATE(X$4,X$5,X$7),ROUTE_PER_DAY_ROUTES,0),MATCH(X$6,ROUTE_PER_DAY_SHIPS,0))*(V188-V187))*HLOOKUP(X$6,SHIPS,7,0)*INDEX(LADEN_VOYAGE_DAYS,MATCH(CONCATENATE(X$4,X$5,X$7),LADEN_VOYAGE_ROUTES,0),MATCH(X$6,LADEN_VOYAGE_SHIPS,0)))),0)</f>
        <v>0</v>
      </c>
      <c r="Z187" s="349" t="n">
        <f aca="false">-(Y187)*HLOOKUP(X$5,TERMINAL_CHARGES,3,0)</f>
        <v>-0</v>
      </c>
      <c r="AA187" s="327" t="n">
        <f aca="false">+Y187+Z187</f>
        <v>0</v>
      </c>
      <c r="AB187" s="333"/>
      <c r="AC187" s="346" t="n">
        <f aca="false">+DATE(YEAR(AC186),MONTH(AC186)+1,1)</f>
        <v>41852</v>
      </c>
      <c r="AD187" s="343" t="n">
        <f aca="false">+AA187*(VLOOKUP(AC187,CURVECALC!$C$6:$J$312,4,0)+AE$5)</f>
        <v>0</v>
      </c>
      <c r="AE187" s="350" t="n">
        <f aca="false">-W187*INDEX(ship_curves,MATCH(AC187,'SHIP CURVES'!$A$9:$A$316,0),MATCH(CONCATENATE(AG$4,AG$5,AG$6,AG$7),'SHIP CURVES'!$A$9:$AZ$9,0))</f>
        <v>-0</v>
      </c>
      <c r="AF187" s="351" t="n">
        <f aca="false">-Y187*INDEX(port_processing_fee,MATCH(AC187,PORTS!$H$626:$H$933,0),MATCH(AG$5,PORTS!$H$626:$Z$626,0))</f>
        <v>-0</v>
      </c>
      <c r="AG187" s="352" t="n">
        <f aca="false">(((VLOOKUP(AC187,curvecalc,4,0))*IF(W187=0,0,AA187/W187)-INDEX(ship_curves,MATCH(AC187,'SHIP CURVES'!$A$9:$A$316,0),MATCH(CONCATENATE(AG$4,AG$5,AG$6,AG$7),'SHIP CURVES'!$A$9:$Z$9,0))-INDEX(terminal_curves,MATCH(AC187,'TERMINAL CURVES'!$A$4:$A$313,0),MATCH(AG$5,'TERMINAL CURVES'!$A$4:$N$4,0))*IF(W187=0,0,Y187/W187))-(AE$8)*((AE$7-$N$5)-(INDEX(ship_curves,MATCH(AC187,'SHIP CURVES'!$A$9:$A$316,0),MATCH(CONCATENATE(AG$4,AG$5,AG$6,AG$7),'SHIP CURVES'!$A$9:$Z$9,0))-INDEX(ship_curves,MATCH(AC187,'SHIP CURVES'!$A$9:$A$316,0),MATCH(CONCATENATE(AG$4,AE$6,AG$6,AG$7),'SHIP CURVES'!$A$9:$Z$9,0)))-(INDEX(terminal_curves,MATCH(AC187,'TERMINAL CURVES'!$A$4:$A$313,0),MATCH(AG$5,'TERMINAL CURVES'!$A$4:$N$4,0))-INDEX(terminal_curves,MATCH(AC187,'TERMINAL CURVES'!$A$4:$A$313,0),MATCH(AE$6,'TERMINAL CURVES'!$A$4:$N$4,0)))*IF(W187=0,0,Y187/W187)))*-W187</f>
        <v>0</v>
      </c>
      <c r="AH187" s="356" t="n">
        <f aca="false">SUM(AE187:AG187)</f>
        <v>0</v>
      </c>
      <c r="AI187" s="357" t="n">
        <f aca="false">(-Y187/((HLOOKUP(AG$5,port_specs,2,0)/(365.25))*(AC188-AC187)))*(INDEX(fixed_capacity_charge,MATCH(AC187,PORTS!$H$11:$H$317,0),MATCH(AG$5,PORTS!$H$11:$N$11,0))+INDEX(variable_om_charge,MATCH(AC187,PORTS!$H$318:$H$625,0),MATCH(AG$5,PORTS!$H$318:$N$318,0)))</f>
        <v>-0</v>
      </c>
      <c r="AJ187" s="343" t="n">
        <f aca="false">+AI187+AH187</f>
        <v>0</v>
      </c>
      <c r="AK187" s="355" t="n">
        <f aca="false">+AJ187+AD187</f>
        <v>0</v>
      </c>
      <c r="AM187" s="346" t="n">
        <f aca="false">+DATE(YEAR(AM186),MONTH(AM186)+1,1)</f>
        <v>41852</v>
      </c>
      <c r="AN187" s="327" t="n">
        <f aca="false">+AP187/(1-HLOOKUP(AO$6,SHIPS,7,0)*INDEX(LADEN_VOYAGE_DAYS,MATCH(CONCATENATE(AO$4,AO$5),LADEN_VOYAGE_ROUTES,0),MATCH(AO$6,LADEN_VOYAGE_SHIPS,0)))</f>
        <v>5395761.47735991</v>
      </c>
      <c r="AO187" s="347" t="n">
        <f aca="false">+AP187-AN187</f>
        <v>-56655.4955122788</v>
      </c>
      <c r="AP187" s="348" t="n">
        <f aca="false">+IF(AND(AO$8&lt;=AM187,AO$9&gt;=AM187),+MIN($B187-SUMIF($H$17:AO$17,AP$17,$H187:AO187),((INDEX(ROUTE_PER_DAY_BY_SHIP,MATCH(CONCATENATE(AO$4,AO$5,AO$7),ROUTE_PER_DAY_ROUTES,0),MATCH(AO$6,ROUTE_PER_DAY_SHIPS,0))*(AM188-AM187))-(INDEX(ROUTE_PER_DAY_BY_SHIP,MATCH(CONCATENATE(AO$4,AO$5,AO$7),ROUTE_PER_DAY_ROUTES,0),MATCH(AO$6,ROUTE_PER_DAY_SHIPS,0))*(AM188-AM187))*HLOOKUP(AO$6,SHIPS,7,0)*INDEX(LADEN_VOYAGE_DAYS,MATCH(CONCATENATE(AO$4,AO$5,AO$7),LADEN_VOYAGE_ROUTES,0),MATCH(AO$6,LADEN_VOYAGE_SHIPS,0)))),0)</f>
        <v>5339105.98184763</v>
      </c>
      <c r="AQ187" s="349" t="n">
        <f aca="false">-(AP187)*PORTS!$I$6</f>
        <v>-133477.649546191</v>
      </c>
      <c r="AR187" s="327" t="n">
        <f aca="false">+AP187+AQ187</f>
        <v>5205628.33230144</v>
      </c>
      <c r="AS187" s="333"/>
      <c r="AT187" s="346" t="n">
        <f aca="false">+DATE(YEAR(AT186),MONTH(AT186)+1,1)</f>
        <v>41852</v>
      </c>
      <c r="AU187" s="343" t="n">
        <f aca="false">+AR187*(VLOOKUP(AT187,CURVECALC!$C$6:$J$312,4,0)+AV$5)</f>
        <v>19646041.3261056</v>
      </c>
      <c r="AV187" s="350" t="n">
        <f aca="false">-AN187*INDEX(ship_curves,MATCH(AT187,'SHIP CURVES'!$A$9:$A$316,0),MATCH(CONCATENATE(AX$4,AX$5,AX$6,AX$7),'SHIP CURVES'!$A$9:$AZ$9,0))</f>
        <v>-1824098.75430223</v>
      </c>
      <c r="AW187" s="351" t="n">
        <f aca="false">-AP187*INDEX(port_processing_fee,MATCH(AT187,PORTS!$H$626:$H$933,0),MATCH(AX$5,PORTS!$H$626:$Z$626,0))</f>
        <v>-168638.096764775</v>
      </c>
      <c r="AX187" s="352" t="n">
        <f aca="false">(((VLOOKUP(AT187,curvecalc,4,0))*IF(AN187=0,0,AR187/AN187)-INDEX(ship_curves,MATCH(AT187,'SHIP CURVES'!$A$9:$A$316,0),MATCH(CONCATENATE(AX$4,AX$5,AX$6,AX$7),'SHIP CURVES'!$A$9:$Z$9,0))-INDEX(terminal_curves,MATCH(AT187,'TERMINAL CURVES'!$A$4:$A$313,0),MATCH(AX$5,'TERMINAL CURVES'!$A$4:$N$4,0))*IF(AN187=0,0,AP187/AN187))-(AV$8)*((AV$7-$N$5)-(INDEX(ship_curves,MATCH(AT187,'SHIP CURVES'!$A$9:$A$316,0),MATCH(CONCATENATE(AX$4,AX$5,AX$6,AX$7),'SHIP CURVES'!$A$9:$Z$9,0))-INDEX(ship_curves,MATCH(AT187,'SHIP CURVES'!$A$9:$A$316,0),MATCH(CONCATENATE(AX$4,AV$6,AX$6,AX$7),'SHIP CURVES'!$A$9:$Z$9,0)))-(INDEX(terminal_curves,MATCH(AT187,'TERMINAL CURVES'!$A$4:$A$313,0),MATCH(AX$5,'TERMINAL CURVES'!$A$4:$N$4,0))-INDEX(terminal_curves,MATCH(AT187,'TERMINAL CURVES'!$A$4:$A$313,0),MATCH(AV$6,'TERMINAL CURVES'!$A$4:$N$4,0)))*IF(AN187=0,0,AP187/AN187)))*-AN187</f>
        <v>-16520721.9203503</v>
      </c>
      <c r="AY187" s="356" t="n">
        <f aca="false">SUM(AV187:AX187)</f>
        <v>-18513458.7714173</v>
      </c>
      <c r="AZ187" s="357" t="n">
        <f aca="false">(-AP187/((HLOOKUP(AX$5,port_specs,2,0)/(365.25))*(AT188-AT187)))*(INDEX(fixed_capacity_charge,MATCH(AT187,PORTS!$H$11:$H$317,0),MATCH(AX$5,PORTS!$H$11:$N$11,0))+INDEX(variable_om_charge,MATCH(AT187,PORTS!$H$318:$H$625,0),MATCH(AX$5,PORTS!$H$318:$N$318,0)))</f>
        <v>-1028469.98804234</v>
      </c>
      <c r="BA187" s="343" t="n">
        <f aca="false">+AZ187+AY187</f>
        <v>-19541928.7594596</v>
      </c>
      <c r="BB187" s="355" t="n">
        <f aca="false">+BA187+AU187</f>
        <v>104112.566646025</v>
      </c>
      <c r="BC187" s="99"/>
      <c r="BD187" s="357" t="n">
        <f aca="false">+PORTS!I181+PORTS!I489</f>
        <v>1028469.98804234</v>
      </c>
    </row>
    <row r="188" customFormat="false" ht="12.75" hidden="false" customHeight="false" outlineLevel="0" collapsed="false">
      <c r="A188" s="346" t="n">
        <f aca="false">+DATE(YEAR(A187),MONTH(A187)+1,1)</f>
        <v>41883</v>
      </c>
      <c r="B188" s="327" t="n">
        <f aca="false">+IF(AND($A188&gt;=$C$8,$A188&lt;=$C$9),1,0)*PORTS!$I$5/(365.25)*(A189-A188)</f>
        <v>5166876.75662674</v>
      </c>
      <c r="C188" s="328" t="n">
        <f aca="false">+B188-(SUMIF($F$17:$IV$17,$H$17,$F188:$IV188))</f>
        <v>0</v>
      </c>
      <c r="D188" s="0" t="n">
        <f aca="false">+YEAR(E188)</f>
        <v>2014</v>
      </c>
      <c r="E188" s="346" t="n">
        <f aca="false">+DATE(YEAR(E187),MONTH(E187)+1,1)</f>
        <v>41883</v>
      </c>
      <c r="F188" s="327" t="n">
        <f aca="false">+IF(AND(G$8&lt;=E188,G$9&gt;=E188),INDEX(ROUTE_PER_DAY_BY_SHIP,MATCH(CONCATENATE(G$4,G$5,G$7),ROUTE_PER_DAY_ROUTES,0),MATCH(G$6,ROUTE_PER_DAY_SHIPS,0))*(E189-E188),0)</f>
        <v>0</v>
      </c>
      <c r="G188" s="347" t="n">
        <f aca="false">-F188*HLOOKUP(G$6,SHIPS,7,0)*INDEX(LADEN_VOYAGE_DAYS,MATCH(CONCATENATE(G$4,G$5,G$7),LADEN_VOYAGE_ROUTES,0),MATCH(G$6,LADEN_VOYAGE_SHIPS,0))</f>
        <v>-0</v>
      </c>
      <c r="H188" s="348" t="n">
        <f aca="false">SUM(F188:G188)</f>
        <v>0</v>
      </c>
      <c r="I188" s="349" t="n">
        <f aca="false">-(H188)*HLOOKUP(G$5,TERMINAL_CHARGES,3,0)</f>
        <v>-0</v>
      </c>
      <c r="J188" s="327" t="n">
        <f aca="false">+H188+I188</f>
        <v>0</v>
      </c>
      <c r="K188" s="333"/>
      <c r="L188" s="346" t="n">
        <f aca="false">+DATE(YEAR(L187),MONTH(L187)+1,1)</f>
        <v>41883</v>
      </c>
      <c r="M188" s="334" t="n">
        <f aca="false">+J188*(VLOOKUP(L188,CURVECALC!$C$6:$J$312,4,0)+N$5)</f>
        <v>0</v>
      </c>
      <c r="N188" s="350" t="n">
        <f aca="false">-F188*INDEX(ship_curves,MATCH(L188,'SHIP CURVES'!$A$9:$A$316,0),MATCH(CONCATENATE(P$4,P$5,P$6,P$7),'SHIP CURVES'!$A$9:$AZ$9,0))</f>
        <v>-0</v>
      </c>
      <c r="O188" s="351" t="n">
        <f aca="false">-H188*INDEX(port_processing_fee,MATCH(L188,PORTS!$H$626:$H$933,0),MATCH(P$5,PORTS!$H$626:$Z$626,0))</f>
        <v>-0</v>
      </c>
      <c r="P188" s="352" t="n">
        <f aca="false">(((VLOOKUP(L188,curvecalc,4,0))*IF(F188=0,0,J188/F188)-INDEX(ship_curves,MATCH(L188,'SHIP CURVES'!$A$9:$A$316,0),MATCH(CONCATENATE(P$4,P$5,P$6,P$7),'SHIP CURVES'!$A$9:$Z$9,0))-INDEX(terminal_curves,MATCH(L188,'TERMINAL CURVES'!$A$4:$A$313,0),MATCH(P$5,'TERMINAL CURVES'!$A$4:$N$4,0))*IF(F188=0,0,H188/F188))-(N$8)*((N$7-$N$5)-(INDEX(ship_curves,MATCH(L188,'SHIP CURVES'!$A$9:$A$316,0),MATCH(CONCATENATE(P$4,P$5,P$6,P$7),'SHIP CURVES'!$A$9:$Z$9,0))-INDEX(ship_curves,MATCH(L188,'SHIP CURVES'!$A$9:$A$316,0),MATCH(CONCATENATE(P$4,N$6,P$6,P$7),'SHIP CURVES'!$A$9:$Z$9,0)))-(INDEX(terminal_curves,MATCH(L188,'TERMINAL CURVES'!$A$4:$A$313,0),MATCH(P$5,'TERMINAL CURVES'!$A$4:$N$4,0))-INDEX(terminal_curves,MATCH(L188,'TERMINAL CURVES'!$A$4:$A$313,0),MATCH(N$6,'TERMINAL CURVES'!$A$4:$N$4,0)))*IF(F188=0,0,H188/F188)))*-F188</f>
        <v>0</v>
      </c>
      <c r="Q188" s="353" t="n">
        <f aca="false">SUM(N188:P188)</f>
        <v>0</v>
      </c>
      <c r="R188" s="357" t="n">
        <f aca="false">(-H188/((HLOOKUP(P$5,port_specs,2,0)/(365.25))*(L189-L188)))*(INDEX(fixed_capacity_charge,MATCH(L188,PORTS!$H$11:$H$317,0),MATCH(P$5,PORTS!$H$11:$N$11,0))+INDEX(variable_om_charge,MATCH(L188,PORTS!$H$318:$H$625,0),MATCH(P$5,PORTS!$H$318:$N$318,0)))</f>
        <v>-0</v>
      </c>
      <c r="S188" s="343" t="n">
        <f aca="false">+R188+Q188</f>
        <v>0</v>
      </c>
      <c r="T188" s="355" t="n">
        <f aca="false">+S188+M188</f>
        <v>0</v>
      </c>
      <c r="V188" s="346" t="n">
        <f aca="false">+DATE(YEAR(V187),MONTH(V187)+1,1)</f>
        <v>41883</v>
      </c>
      <c r="W188" s="327" t="n">
        <f aca="false">+Y188/(1-HLOOKUP(X$6,SHIPS,7,0)*INDEX(LADEN_VOYAGE_DAYS,MATCH(CONCATENATE(X$4,X$5),LADEN_VOYAGE_ROUTES,0),MATCH(X$6,LADEN_VOYAGE_SHIPS,0)))</f>
        <v>0</v>
      </c>
      <c r="X188" s="347" t="n">
        <f aca="false">+Y188-W188</f>
        <v>0</v>
      </c>
      <c r="Y188" s="348" t="n">
        <f aca="false">+IF(AND(X$8&lt;=V188,X$9&gt;=V188),+MIN($B188-SUMIF($H$17:X$17,Y$17,$H188:X188),((INDEX(ROUTE_PER_DAY_BY_SHIP,MATCH(CONCATENATE(X$4,X$5,X$7),ROUTE_PER_DAY_ROUTES,0),MATCH(X$6,ROUTE_PER_DAY_SHIPS,0))*(V189-V188))-(INDEX(ROUTE_PER_DAY_BY_SHIP,MATCH(CONCATENATE(X$4,X$5,X$7),ROUTE_PER_DAY_ROUTES,0),MATCH(X$6,ROUTE_PER_DAY_SHIPS,0))*(V189-V188))*HLOOKUP(X$6,SHIPS,7,0)*INDEX(LADEN_VOYAGE_DAYS,MATCH(CONCATENATE(X$4,X$5,X$7),LADEN_VOYAGE_ROUTES,0),MATCH(X$6,LADEN_VOYAGE_SHIPS,0)))),0)</f>
        <v>0</v>
      </c>
      <c r="Z188" s="349" t="n">
        <f aca="false">-(Y188)*HLOOKUP(X$5,TERMINAL_CHARGES,3,0)</f>
        <v>-0</v>
      </c>
      <c r="AA188" s="327" t="n">
        <f aca="false">+Y188+Z188</f>
        <v>0</v>
      </c>
      <c r="AB188" s="333"/>
      <c r="AC188" s="346" t="n">
        <f aca="false">+DATE(YEAR(AC187),MONTH(AC187)+1,1)</f>
        <v>41883</v>
      </c>
      <c r="AD188" s="343" t="n">
        <f aca="false">+AA188*(VLOOKUP(AC188,CURVECALC!$C$6:$J$312,4,0)+AE$5)</f>
        <v>0</v>
      </c>
      <c r="AE188" s="350" t="n">
        <f aca="false">-W188*INDEX(ship_curves,MATCH(AC188,'SHIP CURVES'!$A$9:$A$316,0),MATCH(CONCATENATE(AG$4,AG$5,AG$6,AG$7),'SHIP CURVES'!$A$9:$AZ$9,0))</f>
        <v>-0</v>
      </c>
      <c r="AF188" s="351" t="n">
        <f aca="false">-Y188*INDEX(port_processing_fee,MATCH(AC188,PORTS!$H$626:$H$933,0),MATCH(AG$5,PORTS!$H$626:$Z$626,0))</f>
        <v>-0</v>
      </c>
      <c r="AG188" s="352" t="n">
        <f aca="false">(((VLOOKUP(AC188,curvecalc,4,0))*IF(W188=0,0,AA188/W188)-INDEX(ship_curves,MATCH(AC188,'SHIP CURVES'!$A$9:$A$316,0),MATCH(CONCATENATE(AG$4,AG$5,AG$6,AG$7),'SHIP CURVES'!$A$9:$Z$9,0))-INDEX(terminal_curves,MATCH(AC188,'TERMINAL CURVES'!$A$4:$A$313,0),MATCH(AG$5,'TERMINAL CURVES'!$A$4:$N$4,0))*IF(W188=0,0,Y188/W188))-(AE$8)*((AE$7-$N$5)-(INDEX(ship_curves,MATCH(AC188,'SHIP CURVES'!$A$9:$A$316,0),MATCH(CONCATENATE(AG$4,AG$5,AG$6,AG$7),'SHIP CURVES'!$A$9:$Z$9,0))-INDEX(ship_curves,MATCH(AC188,'SHIP CURVES'!$A$9:$A$316,0),MATCH(CONCATENATE(AG$4,AE$6,AG$6,AG$7),'SHIP CURVES'!$A$9:$Z$9,0)))-(INDEX(terminal_curves,MATCH(AC188,'TERMINAL CURVES'!$A$4:$A$313,0),MATCH(AG$5,'TERMINAL CURVES'!$A$4:$N$4,0))-INDEX(terminal_curves,MATCH(AC188,'TERMINAL CURVES'!$A$4:$A$313,0),MATCH(AE$6,'TERMINAL CURVES'!$A$4:$N$4,0)))*IF(W188=0,0,Y188/W188)))*-W188</f>
        <v>0</v>
      </c>
      <c r="AH188" s="356" t="n">
        <f aca="false">SUM(AE188:AG188)</f>
        <v>0</v>
      </c>
      <c r="AI188" s="357" t="n">
        <f aca="false">(-Y188/((HLOOKUP(AG$5,port_specs,2,0)/(365.25))*(AC189-AC188)))*(INDEX(fixed_capacity_charge,MATCH(AC188,PORTS!$H$11:$H$317,0),MATCH(AG$5,PORTS!$H$11:$N$11,0))+INDEX(variable_om_charge,MATCH(AC188,PORTS!$H$318:$H$625,0),MATCH(AG$5,PORTS!$H$318:$N$318,0)))</f>
        <v>-0</v>
      </c>
      <c r="AJ188" s="343" t="n">
        <f aca="false">+AI188+AH188</f>
        <v>0</v>
      </c>
      <c r="AK188" s="355" t="n">
        <f aca="false">+AJ188+AD188</f>
        <v>0</v>
      </c>
      <c r="AM188" s="346" t="n">
        <f aca="false">+DATE(YEAR(AM187),MONTH(AM187)+1,1)</f>
        <v>41883</v>
      </c>
      <c r="AN188" s="327" t="n">
        <f aca="false">+AP188/(1-HLOOKUP(AO$6,SHIPS,7,0)*INDEX(LADEN_VOYAGE_DAYS,MATCH(CONCATENATE(AO$4,AO$5),LADEN_VOYAGE_ROUTES,0),MATCH(AO$6,LADEN_VOYAGE_SHIPS,0)))</f>
        <v>5221704.65550959</v>
      </c>
      <c r="AO188" s="347" t="n">
        <f aca="false">+AP188-AN188</f>
        <v>-54827.8988828501</v>
      </c>
      <c r="AP188" s="348" t="n">
        <f aca="false">+IF(AND(AO$8&lt;=AM188,AO$9&gt;=AM188),+MIN($B188-SUMIF($H$17:AO$17,AP$17,$H188:AO188),((INDEX(ROUTE_PER_DAY_BY_SHIP,MATCH(CONCATENATE(AO$4,AO$5,AO$7),ROUTE_PER_DAY_ROUTES,0),MATCH(AO$6,ROUTE_PER_DAY_SHIPS,0))*(AM189-AM188))-(INDEX(ROUTE_PER_DAY_BY_SHIP,MATCH(CONCATENATE(AO$4,AO$5,AO$7),ROUTE_PER_DAY_ROUTES,0),MATCH(AO$6,ROUTE_PER_DAY_SHIPS,0))*(AM189-AM188))*HLOOKUP(AO$6,SHIPS,7,0)*INDEX(LADEN_VOYAGE_DAYS,MATCH(CONCATENATE(AO$4,AO$5,AO$7),LADEN_VOYAGE_ROUTES,0),MATCH(AO$6,LADEN_VOYAGE_SHIPS,0)))),0)</f>
        <v>5166876.75662674</v>
      </c>
      <c r="AQ188" s="349" t="n">
        <f aca="false">-(AP188)*PORTS!$I$6</f>
        <v>-129171.918915669</v>
      </c>
      <c r="AR188" s="327" t="n">
        <f aca="false">+AP188+AQ188</f>
        <v>5037704.83771107</v>
      </c>
      <c r="AS188" s="333"/>
      <c r="AT188" s="346" t="n">
        <f aca="false">+DATE(YEAR(AT187),MONTH(AT187)+1,1)</f>
        <v>41883</v>
      </c>
      <c r="AU188" s="343" t="n">
        <f aca="false">+AR188*(VLOOKUP(AT188,CURVECALC!$C$6:$J$312,4,0)+AV$5)</f>
        <v>18906506.2559297</v>
      </c>
      <c r="AV188" s="350" t="n">
        <f aca="false">-AN188*INDEX(ship_curves,MATCH(AT188,'SHIP CURVES'!$A$9:$A$316,0),MATCH(CONCATENATE(AX$4,AX$5,AX$6,AX$7),'SHIP CURVES'!$A$9:$AZ$9,0))</f>
        <v>-1765841.88123458</v>
      </c>
      <c r="AW188" s="351" t="n">
        <f aca="false">-AP188*INDEX(port_processing_fee,MATCH(AT188,PORTS!$H$626:$H$933,0),MATCH(AX$5,PORTS!$H$626:$Z$626,0))</f>
        <v>-163368.156240876</v>
      </c>
      <c r="AX188" s="352" t="n">
        <f aca="false">(((VLOOKUP(AT188,curvecalc,4,0))*IF(AN188=0,0,AR188/AN188)-INDEX(ship_curves,MATCH(AT188,'SHIP CURVES'!$A$9:$A$316,0),MATCH(CONCATENATE(AX$4,AX$5,AX$6,AX$7),'SHIP CURVES'!$A$9:$Z$9,0))-INDEX(terminal_curves,MATCH(AT188,'TERMINAL CURVES'!$A$4:$A$313,0),MATCH(AX$5,'TERMINAL CURVES'!$A$4:$N$4,0))*IF(AN188=0,0,AP188/AN188))-(AV$8)*((AV$7-$N$5)-(INDEX(ship_curves,MATCH(AT188,'SHIP CURVES'!$A$9:$A$316,0),MATCH(CONCATENATE(AX$4,AX$5,AX$6,AX$7),'SHIP CURVES'!$A$9:$Z$9,0))-INDEX(ship_curves,MATCH(AT188,'SHIP CURVES'!$A$9:$A$316,0),MATCH(CONCATENATE(AX$4,AV$6,AX$6,AX$7),'SHIP CURVES'!$A$9:$Z$9,0)))-(INDEX(terminal_curves,MATCH(AT188,'TERMINAL CURVES'!$A$4:$A$313,0),MATCH(AX$5,'TERMINAL CURVES'!$A$4:$N$4,0))-INDEX(terminal_curves,MATCH(AT188,'TERMINAL CURVES'!$A$4:$A$313,0),MATCH(AV$6,'TERMINAL CURVES'!$A$4:$N$4,0)))*IF(AN188=0,0,AP188/AN188)))*-AN188</f>
        <v>-15847506.2134315</v>
      </c>
      <c r="AY188" s="356" t="n">
        <f aca="false">SUM(AV188:AX188)</f>
        <v>-17776716.2509069</v>
      </c>
      <c r="AZ188" s="357" t="n">
        <f aca="false">(-AP188/((HLOOKUP(AX$5,port_specs,2,0)/(365.25))*(AT189-AT188)))*(INDEX(fixed_capacity_charge,MATCH(AT188,PORTS!$H$11:$H$317,0),MATCH(AX$5,PORTS!$H$11:$N$11,0))+INDEX(variable_om_charge,MATCH(AT188,PORTS!$H$318:$H$625,0),MATCH(AX$5,PORTS!$H$318:$N$318,0)))</f>
        <v>-1029035.90826852</v>
      </c>
      <c r="BA188" s="343" t="n">
        <f aca="false">+AZ188+AY188</f>
        <v>-18805752.1591754</v>
      </c>
      <c r="BB188" s="355" t="n">
        <f aca="false">+BA188+AU188</f>
        <v>100754.096754223</v>
      </c>
      <c r="BC188" s="99"/>
      <c r="BD188" s="357" t="n">
        <f aca="false">+PORTS!I182+PORTS!I490</f>
        <v>1029035.90826852</v>
      </c>
    </row>
    <row r="189" customFormat="false" ht="12.75" hidden="false" customHeight="false" outlineLevel="0" collapsed="false">
      <c r="A189" s="346" t="n">
        <f aca="false">+DATE(YEAR(A188),MONTH(A188)+1,1)</f>
        <v>41913</v>
      </c>
      <c r="B189" s="327" t="n">
        <f aca="false">+IF(AND($A189&gt;=$C$8,$A189&lt;=$C$9),1,0)*PORTS!$I$5/(365.25)*(A190-A189)</f>
        <v>5339105.98184763</v>
      </c>
      <c r="C189" s="328" t="n">
        <f aca="false">+B189-(SUMIF($F$17:$IV$17,$H$17,$F189:$IV189))</f>
        <v>0</v>
      </c>
      <c r="D189" s="0" t="n">
        <f aca="false">+YEAR(E189)</f>
        <v>2014</v>
      </c>
      <c r="E189" s="346" t="n">
        <f aca="false">+DATE(YEAR(E188),MONTH(E188)+1,1)</f>
        <v>41913</v>
      </c>
      <c r="F189" s="327" t="n">
        <f aca="false">+IF(AND(G$8&lt;=E189,G$9&gt;=E189),INDEX(ROUTE_PER_DAY_BY_SHIP,MATCH(CONCATENATE(G$4,G$5,G$7),ROUTE_PER_DAY_ROUTES,0),MATCH(G$6,ROUTE_PER_DAY_SHIPS,0))*(E190-E189),0)</f>
        <v>0</v>
      </c>
      <c r="G189" s="347" t="n">
        <f aca="false">-F189*HLOOKUP(G$6,SHIPS,7,0)*INDEX(LADEN_VOYAGE_DAYS,MATCH(CONCATENATE(G$4,G$5,G$7),LADEN_VOYAGE_ROUTES,0),MATCH(G$6,LADEN_VOYAGE_SHIPS,0))</f>
        <v>-0</v>
      </c>
      <c r="H189" s="348" t="n">
        <f aca="false">SUM(F189:G189)</f>
        <v>0</v>
      </c>
      <c r="I189" s="349" t="n">
        <f aca="false">-(H189)*HLOOKUP(G$5,TERMINAL_CHARGES,3,0)</f>
        <v>-0</v>
      </c>
      <c r="J189" s="327" t="n">
        <f aca="false">+H189+I189</f>
        <v>0</v>
      </c>
      <c r="K189" s="333"/>
      <c r="L189" s="346" t="n">
        <f aca="false">+DATE(YEAR(L188),MONTH(L188)+1,1)</f>
        <v>41913</v>
      </c>
      <c r="M189" s="334" t="n">
        <f aca="false">+J189*(VLOOKUP(L189,CURVECALC!$C$6:$J$312,4,0)+N$5)</f>
        <v>0</v>
      </c>
      <c r="N189" s="350" t="n">
        <f aca="false">-F189*INDEX(ship_curves,MATCH(L189,'SHIP CURVES'!$A$9:$A$316,0),MATCH(CONCATENATE(P$4,P$5,P$6,P$7),'SHIP CURVES'!$A$9:$AZ$9,0))</f>
        <v>-0</v>
      </c>
      <c r="O189" s="351" t="n">
        <f aca="false">-H189*INDEX(port_processing_fee,MATCH(L189,PORTS!$H$626:$H$933,0),MATCH(P$5,PORTS!$H$626:$Z$626,0))</f>
        <v>-0</v>
      </c>
      <c r="P189" s="352" t="n">
        <f aca="false">(((VLOOKUP(L189,curvecalc,4,0))*IF(F189=0,0,J189/F189)-INDEX(ship_curves,MATCH(L189,'SHIP CURVES'!$A$9:$A$316,0),MATCH(CONCATENATE(P$4,P$5,P$6,P$7),'SHIP CURVES'!$A$9:$Z$9,0))-INDEX(terminal_curves,MATCH(L189,'TERMINAL CURVES'!$A$4:$A$313,0),MATCH(P$5,'TERMINAL CURVES'!$A$4:$N$4,0))*IF(F189=0,0,H189/F189))-(N$8)*((N$7-$N$5)-(INDEX(ship_curves,MATCH(L189,'SHIP CURVES'!$A$9:$A$316,0),MATCH(CONCATENATE(P$4,P$5,P$6,P$7),'SHIP CURVES'!$A$9:$Z$9,0))-INDEX(ship_curves,MATCH(L189,'SHIP CURVES'!$A$9:$A$316,0),MATCH(CONCATENATE(P$4,N$6,P$6,P$7),'SHIP CURVES'!$A$9:$Z$9,0)))-(INDEX(terminal_curves,MATCH(L189,'TERMINAL CURVES'!$A$4:$A$313,0),MATCH(P$5,'TERMINAL CURVES'!$A$4:$N$4,0))-INDEX(terminal_curves,MATCH(L189,'TERMINAL CURVES'!$A$4:$A$313,0),MATCH(N$6,'TERMINAL CURVES'!$A$4:$N$4,0)))*IF(F189=0,0,H189/F189)))*-F189</f>
        <v>0</v>
      </c>
      <c r="Q189" s="353" t="n">
        <f aca="false">SUM(N189:P189)</f>
        <v>0</v>
      </c>
      <c r="R189" s="357" t="n">
        <f aca="false">(-H189/((HLOOKUP(P$5,port_specs,2,0)/(365.25))*(L190-L189)))*(INDEX(fixed_capacity_charge,MATCH(L189,PORTS!$H$11:$H$317,0),MATCH(P$5,PORTS!$H$11:$N$11,0))+INDEX(variable_om_charge,MATCH(L189,PORTS!$H$318:$H$625,0),MATCH(P$5,PORTS!$H$318:$N$318,0)))</f>
        <v>-0</v>
      </c>
      <c r="S189" s="343" t="n">
        <f aca="false">+R189+Q189</f>
        <v>0</v>
      </c>
      <c r="T189" s="355" t="n">
        <f aca="false">+S189+M189</f>
        <v>0</v>
      </c>
      <c r="V189" s="346" t="n">
        <f aca="false">+DATE(YEAR(V188),MONTH(V188)+1,1)</f>
        <v>41913</v>
      </c>
      <c r="W189" s="327" t="n">
        <f aca="false">+Y189/(1-HLOOKUP(X$6,SHIPS,7,0)*INDEX(LADEN_VOYAGE_DAYS,MATCH(CONCATENATE(X$4,X$5),LADEN_VOYAGE_ROUTES,0),MATCH(X$6,LADEN_VOYAGE_SHIPS,0)))</f>
        <v>0</v>
      </c>
      <c r="X189" s="347" t="n">
        <f aca="false">+Y189-W189</f>
        <v>0</v>
      </c>
      <c r="Y189" s="348" t="n">
        <f aca="false">+IF(AND(X$8&lt;=V189,X$9&gt;=V189),+MIN($B189-SUMIF($H$17:X$17,Y$17,$H189:X189),((INDEX(ROUTE_PER_DAY_BY_SHIP,MATCH(CONCATENATE(X$4,X$5,X$7),ROUTE_PER_DAY_ROUTES,0),MATCH(X$6,ROUTE_PER_DAY_SHIPS,0))*(V190-V189))-(INDEX(ROUTE_PER_DAY_BY_SHIP,MATCH(CONCATENATE(X$4,X$5,X$7),ROUTE_PER_DAY_ROUTES,0),MATCH(X$6,ROUTE_PER_DAY_SHIPS,0))*(V190-V189))*HLOOKUP(X$6,SHIPS,7,0)*INDEX(LADEN_VOYAGE_DAYS,MATCH(CONCATENATE(X$4,X$5,X$7),LADEN_VOYAGE_ROUTES,0),MATCH(X$6,LADEN_VOYAGE_SHIPS,0)))),0)</f>
        <v>0</v>
      </c>
      <c r="Z189" s="349" t="n">
        <f aca="false">-(Y189)*HLOOKUP(X$5,TERMINAL_CHARGES,3,0)</f>
        <v>-0</v>
      </c>
      <c r="AA189" s="327" t="n">
        <f aca="false">+Y189+Z189</f>
        <v>0</v>
      </c>
      <c r="AB189" s="333"/>
      <c r="AC189" s="346" t="n">
        <f aca="false">+DATE(YEAR(AC188),MONTH(AC188)+1,1)</f>
        <v>41913</v>
      </c>
      <c r="AD189" s="343" t="n">
        <f aca="false">+AA189*(VLOOKUP(AC189,CURVECALC!$C$6:$J$312,4,0)+AE$5)</f>
        <v>0</v>
      </c>
      <c r="AE189" s="350" t="n">
        <f aca="false">-W189*INDEX(ship_curves,MATCH(AC189,'SHIP CURVES'!$A$9:$A$316,0),MATCH(CONCATENATE(AG$4,AG$5,AG$6,AG$7),'SHIP CURVES'!$A$9:$AZ$9,0))</f>
        <v>-0</v>
      </c>
      <c r="AF189" s="351" t="n">
        <f aca="false">-Y189*INDEX(port_processing_fee,MATCH(AC189,PORTS!$H$626:$H$933,0),MATCH(AG$5,PORTS!$H$626:$Z$626,0))</f>
        <v>-0</v>
      </c>
      <c r="AG189" s="352" t="n">
        <f aca="false">(((VLOOKUP(AC189,curvecalc,4,0))*IF(W189=0,0,AA189/W189)-INDEX(ship_curves,MATCH(AC189,'SHIP CURVES'!$A$9:$A$316,0),MATCH(CONCATENATE(AG$4,AG$5,AG$6,AG$7),'SHIP CURVES'!$A$9:$Z$9,0))-INDEX(terminal_curves,MATCH(AC189,'TERMINAL CURVES'!$A$4:$A$313,0),MATCH(AG$5,'TERMINAL CURVES'!$A$4:$N$4,0))*IF(W189=0,0,Y189/W189))-(AE$8)*((AE$7-$N$5)-(INDEX(ship_curves,MATCH(AC189,'SHIP CURVES'!$A$9:$A$316,0),MATCH(CONCATENATE(AG$4,AG$5,AG$6,AG$7),'SHIP CURVES'!$A$9:$Z$9,0))-INDEX(ship_curves,MATCH(AC189,'SHIP CURVES'!$A$9:$A$316,0),MATCH(CONCATENATE(AG$4,AE$6,AG$6,AG$7),'SHIP CURVES'!$A$9:$Z$9,0)))-(INDEX(terminal_curves,MATCH(AC189,'TERMINAL CURVES'!$A$4:$A$313,0),MATCH(AG$5,'TERMINAL CURVES'!$A$4:$N$4,0))-INDEX(terminal_curves,MATCH(AC189,'TERMINAL CURVES'!$A$4:$A$313,0),MATCH(AE$6,'TERMINAL CURVES'!$A$4:$N$4,0)))*IF(W189=0,0,Y189/W189)))*-W189</f>
        <v>0</v>
      </c>
      <c r="AH189" s="356" t="n">
        <f aca="false">SUM(AE189:AG189)</f>
        <v>0</v>
      </c>
      <c r="AI189" s="357" t="n">
        <f aca="false">(-Y189/((HLOOKUP(AG$5,port_specs,2,0)/(365.25))*(AC190-AC189)))*(INDEX(fixed_capacity_charge,MATCH(AC189,PORTS!$H$11:$H$317,0),MATCH(AG$5,PORTS!$H$11:$N$11,0))+INDEX(variable_om_charge,MATCH(AC189,PORTS!$H$318:$H$625,0),MATCH(AG$5,PORTS!$H$318:$N$318,0)))</f>
        <v>-0</v>
      </c>
      <c r="AJ189" s="343" t="n">
        <f aca="false">+AI189+AH189</f>
        <v>0</v>
      </c>
      <c r="AK189" s="355" t="n">
        <f aca="false">+AJ189+AD189</f>
        <v>0</v>
      </c>
      <c r="AM189" s="346" t="n">
        <f aca="false">+DATE(YEAR(AM188),MONTH(AM188)+1,1)</f>
        <v>41913</v>
      </c>
      <c r="AN189" s="327" t="n">
        <f aca="false">+AP189/(1-HLOOKUP(AO$6,SHIPS,7,0)*INDEX(LADEN_VOYAGE_DAYS,MATCH(CONCATENATE(AO$4,AO$5),LADEN_VOYAGE_ROUTES,0),MATCH(AO$6,LADEN_VOYAGE_SHIPS,0)))</f>
        <v>5395761.47735991</v>
      </c>
      <c r="AO189" s="347" t="n">
        <f aca="false">+AP189-AN189</f>
        <v>-56655.4955122788</v>
      </c>
      <c r="AP189" s="348" t="n">
        <f aca="false">+IF(AND(AO$8&lt;=AM189,AO$9&gt;=AM189),+MIN($B189-SUMIF($H$17:AO$17,AP$17,$H189:AO189),((INDEX(ROUTE_PER_DAY_BY_SHIP,MATCH(CONCATENATE(AO$4,AO$5,AO$7),ROUTE_PER_DAY_ROUTES,0),MATCH(AO$6,ROUTE_PER_DAY_SHIPS,0))*(AM190-AM189))-(INDEX(ROUTE_PER_DAY_BY_SHIP,MATCH(CONCATENATE(AO$4,AO$5,AO$7),ROUTE_PER_DAY_ROUTES,0),MATCH(AO$6,ROUTE_PER_DAY_SHIPS,0))*(AM190-AM189))*HLOOKUP(AO$6,SHIPS,7,0)*INDEX(LADEN_VOYAGE_DAYS,MATCH(CONCATENATE(AO$4,AO$5,AO$7),LADEN_VOYAGE_ROUTES,0),MATCH(AO$6,LADEN_VOYAGE_SHIPS,0)))),0)</f>
        <v>5339105.98184763</v>
      </c>
      <c r="AQ189" s="349" t="n">
        <f aca="false">-(AP189)*PORTS!$I$6</f>
        <v>-133477.649546191</v>
      </c>
      <c r="AR189" s="327" t="n">
        <f aca="false">+AP189+AQ189</f>
        <v>5205628.33230144</v>
      </c>
      <c r="AS189" s="333"/>
      <c r="AT189" s="346" t="n">
        <f aca="false">+DATE(YEAR(AT188),MONTH(AT188)+1,1)</f>
        <v>41913</v>
      </c>
      <c r="AU189" s="343" t="n">
        <f aca="false">+AR189*(VLOOKUP(AT189,CURVECALC!$C$6:$J$312,4,0)+AV$5)</f>
        <v>19583573.786118</v>
      </c>
      <c r="AV189" s="350" t="n">
        <f aca="false">-AN189*INDEX(ship_curves,MATCH(AT189,'SHIP CURVES'!$A$9:$A$316,0),MATCH(CONCATENATE(AX$4,AX$5,AX$6,AX$7),'SHIP CURVES'!$A$9:$AZ$9,0))</f>
        <v>-1825309.05967211</v>
      </c>
      <c r="AW189" s="351" t="n">
        <f aca="false">-AP189*INDEX(port_processing_fee,MATCH(AT189,PORTS!$H$626:$H$933,0),MATCH(AX$5,PORTS!$H$626:$Z$626,0))</f>
        <v>-168989.609117081</v>
      </c>
      <c r="AX189" s="352" t="n">
        <f aca="false">(((VLOOKUP(AT189,curvecalc,4,0))*IF(AN189=0,0,AR189/AN189)-INDEX(ship_curves,MATCH(AT189,'SHIP CURVES'!$A$9:$A$316,0),MATCH(CONCATENATE(AX$4,AX$5,AX$6,AX$7),'SHIP CURVES'!$A$9:$Z$9,0))-INDEX(terminal_curves,MATCH(AT189,'TERMINAL CURVES'!$A$4:$A$313,0),MATCH(AX$5,'TERMINAL CURVES'!$A$4:$N$4,0))*IF(AN189=0,0,AP189/AN189))-(AV$8)*((AV$7-$N$5)-(INDEX(ship_curves,MATCH(AT189,'SHIP CURVES'!$A$9:$A$316,0),MATCH(CONCATENATE(AX$4,AX$5,AX$6,AX$7),'SHIP CURVES'!$A$9:$Z$9,0))-INDEX(ship_curves,MATCH(AT189,'SHIP CURVES'!$A$9:$A$316,0),MATCH(CONCATENATE(AX$4,AV$6,AX$6,AX$7),'SHIP CURVES'!$A$9:$Z$9,0)))-(INDEX(terminal_curves,MATCH(AT189,'TERMINAL CURVES'!$A$4:$A$313,0),MATCH(AX$5,'TERMINAL CURVES'!$A$4:$N$4,0))-INDEX(terminal_curves,MATCH(AT189,'TERMINAL CURVES'!$A$4:$A$313,0),MATCH(AV$6,'TERMINAL CURVES'!$A$4:$N$4,0)))*IF(AN189=0,0,AP189/AN189)))*-AN189</f>
        <v>-16455560.1326879</v>
      </c>
      <c r="AY189" s="356" t="n">
        <f aca="false">SUM(AV189:AX189)</f>
        <v>-18449858.8014771</v>
      </c>
      <c r="AZ189" s="357" t="n">
        <f aca="false">(-AP189/((HLOOKUP(AX$5,port_specs,2,0)/(365.25))*(AT190-AT189)))*(INDEX(fixed_capacity_charge,MATCH(AT189,PORTS!$H$11:$H$317,0),MATCH(AX$5,PORTS!$H$11:$N$11,0))+INDEX(variable_om_charge,MATCH(AT189,PORTS!$H$318:$H$625,0),MATCH(AX$5,PORTS!$H$318:$N$318,0)))</f>
        <v>-1029602.41799494</v>
      </c>
      <c r="BA189" s="343" t="n">
        <f aca="false">+AZ189+AY189</f>
        <v>-19479461.219472</v>
      </c>
      <c r="BB189" s="355" t="n">
        <f aca="false">+BA189+AU189</f>
        <v>104112.566646028</v>
      </c>
      <c r="BC189" s="99"/>
      <c r="BD189" s="357" t="n">
        <f aca="false">+PORTS!I183+PORTS!I491</f>
        <v>1029602.41799494</v>
      </c>
    </row>
    <row r="190" customFormat="false" ht="12.75" hidden="false" customHeight="false" outlineLevel="0" collapsed="false">
      <c r="A190" s="346" t="n">
        <f aca="false">+DATE(YEAR(A189),MONTH(A189)+1,1)</f>
        <v>41944</v>
      </c>
      <c r="B190" s="327" t="n">
        <f aca="false">+IF(AND($A190&gt;=$C$8,$A190&lt;=$C$9),1,0)*PORTS!$I$5/(365.25)*(A191-A190)</f>
        <v>5166876.75662674</v>
      </c>
      <c r="C190" s="328" t="n">
        <f aca="false">+B190-(SUMIF($F$17:$IV$17,$H$17,$F190:$IV190))</f>
        <v>0</v>
      </c>
      <c r="D190" s="0" t="n">
        <f aca="false">+YEAR(E190)</f>
        <v>2014</v>
      </c>
      <c r="E190" s="346" t="n">
        <f aca="false">+DATE(YEAR(E189),MONTH(E189)+1,1)</f>
        <v>41944</v>
      </c>
      <c r="F190" s="327" t="n">
        <f aca="false">+IF(AND(G$8&lt;=E190,G$9&gt;=E190),INDEX(ROUTE_PER_DAY_BY_SHIP,MATCH(CONCATENATE(G$4,G$5,G$7),ROUTE_PER_DAY_ROUTES,0),MATCH(G$6,ROUTE_PER_DAY_SHIPS,0))*(E191-E190),0)</f>
        <v>0</v>
      </c>
      <c r="G190" s="347" t="n">
        <f aca="false">-F190*HLOOKUP(G$6,SHIPS,7,0)*INDEX(LADEN_VOYAGE_DAYS,MATCH(CONCATENATE(G$4,G$5,G$7),LADEN_VOYAGE_ROUTES,0),MATCH(G$6,LADEN_VOYAGE_SHIPS,0))</f>
        <v>-0</v>
      </c>
      <c r="H190" s="348" t="n">
        <f aca="false">SUM(F190:G190)</f>
        <v>0</v>
      </c>
      <c r="I190" s="349" t="n">
        <f aca="false">-(H190)*HLOOKUP(G$5,TERMINAL_CHARGES,3,0)</f>
        <v>-0</v>
      </c>
      <c r="J190" s="327" t="n">
        <f aca="false">+H190+I190</f>
        <v>0</v>
      </c>
      <c r="K190" s="333"/>
      <c r="L190" s="346" t="n">
        <f aca="false">+DATE(YEAR(L189),MONTH(L189)+1,1)</f>
        <v>41944</v>
      </c>
      <c r="M190" s="334" t="n">
        <f aca="false">+J190*(VLOOKUP(L190,CURVECALC!$C$6:$J$312,4,0)+N$5)</f>
        <v>0</v>
      </c>
      <c r="N190" s="350" t="n">
        <f aca="false">-F190*INDEX(ship_curves,MATCH(L190,'SHIP CURVES'!$A$9:$A$316,0),MATCH(CONCATENATE(P$4,P$5,P$6,P$7),'SHIP CURVES'!$A$9:$AZ$9,0))</f>
        <v>-0</v>
      </c>
      <c r="O190" s="351" t="n">
        <f aca="false">-H190*INDEX(port_processing_fee,MATCH(L190,PORTS!$H$626:$H$933,0),MATCH(P$5,PORTS!$H$626:$Z$626,0))</f>
        <v>-0</v>
      </c>
      <c r="P190" s="352" t="n">
        <f aca="false">(((VLOOKUP(L190,curvecalc,4,0))*IF(F190=0,0,J190/F190)-INDEX(ship_curves,MATCH(L190,'SHIP CURVES'!$A$9:$A$316,0),MATCH(CONCATENATE(P$4,P$5,P$6,P$7),'SHIP CURVES'!$A$9:$Z$9,0))-INDEX(terminal_curves,MATCH(L190,'TERMINAL CURVES'!$A$4:$A$313,0),MATCH(P$5,'TERMINAL CURVES'!$A$4:$N$4,0))*IF(F190=0,0,H190/F190))-(N$8)*((N$7-$N$5)-(INDEX(ship_curves,MATCH(L190,'SHIP CURVES'!$A$9:$A$316,0),MATCH(CONCATENATE(P$4,P$5,P$6,P$7),'SHIP CURVES'!$A$9:$Z$9,0))-INDEX(ship_curves,MATCH(L190,'SHIP CURVES'!$A$9:$A$316,0),MATCH(CONCATENATE(P$4,N$6,P$6,P$7),'SHIP CURVES'!$A$9:$Z$9,0)))-(INDEX(terminal_curves,MATCH(L190,'TERMINAL CURVES'!$A$4:$A$313,0),MATCH(P$5,'TERMINAL CURVES'!$A$4:$N$4,0))-INDEX(terminal_curves,MATCH(L190,'TERMINAL CURVES'!$A$4:$A$313,0),MATCH(N$6,'TERMINAL CURVES'!$A$4:$N$4,0)))*IF(F190=0,0,H190/F190)))*-F190</f>
        <v>0</v>
      </c>
      <c r="Q190" s="353" t="n">
        <f aca="false">SUM(N190:P190)</f>
        <v>0</v>
      </c>
      <c r="R190" s="357" t="n">
        <f aca="false">(-H190/((HLOOKUP(P$5,port_specs,2,0)/(365.25))*(L191-L190)))*(INDEX(fixed_capacity_charge,MATCH(L190,PORTS!$H$11:$H$317,0),MATCH(P$5,PORTS!$H$11:$N$11,0))+INDEX(variable_om_charge,MATCH(L190,PORTS!$H$318:$H$625,0),MATCH(P$5,PORTS!$H$318:$N$318,0)))</f>
        <v>-0</v>
      </c>
      <c r="S190" s="343" t="n">
        <f aca="false">+R190+Q190</f>
        <v>0</v>
      </c>
      <c r="T190" s="355" t="n">
        <f aca="false">+S190+M190</f>
        <v>0</v>
      </c>
      <c r="V190" s="346" t="n">
        <f aca="false">+DATE(YEAR(V189),MONTH(V189)+1,1)</f>
        <v>41944</v>
      </c>
      <c r="W190" s="327" t="n">
        <f aca="false">+Y190/(1-HLOOKUP(X$6,SHIPS,7,0)*INDEX(LADEN_VOYAGE_DAYS,MATCH(CONCATENATE(X$4,X$5),LADEN_VOYAGE_ROUTES,0),MATCH(X$6,LADEN_VOYAGE_SHIPS,0)))</f>
        <v>0</v>
      </c>
      <c r="X190" s="347" t="n">
        <f aca="false">+Y190-W190</f>
        <v>0</v>
      </c>
      <c r="Y190" s="348" t="n">
        <f aca="false">+IF(AND(X$8&lt;=V190,X$9&gt;=V190),+MIN($B190-SUMIF($H$17:X$17,Y$17,$H190:X190),((INDEX(ROUTE_PER_DAY_BY_SHIP,MATCH(CONCATENATE(X$4,X$5,X$7),ROUTE_PER_DAY_ROUTES,0),MATCH(X$6,ROUTE_PER_DAY_SHIPS,0))*(V191-V190))-(INDEX(ROUTE_PER_DAY_BY_SHIP,MATCH(CONCATENATE(X$4,X$5,X$7),ROUTE_PER_DAY_ROUTES,0),MATCH(X$6,ROUTE_PER_DAY_SHIPS,0))*(V191-V190))*HLOOKUP(X$6,SHIPS,7,0)*INDEX(LADEN_VOYAGE_DAYS,MATCH(CONCATENATE(X$4,X$5,X$7),LADEN_VOYAGE_ROUTES,0),MATCH(X$6,LADEN_VOYAGE_SHIPS,0)))),0)</f>
        <v>0</v>
      </c>
      <c r="Z190" s="349" t="n">
        <f aca="false">-(Y190)*HLOOKUP(X$5,TERMINAL_CHARGES,3,0)</f>
        <v>-0</v>
      </c>
      <c r="AA190" s="327" t="n">
        <f aca="false">+Y190+Z190</f>
        <v>0</v>
      </c>
      <c r="AB190" s="333"/>
      <c r="AC190" s="346" t="n">
        <f aca="false">+DATE(YEAR(AC189),MONTH(AC189)+1,1)</f>
        <v>41944</v>
      </c>
      <c r="AD190" s="343" t="n">
        <f aca="false">+AA190*(VLOOKUP(AC190,CURVECALC!$C$6:$J$312,4,0)+AE$5)</f>
        <v>0</v>
      </c>
      <c r="AE190" s="350" t="n">
        <f aca="false">-W190*INDEX(ship_curves,MATCH(AC190,'SHIP CURVES'!$A$9:$A$316,0),MATCH(CONCATENATE(AG$4,AG$5,AG$6,AG$7),'SHIP CURVES'!$A$9:$AZ$9,0))</f>
        <v>-0</v>
      </c>
      <c r="AF190" s="351" t="n">
        <f aca="false">-Y190*INDEX(port_processing_fee,MATCH(AC190,PORTS!$H$626:$H$933,0),MATCH(AG$5,PORTS!$H$626:$Z$626,0))</f>
        <v>-0</v>
      </c>
      <c r="AG190" s="352" t="n">
        <f aca="false">(((VLOOKUP(AC190,curvecalc,4,0))*IF(W190=0,0,AA190/W190)-INDEX(ship_curves,MATCH(AC190,'SHIP CURVES'!$A$9:$A$316,0),MATCH(CONCATENATE(AG$4,AG$5,AG$6,AG$7),'SHIP CURVES'!$A$9:$Z$9,0))-INDEX(terminal_curves,MATCH(AC190,'TERMINAL CURVES'!$A$4:$A$313,0),MATCH(AG$5,'TERMINAL CURVES'!$A$4:$N$4,0))*IF(W190=0,0,Y190/W190))-(AE$8)*((AE$7-$N$5)-(INDEX(ship_curves,MATCH(AC190,'SHIP CURVES'!$A$9:$A$316,0),MATCH(CONCATENATE(AG$4,AG$5,AG$6,AG$7),'SHIP CURVES'!$A$9:$Z$9,0))-INDEX(ship_curves,MATCH(AC190,'SHIP CURVES'!$A$9:$A$316,0),MATCH(CONCATENATE(AG$4,AE$6,AG$6,AG$7),'SHIP CURVES'!$A$9:$Z$9,0)))-(INDEX(terminal_curves,MATCH(AC190,'TERMINAL CURVES'!$A$4:$A$313,0),MATCH(AG$5,'TERMINAL CURVES'!$A$4:$N$4,0))-INDEX(terminal_curves,MATCH(AC190,'TERMINAL CURVES'!$A$4:$A$313,0),MATCH(AE$6,'TERMINAL CURVES'!$A$4:$N$4,0)))*IF(W190=0,0,Y190/W190)))*-W190</f>
        <v>0</v>
      </c>
      <c r="AH190" s="356" t="n">
        <f aca="false">SUM(AE190:AG190)</f>
        <v>0</v>
      </c>
      <c r="AI190" s="357" t="n">
        <f aca="false">(-Y190/((HLOOKUP(AG$5,port_specs,2,0)/(365.25))*(AC191-AC190)))*(INDEX(fixed_capacity_charge,MATCH(AC190,PORTS!$H$11:$H$317,0),MATCH(AG$5,PORTS!$H$11:$N$11,0))+INDEX(variable_om_charge,MATCH(AC190,PORTS!$H$318:$H$625,0),MATCH(AG$5,PORTS!$H$318:$N$318,0)))</f>
        <v>-0</v>
      </c>
      <c r="AJ190" s="343" t="n">
        <f aca="false">+AI190+AH190</f>
        <v>0</v>
      </c>
      <c r="AK190" s="355" t="n">
        <f aca="false">+AJ190+AD190</f>
        <v>0</v>
      </c>
      <c r="AM190" s="346" t="n">
        <f aca="false">+DATE(YEAR(AM189),MONTH(AM189)+1,1)</f>
        <v>41944</v>
      </c>
      <c r="AN190" s="327" t="n">
        <f aca="false">+AP190/(1-HLOOKUP(AO$6,SHIPS,7,0)*INDEX(LADEN_VOYAGE_DAYS,MATCH(CONCATENATE(AO$4,AO$5),LADEN_VOYAGE_ROUTES,0),MATCH(AO$6,LADEN_VOYAGE_SHIPS,0)))</f>
        <v>5221704.65550959</v>
      </c>
      <c r="AO190" s="347" t="n">
        <f aca="false">+AP190-AN190</f>
        <v>-54827.8988828501</v>
      </c>
      <c r="AP190" s="348" t="n">
        <f aca="false">+IF(AND(AO$8&lt;=AM190,AO$9&gt;=AM190),+MIN($B190-SUMIF($H$17:AO$17,AP$17,$H190:AO190),((INDEX(ROUTE_PER_DAY_BY_SHIP,MATCH(CONCATENATE(AO$4,AO$5,AO$7),ROUTE_PER_DAY_ROUTES,0),MATCH(AO$6,ROUTE_PER_DAY_SHIPS,0))*(AM191-AM190))-(INDEX(ROUTE_PER_DAY_BY_SHIP,MATCH(CONCATENATE(AO$4,AO$5,AO$7),ROUTE_PER_DAY_ROUTES,0),MATCH(AO$6,ROUTE_PER_DAY_SHIPS,0))*(AM191-AM190))*HLOOKUP(AO$6,SHIPS,7,0)*INDEX(LADEN_VOYAGE_DAYS,MATCH(CONCATENATE(AO$4,AO$5,AO$7),LADEN_VOYAGE_ROUTES,0),MATCH(AO$6,LADEN_VOYAGE_SHIPS,0)))),0)</f>
        <v>5166876.75662674</v>
      </c>
      <c r="AQ190" s="349" t="n">
        <f aca="false">-(AP190)*PORTS!$I$6</f>
        <v>-129171.918915669</v>
      </c>
      <c r="AR190" s="327" t="n">
        <f aca="false">+AP190+AQ190</f>
        <v>5037704.83771107</v>
      </c>
      <c r="AS190" s="333"/>
      <c r="AT190" s="346" t="n">
        <f aca="false">+DATE(YEAR(AT189),MONTH(AT189)+1,1)</f>
        <v>41944</v>
      </c>
      <c r="AU190" s="343" t="n">
        <f aca="false">+AR190*(VLOOKUP(AT190,CURVECALC!$C$6:$J$312,4,0)+AV$5)</f>
        <v>19223881.6607055</v>
      </c>
      <c r="AV190" s="350" t="n">
        <f aca="false">-AN190*INDEX(ship_curves,MATCH(AT190,'SHIP CURVES'!$A$9:$A$316,0),MATCH(CONCATENATE(AX$4,AX$5,AX$6,AX$7),'SHIP CURVES'!$A$9:$AZ$9,0))</f>
        <v>-1767015.58462756</v>
      </c>
      <c r="AW190" s="351" t="n">
        <f aca="false">-AP190*INDEX(port_processing_fee,MATCH(AT190,PORTS!$H$626:$H$933,0),MATCH(AX$5,PORTS!$H$626:$Z$626,0))</f>
        <v>-163708.683832172</v>
      </c>
      <c r="AX190" s="352" t="n">
        <f aca="false">(((VLOOKUP(AT190,curvecalc,4,0))*IF(AN190=0,0,AR190/AN190)-INDEX(ship_curves,MATCH(AT190,'SHIP CURVES'!$A$9:$A$316,0),MATCH(CONCATENATE(AX$4,AX$5,AX$6,AX$7),'SHIP CURVES'!$A$9:$Z$9,0))-INDEX(terminal_curves,MATCH(AT190,'TERMINAL CURVES'!$A$4:$A$313,0),MATCH(AX$5,'TERMINAL CURVES'!$A$4:$N$4,0))*IF(AN190=0,0,AP190/AN190))-(AV$8)*((AV$7-$N$5)-(INDEX(ship_curves,MATCH(AT190,'SHIP CURVES'!$A$9:$A$316,0),MATCH(CONCATENATE(AX$4,AX$5,AX$6,AX$7),'SHIP CURVES'!$A$9:$Z$9,0))-INDEX(ship_curves,MATCH(AT190,'SHIP CURVES'!$A$9:$A$316,0),MATCH(CONCATENATE(AX$4,AV$6,AX$6,AX$7),'SHIP CURVES'!$A$9:$Z$9,0)))-(INDEX(terminal_curves,MATCH(AT190,'TERMINAL CURVES'!$A$4:$A$313,0),MATCH(AX$5,'TERMINAL CURVES'!$A$4:$N$4,0))-INDEX(terminal_curves,MATCH(AT190,'TERMINAL CURVES'!$A$4:$A$313,0),MATCH(AV$6,'TERMINAL CURVES'!$A$4:$N$4,0)))*IF(AN190=0,0,AP190/AN190)))*-AN190</f>
        <v>-16162233.7776559</v>
      </c>
      <c r="AY190" s="356" t="n">
        <f aca="false">SUM(AV190:AX190)</f>
        <v>-18092958.0461156</v>
      </c>
      <c r="AZ190" s="357" t="n">
        <f aca="false">(-AP190/((HLOOKUP(AX$5,port_specs,2,0)/(365.25))*(AT191-AT190)))*(INDEX(fixed_capacity_charge,MATCH(AT190,PORTS!$H$11:$H$317,0),MATCH(AX$5,PORTS!$H$11:$N$11,0))+INDEX(variable_om_charge,MATCH(AT190,PORTS!$H$318:$H$625,0),MATCH(AX$5,PORTS!$H$318:$N$318,0)))</f>
        <v>-1030169.51783565</v>
      </c>
      <c r="BA190" s="343" t="n">
        <f aca="false">+AZ190+AY190</f>
        <v>-19123127.5639512</v>
      </c>
      <c r="BB190" s="355" t="n">
        <f aca="false">+BA190+AU190</f>
        <v>100754.096754223</v>
      </c>
      <c r="BC190" s="99"/>
      <c r="BD190" s="357" t="n">
        <f aca="false">+PORTS!I184+PORTS!I492</f>
        <v>1030169.51783565</v>
      </c>
    </row>
    <row r="191" customFormat="false" ht="12.75" hidden="false" customHeight="false" outlineLevel="0" collapsed="false">
      <c r="A191" s="346" t="n">
        <f aca="false">+DATE(YEAR(A190),MONTH(A190)+1,1)</f>
        <v>41974</v>
      </c>
      <c r="B191" s="327" t="n">
        <f aca="false">+IF(AND($A191&gt;=$C$8,$A191&lt;=$C$9),1,0)*PORTS!$I$5/(365.25)*(A192-A191)</f>
        <v>5339105.98184763</v>
      </c>
      <c r="C191" s="328" t="n">
        <f aca="false">+B191-(SUMIF($F$17:$IV$17,$H$17,$F191:$IV191))</f>
        <v>0</v>
      </c>
      <c r="D191" s="0" t="n">
        <f aca="false">+YEAR(E191)</f>
        <v>2014</v>
      </c>
      <c r="E191" s="346" t="n">
        <f aca="false">+DATE(YEAR(E190),MONTH(E190)+1,1)</f>
        <v>41974</v>
      </c>
      <c r="F191" s="327" t="n">
        <f aca="false">+IF(AND(G$8&lt;=E191,G$9&gt;=E191),INDEX(ROUTE_PER_DAY_BY_SHIP,MATCH(CONCATENATE(G$4,G$5,G$7),ROUTE_PER_DAY_ROUTES,0),MATCH(G$6,ROUTE_PER_DAY_SHIPS,0))*(E192-E191),0)</f>
        <v>0</v>
      </c>
      <c r="G191" s="347" t="n">
        <f aca="false">-F191*HLOOKUP(G$6,SHIPS,7,0)*INDEX(LADEN_VOYAGE_DAYS,MATCH(CONCATENATE(G$4,G$5,G$7),LADEN_VOYAGE_ROUTES,0),MATCH(G$6,LADEN_VOYAGE_SHIPS,0))</f>
        <v>-0</v>
      </c>
      <c r="H191" s="348" t="n">
        <f aca="false">SUM(F191:G191)</f>
        <v>0</v>
      </c>
      <c r="I191" s="349" t="n">
        <f aca="false">-(H191)*HLOOKUP(G$5,TERMINAL_CHARGES,3,0)</f>
        <v>-0</v>
      </c>
      <c r="J191" s="327" t="n">
        <f aca="false">+H191+I191</f>
        <v>0</v>
      </c>
      <c r="K191" s="333"/>
      <c r="L191" s="346" t="n">
        <f aca="false">+DATE(YEAR(L190),MONTH(L190)+1,1)</f>
        <v>41974</v>
      </c>
      <c r="M191" s="334" t="n">
        <f aca="false">+J191*(VLOOKUP(L191,CURVECALC!$C$6:$J$312,4,0)+N$5)</f>
        <v>0</v>
      </c>
      <c r="N191" s="350" t="n">
        <f aca="false">-F191*INDEX(ship_curves,MATCH(L191,'SHIP CURVES'!$A$9:$A$316,0),MATCH(CONCATENATE(P$4,P$5,P$6,P$7),'SHIP CURVES'!$A$9:$AZ$9,0))</f>
        <v>-0</v>
      </c>
      <c r="O191" s="351" t="n">
        <f aca="false">-H191*INDEX(port_processing_fee,MATCH(L191,PORTS!$H$626:$H$933,0),MATCH(P$5,PORTS!$H$626:$Z$626,0))</f>
        <v>-0</v>
      </c>
      <c r="P191" s="352" t="n">
        <f aca="false">(((VLOOKUP(L191,curvecalc,4,0))*IF(F191=0,0,J191/F191)-INDEX(ship_curves,MATCH(L191,'SHIP CURVES'!$A$9:$A$316,0),MATCH(CONCATENATE(P$4,P$5,P$6,P$7),'SHIP CURVES'!$A$9:$Z$9,0))-INDEX(terminal_curves,MATCH(L191,'TERMINAL CURVES'!$A$4:$A$313,0),MATCH(P$5,'TERMINAL CURVES'!$A$4:$N$4,0))*IF(F191=0,0,H191/F191))-(N$8)*((N$7-$N$5)-(INDEX(ship_curves,MATCH(L191,'SHIP CURVES'!$A$9:$A$316,0),MATCH(CONCATENATE(P$4,P$5,P$6,P$7),'SHIP CURVES'!$A$9:$Z$9,0))-INDEX(ship_curves,MATCH(L191,'SHIP CURVES'!$A$9:$A$316,0),MATCH(CONCATENATE(P$4,N$6,P$6,P$7),'SHIP CURVES'!$A$9:$Z$9,0)))-(INDEX(terminal_curves,MATCH(L191,'TERMINAL CURVES'!$A$4:$A$313,0),MATCH(P$5,'TERMINAL CURVES'!$A$4:$N$4,0))-INDEX(terminal_curves,MATCH(L191,'TERMINAL CURVES'!$A$4:$A$313,0),MATCH(N$6,'TERMINAL CURVES'!$A$4:$N$4,0)))*IF(F191=0,0,H191/F191)))*-F191</f>
        <v>0</v>
      </c>
      <c r="Q191" s="353" t="n">
        <f aca="false">SUM(N191:P191)</f>
        <v>0</v>
      </c>
      <c r="R191" s="357" t="n">
        <f aca="false">(-H191/((HLOOKUP(P$5,port_specs,2,0)/(365.25))*(L192-L191)))*(INDEX(fixed_capacity_charge,MATCH(L191,PORTS!$H$11:$H$317,0),MATCH(P$5,PORTS!$H$11:$N$11,0))+INDEX(variable_om_charge,MATCH(L191,PORTS!$H$318:$H$625,0),MATCH(P$5,PORTS!$H$318:$N$318,0)))</f>
        <v>-0</v>
      </c>
      <c r="S191" s="343" t="n">
        <f aca="false">+R191+Q191</f>
        <v>0</v>
      </c>
      <c r="T191" s="355" t="n">
        <f aca="false">+S191+M191</f>
        <v>0</v>
      </c>
      <c r="V191" s="346" t="n">
        <f aca="false">+DATE(YEAR(V190),MONTH(V190)+1,1)</f>
        <v>41974</v>
      </c>
      <c r="W191" s="327" t="n">
        <f aca="false">+Y191/(1-HLOOKUP(X$6,SHIPS,7,0)*INDEX(LADEN_VOYAGE_DAYS,MATCH(CONCATENATE(X$4,X$5),LADEN_VOYAGE_ROUTES,0),MATCH(X$6,LADEN_VOYAGE_SHIPS,0)))</f>
        <v>0</v>
      </c>
      <c r="X191" s="347" t="n">
        <f aca="false">+Y191-W191</f>
        <v>0</v>
      </c>
      <c r="Y191" s="348" t="n">
        <f aca="false">+IF(AND(X$8&lt;=V191,X$9&gt;=V191),+MIN($B191-SUMIF($H$17:X$17,Y$17,$H191:X191),((INDEX(ROUTE_PER_DAY_BY_SHIP,MATCH(CONCATENATE(X$4,X$5,X$7),ROUTE_PER_DAY_ROUTES,0),MATCH(X$6,ROUTE_PER_DAY_SHIPS,0))*(V192-V191))-(INDEX(ROUTE_PER_DAY_BY_SHIP,MATCH(CONCATENATE(X$4,X$5,X$7),ROUTE_PER_DAY_ROUTES,0),MATCH(X$6,ROUTE_PER_DAY_SHIPS,0))*(V192-V191))*HLOOKUP(X$6,SHIPS,7,0)*INDEX(LADEN_VOYAGE_DAYS,MATCH(CONCATENATE(X$4,X$5,X$7),LADEN_VOYAGE_ROUTES,0),MATCH(X$6,LADEN_VOYAGE_SHIPS,0)))),0)</f>
        <v>0</v>
      </c>
      <c r="Z191" s="349" t="n">
        <f aca="false">-(Y191)*HLOOKUP(X$5,TERMINAL_CHARGES,3,0)</f>
        <v>-0</v>
      </c>
      <c r="AA191" s="327" t="n">
        <f aca="false">+Y191+Z191</f>
        <v>0</v>
      </c>
      <c r="AB191" s="333"/>
      <c r="AC191" s="346" t="n">
        <f aca="false">+DATE(YEAR(AC190),MONTH(AC190)+1,1)</f>
        <v>41974</v>
      </c>
      <c r="AD191" s="343" t="n">
        <f aca="false">+AA191*(VLOOKUP(AC191,CURVECALC!$C$6:$J$312,4,0)+AE$5)</f>
        <v>0</v>
      </c>
      <c r="AE191" s="350" t="n">
        <f aca="false">-W191*INDEX(ship_curves,MATCH(AC191,'SHIP CURVES'!$A$9:$A$316,0),MATCH(CONCATENATE(AG$4,AG$5,AG$6,AG$7),'SHIP CURVES'!$A$9:$AZ$9,0))</f>
        <v>-0</v>
      </c>
      <c r="AF191" s="351" t="n">
        <f aca="false">-Y191*INDEX(port_processing_fee,MATCH(AC191,PORTS!$H$626:$H$933,0),MATCH(AG$5,PORTS!$H$626:$Z$626,0))</f>
        <v>-0</v>
      </c>
      <c r="AG191" s="352" t="n">
        <f aca="false">(((VLOOKUP(AC191,curvecalc,4,0))*IF(W191=0,0,AA191/W191)-INDEX(ship_curves,MATCH(AC191,'SHIP CURVES'!$A$9:$A$316,0),MATCH(CONCATENATE(AG$4,AG$5,AG$6,AG$7),'SHIP CURVES'!$A$9:$Z$9,0))-INDEX(terminal_curves,MATCH(AC191,'TERMINAL CURVES'!$A$4:$A$313,0),MATCH(AG$5,'TERMINAL CURVES'!$A$4:$N$4,0))*IF(W191=0,0,Y191/W191))-(AE$8)*((AE$7-$N$5)-(INDEX(ship_curves,MATCH(AC191,'SHIP CURVES'!$A$9:$A$316,0),MATCH(CONCATENATE(AG$4,AG$5,AG$6,AG$7),'SHIP CURVES'!$A$9:$Z$9,0))-INDEX(ship_curves,MATCH(AC191,'SHIP CURVES'!$A$9:$A$316,0),MATCH(CONCATENATE(AG$4,AE$6,AG$6,AG$7),'SHIP CURVES'!$A$9:$Z$9,0)))-(INDEX(terminal_curves,MATCH(AC191,'TERMINAL CURVES'!$A$4:$A$313,0),MATCH(AG$5,'TERMINAL CURVES'!$A$4:$N$4,0))-INDEX(terminal_curves,MATCH(AC191,'TERMINAL CURVES'!$A$4:$A$313,0),MATCH(AE$6,'TERMINAL CURVES'!$A$4:$N$4,0)))*IF(W191=0,0,Y191/W191)))*-W191</f>
        <v>0</v>
      </c>
      <c r="AH191" s="356" t="n">
        <f aca="false">SUM(AE191:AG191)</f>
        <v>0</v>
      </c>
      <c r="AI191" s="357" t="n">
        <f aca="false">(-Y191/((HLOOKUP(AG$5,port_specs,2,0)/(365.25))*(AC192-AC191)))*(INDEX(fixed_capacity_charge,MATCH(AC191,PORTS!$H$11:$H$317,0),MATCH(AG$5,PORTS!$H$11:$N$11,0))+INDEX(variable_om_charge,MATCH(AC191,PORTS!$H$318:$H$625,0),MATCH(AG$5,PORTS!$H$318:$N$318,0)))</f>
        <v>-0</v>
      </c>
      <c r="AJ191" s="343" t="n">
        <f aca="false">+AI191+AH191</f>
        <v>0</v>
      </c>
      <c r="AK191" s="355" t="n">
        <f aca="false">+AJ191+AD191</f>
        <v>0</v>
      </c>
      <c r="AM191" s="346" t="n">
        <f aca="false">+DATE(YEAR(AM190),MONTH(AM190)+1,1)</f>
        <v>41974</v>
      </c>
      <c r="AN191" s="327" t="n">
        <f aca="false">+AP191/(1-HLOOKUP(AO$6,SHIPS,7,0)*INDEX(LADEN_VOYAGE_DAYS,MATCH(CONCATENATE(AO$4,AO$5),LADEN_VOYAGE_ROUTES,0),MATCH(AO$6,LADEN_VOYAGE_SHIPS,0)))</f>
        <v>5395761.47735991</v>
      </c>
      <c r="AO191" s="347" t="n">
        <f aca="false">+AP191-AN191</f>
        <v>-56655.4955122788</v>
      </c>
      <c r="AP191" s="348" t="n">
        <f aca="false">+IF(AND(AO$8&lt;=AM191,AO$9&gt;=AM191),+MIN($B191-SUMIF($H$17:AO$17,AP$17,$H191:AO191),((INDEX(ROUTE_PER_DAY_BY_SHIP,MATCH(CONCATENATE(AO$4,AO$5,AO$7),ROUTE_PER_DAY_ROUTES,0),MATCH(AO$6,ROUTE_PER_DAY_SHIPS,0))*(AM192-AM191))-(INDEX(ROUTE_PER_DAY_BY_SHIP,MATCH(CONCATENATE(AO$4,AO$5,AO$7),ROUTE_PER_DAY_ROUTES,0),MATCH(AO$6,ROUTE_PER_DAY_SHIPS,0))*(AM192-AM191))*HLOOKUP(AO$6,SHIPS,7,0)*INDEX(LADEN_VOYAGE_DAYS,MATCH(CONCATENATE(AO$4,AO$5,AO$7),LADEN_VOYAGE_ROUTES,0),MATCH(AO$6,LADEN_VOYAGE_SHIPS,0)))),0)</f>
        <v>5339105.98184763</v>
      </c>
      <c r="AQ191" s="349" t="n">
        <f aca="false">-(AP191)*PORTS!$I$6</f>
        <v>-133477.649546191</v>
      </c>
      <c r="AR191" s="327" t="n">
        <f aca="false">+AP191+AQ191</f>
        <v>5205628.33230144</v>
      </c>
      <c r="AS191" s="333"/>
      <c r="AT191" s="346" t="n">
        <f aca="false">+DATE(YEAR(AT190),MONTH(AT190)+1,1)</f>
        <v>41974</v>
      </c>
      <c r="AU191" s="343" t="n">
        <f aca="false">+AR191*(VLOOKUP(AT191,CURVECALC!$C$6:$J$312,4,0)+AV$5)</f>
        <v>20239482.955988</v>
      </c>
      <c r="AV191" s="350" t="n">
        <f aca="false">-AN191*INDEX(ship_curves,MATCH(AT191,'SHIP CURVES'!$A$9:$A$316,0),MATCH(CONCATENATE(AX$4,AX$5,AX$6,AX$7),'SHIP CURVES'!$A$9:$AZ$9,0))</f>
        <v>-1826524.4132341</v>
      </c>
      <c r="AW191" s="351" t="n">
        <f aca="false">-AP191*INDEX(port_processing_fee,MATCH(AT191,PORTS!$H$626:$H$933,0),MATCH(AX$5,PORTS!$H$626:$Z$626,0))</f>
        <v>-169341.854168203</v>
      </c>
      <c r="AX191" s="352" t="n">
        <f aca="false">(((VLOOKUP(AT191,curvecalc,4,0))*IF(AN191=0,0,AR191/AN191)-INDEX(ship_curves,MATCH(AT191,'SHIP CURVES'!$A$9:$A$316,0),MATCH(CONCATENATE(AX$4,AX$5,AX$6,AX$7),'SHIP CURVES'!$A$9:$Z$9,0))-INDEX(terminal_curves,MATCH(AT191,'TERMINAL CURVES'!$A$4:$A$313,0),MATCH(AX$5,'TERMINAL CURVES'!$A$4:$N$4,0))*IF(AN191=0,0,AP191/AN191))-(AV$8)*((AV$7-$N$5)-(INDEX(ship_curves,MATCH(AT191,'SHIP CURVES'!$A$9:$A$316,0),MATCH(CONCATENATE(AX$4,AX$5,AX$6,AX$7),'SHIP CURVES'!$A$9:$Z$9,0))-INDEX(ship_curves,MATCH(AT191,'SHIP CURVES'!$A$9:$A$316,0),MATCH(CONCATENATE(AX$4,AV$6,AX$6,AX$7),'SHIP CURVES'!$A$9:$Z$9,0)))-(INDEX(terminal_curves,MATCH(AT191,'TERMINAL CURVES'!$A$4:$A$313,0),MATCH(AX$5,'TERMINAL CURVES'!$A$4:$N$4,0))-INDEX(terminal_curves,MATCH(AT191,'TERMINAL CURVES'!$A$4:$A$313,0),MATCH(AV$6,'TERMINAL CURVES'!$A$4:$N$4,0)))*IF(AN191=0,0,AP191/AN191)))*-AN191</f>
        <v>-17108766.9135343</v>
      </c>
      <c r="AY191" s="356" t="n">
        <f aca="false">SUM(AV191:AX191)</f>
        <v>-19104633.1809366</v>
      </c>
      <c r="AZ191" s="357" t="n">
        <f aca="false">(-AP191/((HLOOKUP(AX$5,port_specs,2,0)/(365.25))*(AT192-AT191)))*(INDEX(fixed_capacity_charge,MATCH(AT191,PORTS!$H$11:$H$317,0),MATCH(AX$5,PORTS!$H$11:$N$11,0))+INDEX(variable_om_charge,MATCH(AT191,PORTS!$H$318:$H$625,0),MATCH(AX$5,PORTS!$H$318:$N$318,0)))</f>
        <v>-1030737.20840537</v>
      </c>
      <c r="BA191" s="343" t="n">
        <f aca="false">+AZ191+AY191</f>
        <v>-20135370.389342</v>
      </c>
      <c r="BB191" s="355" t="n">
        <f aca="false">+BA191+AU191</f>
        <v>104112.566646032</v>
      </c>
      <c r="BC191" s="99"/>
      <c r="BD191" s="357" t="n">
        <f aca="false">+PORTS!I185+PORTS!I493</f>
        <v>1030737.20840537</v>
      </c>
    </row>
    <row r="192" customFormat="false" ht="12.75" hidden="false" customHeight="false" outlineLevel="0" collapsed="false">
      <c r="A192" s="346" t="n">
        <f aca="false">+DATE(YEAR(A191),MONTH(A191)+1,1)</f>
        <v>42005</v>
      </c>
      <c r="B192" s="327" t="n">
        <f aca="false">+IF(AND($A192&gt;=$C$8,$A192&lt;=$C$9),1,0)*PORTS!$I$5/(365.25)*(A193-A192)</f>
        <v>5339105.98184763</v>
      </c>
      <c r="C192" s="328" t="n">
        <f aca="false">+B192-(SUMIF($F$17:$IV$17,$H$17,$F192:$IV192))</f>
        <v>0</v>
      </c>
      <c r="D192" s="0" t="n">
        <f aca="false">+YEAR(E192)</f>
        <v>2015</v>
      </c>
      <c r="E192" s="346" t="n">
        <f aca="false">+DATE(YEAR(E191),MONTH(E191)+1,1)</f>
        <v>42005</v>
      </c>
      <c r="F192" s="327" t="n">
        <f aca="false">+IF(AND(G$8&lt;=E192,G$9&gt;=E192),INDEX(ROUTE_PER_DAY_BY_SHIP,MATCH(CONCATENATE(G$4,G$5,G$7),ROUTE_PER_DAY_ROUTES,0),MATCH(G$6,ROUTE_PER_DAY_SHIPS,0))*(E193-E192),0)</f>
        <v>0</v>
      </c>
      <c r="G192" s="347" t="n">
        <f aca="false">-F192*HLOOKUP(G$6,SHIPS,7,0)*INDEX(LADEN_VOYAGE_DAYS,MATCH(CONCATENATE(G$4,G$5,G$7),LADEN_VOYAGE_ROUTES,0),MATCH(G$6,LADEN_VOYAGE_SHIPS,0))</f>
        <v>-0</v>
      </c>
      <c r="H192" s="348" t="n">
        <f aca="false">SUM(F192:G192)</f>
        <v>0</v>
      </c>
      <c r="I192" s="349" t="n">
        <f aca="false">-(H192)*HLOOKUP(G$5,TERMINAL_CHARGES,3,0)</f>
        <v>-0</v>
      </c>
      <c r="J192" s="327" t="n">
        <f aca="false">+H192+I192</f>
        <v>0</v>
      </c>
      <c r="K192" s="333"/>
      <c r="L192" s="346" t="n">
        <f aca="false">+DATE(YEAR(L191),MONTH(L191)+1,1)</f>
        <v>42005</v>
      </c>
      <c r="M192" s="334" t="n">
        <f aca="false">+J192*(VLOOKUP(L192,CURVECALC!$C$6:$J$312,4,0)+N$5)</f>
        <v>0</v>
      </c>
      <c r="N192" s="350" t="n">
        <f aca="false">-F192*INDEX(ship_curves,MATCH(L192,'SHIP CURVES'!$A$9:$A$316,0),MATCH(CONCATENATE(P$4,P$5,P$6,P$7),'SHIP CURVES'!$A$9:$AZ$9,0))</f>
        <v>-0</v>
      </c>
      <c r="O192" s="351" t="n">
        <f aca="false">-H192*INDEX(port_processing_fee,MATCH(L192,PORTS!$H$626:$H$933,0),MATCH(P$5,PORTS!$H$626:$Z$626,0))</f>
        <v>-0</v>
      </c>
      <c r="P192" s="352" t="n">
        <f aca="false">(((VLOOKUP(L192,curvecalc,4,0))*IF(F192=0,0,J192/F192)-INDEX(ship_curves,MATCH(L192,'SHIP CURVES'!$A$9:$A$316,0),MATCH(CONCATENATE(P$4,P$5,P$6,P$7),'SHIP CURVES'!$A$9:$Z$9,0))-INDEX(terminal_curves,MATCH(L192,'TERMINAL CURVES'!$A$4:$A$313,0),MATCH(P$5,'TERMINAL CURVES'!$A$4:$N$4,0))*IF(F192=0,0,H192/F192))-(N$8)*((N$7-$N$5)-(INDEX(ship_curves,MATCH(L192,'SHIP CURVES'!$A$9:$A$316,0),MATCH(CONCATENATE(P$4,P$5,P$6,P$7),'SHIP CURVES'!$A$9:$Z$9,0))-INDEX(ship_curves,MATCH(L192,'SHIP CURVES'!$A$9:$A$316,0),MATCH(CONCATENATE(P$4,N$6,P$6,P$7),'SHIP CURVES'!$A$9:$Z$9,0)))-(INDEX(terminal_curves,MATCH(L192,'TERMINAL CURVES'!$A$4:$A$313,0),MATCH(P$5,'TERMINAL CURVES'!$A$4:$N$4,0))-INDEX(terminal_curves,MATCH(L192,'TERMINAL CURVES'!$A$4:$A$313,0),MATCH(N$6,'TERMINAL CURVES'!$A$4:$N$4,0)))*IF(F192=0,0,H192/F192)))*-F192</f>
        <v>0</v>
      </c>
      <c r="Q192" s="353" t="n">
        <f aca="false">SUM(N192:P192)</f>
        <v>0</v>
      </c>
      <c r="R192" s="357" t="n">
        <f aca="false">(-H192/((HLOOKUP(P$5,port_specs,2,0)/(365.25))*(L193-L192)))*(INDEX(fixed_capacity_charge,MATCH(L192,PORTS!$H$11:$H$317,0),MATCH(P$5,PORTS!$H$11:$N$11,0))+INDEX(variable_om_charge,MATCH(L192,PORTS!$H$318:$H$625,0),MATCH(P$5,PORTS!$H$318:$N$318,0)))</f>
        <v>-0</v>
      </c>
      <c r="S192" s="343" t="n">
        <f aca="false">+R192+Q192</f>
        <v>0</v>
      </c>
      <c r="T192" s="355" t="n">
        <f aca="false">+S192+M192</f>
        <v>0</v>
      </c>
      <c r="V192" s="346" t="n">
        <f aca="false">+DATE(YEAR(V191),MONTH(V191)+1,1)</f>
        <v>42005</v>
      </c>
      <c r="W192" s="327" t="n">
        <f aca="false">+Y192/(1-HLOOKUP(X$6,SHIPS,7,0)*INDEX(LADEN_VOYAGE_DAYS,MATCH(CONCATENATE(X$4,X$5),LADEN_VOYAGE_ROUTES,0),MATCH(X$6,LADEN_VOYAGE_SHIPS,0)))</f>
        <v>0</v>
      </c>
      <c r="X192" s="347" t="n">
        <f aca="false">+Y192-W192</f>
        <v>0</v>
      </c>
      <c r="Y192" s="348" t="n">
        <f aca="false">+IF(AND(X$8&lt;=V192,X$9&gt;=V192),+MIN($B192-SUMIF($H$17:X$17,Y$17,$H192:X192),((INDEX(ROUTE_PER_DAY_BY_SHIP,MATCH(CONCATENATE(X$4,X$5,X$7),ROUTE_PER_DAY_ROUTES,0),MATCH(X$6,ROUTE_PER_DAY_SHIPS,0))*(V193-V192))-(INDEX(ROUTE_PER_DAY_BY_SHIP,MATCH(CONCATENATE(X$4,X$5,X$7),ROUTE_PER_DAY_ROUTES,0),MATCH(X$6,ROUTE_PER_DAY_SHIPS,0))*(V193-V192))*HLOOKUP(X$6,SHIPS,7,0)*INDEX(LADEN_VOYAGE_DAYS,MATCH(CONCATENATE(X$4,X$5,X$7),LADEN_VOYAGE_ROUTES,0),MATCH(X$6,LADEN_VOYAGE_SHIPS,0)))),0)</f>
        <v>0</v>
      </c>
      <c r="Z192" s="349" t="n">
        <f aca="false">-(Y192)*HLOOKUP(X$5,TERMINAL_CHARGES,3,0)</f>
        <v>-0</v>
      </c>
      <c r="AA192" s="327" t="n">
        <f aca="false">+Y192+Z192</f>
        <v>0</v>
      </c>
      <c r="AB192" s="333"/>
      <c r="AC192" s="346" t="n">
        <f aca="false">+DATE(YEAR(AC191),MONTH(AC191)+1,1)</f>
        <v>42005</v>
      </c>
      <c r="AD192" s="343" t="n">
        <f aca="false">+AA192*(VLOOKUP(AC192,CURVECALC!$C$6:$J$312,4,0)+AE$5)</f>
        <v>0</v>
      </c>
      <c r="AE192" s="350" t="n">
        <f aca="false">-W192*INDEX(ship_curves,MATCH(AC192,'SHIP CURVES'!$A$9:$A$316,0),MATCH(CONCATENATE(AG$4,AG$5,AG$6,AG$7),'SHIP CURVES'!$A$9:$AZ$9,0))</f>
        <v>-0</v>
      </c>
      <c r="AF192" s="351" t="n">
        <f aca="false">-Y192*INDEX(port_processing_fee,MATCH(AC192,PORTS!$H$626:$H$933,0),MATCH(AG$5,PORTS!$H$626:$Z$626,0))</f>
        <v>-0</v>
      </c>
      <c r="AG192" s="352" t="n">
        <f aca="false">(((VLOOKUP(AC192,curvecalc,4,0))*IF(W192=0,0,AA192/W192)-INDEX(ship_curves,MATCH(AC192,'SHIP CURVES'!$A$9:$A$316,0),MATCH(CONCATENATE(AG$4,AG$5,AG$6,AG$7),'SHIP CURVES'!$A$9:$Z$9,0))-INDEX(terminal_curves,MATCH(AC192,'TERMINAL CURVES'!$A$4:$A$313,0),MATCH(AG$5,'TERMINAL CURVES'!$A$4:$N$4,0))*IF(W192=0,0,Y192/W192))-(AE$8)*((AE$7-$N$5)-(INDEX(ship_curves,MATCH(AC192,'SHIP CURVES'!$A$9:$A$316,0),MATCH(CONCATENATE(AG$4,AG$5,AG$6,AG$7),'SHIP CURVES'!$A$9:$Z$9,0))-INDEX(ship_curves,MATCH(AC192,'SHIP CURVES'!$A$9:$A$316,0),MATCH(CONCATENATE(AG$4,AE$6,AG$6,AG$7),'SHIP CURVES'!$A$9:$Z$9,0)))-(INDEX(terminal_curves,MATCH(AC192,'TERMINAL CURVES'!$A$4:$A$313,0),MATCH(AG$5,'TERMINAL CURVES'!$A$4:$N$4,0))-INDEX(terminal_curves,MATCH(AC192,'TERMINAL CURVES'!$A$4:$A$313,0),MATCH(AE$6,'TERMINAL CURVES'!$A$4:$N$4,0)))*IF(W192=0,0,Y192/W192)))*-W192</f>
        <v>0</v>
      </c>
      <c r="AH192" s="356" t="n">
        <f aca="false">SUM(AE192:AG192)</f>
        <v>0</v>
      </c>
      <c r="AI192" s="357" t="n">
        <f aca="false">(-Y192/((HLOOKUP(AG$5,port_specs,2,0)/(365.25))*(AC193-AC192)))*(INDEX(fixed_capacity_charge,MATCH(AC192,PORTS!$H$11:$H$317,0),MATCH(AG$5,PORTS!$H$11:$N$11,0))+INDEX(variable_om_charge,MATCH(AC192,PORTS!$H$318:$H$625,0),MATCH(AG$5,PORTS!$H$318:$N$318,0)))</f>
        <v>-0</v>
      </c>
      <c r="AJ192" s="343" t="n">
        <f aca="false">+AI192+AH192</f>
        <v>0</v>
      </c>
      <c r="AK192" s="355" t="n">
        <f aca="false">+AJ192+AD192</f>
        <v>0</v>
      </c>
      <c r="AM192" s="346" t="n">
        <f aca="false">+DATE(YEAR(AM191),MONTH(AM191)+1,1)</f>
        <v>42005</v>
      </c>
      <c r="AN192" s="327" t="n">
        <f aca="false">+AP192/(1-HLOOKUP(AO$6,SHIPS,7,0)*INDEX(LADEN_VOYAGE_DAYS,MATCH(CONCATENATE(AO$4,AO$5),LADEN_VOYAGE_ROUTES,0),MATCH(AO$6,LADEN_VOYAGE_SHIPS,0)))</f>
        <v>5395761.47735991</v>
      </c>
      <c r="AO192" s="347" t="n">
        <f aca="false">+AP192-AN192</f>
        <v>-56655.4955122788</v>
      </c>
      <c r="AP192" s="348" t="n">
        <f aca="false">+IF(AND(AO$8&lt;=AM192,AO$9&gt;=AM192),+MIN($B192-SUMIF($H$17:AO$17,AP$17,$H192:AO192),((INDEX(ROUTE_PER_DAY_BY_SHIP,MATCH(CONCATENATE(AO$4,AO$5,AO$7),ROUTE_PER_DAY_ROUTES,0),MATCH(AO$6,ROUTE_PER_DAY_SHIPS,0))*(AM193-AM192))-(INDEX(ROUTE_PER_DAY_BY_SHIP,MATCH(CONCATENATE(AO$4,AO$5,AO$7),ROUTE_PER_DAY_ROUTES,0),MATCH(AO$6,ROUTE_PER_DAY_SHIPS,0))*(AM193-AM192))*HLOOKUP(AO$6,SHIPS,7,0)*INDEX(LADEN_VOYAGE_DAYS,MATCH(CONCATENATE(AO$4,AO$5,AO$7),LADEN_VOYAGE_ROUTES,0),MATCH(AO$6,LADEN_VOYAGE_SHIPS,0)))),0)</f>
        <v>5339105.98184763</v>
      </c>
      <c r="AQ192" s="349" t="n">
        <f aca="false">-(AP192)*PORTS!$I$6</f>
        <v>-133477.649546191</v>
      </c>
      <c r="AR192" s="327" t="n">
        <f aca="false">+AP192+AQ192</f>
        <v>5205628.33230144</v>
      </c>
      <c r="AS192" s="333"/>
      <c r="AT192" s="346" t="n">
        <f aca="false">+DATE(YEAR(AT191),MONTH(AT191)+1,1)</f>
        <v>42005</v>
      </c>
      <c r="AU192" s="343" t="n">
        <f aca="false">+AR192*(VLOOKUP(AT192,CURVECALC!$C$6:$J$312,4,0)+AV$5)</f>
        <v>21233757.9674576</v>
      </c>
      <c r="AV192" s="350" t="n">
        <f aca="false">-AN192*INDEX(ship_curves,MATCH(AT192,'SHIP CURVES'!$A$9:$A$316,0),MATCH(CONCATENATE(AX$4,AX$5,AX$6,AX$7),'SHIP CURVES'!$A$9:$AZ$9,0))</f>
        <v>-1827133.98966372</v>
      </c>
      <c r="AW192" s="351" t="n">
        <f aca="false">-AP192*INDEX(port_processing_fee,MATCH(AT192,PORTS!$H$626:$H$933,0),MATCH(AX$5,PORTS!$H$626:$Z$626,0))</f>
        <v>-169518.251932961</v>
      </c>
      <c r="AX192" s="352" t="n">
        <f aca="false">(((VLOOKUP(AT192,curvecalc,4,0))*IF(AN192=0,0,AR192/AN192)-INDEX(ship_curves,MATCH(AT192,'SHIP CURVES'!$A$9:$A$316,0),MATCH(CONCATENATE(AX$4,AX$5,AX$6,AX$7),'SHIP CURVES'!$A$9:$Z$9,0))-INDEX(terminal_curves,MATCH(AT192,'TERMINAL CURVES'!$A$4:$A$313,0),MATCH(AX$5,'TERMINAL CURVES'!$A$4:$N$4,0))*IF(AN192=0,0,AP192/AN192))-(AV$8)*((AV$7-$N$5)-(INDEX(ship_curves,MATCH(AT192,'SHIP CURVES'!$A$9:$A$316,0),MATCH(CONCATENATE(AX$4,AX$5,AX$6,AX$7),'SHIP CURVES'!$A$9:$Z$9,0))-INDEX(ship_curves,MATCH(AT192,'SHIP CURVES'!$A$9:$A$316,0),MATCH(CONCATENATE(AX$4,AV$6,AX$6,AX$7),'SHIP CURVES'!$A$9:$Z$9,0)))-(INDEX(terminal_curves,MATCH(AT192,'TERMINAL CURVES'!$A$4:$A$313,0),MATCH(AX$5,'TERMINAL CURVES'!$A$4:$N$4,0))-INDEX(terminal_curves,MATCH(AT192,'TERMINAL CURVES'!$A$4:$A$313,0),MATCH(AV$6,'TERMINAL CURVES'!$A$4:$N$4,0)))*IF(AN192=0,0,AP192/AN192)))*-AN192</f>
        <v>-18101687.6688954</v>
      </c>
      <c r="AY192" s="356" t="n">
        <f aca="false">SUM(AV192:AX192)</f>
        <v>-20098339.9104921</v>
      </c>
      <c r="AZ192" s="357" t="n">
        <f aca="false">(-AP192/((HLOOKUP(AX$5,port_specs,2,0)/(365.25))*(AT193-AT192)))*(INDEX(fixed_capacity_charge,MATCH(AT192,PORTS!$H$11:$H$317,0),MATCH(AX$5,PORTS!$H$11:$N$11,0))+INDEX(variable_om_charge,MATCH(AT192,PORTS!$H$318:$H$625,0),MATCH(AX$5,PORTS!$H$318:$N$318,0)))</f>
        <v>-1031305.49031943</v>
      </c>
      <c r="BA192" s="343" t="n">
        <f aca="false">+AZ192+AY192</f>
        <v>-21129645.4008116</v>
      </c>
      <c r="BB192" s="355" t="n">
        <f aca="false">+BA192+AU192</f>
        <v>104112.566646025</v>
      </c>
      <c r="BC192" s="99"/>
      <c r="BD192" s="357" t="n">
        <f aca="false">+PORTS!I186+PORTS!I494</f>
        <v>1031305.49031943</v>
      </c>
    </row>
    <row r="193" customFormat="false" ht="12.75" hidden="false" customHeight="false" outlineLevel="0" collapsed="false">
      <c r="A193" s="346" t="n">
        <f aca="false">+DATE(YEAR(A192),MONTH(A192)+1,1)</f>
        <v>42036</v>
      </c>
      <c r="B193" s="327" t="n">
        <f aca="false">+IF(AND($A193&gt;=$C$8,$A193&lt;=$C$9),1,0)*PORTS!$I$5/(365.25)*(A194-A193)</f>
        <v>4822418.30618496</v>
      </c>
      <c r="C193" s="328" t="n">
        <f aca="false">+B193-(SUMIF($F$17:$IV$17,$H$17,$F193:$IV193))</f>
        <v>0</v>
      </c>
      <c r="D193" s="0" t="n">
        <f aca="false">+YEAR(E193)</f>
        <v>2015</v>
      </c>
      <c r="E193" s="346" t="n">
        <f aca="false">+DATE(YEAR(E192),MONTH(E192)+1,1)</f>
        <v>42036</v>
      </c>
      <c r="F193" s="327" t="n">
        <f aca="false">+IF(AND(G$8&lt;=E193,G$9&gt;=E193),INDEX(ROUTE_PER_DAY_BY_SHIP,MATCH(CONCATENATE(G$4,G$5,G$7),ROUTE_PER_DAY_ROUTES,0),MATCH(G$6,ROUTE_PER_DAY_SHIPS,0))*(E194-E193),0)</f>
        <v>0</v>
      </c>
      <c r="G193" s="347" t="n">
        <f aca="false">-F193*HLOOKUP(G$6,SHIPS,7,0)*INDEX(LADEN_VOYAGE_DAYS,MATCH(CONCATENATE(G$4,G$5,G$7),LADEN_VOYAGE_ROUTES,0),MATCH(G$6,LADEN_VOYAGE_SHIPS,0))</f>
        <v>-0</v>
      </c>
      <c r="H193" s="348" t="n">
        <f aca="false">SUM(F193:G193)</f>
        <v>0</v>
      </c>
      <c r="I193" s="349" t="n">
        <f aca="false">-(H193)*HLOOKUP(G$5,TERMINAL_CHARGES,3,0)</f>
        <v>-0</v>
      </c>
      <c r="J193" s="327" t="n">
        <f aca="false">+H193+I193</f>
        <v>0</v>
      </c>
      <c r="K193" s="333"/>
      <c r="L193" s="346" t="n">
        <f aca="false">+DATE(YEAR(L192),MONTH(L192)+1,1)</f>
        <v>42036</v>
      </c>
      <c r="M193" s="334" t="n">
        <f aca="false">+J193*(VLOOKUP(L193,CURVECALC!$C$6:$J$312,4,0)+N$5)</f>
        <v>0</v>
      </c>
      <c r="N193" s="350" t="n">
        <f aca="false">-F193*INDEX(ship_curves,MATCH(L193,'SHIP CURVES'!$A$9:$A$316,0),MATCH(CONCATENATE(P$4,P$5,P$6,P$7),'SHIP CURVES'!$A$9:$AZ$9,0))</f>
        <v>-0</v>
      </c>
      <c r="O193" s="351" t="n">
        <f aca="false">-H193*INDEX(port_processing_fee,MATCH(L193,PORTS!$H$626:$H$933,0),MATCH(P$5,PORTS!$H$626:$Z$626,0))</f>
        <v>-0</v>
      </c>
      <c r="P193" s="352" t="n">
        <f aca="false">(((VLOOKUP(L193,curvecalc,4,0))*IF(F193=0,0,J193/F193)-INDEX(ship_curves,MATCH(L193,'SHIP CURVES'!$A$9:$A$316,0),MATCH(CONCATENATE(P$4,P$5,P$6,P$7),'SHIP CURVES'!$A$9:$Z$9,0))-INDEX(terminal_curves,MATCH(L193,'TERMINAL CURVES'!$A$4:$A$313,0),MATCH(P$5,'TERMINAL CURVES'!$A$4:$N$4,0))*IF(F193=0,0,H193/F193))-(N$8)*((N$7-$N$5)-(INDEX(ship_curves,MATCH(L193,'SHIP CURVES'!$A$9:$A$316,0),MATCH(CONCATENATE(P$4,P$5,P$6,P$7),'SHIP CURVES'!$A$9:$Z$9,0))-INDEX(ship_curves,MATCH(L193,'SHIP CURVES'!$A$9:$A$316,0),MATCH(CONCATENATE(P$4,N$6,P$6,P$7),'SHIP CURVES'!$A$9:$Z$9,0)))-(INDEX(terminal_curves,MATCH(L193,'TERMINAL CURVES'!$A$4:$A$313,0),MATCH(P$5,'TERMINAL CURVES'!$A$4:$N$4,0))-INDEX(terminal_curves,MATCH(L193,'TERMINAL CURVES'!$A$4:$A$313,0),MATCH(N$6,'TERMINAL CURVES'!$A$4:$N$4,0)))*IF(F193=0,0,H193/F193)))*-F193</f>
        <v>0</v>
      </c>
      <c r="Q193" s="353" t="n">
        <f aca="false">SUM(N193:P193)</f>
        <v>0</v>
      </c>
      <c r="R193" s="357" t="n">
        <f aca="false">(-H193/((HLOOKUP(P$5,port_specs,2,0)/(365.25))*(L194-L193)))*(INDEX(fixed_capacity_charge,MATCH(L193,PORTS!$H$11:$H$317,0),MATCH(P$5,PORTS!$H$11:$N$11,0))+INDEX(variable_om_charge,MATCH(L193,PORTS!$H$318:$H$625,0),MATCH(P$5,PORTS!$H$318:$N$318,0)))</f>
        <v>-0</v>
      </c>
      <c r="S193" s="343" t="n">
        <f aca="false">+R193+Q193</f>
        <v>0</v>
      </c>
      <c r="T193" s="355" t="n">
        <f aca="false">+S193+M193</f>
        <v>0</v>
      </c>
      <c r="V193" s="346" t="n">
        <f aca="false">+DATE(YEAR(V192),MONTH(V192)+1,1)</f>
        <v>42036</v>
      </c>
      <c r="W193" s="327" t="n">
        <f aca="false">+Y193/(1-HLOOKUP(X$6,SHIPS,7,0)*INDEX(LADEN_VOYAGE_DAYS,MATCH(CONCATENATE(X$4,X$5),LADEN_VOYAGE_ROUTES,0),MATCH(X$6,LADEN_VOYAGE_SHIPS,0)))</f>
        <v>0</v>
      </c>
      <c r="X193" s="347" t="n">
        <f aca="false">+Y193-W193</f>
        <v>0</v>
      </c>
      <c r="Y193" s="348" t="n">
        <f aca="false">+IF(AND(X$8&lt;=V193,X$9&gt;=V193),+MIN($B193-SUMIF($H$17:X$17,Y$17,$H193:X193),((INDEX(ROUTE_PER_DAY_BY_SHIP,MATCH(CONCATENATE(X$4,X$5,X$7),ROUTE_PER_DAY_ROUTES,0),MATCH(X$6,ROUTE_PER_DAY_SHIPS,0))*(V194-V193))-(INDEX(ROUTE_PER_DAY_BY_SHIP,MATCH(CONCATENATE(X$4,X$5,X$7),ROUTE_PER_DAY_ROUTES,0),MATCH(X$6,ROUTE_PER_DAY_SHIPS,0))*(V194-V193))*HLOOKUP(X$6,SHIPS,7,0)*INDEX(LADEN_VOYAGE_DAYS,MATCH(CONCATENATE(X$4,X$5,X$7),LADEN_VOYAGE_ROUTES,0),MATCH(X$6,LADEN_VOYAGE_SHIPS,0)))),0)</f>
        <v>0</v>
      </c>
      <c r="Z193" s="349" t="n">
        <f aca="false">-(Y193)*HLOOKUP(X$5,TERMINAL_CHARGES,3,0)</f>
        <v>-0</v>
      </c>
      <c r="AA193" s="327" t="n">
        <f aca="false">+Y193+Z193</f>
        <v>0</v>
      </c>
      <c r="AB193" s="333"/>
      <c r="AC193" s="346" t="n">
        <f aca="false">+DATE(YEAR(AC192),MONTH(AC192)+1,1)</f>
        <v>42036</v>
      </c>
      <c r="AD193" s="343" t="n">
        <f aca="false">+AA193*(VLOOKUP(AC193,CURVECALC!$C$6:$J$312,4,0)+AE$5)</f>
        <v>0</v>
      </c>
      <c r="AE193" s="350" t="n">
        <f aca="false">-W193*INDEX(ship_curves,MATCH(AC193,'SHIP CURVES'!$A$9:$A$316,0),MATCH(CONCATENATE(AG$4,AG$5,AG$6,AG$7),'SHIP CURVES'!$A$9:$AZ$9,0))</f>
        <v>-0</v>
      </c>
      <c r="AF193" s="351" t="n">
        <f aca="false">-Y193*INDEX(port_processing_fee,MATCH(AC193,PORTS!$H$626:$H$933,0),MATCH(AG$5,PORTS!$H$626:$Z$626,0))</f>
        <v>-0</v>
      </c>
      <c r="AG193" s="352" t="n">
        <f aca="false">(((VLOOKUP(AC193,curvecalc,4,0))*IF(W193=0,0,AA193/W193)-INDEX(ship_curves,MATCH(AC193,'SHIP CURVES'!$A$9:$A$316,0),MATCH(CONCATENATE(AG$4,AG$5,AG$6,AG$7),'SHIP CURVES'!$A$9:$Z$9,0))-INDEX(terminal_curves,MATCH(AC193,'TERMINAL CURVES'!$A$4:$A$313,0),MATCH(AG$5,'TERMINAL CURVES'!$A$4:$N$4,0))*IF(W193=0,0,Y193/W193))-(AE$8)*((AE$7-$N$5)-(INDEX(ship_curves,MATCH(AC193,'SHIP CURVES'!$A$9:$A$316,0),MATCH(CONCATENATE(AG$4,AG$5,AG$6,AG$7),'SHIP CURVES'!$A$9:$Z$9,0))-INDEX(ship_curves,MATCH(AC193,'SHIP CURVES'!$A$9:$A$316,0),MATCH(CONCATENATE(AG$4,AE$6,AG$6,AG$7),'SHIP CURVES'!$A$9:$Z$9,0)))-(INDEX(terminal_curves,MATCH(AC193,'TERMINAL CURVES'!$A$4:$A$313,0),MATCH(AG$5,'TERMINAL CURVES'!$A$4:$N$4,0))-INDEX(terminal_curves,MATCH(AC193,'TERMINAL CURVES'!$A$4:$A$313,0),MATCH(AE$6,'TERMINAL CURVES'!$A$4:$N$4,0)))*IF(W193=0,0,Y193/W193)))*-W193</f>
        <v>0</v>
      </c>
      <c r="AH193" s="356" t="n">
        <f aca="false">SUM(AE193:AG193)</f>
        <v>0</v>
      </c>
      <c r="AI193" s="357" t="n">
        <f aca="false">(-Y193/((HLOOKUP(AG$5,port_specs,2,0)/(365.25))*(AC194-AC193)))*(INDEX(fixed_capacity_charge,MATCH(AC193,PORTS!$H$11:$H$317,0),MATCH(AG$5,PORTS!$H$11:$N$11,0))+INDEX(variable_om_charge,MATCH(AC193,PORTS!$H$318:$H$625,0),MATCH(AG$5,PORTS!$H$318:$N$318,0)))</f>
        <v>-0</v>
      </c>
      <c r="AJ193" s="343" t="n">
        <f aca="false">+AI193+AH193</f>
        <v>0</v>
      </c>
      <c r="AK193" s="355" t="n">
        <f aca="false">+AJ193+AD193</f>
        <v>0</v>
      </c>
      <c r="AM193" s="346" t="n">
        <f aca="false">+DATE(YEAR(AM192),MONTH(AM192)+1,1)</f>
        <v>42036</v>
      </c>
      <c r="AN193" s="327" t="n">
        <f aca="false">+AP193/(1-HLOOKUP(AO$6,SHIPS,7,0)*INDEX(LADEN_VOYAGE_DAYS,MATCH(CONCATENATE(AO$4,AO$5),LADEN_VOYAGE_ROUTES,0),MATCH(AO$6,LADEN_VOYAGE_SHIPS,0)))</f>
        <v>4873591.01180895</v>
      </c>
      <c r="AO193" s="347" t="n">
        <f aca="false">+AP193-AN193</f>
        <v>-51172.7056239937</v>
      </c>
      <c r="AP193" s="348" t="n">
        <f aca="false">+IF(AND(AO$8&lt;=AM193,AO$9&gt;=AM193),+MIN($B193-SUMIF($H$17:AO$17,AP$17,$H193:AO193),((INDEX(ROUTE_PER_DAY_BY_SHIP,MATCH(CONCATENATE(AO$4,AO$5,AO$7),ROUTE_PER_DAY_ROUTES,0),MATCH(AO$6,ROUTE_PER_DAY_SHIPS,0))*(AM194-AM193))-(INDEX(ROUTE_PER_DAY_BY_SHIP,MATCH(CONCATENATE(AO$4,AO$5,AO$7),ROUTE_PER_DAY_ROUTES,0),MATCH(AO$6,ROUTE_PER_DAY_SHIPS,0))*(AM194-AM193))*HLOOKUP(AO$6,SHIPS,7,0)*INDEX(LADEN_VOYAGE_DAYS,MATCH(CONCATENATE(AO$4,AO$5,AO$7),LADEN_VOYAGE_ROUTES,0),MATCH(AO$6,LADEN_VOYAGE_SHIPS,0)))),0)</f>
        <v>4822418.30618496</v>
      </c>
      <c r="AQ193" s="349" t="n">
        <f aca="false">-(AP193)*PORTS!$I$6</f>
        <v>-120560.457654624</v>
      </c>
      <c r="AR193" s="327" t="n">
        <f aca="false">+AP193+AQ193</f>
        <v>4701857.84853034</v>
      </c>
      <c r="AS193" s="333"/>
      <c r="AT193" s="346" t="n">
        <f aca="false">+DATE(YEAR(AT192),MONTH(AT192)+1,1)</f>
        <v>42036</v>
      </c>
      <c r="AU193" s="343" t="n">
        <f aca="false">+AR193*(VLOOKUP(AT193,CURVECALC!$C$6:$J$312,4,0)+AV$5)</f>
        <v>18793325.8205758</v>
      </c>
      <c r="AV193" s="350" t="n">
        <f aca="false">-AN193*INDEX(ship_curves,MATCH(AT193,'SHIP CURVES'!$A$9:$A$316,0),MATCH(CONCATENATE(AX$4,AX$5,AX$6,AX$7),'SHIP CURVES'!$A$9:$AZ$9,0))</f>
        <v>-1650866.30352383</v>
      </c>
      <c r="AW193" s="351" t="n">
        <f aca="false">-AP193*INDEX(port_processing_fee,MATCH(AT193,PORTS!$H$626:$H$933,0),MATCH(AX$5,PORTS!$H$626:$Z$626,0))</f>
        <v>-153272.752789386</v>
      </c>
      <c r="AX193" s="352" t="n">
        <f aca="false">(((VLOOKUP(AT193,curvecalc,4,0))*IF(AN193=0,0,AR193/AN193)-INDEX(ship_curves,MATCH(AT193,'SHIP CURVES'!$A$9:$A$316,0),MATCH(CONCATENATE(AX$4,AX$5,AX$6,AX$7),'SHIP CURVES'!$A$9:$Z$9,0))-INDEX(terminal_curves,MATCH(AT193,'TERMINAL CURVES'!$A$4:$A$313,0),MATCH(AX$5,'TERMINAL CURVES'!$A$4:$N$4,0))*IF(AN193=0,0,AP193/AN193))-(AV$8)*((AV$7-$N$5)-(INDEX(ship_curves,MATCH(AT193,'SHIP CURVES'!$A$9:$A$316,0),MATCH(CONCATENATE(AX$4,AX$5,AX$6,AX$7),'SHIP CURVES'!$A$9:$Z$9,0))-INDEX(ship_curves,MATCH(AT193,'SHIP CURVES'!$A$9:$A$316,0),MATCH(CONCATENATE(AX$4,AV$6,AX$6,AX$7),'SHIP CURVES'!$A$9:$Z$9,0)))-(INDEX(terminal_curves,MATCH(AT193,'TERMINAL CURVES'!$A$4:$A$313,0),MATCH(AX$5,'TERMINAL CURVES'!$A$4:$N$4,0))-INDEX(terminal_curves,MATCH(AT193,'TERMINAL CURVES'!$A$4:$A$313,0),MATCH(AV$6,'TERMINAL CURVES'!$A$4:$N$4,0)))*IF(AN193=0,0,AP193/AN193)))*-AN193</f>
        <v>-15863275.2430981</v>
      </c>
      <c r="AY193" s="356" t="n">
        <f aca="false">SUM(AV193:AX193)</f>
        <v>-17667414.2994113</v>
      </c>
      <c r="AZ193" s="357" t="n">
        <f aca="false">(-AP193/((HLOOKUP(AX$5,port_specs,2,0)/(365.25))*(AT194-AT193)))*(INDEX(fixed_capacity_charge,MATCH(AT193,PORTS!$H$11:$H$317,0),MATCH(AX$5,PORTS!$H$11:$N$11,0))+INDEX(variable_om_charge,MATCH(AT193,PORTS!$H$318:$H$625,0),MATCH(AX$5,PORTS!$H$318:$N$318,0)))</f>
        <v>-1031874.36419381</v>
      </c>
      <c r="BA193" s="343" t="n">
        <f aca="false">+AZ193+AY193</f>
        <v>-18699288.6636051</v>
      </c>
      <c r="BB193" s="355" t="n">
        <f aca="false">+BA193+AU193</f>
        <v>94037.156970609</v>
      </c>
      <c r="BC193" s="99"/>
      <c r="BD193" s="357" t="n">
        <f aca="false">+PORTS!I187+PORTS!I495</f>
        <v>1031874.36419381</v>
      </c>
    </row>
    <row r="194" customFormat="false" ht="12.75" hidden="false" customHeight="false" outlineLevel="0" collapsed="false">
      <c r="A194" s="346" t="n">
        <f aca="false">+DATE(YEAR(A193),MONTH(A193)+1,1)</f>
        <v>42064</v>
      </c>
      <c r="B194" s="327" t="n">
        <f aca="false">+IF(AND($A194&gt;=$C$8,$A194&lt;=$C$9),1,0)*PORTS!$I$5/(365.25)*(A195-A194)</f>
        <v>5339105.98184763</v>
      </c>
      <c r="C194" s="328" t="n">
        <f aca="false">+B194-(SUMIF($F$17:$IV$17,$H$17,$F194:$IV194))</f>
        <v>0</v>
      </c>
      <c r="D194" s="0" t="n">
        <f aca="false">+YEAR(E194)</f>
        <v>2015</v>
      </c>
      <c r="E194" s="346" t="n">
        <f aca="false">+DATE(YEAR(E193),MONTH(E193)+1,1)</f>
        <v>42064</v>
      </c>
      <c r="F194" s="327" t="n">
        <f aca="false">+IF(AND(G$8&lt;=E194,G$9&gt;=E194),INDEX(ROUTE_PER_DAY_BY_SHIP,MATCH(CONCATENATE(G$4,G$5,G$7),ROUTE_PER_DAY_ROUTES,0),MATCH(G$6,ROUTE_PER_DAY_SHIPS,0))*(E195-E194),0)</f>
        <v>0</v>
      </c>
      <c r="G194" s="347" t="n">
        <f aca="false">-F194*HLOOKUP(G$6,SHIPS,7,0)*INDEX(LADEN_VOYAGE_DAYS,MATCH(CONCATENATE(G$4,G$5,G$7),LADEN_VOYAGE_ROUTES,0),MATCH(G$6,LADEN_VOYAGE_SHIPS,0))</f>
        <v>-0</v>
      </c>
      <c r="H194" s="348" t="n">
        <f aca="false">SUM(F194:G194)</f>
        <v>0</v>
      </c>
      <c r="I194" s="349" t="n">
        <f aca="false">-(H194)*HLOOKUP(G$5,TERMINAL_CHARGES,3,0)</f>
        <v>-0</v>
      </c>
      <c r="J194" s="327" t="n">
        <f aca="false">+H194+I194</f>
        <v>0</v>
      </c>
      <c r="K194" s="333"/>
      <c r="L194" s="346" t="n">
        <f aca="false">+DATE(YEAR(L193),MONTH(L193)+1,1)</f>
        <v>42064</v>
      </c>
      <c r="M194" s="334" t="n">
        <f aca="false">+J194*(VLOOKUP(L194,CURVECALC!$C$6:$J$312,4,0)+N$5)</f>
        <v>0</v>
      </c>
      <c r="N194" s="350" t="n">
        <f aca="false">-F194*INDEX(ship_curves,MATCH(L194,'SHIP CURVES'!$A$9:$A$316,0),MATCH(CONCATENATE(P$4,P$5,P$6,P$7),'SHIP CURVES'!$A$9:$AZ$9,0))</f>
        <v>-0</v>
      </c>
      <c r="O194" s="351" t="n">
        <f aca="false">-H194*INDEX(port_processing_fee,MATCH(L194,PORTS!$H$626:$H$933,0),MATCH(P$5,PORTS!$H$626:$Z$626,0))</f>
        <v>-0</v>
      </c>
      <c r="P194" s="352" t="n">
        <f aca="false">(((VLOOKUP(L194,curvecalc,4,0))*IF(F194=0,0,J194/F194)-INDEX(ship_curves,MATCH(L194,'SHIP CURVES'!$A$9:$A$316,0),MATCH(CONCATENATE(P$4,P$5,P$6,P$7),'SHIP CURVES'!$A$9:$Z$9,0))-INDEX(terminal_curves,MATCH(L194,'TERMINAL CURVES'!$A$4:$A$313,0),MATCH(P$5,'TERMINAL CURVES'!$A$4:$N$4,0))*IF(F194=0,0,H194/F194))-(N$8)*((N$7-$N$5)-(INDEX(ship_curves,MATCH(L194,'SHIP CURVES'!$A$9:$A$316,0),MATCH(CONCATENATE(P$4,P$5,P$6,P$7),'SHIP CURVES'!$A$9:$Z$9,0))-INDEX(ship_curves,MATCH(L194,'SHIP CURVES'!$A$9:$A$316,0),MATCH(CONCATENATE(P$4,N$6,P$6,P$7),'SHIP CURVES'!$A$9:$Z$9,0)))-(INDEX(terminal_curves,MATCH(L194,'TERMINAL CURVES'!$A$4:$A$313,0),MATCH(P$5,'TERMINAL CURVES'!$A$4:$N$4,0))-INDEX(terminal_curves,MATCH(L194,'TERMINAL CURVES'!$A$4:$A$313,0),MATCH(N$6,'TERMINAL CURVES'!$A$4:$N$4,0)))*IF(F194=0,0,H194/F194)))*-F194</f>
        <v>0</v>
      </c>
      <c r="Q194" s="353" t="n">
        <f aca="false">SUM(N194:P194)</f>
        <v>0</v>
      </c>
      <c r="R194" s="357" t="n">
        <f aca="false">(-H194/((HLOOKUP(P$5,port_specs,2,0)/(365.25))*(L195-L194)))*(INDEX(fixed_capacity_charge,MATCH(L194,PORTS!$H$11:$H$317,0),MATCH(P$5,PORTS!$H$11:$N$11,0))+INDEX(variable_om_charge,MATCH(L194,PORTS!$H$318:$H$625,0),MATCH(P$5,PORTS!$H$318:$N$318,0)))</f>
        <v>-0</v>
      </c>
      <c r="S194" s="343" t="n">
        <f aca="false">+R194+Q194</f>
        <v>0</v>
      </c>
      <c r="T194" s="355" t="n">
        <f aca="false">+S194+M194</f>
        <v>0</v>
      </c>
      <c r="V194" s="346" t="n">
        <f aca="false">+DATE(YEAR(V193),MONTH(V193)+1,1)</f>
        <v>42064</v>
      </c>
      <c r="W194" s="327" t="n">
        <f aca="false">+Y194/(1-HLOOKUP(X$6,SHIPS,7,0)*INDEX(LADEN_VOYAGE_DAYS,MATCH(CONCATENATE(X$4,X$5),LADEN_VOYAGE_ROUTES,0),MATCH(X$6,LADEN_VOYAGE_SHIPS,0)))</f>
        <v>0</v>
      </c>
      <c r="X194" s="347" t="n">
        <f aca="false">+Y194-W194</f>
        <v>0</v>
      </c>
      <c r="Y194" s="348" t="n">
        <f aca="false">+IF(AND(X$8&lt;=V194,X$9&gt;=V194),+MIN($B194-SUMIF($H$17:X$17,Y$17,$H194:X194),((INDEX(ROUTE_PER_DAY_BY_SHIP,MATCH(CONCATENATE(X$4,X$5,X$7),ROUTE_PER_DAY_ROUTES,0),MATCH(X$6,ROUTE_PER_DAY_SHIPS,0))*(V195-V194))-(INDEX(ROUTE_PER_DAY_BY_SHIP,MATCH(CONCATENATE(X$4,X$5,X$7),ROUTE_PER_DAY_ROUTES,0),MATCH(X$6,ROUTE_PER_DAY_SHIPS,0))*(V195-V194))*HLOOKUP(X$6,SHIPS,7,0)*INDEX(LADEN_VOYAGE_DAYS,MATCH(CONCATENATE(X$4,X$5,X$7),LADEN_VOYAGE_ROUTES,0),MATCH(X$6,LADEN_VOYAGE_SHIPS,0)))),0)</f>
        <v>0</v>
      </c>
      <c r="Z194" s="349" t="n">
        <f aca="false">-(Y194)*HLOOKUP(X$5,TERMINAL_CHARGES,3,0)</f>
        <v>-0</v>
      </c>
      <c r="AA194" s="327" t="n">
        <f aca="false">+Y194+Z194</f>
        <v>0</v>
      </c>
      <c r="AB194" s="333"/>
      <c r="AC194" s="346" t="n">
        <f aca="false">+DATE(YEAR(AC193),MONTH(AC193)+1,1)</f>
        <v>42064</v>
      </c>
      <c r="AD194" s="343" t="n">
        <f aca="false">+AA194*(VLOOKUP(AC194,CURVECALC!$C$6:$J$312,4,0)+AE$5)</f>
        <v>0</v>
      </c>
      <c r="AE194" s="350" t="n">
        <f aca="false">-W194*INDEX(ship_curves,MATCH(AC194,'SHIP CURVES'!$A$9:$A$316,0),MATCH(CONCATENATE(AG$4,AG$5,AG$6,AG$7),'SHIP CURVES'!$A$9:$AZ$9,0))</f>
        <v>-0</v>
      </c>
      <c r="AF194" s="351" t="n">
        <f aca="false">-Y194*INDEX(port_processing_fee,MATCH(AC194,PORTS!$H$626:$H$933,0),MATCH(AG$5,PORTS!$H$626:$Z$626,0))</f>
        <v>-0</v>
      </c>
      <c r="AG194" s="352" t="n">
        <f aca="false">(((VLOOKUP(AC194,curvecalc,4,0))*IF(W194=0,0,AA194/W194)-INDEX(ship_curves,MATCH(AC194,'SHIP CURVES'!$A$9:$A$316,0),MATCH(CONCATENATE(AG$4,AG$5,AG$6,AG$7),'SHIP CURVES'!$A$9:$Z$9,0))-INDEX(terminal_curves,MATCH(AC194,'TERMINAL CURVES'!$A$4:$A$313,0),MATCH(AG$5,'TERMINAL CURVES'!$A$4:$N$4,0))*IF(W194=0,0,Y194/W194))-(AE$8)*((AE$7-$N$5)-(INDEX(ship_curves,MATCH(AC194,'SHIP CURVES'!$A$9:$A$316,0),MATCH(CONCATENATE(AG$4,AG$5,AG$6,AG$7),'SHIP CURVES'!$A$9:$Z$9,0))-INDEX(ship_curves,MATCH(AC194,'SHIP CURVES'!$A$9:$A$316,0),MATCH(CONCATENATE(AG$4,AE$6,AG$6,AG$7),'SHIP CURVES'!$A$9:$Z$9,0)))-(INDEX(terminal_curves,MATCH(AC194,'TERMINAL CURVES'!$A$4:$A$313,0),MATCH(AG$5,'TERMINAL CURVES'!$A$4:$N$4,0))-INDEX(terminal_curves,MATCH(AC194,'TERMINAL CURVES'!$A$4:$A$313,0),MATCH(AE$6,'TERMINAL CURVES'!$A$4:$N$4,0)))*IF(W194=0,0,Y194/W194)))*-W194</f>
        <v>0</v>
      </c>
      <c r="AH194" s="356" t="n">
        <f aca="false">SUM(AE194:AG194)</f>
        <v>0</v>
      </c>
      <c r="AI194" s="357" t="n">
        <f aca="false">(-Y194/((HLOOKUP(AG$5,port_specs,2,0)/(365.25))*(AC195-AC194)))*(INDEX(fixed_capacity_charge,MATCH(AC194,PORTS!$H$11:$H$317,0),MATCH(AG$5,PORTS!$H$11:$N$11,0))+INDEX(variable_om_charge,MATCH(AC194,PORTS!$H$318:$H$625,0),MATCH(AG$5,PORTS!$H$318:$N$318,0)))</f>
        <v>-0</v>
      </c>
      <c r="AJ194" s="343" t="n">
        <f aca="false">+AI194+AH194</f>
        <v>0</v>
      </c>
      <c r="AK194" s="355" t="n">
        <f aca="false">+AJ194+AD194</f>
        <v>0</v>
      </c>
      <c r="AM194" s="346" t="n">
        <f aca="false">+DATE(YEAR(AM193),MONTH(AM193)+1,1)</f>
        <v>42064</v>
      </c>
      <c r="AN194" s="327" t="n">
        <f aca="false">+AP194/(1-HLOOKUP(AO$6,SHIPS,7,0)*INDEX(LADEN_VOYAGE_DAYS,MATCH(CONCATENATE(AO$4,AO$5),LADEN_VOYAGE_ROUTES,0),MATCH(AO$6,LADEN_VOYAGE_SHIPS,0)))</f>
        <v>5395761.47735991</v>
      </c>
      <c r="AO194" s="347" t="n">
        <f aca="false">+AP194-AN194</f>
        <v>-56655.4955122788</v>
      </c>
      <c r="AP194" s="348" t="n">
        <f aca="false">+IF(AND(AO$8&lt;=AM194,AO$9&gt;=AM194),+MIN($B194-SUMIF($H$17:AO$17,AP$17,$H194:AO194),((INDEX(ROUTE_PER_DAY_BY_SHIP,MATCH(CONCATENATE(AO$4,AO$5,AO$7),ROUTE_PER_DAY_ROUTES,0),MATCH(AO$6,ROUTE_PER_DAY_SHIPS,0))*(AM195-AM194))-(INDEX(ROUTE_PER_DAY_BY_SHIP,MATCH(CONCATENATE(AO$4,AO$5,AO$7),ROUTE_PER_DAY_ROUTES,0),MATCH(AO$6,ROUTE_PER_DAY_SHIPS,0))*(AM195-AM194))*HLOOKUP(AO$6,SHIPS,7,0)*INDEX(LADEN_VOYAGE_DAYS,MATCH(CONCATENATE(AO$4,AO$5,AO$7),LADEN_VOYAGE_ROUTES,0),MATCH(AO$6,LADEN_VOYAGE_SHIPS,0)))),0)</f>
        <v>5339105.98184763</v>
      </c>
      <c r="AQ194" s="349" t="n">
        <f aca="false">-(AP194)*PORTS!$I$6</f>
        <v>-133477.649546191</v>
      </c>
      <c r="AR194" s="327" t="n">
        <f aca="false">+AP194+AQ194</f>
        <v>5205628.33230144</v>
      </c>
      <c r="AS194" s="333"/>
      <c r="AT194" s="346" t="n">
        <f aca="false">+DATE(YEAR(AT193),MONTH(AT193)+1,1)</f>
        <v>42064</v>
      </c>
      <c r="AU194" s="343" t="n">
        <f aca="false">+AR194*(VLOOKUP(AT194,CURVECALC!$C$6:$J$312,4,0)+AV$5)</f>
        <v>20265511.0976495</v>
      </c>
      <c r="AV194" s="350" t="n">
        <f aca="false">-AN194*INDEX(ship_curves,MATCH(AT194,'SHIP CURVES'!$A$9:$A$316,0),MATCH(CONCATENATE(AX$4,AX$5,AX$6,AX$7),'SHIP CURVES'!$A$9:$AZ$9,0))</f>
        <v>-1828356.95502138</v>
      </c>
      <c r="AW194" s="351" t="n">
        <f aca="false">-AP194*INDEX(port_processing_fee,MATCH(AT194,PORTS!$H$626:$H$933,0),MATCH(AX$5,PORTS!$H$626:$Z$626,0))</f>
        <v>-169871.598896897</v>
      </c>
      <c r="AX194" s="352" t="n">
        <f aca="false">(((VLOOKUP(AT194,curvecalc,4,0))*IF(AN194=0,0,AR194/AN194)-INDEX(ship_curves,MATCH(AT194,'SHIP CURVES'!$A$9:$A$316,0),MATCH(CONCATENATE(AX$4,AX$5,AX$6,AX$7),'SHIP CURVES'!$A$9:$Z$9,0))-INDEX(terminal_curves,MATCH(AT194,'TERMINAL CURVES'!$A$4:$A$313,0),MATCH(AX$5,'TERMINAL CURVES'!$A$4:$N$4,0))*IF(AN194=0,0,AP194/AN194))-(AV$8)*((AV$7-$N$5)-(INDEX(ship_curves,MATCH(AT194,'SHIP CURVES'!$A$9:$A$316,0),MATCH(CONCATENATE(AX$4,AX$5,AX$6,AX$7),'SHIP CURVES'!$A$9:$Z$9,0))-INDEX(ship_curves,MATCH(AT194,'SHIP CURVES'!$A$9:$A$316,0),MATCH(CONCATENATE(AX$4,AV$6,AX$6,AX$7),'SHIP CURVES'!$A$9:$Z$9,0)))-(INDEX(terminal_curves,MATCH(AT194,'TERMINAL CURVES'!$A$4:$A$313,0),MATCH(AX$5,'TERMINAL CURVES'!$A$4:$N$4,0))-INDEX(terminal_curves,MATCH(AT194,'TERMINAL CURVES'!$A$4:$A$313,0),MATCH(AV$6,'TERMINAL CURVES'!$A$4:$N$4,0)))*IF(AN194=0,0,AP194/AN194)))*-AN194</f>
        <v>-17130726.1464401</v>
      </c>
      <c r="AY194" s="356" t="n">
        <f aca="false">SUM(AV194:AX194)</f>
        <v>-19128954.7003583</v>
      </c>
      <c r="AZ194" s="357" t="n">
        <f aca="false">(-AP194/((HLOOKUP(AX$5,port_specs,2,0)/(365.25))*(AT195-AT194)))*(INDEX(fixed_capacity_charge,MATCH(AT194,PORTS!$H$11:$H$317,0),MATCH(AX$5,PORTS!$H$11:$N$11,0))+INDEX(variable_om_charge,MATCH(AT194,PORTS!$H$318:$H$625,0),MATCH(AX$5,PORTS!$H$318:$N$318,0)))</f>
        <v>-1032443.83064515</v>
      </c>
      <c r="BA194" s="343" t="n">
        <f aca="false">+AZ194+AY194</f>
        <v>-20161398.5310035</v>
      </c>
      <c r="BB194" s="355" t="n">
        <f aca="false">+BA194+AU194</f>
        <v>104112.566646032</v>
      </c>
      <c r="BC194" s="99"/>
      <c r="BD194" s="357" t="n">
        <f aca="false">+PORTS!I188+PORTS!I496</f>
        <v>1032443.83064515</v>
      </c>
    </row>
    <row r="195" customFormat="false" ht="12.75" hidden="false" customHeight="false" outlineLevel="0" collapsed="false">
      <c r="A195" s="346" t="n">
        <f aca="false">+DATE(YEAR(A194),MONTH(A194)+1,1)</f>
        <v>42095</v>
      </c>
      <c r="B195" s="327" t="n">
        <f aca="false">+IF(AND($A195&gt;=$C$8,$A195&lt;=$C$9),1,0)*PORTS!$I$5/(365.25)*(A196-A195)</f>
        <v>5166876.75662674</v>
      </c>
      <c r="C195" s="328" t="n">
        <f aca="false">+B195-(SUMIF($F$17:$IV$17,$H$17,$F195:$IV195))</f>
        <v>0</v>
      </c>
      <c r="D195" s="0" t="n">
        <f aca="false">+YEAR(E195)</f>
        <v>2015</v>
      </c>
      <c r="E195" s="346" t="n">
        <f aca="false">+DATE(YEAR(E194),MONTH(E194)+1,1)</f>
        <v>42095</v>
      </c>
      <c r="F195" s="327" t="n">
        <f aca="false">+IF(AND(G$8&lt;=E195,G$9&gt;=E195),INDEX(ROUTE_PER_DAY_BY_SHIP,MATCH(CONCATENATE(G$4,G$5,G$7),ROUTE_PER_DAY_ROUTES,0),MATCH(G$6,ROUTE_PER_DAY_SHIPS,0))*(E196-E195),0)</f>
        <v>0</v>
      </c>
      <c r="G195" s="347" t="n">
        <f aca="false">-F195*HLOOKUP(G$6,SHIPS,7,0)*INDEX(LADEN_VOYAGE_DAYS,MATCH(CONCATENATE(G$4,G$5,G$7),LADEN_VOYAGE_ROUTES,0),MATCH(G$6,LADEN_VOYAGE_SHIPS,0))</f>
        <v>-0</v>
      </c>
      <c r="H195" s="348" t="n">
        <f aca="false">SUM(F195:G195)</f>
        <v>0</v>
      </c>
      <c r="I195" s="349" t="n">
        <f aca="false">-(H195)*HLOOKUP(G$5,TERMINAL_CHARGES,3,0)</f>
        <v>-0</v>
      </c>
      <c r="J195" s="327" t="n">
        <f aca="false">+H195+I195</f>
        <v>0</v>
      </c>
      <c r="K195" s="333"/>
      <c r="L195" s="346" t="n">
        <f aca="false">+DATE(YEAR(L194),MONTH(L194)+1,1)</f>
        <v>42095</v>
      </c>
      <c r="M195" s="334" t="n">
        <f aca="false">+J195*(VLOOKUP(L195,CURVECALC!$C$6:$J$312,4,0)+N$5)</f>
        <v>0</v>
      </c>
      <c r="N195" s="350" t="n">
        <f aca="false">-F195*INDEX(ship_curves,MATCH(L195,'SHIP CURVES'!$A$9:$A$316,0),MATCH(CONCATENATE(P$4,P$5,P$6,P$7),'SHIP CURVES'!$A$9:$AZ$9,0))</f>
        <v>-0</v>
      </c>
      <c r="O195" s="351" t="n">
        <f aca="false">-H195*INDEX(port_processing_fee,MATCH(L195,PORTS!$H$626:$H$933,0),MATCH(P$5,PORTS!$H$626:$Z$626,0))</f>
        <v>-0</v>
      </c>
      <c r="P195" s="352" t="n">
        <f aca="false">(((VLOOKUP(L195,curvecalc,4,0))*IF(F195=0,0,J195/F195)-INDEX(ship_curves,MATCH(L195,'SHIP CURVES'!$A$9:$A$316,0),MATCH(CONCATENATE(P$4,P$5,P$6,P$7),'SHIP CURVES'!$A$9:$Z$9,0))-INDEX(terminal_curves,MATCH(L195,'TERMINAL CURVES'!$A$4:$A$313,0),MATCH(P$5,'TERMINAL CURVES'!$A$4:$N$4,0))*IF(F195=0,0,H195/F195))-(N$8)*((N$7-$N$5)-(INDEX(ship_curves,MATCH(L195,'SHIP CURVES'!$A$9:$A$316,0),MATCH(CONCATENATE(P$4,P$5,P$6,P$7),'SHIP CURVES'!$A$9:$Z$9,0))-INDEX(ship_curves,MATCH(L195,'SHIP CURVES'!$A$9:$A$316,0),MATCH(CONCATENATE(P$4,N$6,P$6,P$7),'SHIP CURVES'!$A$9:$Z$9,0)))-(INDEX(terminal_curves,MATCH(L195,'TERMINAL CURVES'!$A$4:$A$313,0),MATCH(P$5,'TERMINAL CURVES'!$A$4:$N$4,0))-INDEX(terminal_curves,MATCH(L195,'TERMINAL CURVES'!$A$4:$A$313,0),MATCH(N$6,'TERMINAL CURVES'!$A$4:$N$4,0)))*IF(F195=0,0,H195/F195)))*-F195</f>
        <v>0</v>
      </c>
      <c r="Q195" s="353" t="n">
        <f aca="false">SUM(N195:P195)</f>
        <v>0</v>
      </c>
      <c r="R195" s="357" t="n">
        <f aca="false">(-H195/((HLOOKUP(P$5,port_specs,2,0)/(365.25))*(L196-L195)))*(INDEX(fixed_capacity_charge,MATCH(L195,PORTS!$H$11:$H$317,0),MATCH(P$5,PORTS!$H$11:$N$11,0))+INDEX(variable_om_charge,MATCH(L195,PORTS!$H$318:$H$625,0),MATCH(P$5,PORTS!$H$318:$N$318,0)))</f>
        <v>-0</v>
      </c>
      <c r="S195" s="343" t="n">
        <f aca="false">+R195+Q195</f>
        <v>0</v>
      </c>
      <c r="T195" s="355" t="n">
        <f aca="false">+S195+M195</f>
        <v>0</v>
      </c>
      <c r="V195" s="346" t="n">
        <f aca="false">+DATE(YEAR(V194),MONTH(V194)+1,1)</f>
        <v>42095</v>
      </c>
      <c r="W195" s="327" t="n">
        <f aca="false">+Y195/(1-HLOOKUP(X$6,SHIPS,7,0)*INDEX(LADEN_VOYAGE_DAYS,MATCH(CONCATENATE(X$4,X$5),LADEN_VOYAGE_ROUTES,0),MATCH(X$6,LADEN_VOYAGE_SHIPS,0)))</f>
        <v>0</v>
      </c>
      <c r="X195" s="347" t="n">
        <f aca="false">+Y195-W195</f>
        <v>0</v>
      </c>
      <c r="Y195" s="348" t="n">
        <f aca="false">+IF(AND(X$8&lt;=V195,X$9&gt;=V195),+MIN($B195-SUMIF($H$17:X$17,Y$17,$H195:X195),((INDEX(ROUTE_PER_DAY_BY_SHIP,MATCH(CONCATENATE(X$4,X$5,X$7),ROUTE_PER_DAY_ROUTES,0),MATCH(X$6,ROUTE_PER_DAY_SHIPS,0))*(V196-V195))-(INDEX(ROUTE_PER_DAY_BY_SHIP,MATCH(CONCATENATE(X$4,X$5,X$7),ROUTE_PER_DAY_ROUTES,0),MATCH(X$6,ROUTE_PER_DAY_SHIPS,0))*(V196-V195))*HLOOKUP(X$6,SHIPS,7,0)*INDEX(LADEN_VOYAGE_DAYS,MATCH(CONCATENATE(X$4,X$5,X$7),LADEN_VOYAGE_ROUTES,0),MATCH(X$6,LADEN_VOYAGE_SHIPS,0)))),0)</f>
        <v>0</v>
      </c>
      <c r="Z195" s="349" t="n">
        <f aca="false">-(Y195)*HLOOKUP(X$5,TERMINAL_CHARGES,3,0)</f>
        <v>-0</v>
      </c>
      <c r="AA195" s="327" t="n">
        <f aca="false">+Y195+Z195</f>
        <v>0</v>
      </c>
      <c r="AB195" s="333"/>
      <c r="AC195" s="346" t="n">
        <f aca="false">+DATE(YEAR(AC194),MONTH(AC194)+1,1)</f>
        <v>42095</v>
      </c>
      <c r="AD195" s="343" t="n">
        <f aca="false">+AA195*(VLOOKUP(AC195,CURVECALC!$C$6:$J$312,4,0)+AE$5)</f>
        <v>0</v>
      </c>
      <c r="AE195" s="350" t="n">
        <f aca="false">-W195*INDEX(ship_curves,MATCH(AC195,'SHIP CURVES'!$A$9:$A$316,0),MATCH(CONCATENATE(AG$4,AG$5,AG$6,AG$7),'SHIP CURVES'!$A$9:$AZ$9,0))</f>
        <v>-0</v>
      </c>
      <c r="AF195" s="351" t="n">
        <f aca="false">-Y195*INDEX(port_processing_fee,MATCH(AC195,PORTS!$H$626:$H$933,0),MATCH(AG$5,PORTS!$H$626:$Z$626,0))</f>
        <v>-0</v>
      </c>
      <c r="AG195" s="352" t="n">
        <f aca="false">(((VLOOKUP(AC195,curvecalc,4,0))*IF(W195=0,0,AA195/W195)-INDEX(ship_curves,MATCH(AC195,'SHIP CURVES'!$A$9:$A$316,0),MATCH(CONCATENATE(AG$4,AG$5,AG$6,AG$7),'SHIP CURVES'!$A$9:$Z$9,0))-INDEX(terminal_curves,MATCH(AC195,'TERMINAL CURVES'!$A$4:$A$313,0),MATCH(AG$5,'TERMINAL CURVES'!$A$4:$N$4,0))*IF(W195=0,0,Y195/W195))-(AE$8)*((AE$7-$N$5)-(INDEX(ship_curves,MATCH(AC195,'SHIP CURVES'!$A$9:$A$316,0),MATCH(CONCATENATE(AG$4,AG$5,AG$6,AG$7),'SHIP CURVES'!$A$9:$Z$9,0))-INDEX(ship_curves,MATCH(AC195,'SHIP CURVES'!$A$9:$A$316,0),MATCH(CONCATENATE(AG$4,AE$6,AG$6,AG$7),'SHIP CURVES'!$A$9:$Z$9,0)))-(INDEX(terminal_curves,MATCH(AC195,'TERMINAL CURVES'!$A$4:$A$313,0),MATCH(AG$5,'TERMINAL CURVES'!$A$4:$N$4,0))-INDEX(terminal_curves,MATCH(AC195,'TERMINAL CURVES'!$A$4:$A$313,0),MATCH(AE$6,'TERMINAL CURVES'!$A$4:$N$4,0)))*IF(W195=0,0,Y195/W195)))*-W195</f>
        <v>0</v>
      </c>
      <c r="AH195" s="356" t="n">
        <f aca="false">SUM(AE195:AG195)</f>
        <v>0</v>
      </c>
      <c r="AI195" s="357" t="n">
        <f aca="false">(-Y195/((HLOOKUP(AG$5,port_specs,2,0)/(365.25))*(AC196-AC195)))*(INDEX(fixed_capacity_charge,MATCH(AC195,PORTS!$H$11:$H$317,0),MATCH(AG$5,PORTS!$H$11:$N$11,0))+INDEX(variable_om_charge,MATCH(AC195,PORTS!$H$318:$H$625,0),MATCH(AG$5,PORTS!$H$318:$N$318,0)))</f>
        <v>-0</v>
      </c>
      <c r="AJ195" s="343" t="n">
        <f aca="false">+AI195+AH195</f>
        <v>0</v>
      </c>
      <c r="AK195" s="355" t="n">
        <f aca="false">+AJ195+AD195</f>
        <v>0</v>
      </c>
      <c r="AM195" s="346" t="n">
        <f aca="false">+DATE(YEAR(AM194),MONTH(AM194)+1,1)</f>
        <v>42095</v>
      </c>
      <c r="AN195" s="327" t="n">
        <f aca="false">+AP195/(1-HLOOKUP(AO$6,SHIPS,7,0)*INDEX(LADEN_VOYAGE_DAYS,MATCH(CONCATENATE(AO$4,AO$5),LADEN_VOYAGE_ROUTES,0),MATCH(AO$6,LADEN_VOYAGE_SHIPS,0)))</f>
        <v>5221704.65550959</v>
      </c>
      <c r="AO195" s="347" t="n">
        <f aca="false">+AP195-AN195</f>
        <v>-54827.8988828501</v>
      </c>
      <c r="AP195" s="348" t="n">
        <f aca="false">+IF(AND(AO$8&lt;=AM195,AO$9&gt;=AM195),+MIN($B195-SUMIF($H$17:AO$17,AP$17,$H195:AO195),((INDEX(ROUTE_PER_DAY_BY_SHIP,MATCH(CONCATENATE(AO$4,AO$5,AO$7),ROUTE_PER_DAY_ROUTES,0),MATCH(AO$6,ROUTE_PER_DAY_SHIPS,0))*(AM196-AM195))-(INDEX(ROUTE_PER_DAY_BY_SHIP,MATCH(CONCATENATE(AO$4,AO$5,AO$7),ROUTE_PER_DAY_ROUTES,0),MATCH(AO$6,ROUTE_PER_DAY_SHIPS,0))*(AM196-AM195))*HLOOKUP(AO$6,SHIPS,7,0)*INDEX(LADEN_VOYAGE_DAYS,MATCH(CONCATENATE(AO$4,AO$5,AO$7),LADEN_VOYAGE_ROUTES,0),MATCH(AO$6,LADEN_VOYAGE_SHIPS,0)))),0)</f>
        <v>5166876.75662674</v>
      </c>
      <c r="AQ195" s="349" t="n">
        <f aca="false">-(AP195)*PORTS!$I$6</f>
        <v>-129171.918915669</v>
      </c>
      <c r="AR195" s="327" t="n">
        <f aca="false">+AP195+AQ195</f>
        <v>5037704.83771107</v>
      </c>
      <c r="AS195" s="333"/>
      <c r="AT195" s="346" t="n">
        <f aca="false">+DATE(YEAR(AT194),MONTH(AT194)+1,1)</f>
        <v>42095</v>
      </c>
      <c r="AU195" s="343" t="n">
        <f aca="false">+AR195*(VLOOKUP(AT195,CURVECALC!$C$6:$J$312,4,0)+AV$5)</f>
        <v>19087863.6300873</v>
      </c>
      <c r="AV195" s="350" t="n">
        <f aca="false">-AN195*INDEX(ship_curves,MATCH(AT195,'SHIP CURVES'!$A$9:$A$316,0),MATCH(CONCATENATE(AX$4,AX$5,AX$6,AX$7),'SHIP CURVES'!$A$9:$AZ$9,0))</f>
        <v>-1769971.30572231</v>
      </c>
      <c r="AW195" s="351" t="n">
        <f aca="false">-AP195*INDEX(port_processing_fee,MATCH(AT195,PORTS!$H$626:$H$933,0),MATCH(AX$5,PORTS!$H$626:$Z$626,0))</f>
        <v>-164563.111431369</v>
      </c>
      <c r="AX195" s="352" t="n">
        <f aca="false">(((VLOOKUP(AT195,curvecalc,4,0))*IF(AN195=0,0,AR195/AN195)-INDEX(ship_curves,MATCH(AT195,'SHIP CURVES'!$A$9:$A$316,0),MATCH(CONCATENATE(AX$4,AX$5,AX$6,AX$7),'SHIP CURVES'!$A$9:$Z$9,0))-INDEX(terminal_curves,MATCH(AT195,'TERMINAL CURVES'!$A$4:$A$313,0),MATCH(AX$5,'TERMINAL CURVES'!$A$4:$N$4,0))*IF(AN195=0,0,AP195/AN195))-(AV$8)*((AV$7-$N$5)-(INDEX(ship_curves,MATCH(AT195,'SHIP CURVES'!$A$9:$A$316,0),MATCH(CONCATENATE(AX$4,AX$5,AX$6,AX$7),'SHIP CURVES'!$A$9:$Z$9,0))-INDEX(ship_curves,MATCH(AT195,'SHIP CURVES'!$A$9:$A$316,0),MATCH(CONCATENATE(AX$4,AV$6,AX$6,AX$7),'SHIP CURVES'!$A$9:$Z$9,0)))-(INDEX(terminal_curves,MATCH(AT195,'TERMINAL CURVES'!$A$4:$A$313,0),MATCH(AX$5,'TERMINAL CURVES'!$A$4:$N$4,0))-INDEX(terminal_curves,MATCH(AT195,'TERMINAL CURVES'!$A$4:$A$313,0),MATCH(AV$6,'TERMINAL CURVES'!$A$4:$N$4,0)))*IF(AN195=0,0,AP195/AN195)))*-AN195</f>
        <v>-16019561.2258886</v>
      </c>
      <c r="AY195" s="356" t="n">
        <f aca="false">SUM(AV195:AX195)</f>
        <v>-17954095.6430423</v>
      </c>
      <c r="AZ195" s="357" t="n">
        <f aca="false">(-AP195/((HLOOKUP(AX$5,port_specs,2,0)/(365.25))*(AT196-AT195)))*(INDEX(fixed_capacity_charge,MATCH(AT195,PORTS!$H$11:$H$317,0),MATCH(AX$5,PORTS!$H$11:$N$11,0))+INDEX(variable_om_charge,MATCH(AT195,PORTS!$H$318:$H$625,0),MATCH(AX$5,PORTS!$H$318:$N$318,0)))</f>
        <v>-1033013.89029071</v>
      </c>
      <c r="BA195" s="343" t="n">
        <f aca="false">+AZ195+AY195</f>
        <v>-18987109.533333</v>
      </c>
      <c r="BB195" s="355" t="n">
        <f aca="false">+BA195+AU195</f>
        <v>100754.096754223</v>
      </c>
      <c r="BC195" s="99"/>
      <c r="BD195" s="357" t="n">
        <f aca="false">+PORTS!I189+PORTS!I497</f>
        <v>1033013.89029071</v>
      </c>
    </row>
    <row r="196" customFormat="false" ht="12.75" hidden="false" customHeight="false" outlineLevel="0" collapsed="false">
      <c r="A196" s="346" t="n">
        <f aca="false">+DATE(YEAR(A195),MONTH(A195)+1,1)</f>
        <v>42125</v>
      </c>
      <c r="B196" s="327" t="n">
        <f aca="false">+IF(AND($A196&gt;=$C$8,$A196&lt;=$C$9),1,0)*PORTS!$I$5/(365.25)*(A197-A196)</f>
        <v>5339105.98184763</v>
      </c>
      <c r="C196" s="328" t="n">
        <f aca="false">+B196-(SUMIF($F$17:$IV$17,$H$17,$F196:$IV196))</f>
        <v>0</v>
      </c>
      <c r="D196" s="0" t="n">
        <f aca="false">+YEAR(E196)</f>
        <v>2015</v>
      </c>
      <c r="E196" s="346" t="n">
        <f aca="false">+DATE(YEAR(E195),MONTH(E195)+1,1)</f>
        <v>42125</v>
      </c>
      <c r="F196" s="327" t="n">
        <f aca="false">+IF(AND(G$8&lt;=E196,G$9&gt;=E196),INDEX(ROUTE_PER_DAY_BY_SHIP,MATCH(CONCATENATE(G$4,G$5,G$7),ROUTE_PER_DAY_ROUTES,0),MATCH(G$6,ROUTE_PER_DAY_SHIPS,0))*(E197-E196),0)</f>
        <v>0</v>
      </c>
      <c r="G196" s="347" t="n">
        <f aca="false">-F196*HLOOKUP(G$6,SHIPS,7,0)*INDEX(LADEN_VOYAGE_DAYS,MATCH(CONCATENATE(G$4,G$5,G$7),LADEN_VOYAGE_ROUTES,0),MATCH(G$6,LADEN_VOYAGE_SHIPS,0))</f>
        <v>-0</v>
      </c>
      <c r="H196" s="348" t="n">
        <f aca="false">SUM(F196:G196)</f>
        <v>0</v>
      </c>
      <c r="I196" s="349" t="n">
        <f aca="false">-(H196)*HLOOKUP(G$5,TERMINAL_CHARGES,3,0)</f>
        <v>-0</v>
      </c>
      <c r="J196" s="327" t="n">
        <f aca="false">+H196+I196</f>
        <v>0</v>
      </c>
      <c r="K196" s="333"/>
      <c r="L196" s="346" t="n">
        <f aca="false">+DATE(YEAR(L195),MONTH(L195)+1,1)</f>
        <v>42125</v>
      </c>
      <c r="M196" s="334" t="n">
        <f aca="false">+J196*(VLOOKUP(L196,CURVECALC!$C$6:$J$312,4,0)+N$5)</f>
        <v>0</v>
      </c>
      <c r="N196" s="350" t="n">
        <f aca="false">-F196*INDEX(ship_curves,MATCH(L196,'SHIP CURVES'!$A$9:$A$316,0),MATCH(CONCATENATE(P$4,P$5,P$6,P$7),'SHIP CURVES'!$A$9:$AZ$9,0))</f>
        <v>-0</v>
      </c>
      <c r="O196" s="351" t="n">
        <f aca="false">-H196*INDEX(port_processing_fee,MATCH(L196,PORTS!$H$626:$H$933,0),MATCH(P$5,PORTS!$H$626:$Z$626,0))</f>
        <v>-0</v>
      </c>
      <c r="P196" s="352" t="n">
        <f aca="false">(((VLOOKUP(L196,curvecalc,4,0))*IF(F196=0,0,J196/F196)-INDEX(ship_curves,MATCH(L196,'SHIP CURVES'!$A$9:$A$316,0),MATCH(CONCATENATE(P$4,P$5,P$6,P$7),'SHIP CURVES'!$A$9:$Z$9,0))-INDEX(terminal_curves,MATCH(L196,'TERMINAL CURVES'!$A$4:$A$313,0),MATCH(P$5,'TERMINAL CURVES'!$A$4:$N$4,0))*IF(F196=0,0,H196/F196))-(N$8)*((N$7-$N$5)-(INDEX(ship_curves,MATCH(L196,'SHIP CURVES'!$A$9:$A$316,0),MATCH(CONCATENATE(P$4,P$5,P$6,P$7),'SHIP CURVES'!$A$9:$Z$9,0))-INDEX(ship_curves,MATCH(L196,'SHIP CURVES'!$A$9:$A$316,0),MATCH(CONCATENATE(P$4,N$6,P$6,P$7),'SHIP CURVES'!$A$9:$Z$9,0)))-(INDEX(terminal_curves,MATCH(L196,'TERMINAL CURVES'!$A$4:$A$313,0),MATCH(P$5,'TERMINAL CURVES'!$A$4:$N$4,0))-INDEX(terminal_curves,MATCH(L196,'TERMINAL CURVES'!$A$4:$A$313,0),MATCH(N$6,'TERMINAL CURVES'!$A$4:$N$4,0)))*IF(F196=0,0,H196/F196)))*-F196</f>
        <v>0</v>
      </c>
      <c r="Q196" s="353" t="n">
        <f aca="false">SUM(N196:P196)</f>
        <v>0</v>
      </c>
      <c r="R196" s="357" t="n">
        <f aca="false">(-H196/((HLOOKUP(P$5,port_specs,2,0)/(365.25))*(L197-L196)))*(INDEX(fixed_capacity_charge,MATCH(L196,PORTS!$H$11:$H$317,0),MATCH(P$5,PORTS!$H$11:$N$11,0))+INDEX(variable_om_charge,MATCH(L196,PORTS!$H$318:$H$625,0),MATCH(P$5,PORTS!$H$318:$N$318,0)))</f>
        <v>-0</v>
      </c>
      <c r="S196" s="343" t="n">
        <f aca="false">+R196+Q196</f>
        <v>0</v>
      </c>
      <c r="T196" s="355" t="n">
        <f aca="false">+S196+M196</f>
        <v>0</v>
      </c>
      <c r="V196" s="346" t="n">
        <f aca="false">+DATE(YEAR(V195),MONTH(V195)+1,1)</f>
        <v>42125</v>
      </c>
      <c r="W196" s="327" t="n">
        <f aca="false">+Y196/(1-HLOOKUP(X$6,SHIPS,7,0)*INDEX(LADEN_VOYAGE_DAYS,MATCH(CONCATENATE(X$4,X$5),LADEN_VOYAGE_ROUTES,0),MATCH(X$6,LADEN_VOYAGE_SHIPS,0)))</f>
        <v>0</v>
      </c>
      <c r="X196" s="347" t="n">
        <f aca="false">+Y196-W196</f>
        <v>0</v>
      </c>
      <c r="Y196" s="348" t="n">
        <f aca="false">+IF(AND(X$8&lt;=V196,X$9&gt;=V196),+MIN($B196-SUMIF($H$17:X$17,Y$17,$H196:X196),((INDEX(ROUTE_PER_DAY_BY_SHIP,MATCH(CONCATENATE(X$4,X$5,X$7),ROUTE_PER_DAY_ROUTES,0),MATCH(X$6,ROUTE_PER_DAY_SHIPS,0))*(V197-V196))-(INDEX(ROUTE_PER_DAY_BY_SHIP,MATCH(CONCATENATE(X$4,X$5,X$7),ROUTE_PER_DAY_ROUTES,0),MATCH(X$6,ROUTE_PER_DAY_SHIPS,0))*(V197-V196))*HLOOKUP(X$6,SHIPS,7,0)*INDEX(LADEN_VOYAGE_DAYS,MATCH(CONCATENATE(X$4,X$5,X$7),LADEN_VOYAGE_ROUTES,0),MATCH(X$6,LADEN_VOYAGE_SHIPS,0)))),0)</f>
        <v>0</v>
      </c>
      <c r="Z196" s="349" t="n">
        <f aca="false">-(Y196)*HLOOKUP(X$5,TERMINAL_CHARGES,3,0)</f>
        <v>-0</v>
      </c>
      <c r="AA196" s="327" t="n">
        <f aca="false">+Y196+Z196</f>
        <v>0</v>
      </c>
      <c r="AB196" s="333"/>
      <c r="AC196" s="346" t="n">
        <f aca="false">+DATE(YEAR(AC195),MONTH(AC195)+1,1)</f>
        <v>42125</v>
      </c>
      <c r="AD196" s="343" t="n">
        <f aca="false">+AA196*(VLOOKUP(AC196,CURVECALC!$C$6:$J$312,4,0)+AE$5)</f>
        <v>0</v>
      </c>
      <c r="AE196" s="350" t="n">
        <f aca="false">-W196*INDEX(ship_curves,MATCH(AC196,'SHIP CURVES'!$A$9:$A$316,0),MATCH(CONCATENATE(AG$4,AG$5,AG$6,AG$7),'SHIP CURVES'!$A$9:$AZ$9,0))</f>
        <v>-0</v>
      </c>
      <c r="AF196" s="351" t="n">
        <f aca="false">-Y196*INDEX(port_processing_fee,MATCH(AC196,PORTS!$H$626:$H$933,0),MATCH(AG$5,PORTS!$H$626:$Z$626,0))</f>
        <v>-0</v>
      </c>
      <c r="AG196" s="352" t="n">
        <f aca="false">(((VLOOKUP(AC196,curvecalc,4,0))*IF(W196=0,0,AA196/W196)-INDEX(ship_curves,MATCH(AC196,'SHIP CURVES'!$A$9:$A$316,0),MATCH(CONCATENATE(AG$4,AG$5,AG$6,AG$7),'SHIP CURVES'!$A$9:$Z$9,0))-INDEX(terminal_curves,MATCH(AC196,'TERMINAL CURVES'!$A$4:$A$313,0),MATCH(AG$5,'TERMINAL CURVES'!$A$4:$N$4,0))*IF(W196=0,0,Y196/W196))-(AE$8)*((AE$7-$N$5)-(INDEX(ship_curves,MATCH(AC196,'SHIP CURVES'!$A$9:$A$316,0),MATCH(CONCATENATE(AG$4,AG$5,AG$6,AG$7),'SHIP CURVES'!$A$9:$Z$9,0))-INDEX(ship_curves,MATCH(AC196,'SHIP CURVES'!$A$9:$A$316,0),MATCH(CONCATENATE(AG$4,AE$6,AG$6,AG$7),'SHIP CURVES'!$A$9:$Z$9,0)))-(INDEX(terminal_curves,MATCH(AC196,'TERMINAL CURVES'!$A$4:$A$313,0),MATCH(AG$5,'TERMINAL CURVES'!$A$4:$N$4,0))-INDEX(terminal_curves,MATCH(AC196,'TERMINAL CURVES'!$A$4:$A$313,0),MATCH(AE$6,'TERMINAL CURVES'!$A$4:$N$4,0)))*IF(W196=0,0,Y196/W196)))*-W196</f>
        <v>0</v>
      </c>
      <c r="AH196" s="356" t="n">
        <f aca="false">SUM(AE196:AG196)</f>
        <v>0</v>
      </c>
      <c r="AI196" s="357" t="n">
        <f aca="false">(-Y196/((HLOOKUP(AG$5,port_specs,2,0)/(365.25))*(AC197-AC196)))*(INDEX(fixed_capacity_charge,MATCH(AC196,PORTS!$H$11:$H$317,0),MATCH(AG$5,PORTS!$H$11:$N$11,0))+INDEX(variable_om_charge,MATCH(AC196,PORTS!$H$318:$H$625,0),MATCH(AG$5,PORTS!$H$318:$N$318,0)))</f>
        <v>-0</v>
      </c>
      <c r="AJ196" s="343" t="n">
        <f aca="false">+AI196+AH196</f>
        <v>0</v>
      </c>
      <c r="AK196" s="355" t="n">
        <f aca="false">+AJ196+AD196</f>
        <v>0</v>
      </c>
      <c r="AM196" s="346" t="n">
        <f aca="false">+DATE(YEAR(AM195),MONTH(AM195)+1,1)</f>
        <v>42125</v>
      </c>
      <c r="AN196" s="327" t="n">
        <f aca="false">+AP196/(1-HLOOKUP(AO$6,SHIPS,7,0)*INDEX(LADEN_VOYAGE_DAYS,MATCH(CONCATENATE(AO$4,AO$5),LADEN_VOYAGE_ROUTES,0),MATCH(AO$6,LADEN_VOYAGE_SHIPS,0)))</f>
        <v>5395761.47735991</v>
      </c>
      <c r="AO196" s="347" t="n">
        <f aca="false">+AP196-AN196</f>
        <v>-56655.4955122788</v>
      </c>
      <c r="AP196" s="348" t="n">
        <f aca="false">+IF(AND(AO$8&lt;=AM196,AO$9&gt;=AM196),+MIN($B196-SUMIF($H$17:AO$17,AP$17,$H196:AO196),((INDEX(ROUTE_PER_DAY_BY_SHIP,MATCH(CONCATENATE(AO$4,AO$5,AO$7),ROUTE_PER_DAY_ROUTES,0),MATCH(AO$6,ROUTE_PER_DAY_SHIPS,0))*(AM197-AM196))-(INDEX(ROUTE_PER_DAY_BY_SHIP,MATCH(CONCATENATE(AO$4,AO$5,AO$7),ROUTE_PER_DAY_ROUTES,0),MATCH(AO$6,ROUTE_PER_DAY_SHIPS,0))*(AM197-AM196))*HLOOKUP(AO$6,SHIPS,7,0)*INDEX(LADEN_VOYAGE_DAYS,MATCH(CONCATENATE(AO$4,AO$5,AO$7),LADEN_VOYAGE_ROUTES,0),MATCH(AO$6,LADEN_VOYAGE_SHIPS,0)))),0)</f>
        <v>5339105.98184763</v>
      </c>
      <c r="AQ196" s="349" t="n">
        <f aca="false">-(AP196)*PORTS!$I$6</f>
        <v>-133477.649546191</v>
      </c>
      <c r="AR196" s="327" t="n">
        <f aca="false">+AP196+AQ196</f>
        <v>5205628.33230144</v>
      </c>
      <c r="AS196" s="333"/>
      <c r="AT196" s="346" t="n">
        <f aca="false">+DATE(YEAR(AT195),MONTH(AT195)+1,1)</f>
        <v>42125</v>
      </c>
      <c r="AU196" s="343" t="n">
        <f aca="false">+AR196*(VLOOKUP(AT196,CURVECALC!$C$6:$J$312,4,0)+AV$5)</f>
        <v>19708508.8660933</v>
      </c>
      <c r="AV196" s="350" t="n">
        <f aca="false">-AN196*INDEX(ship_curves,MATCH(AT196,'SHIP CURVES'!$A$9:$A$316,0),MATCH(CONCATENATE(AX$4,AX$5,AX$6,AX$7),'SHIP CURVES'!$A$9:$AZ$9,0))</f>
        <v>-1829585.02137604</v>
      </c>
      <c r="AW196" s="351" t="n">
        <f aca="false">-AP196*INDEX(port_processing_fee,MATCH(AT196,PORTS!$H$626:$H$933,0),MATCH(AX$5,PORTS!$H$626:$Z$626,0))</f>
        <v>-170225.682383747</v>
      </c>
      <c r="AX196" s="352" t="n">
        <f aca="false">(((VLOOKUP(AT196,curvecalc,4,0))*IF(AN196=0,0,AR196/AN196)-INDEX(ship_curves,MATCH(AT196,'SHIP CURVES'!$A$9:$A$316,0),MATCH(CONCATENATE(AX$4,AX$5,AX$6,AX$7),'SHIP CURVES'!$A$9:$Z$9,0))-INDEX(terminal_curves,MATCH(AT196,'TERMINAL CURVES'!$A$4:$A$313,0),MATCH(AX$5,'TERMINAL CURVES'!$A$4:$N$4,0))*IF(AN196=0,0,AP196/AN196))-(AV$8)*((AV$7-$N$5)-(INDEX(ship_curves,MATCH(AT196,'SHIP CURVES'!$A$9:$A$316,0),MATCH(CONCATENATE(AX$4,AX$5,AX$6,AX$7),'SHIP CURVES'!$A$9:$Z$9,0))-INDEX(ship_curves,MATCH(AT196,'SHIP CURVES'!$A$9:$A$316,0),MATCH(CONCATENATE(AX$4,AV$6,AX$6,AX$7),'SHIP CURVES'!$A$9:$Z$9,0)))-(INDEX(terminal_curves,MATCH(AT196,'TERMINAL CURVES'!$A$4:$A$313,0),MATCH(AX$5,'TERMINAL CURVES'!$A$4:$N$4,0))-INDEX(terminal_curves,MATCH(AT196,'TERMINAL CURVES'!$A$4:$A$313,0),MATCH(AV$6,'TERMINAL CURVES'!$A$4:$N$4,0)))*IF(AN196=0,0,AP196/AN196)))*-AN196</f>
        <v>-16571001.051939</v>
      </c>
      <c r="AY196" s="356" t="n">
        <f aca="false">SUM(AV196:AX196)</f>
        <v>-18570811.7556988</v>
      </c>
      <c r="AZ196" s="357" t="n">
        <f aca="false">(-AP196/((HLOOKUP(AX$5,port_specs,2,0)/(365.25))*(AT197-AT196)))*(INDEX(fixed_capacity_charge,MATCH(AT196,PORTS!$H$11:$H$317,0),MATCH(AX$5,PORTS!$H$11:$N$11,0))+INDEX(variable_om_charge,MATCH(AT196,PORTS!$H$318:$H$625,0),MATCH(AX$5,PORTS!$H$318:$N$318,0)))</f>
        <v>-1033584.5437484</v>
      </c>
      <c r="BA196" s="343" t="n">
        <f aca="false">+AZ196+AY196</f>
        <v>-19604396.2994472</v>
      </c>
      <c r="BB196" s="355" t="n">
        <f aca="false">+BA196+AU196</f>
        <v>104112.566646032</v>
      </c>
      <c r="BC196" s="99"/>
      <c r="BD196" s="357" t="n">
        <f aca="false">+PORTS!I190+PORTS!I498</f>
        <v>1033584.5437484</v>
      </c>
    </row>
    <row r="197" customFormat="false" ht="12.75" hidden="false" customHeight="false" outlineLevel="0" collapsed="false">
      <c r="A197" s="346" t="n">
        <f aca="false">+DATE(YEAR(A196),MONTH(A196)+1,1)</f>
        <v>42156</v>
      </c>
      <c r="B197" s="327" t="n">
        <f aca="false">+IF(AND($A197&gt;=$C$8,$A197&lt;=$C$9),1,0)*PORTS!$I$5/(365.25)*(A198-A197)</f>
        <v>5166876.75662674</v>
      </c>
      <c r="C197" s="328" t="n">
        <f aca="false">+B197-(SUMIF($F$17:$IV$17,$H$17,$F197:$IV197))</f>
        <v>0</v>
      </c>
      <c r="D197" s="0" t="n">
        <f aca="false">+YEAR(E197)</f>
        <v>2015</v>
      </c>
      <c r="E197" s="346" t="n">
        <f aca="false">+DATE(YEAR(E196),MONTH(E196)+1,1)</f>
        <v>42156</v>
      </c>
      <c r="F197" s="327" t="n">
        <f aca="false">+IF(AND(G$8&lt;=E197,G$9&gt;=E197),INDEX(ROUTE_PER_DAY_BY_SHIP,MATCH(CONCATENATE(G$4,G$5,G$7),ROUTE_PER_DAY_ROUTES,0),MATCH(G$6,ROUTE_PER_DAY_SHIPS,0))*(E198-E197),0)</f>
        <v>0</v>
      </c>
      <c r="G197" s="347" t="n">
        <f aca="false">-F197*HLOOKUP(G$6,SHIPS,7,0)*INDEX(LADEN_VOYAGE_DAYS,MATCH(CONCATENATE(G$4,G$5,G$7),LADEN_VOYAGE_ROUTES,0),MATCH(G$6,LADEN_VOYAGE_SHIPS,0))</f>
        <v>-0</v>
      </c>
      <c r="H197" s="348" t="n">
        <f aca="false">SUM(F197:G197)</f>
        <v>0</v>
      </c>
      <c r="I197" s="349" t="n">
        <f aca="false">-(H197)*HLOOKUP(G$5,TERMINAL_CHARGES,3,0)</f>
        <v>-0</v>
      </c>
      <c r="J197" s="327" t="n">
        <f aca="false">+H197+I197</f>
        <v>0</v>
      </c>
      <c r="K197" s="333"/>
      <c r="L197" s="346" t="n">
        <f aca="false">+DATE(YEAR(L196),MONTH(L196)+1,1)</f>
        <v>42156</v>
      </c>
      <c r="M197" s="334" t="n">
        <f aca="false">+J197*(VLOOKUP(L197,CURVECALC!$C$6:$J$312,4,0)+N$5)</f>
        <v>0</v>
      </c>
      <c r="N197" s="350" t="n">
        <f aca="false">-F197*INDEX(ship_curves,MATCH(L197,'SHIP CURVES'!$A$9:$A$316,0),MATCH(CONCATENATE(P$4,P$5,P$6,P$7),'SHIP CURVES'!$A$9:$AZ$9,0))</f>
        <v>-0</v>
      </c>
      <c r="O197" s="351" t="n">
        <f aca="false">-H197*INDEX(port_processing_fee,MATCH(L197,PORTS!$H$626:$H$933,0),MATCH(P$5,PORTS!$H$626:$Z$626,0))</f>
        <v>-0</v>
      </c>
      <c r="P197" s="352" t="n">
        <f aca="false">(((VLOOKUP(L197,curvecalc,4,0))*IF(F197=0,0,J197/F197)-INDEX(ship_curves,MATCH(L197,'SHIP CURVES'!$A$9:$A$316,0),MATCH(CONCATENATE(P$4,P$5,P$6,P$7),'SHIP CURVES'!$A$9:$Z$9,0))-INDEX(terminal_curves,MATCH(L197,'TERMINAL CURVES'!$A$4:$A$313,0),MATCH(P$5,'TERMINAL CURVES'!$A$4:$N$4,0))*IF(F197=0,0,H197/F197))-(N$8)*((N$7-$N$5)-(INDEX(ship_curves,MATCH(L197,'SHIP CURVES'!$A$9:$A$316,0),MATCH(CONCATENATE(P$4,P$5,P$6,P$7),'SHIP CURVES'!$A$9:$Z$9,0))-INDEX(ship_curves,MATCH(L197,'SHIP CURVES'!$A$9:$A$316,0),MATCH(CONCATENATE(P$4,N$6,P$6,P$7),'SHIP CURVES'!$A$9:$Z$9,0)))-(INDEX(terminal_curves,MATCH(L197,'TERMINAL CURVES'!$A$4:$A$313,0),MATCH(P$5,'TERMINAL CURVES'!$A$4:$N$4,0))-INDEX(terminal_curves,MATCH(L197,'TERMINAL CURVES'!$A$4:$A$313,0),MATCH(N$6,'TERMINAL CURVES'!$A$4:$N$4,0)))*IF(F197=0,0,H197/F197)))*-F197</f>
        <v>0</v>
      </c>
      <c r="Q197" s="353" t="n">
        <f aca="false">SUM(N197:P197)</f>
        <v>0</v>
      </c>
      <c r="R197" s="357" t="n">
        <f aca="false">(-H197/((HLOOKUP(P$5,port_specs,2,0)/(365.25))*(L198-L197)))*(INDEX(fixed_capacity_charge,MATCH(L197,PORTS!$H$11:$H$317,0),MATCH(P$5,PORTS!$H$11:$N$11,0))+INDEX(variable_om_charge,MATCH(L197,PORTS!$H$318:$H$625,0),MATCH(P$5,PORTS!$H$318:$N$318,0)))</f>
        <v>-0</v>
      </c>
      <c r="S197" s="343" t="n">
        <f aca="false">+R197+Q197</f>
        <v>0</v>
      </c>
      <c r="T197" s="355" t="n">
        <f aca="false">+S197+M197</f>
        <v>0</v>
      </c>
      <c r="V197" s="346" t="n">
        <f aca="false">+DATE(YEAR(V196),MONTH(V196)+1,1)</f>
        <v>42156</v>
      </c>
      <c r="W197" s="327" t="n">
        <f aca="false">+Y197/(1-HLOOKUP(X$6,SHIPS,7,0)*INDEX(LADEN_VOYAGE_DAYS,MATCH(CONCATENATE(X$4,X$5),LADEN_VOYAGE_ROUTES,0),MATCH(X$6,LADEN_VOYAGE_SHIPS,0)))</f>
        <v>0</v>
      </c>
      <c r="X197" s="347" t="n">
        <f aca="false">+Y197-W197</f>
        <v>0</v>
      </c>
      <c r="Y197" s="348" t="n">
        <f aca="false">+IF(AND(X$8&lt;=V197,X$9&gt;=V197),+MIN($B197-SUMIF($H$17:X$17,Y$17,$H197:X197),((INDEX(ROUTE_PER_DAY_BY_SHIP,MATCH(CONCATENATE(X$4,X$5,X$7),ROUTE_PER_DAY_ROUTES,0),MATCH(X$6,ROUTE_PER_DAY_SHIPS,0))*(V198-V197))-(INDEX(ROUTE_PER_DAY_BY_SHIP,MATCH(CONCATENATE(X$4,X$5,X$7),ROUTE_PER_DAY_ROUTES,0),MATCH(X$6,ROUTE_PER_DAY_SHIPS,0))*(V198-V197))*HLOOKUP(X$6,SHIPS,7,0)*INDEX(LADEN_VOYAGE_DAYS,MATCH(CONCATENATE(X$4,X$5,X$7),LADEN_VOYAGE_ROUTES,0),MATCH(X$6,LADEN_VOYAGE_SHIPS,0)))),0)</f>
        <v>0</v>
      </c>
      <c r="Z197" s="349" t="n">
        <f aca="false">-(Y197)*HLOOKUP(X$5,TERMINAL_CHARGES,3,0)</f>
        <v>-0</v>
      </c>
      <c r="AA197" s="327" t="n">
        <f aca="false">+Y197+Z197</f>
        <v>0</v>
      </c>
      <c r="AB197" s="333"/>
      <c r="AC197" s="346" t="n">
        <f aca="false">+DATE(YEAR(AC196),MONTH(AC196)+1,1)</f>
        <v>42156</v>
      </c>
      <c r="AD197" s="343" t="n">
        <f aca="false">+AA197*(VLOOKUP(AC197,CURVECALC!$C$6:$J$312,4,0)+AE$5)</f>
        <v>0</v>
      </c>
      <c r="AE197" s="350" t="n">
        <f aca="false">-W197*INDEX(ship_curves,MATCH(AC197,'SHIP CURVES'!$A$9:$A$316,0),MATCH(CONCATENATE(AG$4,AG$5,AG$6,AG$7),'SHIP CURVES'!$A$9:$AZ$9,0))</f>
        <v>-0</v>
      </c>
      <c r="AF197" s="351" t="n">
        <f aca="false">-Y197*INDEX(port_processing_fee,MATCH(AC197,PORTS!$H$626:$H$933,0),MATCH(AG$5,PORTS!$H$626:$Z$626,0))</f>
        <v>-0</v>
      </c>
      <c r="AG197" s="352" t="n">
        <f aca="false">(((VLOOKUP(AC197,curvecalc,4,0))*IF(W197=0,0,AA197/W197)-INDEX(ship_curves,MATCH(AC197,'SHIP CURVES'!$A$9:$A$316,0),MATCH(CONCATENATE(AG$4,AG$5,AG$6,AG$7),'SHIP CURVES'!$A$9:$Z$9,0))-INDEX(terminal_curves,MATCH(AC197,'TERMINAL CURVES'!$A$4:$A$313,0),MATCH(AG$5,'TERMINAL CURVES'!$A$4:$N$4,0))*IF(W197=0,0,Y197/W197))-(AE$8)*((AE$7-$N$5)-(INDEX(ship_curves,MATCH(AC197,'SHIP CURVES'!$A$9:$A$316,0),MATCH(CONCATENATE(AG$4,AG$5,AG$6,AG$7),'SHIP CURVES'!$A$9:$Z$9,0))-INDEX(ship_curves,MATCH(AC197,'SHIP CURVES'!$A$9:$A$316,0),MATCH(CONCATENATE(AG$4,AE$6,AG$6,AG$7),'SHIP CURVES'!$A$9:$Z$9,0)))-(INDEX(terminal_curves,MATCH(AC197,'TERMINAL CURVES'!$A$4:$A$313,0),MATCH(AG$5,'TERMINAL CURVES'!$A$4:$N$4,0))-INDEX(terminal_curves,MATCH(AC197,'TERMINAL CURVES'!$A$4:$A$313,0),MATCH(AE$6,'TERMINAL CURVES'!$A$4:$N$4,0)))*IF(W197=0,0,Y197/W197)))*-W197</f>
        <v>0</v>
      </c>
      <c r="AH197" s="356" t="n">
        <f aca="false">SUM(AE197:AG197)</f>
        <v>0</v>
      </c>
      <c r="AI197" s="357" t="n">
        <f aca="false">(-Y197/((HLOOKUP(AG$5,port_specs,2,0)/(365.25))*(AC198-AC197)))*(INDEX(fixed_capacity_charge,MATCH(AC197,PORTS!$H$11:$H$317,0),MATCH(AG$5,PORTS!$H$11:$N$11,0))+INDEX(variable_om_charge,MATCH(AC197,PORTS!$H$318:$H$625,0),MATCH(AG$5,PORTS!$H$318:$N$318,0)))</f>
        <v>-0</v>
      </c>
      <c r="AJ197" s="343" t="n">
        <f aca="false">+AI197+AH197</f>
        <v>0</v>
      </c>
      <c r="AK197" s="355" t="n">
        <f aca="false">+AJ197+AD197</f>
        <v>0</v>
      </c>
      <c r="AM197" s="346" t="n">
        <f aca="false">+DATE(YEAR(AM196),MONTH(AM196)+1,1)</f>
        <v>42156</v>
      </c>
      <c r="AN197" s="327" t="n">
        <f aca="false">+AP197/(1-HLOOKUP(AO$6,SHIPS,7,0)*INDEX(LADEN_VOYAGE_DAYS,MATCH(CONCATENATE(AO$4,AO$5),LADEN_VOYAGE_ROUTES,0),MATCH(AO$6,LADEN_VOYAGE_SHIPS,0)))</f>
        <v>5221704.65550959</v>
      </c>
      <c r="AO197" s="347" t="n">
        <f aca="false">+AP197-AN197</f>
        <v>-54827.8988828501</v>
      </c>
      <c r="AP197" s="348" t="n">
        <f aca="false">+IF(AND(AO$8&lt;=AM197,AO$9&gt;=AM197),+MIN($B197-SUMIF($H$17:AO$17,AP$17,$H197:AO197),((INDEX(ROUTE_PER_DAY_BY_SHIP,MATCH(CONCATENATE(AO$4,AO$5,AO$7),ROUTE_PER_DAY_ROUTES,0),MATCH(AO$6,ROUTE_PER_DAY_SHIPS,0))*(AM198-AM197))-(INDEX(ROUTE_PER_DAY_BY_SHIP,MATCH(CONCATENATE(AO$4,AO$5,AO$7),ROUTE_PER_DAY_ROUTES,0),MATCH(AO$6,ROUTE_PER_DAY_SHIPS,0))*(AM198-AM197))*HLOOKUP(AO$6,SHIPS,7,0)*INDEX(LADEN_VOYAGE_DAYS,MATCH(CONCATENATE(AO$4,AO$5,AO$7),LADEN_VOYAGE_ROUTES,0),MATCH(AO$6,LADEN_VOYAGE_SHIPS,0)))),0)</f>
        <v>5166876.75662674</v>
      </c>
      <c r="AQ197" s="349" t="n">
        <f aca="false">-(AP197)*PORTS!$I$6</f>
        <v>-129171.918915669</v>
      </c>
      <c r="AR197" s="327" t="n">
        <f aca="false">+AP197+AQ197</f>
        <v>5037704.83771107</v>
      </c>
      <c r="AS197" s="333"/>
      <c r="AT197" s="346" t="n">
        <f aca="false">+DATE(YEAR(AT196),MONTH(AT196)+1,1)</f>
        <v>42156</v>
      </c>
      <c r="AU197" s="343" t="n">
        <f aca="false">+AR197*(VLOOKUP(AT197,CURVECALC!$C$6:$J$312,4,0)+AV$5)</f>
        <v>19284334.118758</v>
      </c>
      <c r="AV197" s="350" t="n">
        <f aca="false">-AN197*INDEX(ship_curves,MATCH(AT197,'SHIP CURVES'!$A$9:$A$316,0),MATCH(CONCATENATE(AX$4,AX$5,AX$6,AX$7),'SHIP CURVES'!$A$9:$AZ$9,0))</f>
        <v>-1771162.2329735</v>
      </c>
      <c r="AW197" s="351" t="n">
        <f aca="false">-AP197*INDEX(port_processing_fee,MATCH(AT197,PORTS!$H$626:$H$933,0),MATCH(AX$5,PORTS!$H$626:$Z$626,0))</f>
        <v>-164906.129809255</v>
      </c>
      <c r="AX197" s="352" t="n">
        <f aca="false">(((VLOOKUP(AT197,curvecalc,4,0))*IF(AN197=0,0,AR197/AN197)-INDEX(ship_curves,MATCH(AT197,'SHIP CURVES'!$A$9:$A$316,0),MATCH(CONCATENATE(AX$4,AX$5,AX$6,AX$7),'SHIP CURVES'!$A$9:$Z$9,0))-INDEX(terminal_curves,MATCH(AT197,'TERMINAL CURVES'!$A$4:$A$313,0),MATCH(AX$5,'TERMINAL CURVES'!$A$4:$N$4,0))*IF(AN197=0,0,AP197/AN197))-(AV$8)*((AV$7-$N$5)-(INDEX(ship_curves,MATCH(AT197,'SHIP CURVES'!$A$9:$A$316,0),MATCH(CONCATENATE(AX$4,AX$5,AX$6,AX$7),'SHIP CURVES'!$A$9:$Z$9,0))-INDEX(ship_curves,MATCH(AT197,'SHIP CURVES'!$A$9:$A$316,0),MATCH(CONCATENATE(AX$4,AV$6,AX$6,AX$7),'SHIP CURVES'!$A$9:$Z$9,0)))-(INDEX(terminal_curves,MATCH(AT197,'TERMINAL CURVES'!$A$4:$A$313,0),MATCH(AX$5,'TERMINAL CURVES'!$A$4:$N$4,0))-INDEX(terminal_curves,MATCH(AT197,'TERMINAL CURVES'!$A$4:$A$313,0),MATCH(AV$6,'TERMINAL CURVES'!$A$4:$N$4,0)))*IF(AN197=0,0,AP197/AN197)))*-AN197</f>
        <v>-16213355.8675842</v>
      </c>
      <c r="AY197" s="356" t="n">
        <f aca="false">SUM(AV197:AX197)</f>
        <v>-18149424.230367</v>
      </c>
      <c r="AZ197" s="357" t="n">
        <f aca="false">(-AP197/((HLOOKUP(AX$5,port_specs,2,0)/(365.25))*(AT198-AT197)))*(INDEX(fixed_capacity_charge,MATCH(AT197,PORTS!$H$11:$H$317,0),MATCH(AX$5,PORTS!$H$11:$N$11,0))+INDEX(variable_om_charge,MATCH(AT197,PORTS!$H$318:$H$625,0),MATCH(AX$5,PORTS!$H$318:$N$318,0)))</f>
        <v>-1034155.79163678</v>
      </c>
      <c r="BA197" s="343" t="n">
        <f aca="false">+AZ197+AY197</f>
        <v>-19183580.0220038</v>
      </c>
      <c r="BB197" s="355" t="n">
        <f aca="false">+BA197+AU197</f>
        <v>100754.096754227</v>
      </c>
      <c r="BC197" s="99"/>
      <c r="BD197" s="357" t="n">
        <f aca="false">+PORTS!I191+PORTS!I499</f>
        <v>1034155.79163678</v>
      </c>
    </row>
    <row r="198" customFormat="false" ht="12.75" hidden="false" customHeight="false" outlineLevel="0" collapsed="false">
      <c r="A198" s="346" t="n">
        <f aca="false">+DATE(YEAR(A197),MONTH(A197)+1,1)</f>
        <v>42186</v>
      </c>
      <c r="B198" s="327" t="n">
        <f aca="false">+IF(AND($A198&gt;=$C$8,$A198&lt;=$C$9),1,0)*PORTS!$I$5/(365.25)*(A199-A198)</f>
        <v>5339105.98184763</v>
      </c>
      <c r="C198" s="328" t="n">
        <f aca="false">+B198-(SUMIF($F$17:$IV$17,$H$17,$F198:$IV198))</f>
        <v>0</v>
      </c>
      <c r="D198" s="0" t="n">
        <f aca="false">+YEAR(E198)</f>
        <v>2015</v>
      </c>
      <c r="E198" s="346" t="n">
        <f aca="false">+DATE(YEAR(E197),MONTH(E197)+1,1)</f>
        <v>42186</v>
      </c>
      <c r="F198" s="327" t="n">
        <f aca="false">+IF(AND(G$8&lt;=E198,G$9&gt;=E198),INDEX(ROUTE_PER_DAY_BY_SHIP,MATCH(CONCATENATE(G$4,G$5,G$7),ROUTE_PER_DAY_ROUTES,0),MATCH(G$6,ROUTE_PER_DAY_SHIPS,0))*(E199-E198),0)</f>
        <v>0</v>
      </c>
      <c r="G198" s="347" t="n">
        <f aca="false">-F198*HLOOKUP(G$6,SHIPS,7,0)*INDEX(LADEN_VOYAGE_DAYS,MATCH(CONCATENATE(G$4,G$5,G$7),LADEN_VOYAGE_ROUTES,0),MATCH(G$6,LADEN_VOYAGE_SHIPS,0))</f>
        <v>-0</v>
      </c>
      <c r="H198" s="348" t="n">
        <f aca="false">SUM(F198:G198)</f>
        <v>0</v>
      </c>
      <c r="I198" s="349" t="n">
        <f aca="false">-(H198)*HLOOKUP(G$5,TERMINAL_CHARGES,3,0)</f>
        <v>-0</v>
      </c>
      <c r="J198" s="327" t="n">
        <f aca="false">+H198+I198</f>
        <v>0</v>
      </c>
      <c r="K198" s="333"/>
      <c r="L198" s="346" t="n">
        <f aca="false">+DATE(YEAR(L197),MONTH(L197)+1,1)</f>
        <v>42186</v>
      </c>
      <c r="M198" s="334" t="n">
        <f aca="false">+J198*(VLOOKUP(L198,CURVECALC!$C$6:$J$312,4,0)+N$5)</f>
        <v>0</v>
      </c>
      <c r="N198" s="350" t="n">
        <f aca="false">-F198*INDEX(ship_curves,MATCH(L198,'SHIP CURVES'!$A$9:$A$316,0),MATCH(CONCATENATE(P$4,P$5,P$6,P$7),'SHIP CURVES'!$A$9:$AZ$9,0))</f>
        <v>-0</v>
      </c>
      <c r="O198" s="351" t="n">
        <f aca="false">-H198*INDEX(port_processing_fee,MATCH(L198,PORTS!$H$626:$H$933,0),MATCH(P$5,PORTS!$H$626:$Z$626,0))</f>
        <v>-0</v>
      </c>
      <c r="P198" s="352" t="n">
        <f aca="false">(((VLOOKUP(L198,curvecalc,4,0))*IF(F198=0,0,J198/F198)-INDEX(ship_curves,MATCH(L198,'SHIP CURVES'!$A$9:$A$316,0),MATCH(CONCATENATE(P$4,P$5,P$6,P$7),'SHIP CURVES'!$A$9:$Z$9,0))-INDEX(terminal_curves,MATCH(L198,'TERMINAL CURVES'!$A$4:$A$313,0),MATCH(P$5,'TERMINAL CURVES'!$A$4:$N$4,0))*IF(F198=0,0,H198/F198))-(N$8)*((N$7-$N$5)-(INDEX(ship_curves,MATCH(L198,'SHIP CURVES'!$A$9:$A$316,0),MATCH(CONCATENATE(P$4,P$5,P$6,P$7),'SHIP CURVES'!$A$9:$Z$9,0))-INDEX(ship_curves,MATCH(L198,'SHIP CURVES'!$A$9:$A$316,0),MATCH(CONCATENATE(P$4,N$6,P$6,P$7),'SHIP CURVES'!$A$9:$Z$9,0)))-(INDEX(terminal_curves,MATCH(L198,'TERMINAL CURVES'!$A$4:$A$313,0),MATCH(P$5,'TERMINAL CURVES'!$A$4:$N$4,0))-INDEX(terminal_curves,MATCH(L198,'TERMINAL CURVES'!$A$4:$A$313,0),MATCH(N$6,'TERMINAL CURVES'!$A$4:$N$4,0)))*IF(F198=0,0,H198/F198)))*-F198</f>
        <v>0</v>
      </c>
      <c r="Q198" s="353" t="n">
        <f aca="false">SUM(N198:P198)</f>
        <v>0</v>
      </c>
      <c r="R198" s="357" t="n">
        <f aca="false">(-H198/((HLOOKUP(P$5,port_specs,2,0)/(365.25))*(L199-L198)))*(INDEX(fixed_capacity_charge,MATCH(L198,PORTS!$H$11:$H$317,0),MATCH(P$5,PORTS!$H$11:$N$11,0))+INDEX(variable_om_charge,MATCH(L198,PORTS!$H$318:$H$625,0),MATCH(P$5,PORTS!$H$318:$N$318,0)))</f>
        <v>-0</v>
      </c>
      <c r="S198" s="343" t="n">
        <f aca="false">+R198+Q198</f>
        <v>0</v>
      </c>
      <c r="T198" s="355" t="n">
        <f aca="false">+S198+M198</f>
        <v>0</v>
      </c>
      <c r="V198" s="346" t="n">
        <f aca="false">+DATE(YEAR(V197),MONTH(V197)+1,1)</f>
        <v>42186</v>
      </c>
      <c r="W198" s="327" t="n">
        <f aca="false">+Y198/(1-HLOOKUP(X$6,SHIPS,7,0)*INDEX(LADEN_VOYAGE_DAYS,MATCH(CONCATENATE(X$4,X$5),LADEN_VOYAGE_ROUTES,0),MATCH(X$6,LADEN_VOYAGE_SHIPS,0)))</f>
        <v>0</v>
      </c>
      <c r="X198" s="347" t="n">
        <f aca="false">+Y198-W198</f>
        <v>0</v>
      </c>
      <c r="Y198" s="348" t="n">
        <f aca="false">+IF(AND(X$8&lt;=V198,X$9&gt;=V198),+MIN($B198-SUMIF($H$17:X$17,Y$17,$H198:X198),((INDEX(ROUTE_PER_DAY_BY_SHIP,MATCH(CONCATENATE(X$4,X$5,X$7),ROUTE_PER_DAY_ROUTES,0),MATCH(X$6,ROUTE_PER_DAY_SHIPS,0))*(V199-V198))-(INDEX(ROUTE_PER_DAY_BY_SHIP,MATCH(CONCATENATE(X$4,X$5,X$7),ROUTE_PER_DAY_ROUTES,0),MATCH(X$6,ROUTE_PER_DAY_SHIPS,0))*(V199-V198))*HLOOKUP(X$6,SHIPS,7,0)*INDEX(LADEN_VOYAGE_DAYS,MATCH(CONCATENATE(X$4,X$5,X$7),LADEN_VOYAGE_ROUTES,0),MATCH(X$6,LADEN_VOYAGE_SHIPS,0)))),0)</f>
        <v>0</v>
      </c>
      <c r="Z198" s="349" t="n">
        <f aca="false">-(Y198)*HLOOKUP(X$5,TERMINAL_CHARGES,3,0)</f>
        <v>-0</v>
      </c>
      <c r="AA198" s="327" t="n">
        <f aca="false">+Y198+Z198</f>
        <v>0</v>
      </c>
      <c r="AB198" s="333"/>
      <c r="AC198" s="346" t="n">
        <f aca="false">+DATE(YEAR(AC197),MONTH(AC197)+1,1)</f>
        <v>42186</v>
      </c>
      <c r="AD198" s="343" t="n">
        <f aca="false">+AA198*(VLOOKUP(AC198,CURVECALC!$C$6:$J$312,4,0)+AE$5)</f>
        <v>0</v>
      </c>
      <c r="AE198" s="350" t="n">
        <f aca="false">-W198*INDEX(ship_curves,MATCH(AC198,'SHIP CURVES'!$A$9:$A$316,0),MATCH(CONCATENATE(AG$4,AG$5,AG$6,AG$7),'SHIP CURVES'!$A$9:$AZ$9,0))</f>
        <v>-0</v>
      </c>
      <c r="AF198" s="351" t="n">
        <f aca="false">-Y198*INDEX(port_processing_fee,MATCH(AC198,PORTS!$H$626:$H$933,0),MATCH(AG$5,PORTS!$H$626:$Z$626,0))</f>
        <v>-0</v>
      </c>
      <c r="AG198" s="352" t="n">
        <f aca="false">(((VLOOKUP(AC198,curvecalc,4,0))*IF(W198=0,0,AA198/W198)-INDEX(ship_curves,MATCH(AC198,'SHIP CURVES'!$A$9:$A$316,0),MATCH(CONCATENATE(AG$4,AG$5,AG$6,AG$7),'SHIP CURVES'!$A$9:$Z$9,0))-INDEX(terminal_curves,MATCH(AC198,'TERMINAL CURVES'!$A$4:$A$313,0),MATCH(AG$5,'TERMINAL CURVES'!$A$4:$N$4,0))*IF(W198=0,0,Y198/W198))-(AE$8)*((AE$7-$N$5)-(INDEX(ship_curves,MATCH(AC198,'SHIP CURVES'!$A$9:$A$316,0),MATCH(CONCATENATE(AG$4,AG$5,AG$6,AG$7),'SHIP CURVES'!$A$9:$Z$9,0))-INDEX(ship_curves,MATCH(AC198,'SHIP CURVES'!$A$9:$A$316,0),MATCH(CONCATENATE(AG$4,AE$6,AG$6,AG$7),'SHIP CURVES'!$A$9:$Z$9,0)))-(INDEX(terminal_curves,MATCH(AC198,'TERMINAL CURVES'!$A$4:$A$313,0),MATCH(AG$5,'TERMINAL CURVES'!$A$4:$N$4,0))-INDEX(terminal_curves,MATCH(AC198,'TERMINAL CURVES'!$A$4:$A$313,0),MATCH(AE$6,'TERMINAL CURVES'!$A$4:$N$4,0)))*IF(W198=0,0,Y198/W198)))*-W198</f>
        <v>0</v>
      </c>
      <c r="AH198" s="356" t="n">
        <f aca="false">SUM(AE198:AG198)</f>
        <v>0</v>
      </c>
      <c r="AI198" s="357" t="n">
        <f aca="false">(-Y198/((HLOOKUP(AG$5,port_specs,2,0)/(365.25))*(AC199-AC198)))*(INDEX(fixed_capacity_charge,MATCH(AC198,PORTS!$H$11:$H$317,0),MATCH(AG$5,PORTS!$H$11:$N$11,0))+INDEX(variable_om_charge,MATCH(AC198,PORTS!$H$318:$H$625,0),MATCH(AG$5,PORTS!$H$318:$N$318,0)))</f>
        <v>-0</v>
      </c>
      <c r="AJ198" s="343" t="n">
        <f aca="false">+AI198+AH198</f>
        <v>0</v>
      </c>
      <c r="AK198" s="355" t="n">
        <f aca="false">+AJ198+AD198</f>
        <v>0</v>
      </c>
      <c r="AM198" s="346" t="n">
        <f aca="false">+DATE(YEAR(AM197),MONTH(AM197)+1,1)</f>
        <v>42186</v>
      </c>
      <c r="AN198" s="327" t="n">
        <f aca="false">+AP198/(1-HLOOKUP(AO$6,SHIPS,7,0)*INDEX(LADEN_VOYAGE_DAYS,MATCH(CONCATENATE(AO$4,AO$5),LADEN_VOYAGE_ROUTES,0),MATCH(AO$6,LADEN_VOYAGE_SHIPS,0)))</f>
        <v>5395761.47735991</v>
      </c>
      <c r="AO198" s="347" t="n">
        <f aca="false">+AP198-AN198</f>
        <v>-56655.4955122788</v>
      </c>
      <c r="AP198" s="348" t="n">
        <f aca="false">+IF(AND(AO$8&lt;=AM198,AO$9&gt;=AM198),+MIN($B198-SUMIF($H$17:AO$17,AP$17,$H198:AO198),((INDEX(ROUTE_PER_DAY_BY_SHIP,MATCH(CONCATENATE(AO$4,AO$5,AO$7),ROUTE_PER_DAY_ROUTES,0),MATCH(AO$6,ROUTE_PER_DAY_SHIPS,0))*(AM199-AM198))-(INDEX(ROUTE_PER_DAY_BY_SHIP,MATCH(CONCATENATE(AO$4,AO$5,AO$7),ROUTE_PER_DAY_ROUTES,0),MATCH(AO$6,ROUTE_PER_DAY_SHIPS,0))*(AM199-AM198))*HLOOKUP(AO$6,SHIPS,7,0)*INDEX(LADEN_VOYAGE_DAYS,MATCH(CONCATENATE(AO$4,AO$5,AO$7),LADEN_VOYAGE_ROUTES,0),MATCH(AO$6,LADEN_VOYAGE_SHIPS,0)))),0)</f>
        <v>5339105.98184763</v>
      </c>
      <c r="AQ198" s="349" t="n">
        <f aca="false">-(AP198)*PORTS!$I$6</f>
        <v>-133477.649546191</v>
      </c>
      <c r="AR198" s="327" t="n">
        <f aca="false">+AP198+AQ198</f>
        <v>5205628.33230144</v>
      </c>
      <c r="AS198" s="333"/>
      <c r="AT198" s="346" t="n">
        <f aca="false">+DATE(YEAR(AT197),MONTH(AT197)+1,1)</f>
        <v>42186</v>
      </c>
      <c r="AU198" s="343" t="n">
        <f aca="false">+AR198*(VLOOKUP(AT198,CURVECALC!$C$6:$J$312,4,0)+AV$5)</f>
        <v>19927145.2560499</v>
      </c>
      <c r="AV198" s="350" t="n">
        <f aca="false">-AN198*INDEX(ship_curves,MATCH(AT198,'SHIP CURVES'!$A$9:$A$316,0),MATCH(CONCATENATE(AX$4,AX$5,AX$6,AX$7),'SHIP CURVES'!$A$9:$AZ$9,0))</f>
        <v>-1830818.21000399</v>
      </c>
      <c r="AW198" s="351" t="n">
        <f aca="false">-AP198*INDEX(port_processing_fee,MATCH(AT198,PORTS!$H$626:$H$933,0),MATCH(AX$5,PORTS!$H$626:$Z$626,0))</f>
        <v>-170580.503928733</v>
      </c>
      <c r="AX198" s="352" t="n">
        <f aca="false">(((VLOOKUP(AT198,curvecalc,4,0))*IF(AN198=0,0,AR198/AN198)-INDEX(ship_curves,MATCH(AT198,'SHIP CURVES'!$A$9:$A$316,0),MATCH(CONCATENATE(AX$4,AX$5,AX$6,AX$7),'SHIP CURVES'!$A$9:$Z$9,0))-INDEX(terminal_curves,MATCH(AT198,'TERMINAL CURVES'!$A$4:$A$313,0),MATCH(AX$5,'TERMINAL CURVES'!$A$4:$N$4,0))*IF(AN198=0,0,AP198/AN198))-(AV$8)*((AV$7-$N$5)-(INDEX(ship_curves,MATCH(AT198,'SHIP CURVES'!$A$9:$A$316,0),MATCH(CONCATENATE(AX$4,AX$5,AX$6,AX$7),'SHIP CURVES'!$A$9:$Z$9,0))-INDEX(ship_curves,MATCH(AT198,'SHIP CURVES'!$A$9:$A$316,0),MATCH(CONCATENATE(AX$4,AV$6,AX$6,AX$7),'SHIP CURVES'!$A$9:$Z$9,0)))-(INDEX(terminal_curves,MATCH(AT198,'TERMINAL CURVES'!$A$4:$A$313,0),MATCH(AX$5,'TERMINAL CURVES'!$A$4:$N$4,0))-INDEX(terminal_curves,MATCH(AT198,'TERMINAL CURVES'!$A$4:$A$313,0),MATCH(AV$6,'TERMINAL CURVES'!$A$4:$N$4,0)))*IF(AN198=0,0,AP198/AN198)))*-AN198</f>
        <v>-16786906.3408961</v>
      </c>
      <c r="AY198" s="356" t="n">
        <f aca="false">SUM(AV198:AX198)</f>
        <v>-18788305.0548289</v>
      </c>
      <c r="AZ198" s="357" t="n">
        <f aca="false">(-AP198/((HLOOKUP(AX$5,port_specs,2,0)/(365.25))*(AT199-AT198)))*(INDEX(fixed_capacity_charge,MATCH(AT198,PORTS!$H$11:$H$317,0),MATCH(AX$5,PORTS!$H$11:$N$11,0))+INDEX(variable_om_charge,MATCH(AT198,PORTS!$H$318:$H$625,0),MATCH(AX$5,PORTS!$H$318:$N$318,0)))</f>
        <v>-1034727.63457504</v>
      </c>
      <c r="BA198" s="343" t="n">
        <f aca="false">+AZ198+AY198</f>
        <v>-19823032.6894039</v>
      </c>
      <c r="BB198" s="355" t="n">
        <f aca="false">+BA198+AU198</f>
        <v>104112.566646032</v>
      </c>
      <c r="BC198" s="99"/>
      <c r="BD198" s="357" t="n">
        <f aca="false">+PORTS!I192+PORTS!I500</f>
        <v>1034727.63457504</v>
      </c>
    </row>
    <row r="199" customFormat="false" ht="12.75" hidden="false" customHeight="false" outlineLevel="0" collapsed="false">
      <c r="A199" s="346" t="n">
        <f aca="false">+DATE(YEAR(A198),MONTH(A198)+1,1)</f>
        <v>42217</v>
      </c>
      <c r="B199" s="327" t="n">
        <f aca="false">+IF(AND($A199&gt;=$C$8,$A199&lt;=$C$9),1,0)*PORTS!$I$5/(365.25)*(A200-A199)</f>
        <v>5339105.98184763</v>
      </c>
      <c r="C199" s="328" t="n">
        <f aca="false">+B199-(SUMIF($F$17:$IV$17,$H$17,$F199:$IV199))</f>
        <v>0</v>
      </c>
      <c r="D199" s="0" t="n">
        <f aca="false">+YEAR(E199)</f>
        <v>2015</v>
      </c>
      <c r="E199" s="346" t="n">
        <f aca="false">+DATE(YEAR(E198),MONTH(E198)+1,1)</f>
        <v>42217</v>
      </c>
      <c r="F199" s="327" t="n">
        <f aca="false">+IF(AND(G$8&lt;=E199,G$9&gt;=E199),INDEX(ROUTE_PER_DAY_BY_SHIP,MATCH(CONCATENATE(G$4,G$5,G$7),ROUTE_PER_DAY_ROUTES,0),MATCH(G$6,ROUTE_PER_DAY_SHIPS,0))*(E200-E199),0)</f>
        <v>0</v>
      </c>
      <c r="G199" s="347" t="n">
        <f aca="false">-F199*HLOOKUP(G$6,SHIPS,7,0)*INDEX(LADEN_VOYAGE_DAYS,MATCH(CONCATENATE(G$4,G$5,G$7),LADEN_VOYAGE_ROUTES,0),MATCH(G$6,LADEN_VOYAGE_SHIPS,0))</f>
        <v>-0</v>
      </c>
      <c r="H199" s="348" t="n">
        <f aca="false">SUM(F199:G199)</f>
        <v>0</v>
      </c>
      <c r="I199" s="349" t="n">
        <f aca="false">-(H199)*HLOOKUP(G$5,TERMINAL_CHARGES,3,0)</f>
        <v>-0</v>
      </c>
      <c r="J199" s="327" t="n">
        <f aca="false">+H199+I199</f>
        <v>0</v>
      </c>
      <c r="K199" s="333"/>
      <c r="L199" s="346" t="n">
        <f aca="false">+DATE(YEAR(L198),MONTH(L198)+1,1)</f>
        <v>42217</v>
      </c>
      <c r="M199" s="334" t="n">
        <f aca="false">+J199*(VLOOKUP(L199,CURVECALC!$C$6:$J$312,4,0)+N$5)</f>
        <v>0</v>
      </c>
      <c r="N199" s="350" t="n">
        <f aca="false">-F199*INDEX(ship_curves,MATCH(L199,'SHIP CURVES'!$A$9:$A$316,0),MATCH(CONCATENATE(P$4,P$5,P$6,P$7),'SHIP CURVES'!$A$9:$AZ$9,0))</f>
        <v>-0</v>
      </c>
      <c r="O199" s="351" t="n">
        <f aca="false">-H199*INDEX(port_processing_fee,MATCH(L199,PORTS!$H$626:$H$933,0),MATCH(P$5,PORTS!$H$626:$Z$626,0))</f>
        <v>-0</v>
      </c>
      <c r="P199" s="352" t="n">
        <f aca="false">(((VLOOKUP(L199,curvecalc,4,0))*IF(F199=0,0,J199/F199)-INDEX(ship_curves,MATCH(L199,'SHIP CURVES'!$A$9:$A$316,0),MATCH(CONCATENATE(P$4,P$5,P$6,P$7),'SHIP CURVES'!$A$9:$Z$9,0))-INDEX(terminal_curves,MATCH(L199,'TERMINAL CURVES'!$A$4:$A$313,0),MATCH(P$5,'TERMINAL CURVES'!$A$4:$N$4,0))*IF(F199=0,0,H199/F199))-(N$8)*((N$7-$N$5)-(INDEX(ship_curves,MATCH(L199,'SHIP CURVES'!$A$9:$A$316,0),MATCH(CONCATENATE(P$4,P$5,P$6,P$7),'SHIP CURVES'!$A$9:$Z$9,0))-INDEX(ship_curves,MATCH(L199,'SHIP CURVES'!$A$9:$A$316,0),MATCH(CONCATENATE(P$4,N$6,P$6,P$7),'SHIP CURVES'!$A$9:$Z$9,0)))-(INDEX(terminal_curves,MATCH(L199,'TERMINAL CURVES'!$A$4:$A$313,0),MATCH(P$5,'TERMINAL CURVES'!$A$4:$N$4,0))-INDEX(terminal_curves,MATCH(L199,'TERMINAL CURVES'!$A$4:$A$313,0),MATCH(N$6,'TERMINAL CURVES'!$A$4:$N$4,0)))*IF(F199=0,0,H199/F199)))*-F199</f>
        <v>0</v>
      </c>
      <c r="Q199" s="353" t="n">
        <f aca="false">SUM(N199:P199)</f>
        <v>0</v>
      </c>
      <c r="R199" s="357" t="n">
        <f aca="false">(-H199/((HLOOKUP(P$5,port_specs,2,0)/(365.25))*(L200-L199)))*(INDEX(fixed_capacity_charge,MATCH(L199,PORTS!$H$11:$H$317,0),MATCH(P$5,PORTS!$H$11:$N$11,0))+INDEX(variable_om_charge,MATCH(L199,PORTS!$H$318:$H$625,0),MATCH(P$5,PORTS!$H$318:$N$318,0)))</f>
        <v>-0</v>
      </c>
      <c r="S199" s="343" t="n">
        <f aca="false">+R199+Q199</f>
        <v>0</v>
      </c>
      <c r="T199" s="355" t="n">
        <f aca="false">+S199+M199</f>
        <v>0</v>
      </c>
      <c r="V199" s="346" t="n">
        <f aca="false">+DATE(YEAR(V198),MONTH(V198)+1,1)</f>
        <v>42217</v>
      </c>
      <c r="W199" s="327" t="n">
        <f aca="false">+Y199/(1-HLOOKUP(X$6,SHIPS,7,0)*INDEX(LADEN_VOYAGE_DAYS,MATCH(CONCATENATE(X$4,X$5),LADEN_VOYAGE_ROUTES,0),MATCH(X$6,LADEN_VOYAGE_SHIPS,0)))</f>
        <v>0</v>
      </c>
      <c r="X199" s="347" t="n">
        <f aca="false">+Y199-W199</f>
        <v>0</v>
      </c>
      <c r="Y199" s="348" t="n">
        <f aca="false">+IF(AND(X$8&lt;=V199,X$9&gt;=V199),+MIN($B199-SUMIF($H$17:X$17,Y$17,$H199:X199),((INDEX(ROUTE_PER_DAY_BY_SHIP,MATCH(CONCATENATE(X$4,X$5,X$7),ROUTE_PER_DAY_ROUTES,0),MATCH(X$6,ROUTE_PER_DAY_SHIPS,0))*(V200-V199))-(INDEX(ROUTE_PER_DAY_BY_SHIP,MATCH(CONCATENATE(X$4,X$5,X$7),ROUTE_PER_DAY_ROUTES,0),MATCH(X$6,ROUTE_PER_DAY_SHIPS,0))*(V200-V199))*HLOOKUP(X$6,SHIPS,7,0)*INDEX(LADEN_VOYAGE_DAYS,MATCH(CONCATENATE(X$4,X$5,X$7),LADEN_VOYAGE_ROUTES,0),MATCH(X$6,LADEN_VOYAGE_SHIPS,0)))),0)</f>
        <v>0</v>
      </c>
      <c r="Z199" s="349" t="n">
        <f aca="false">-(Y199)*HLOOKUP(X$5,TERMINAL_CHARGES,3,0)</f>
        <v>-0</v>
      </c>
      <c r="AA199" s="327" t="n">
        <f aca="false">+Y199+Z199</f>
        <v>0</v>
      </c>
      <c r="AB199" s="333"/>
      <c r="AC199" s="346" t="n">
        <f aca="false">+DATE(YEAR(AC198),MONTH(AC198)+1,1)</f>
        <v>42217</v>
      </c>
      <c r="AD199" s="343" t="n">
        <f aca="false">+AA199*(VLOOKUP(AC199,CURVECALC!$C$6:$J$312,4,0)+AE$5)</f>
        <v>0</v>
      </c>
      <c r="AE199" s="350" t="n">
        <f aca="false">-W199*INDEX(ship_curves,MATCH(AC199,'SHIP CURVES'!$A$9:$A$316,0),MATCH(CONCATENATE(AG$4,AG$5,AG$6,AG$7),'SHIP CURVES'!$A$9:$AZ$9,0))</f>
        <v>-0</v>
      </c>
      <c r="AF199" s="351" t="n">
        <f aca="false">-Y199*INDEX(port_processing_fee,MATCH(AC199,PORTS!$H$626:$H$933,0),MATCH(AG$5,PORTS!$H$626:$Z$626,0))</f>
        <v>-0</v>
      </c>
      <c r="AG199" s="352" t="n">
        <f aca="false">(((VLOOKUP(AC199,curvecalc,4,0))*IF(W199=0,0,AA199/W199)-INDEX(ship_curves,MATCH(AC199,'SHIP CURVES'!$A$9:$A$316,0),MATCH(CONCATENATE(AG$4,AG$5,AG$6,AG$7),'SHIP CURVES'!$A$9:$Z$9,0))-INDEX(terminal_curves,MATCH(AC199,'TERMINAL CURVES'!$A$4:$A$313,0),MATCH(AG$5,'TERMINAL CURVES'!$A$4:$N$4,0))*IF(W199=0,0,Y199/W199))-(AE$8)*((AE$7-$N$5)-(INDEX(ship_curves,MATCH(AC199,'SHIP CURVES'!$A$9:$A$316,0),MATCH(CONCATENATE(AG$4,AG$5,AG$6,AG$7),'SHIP CURVES'!$A$9:$Z$9,0))-INDEX(ship_curves,MATCH(AC199,'SHIP CURVES'!$A$9:$A$316,0),MATCH(CONCATENATE(AG$4,AE$6,AG$6,AG$7),'SHIP CURVES'!$A$9:$Z$9,0)))-(INDEX(terminal_curves,MATCH(AC199,'TERMINAL CURVES'!$A$4:$A$313,0),MATCH(AG$5,'TERMINAL CURVES'!$A$4:$N$4,0))-INDEX(terminal_curves,MATCH(AC199,'TERMINAL CURVES'!$A$4:$A$313,0),MATCH(AE$6,'TERMINAL CURVES'!$A$4:$N$4,0)))*IF(W199=0,0,Y199/W199)))*-W199</f>
        <v>0</v>
      </c>
      <c r="AH199" s="356" t="n">
        <f aca="false">SUM(AE199:AG199)</f>
        <v>0</v>
      </c>
      <c r="AI199" s="357" t="n">
        <f aca="false">(-Y199/((HLOOKUP(AG$5,port_specs,2,0)/(365.25))*(AC200-AC199)))*(INDEX(fixed_capacity_charge,MATCH(AC199,PORTS!$H$11:$H$317,0),MATCH(AG$5,PORTS!$H$11:$N$11,0))+INDEX(variable_om_charge,MATCH(AC199,PORTS!$H$318:$H$625,0),MATCH(AG$5,PORTS!$H$318:$N$318,0)))</f>
        <v>-0</v>
      </c>
      <c r="AJ199" s="343" t="n">
        <f aca="false">+AI199+AH199</f>
        <v>0</v>
      </c>
      <c r="AK199" s="355" t="n">
        <f aca="false">+AJ199+AD199</f>
        <v>0</v>
      </c>
      <c r="AM199" s="346" t="n">
        <f aca="false">+DATE(YEAR(AM198),MONTH(AM198)+1,1)</f>
        <v>42217</v>
      </c>
      <c r="AN199" s="327" t="n">
        <f aca="false">+AP199/(1-HLOOKUP(AO$6,SHIPS,7,0)*INDEX(LADEN_VOYAGE_DAYS,MATCH(CONCATENATE(AO$4,AO$5),LADEN_VOYAGE_ROUTES,0),MATCH(AO$6,LADEN_VOYAGE_SHIPS,0)))</f>
        <v>5395761.47735991</v>
      </c>
      <c r="AO199" s="347" t="n">
        <f aca="false">+AP199-AN199</f>
        <v>-56655.4955122788</v>
      </c>
      <c r="AP199" s="348" t="n">
        <f aca="false">+IF(AND(AO$8&lt;=AM199,AO$9&gt;=AM199),+MIN($B199-SUMIF($H$17:AO$17,AP$17,$H199:AO199),((INDEX(ROUTE_PER_DAY_BY_SHIP,MATCH(CONCATENATE(AO$4,AO$5,AO$7),ROUTE_PER_DAY_ROUTES,0),MATCH(AO$6,ROUTE_PER_DAY_SHIPS,0))*(AM200-AM199))-(INDEX(ROUTE_PER_DAY_BY_SHIP,MATCH(CONCATENATE(AO$4,AO$5,AO$7),ROUTE_PER_DAY_ROUTES,0),MATCH(AO$6,ROUTE_PER_DAY_SHIPS,0))*(AM200-AM199))*HLOOKUP(AO$6,SHIPS,7,0)*INDEX(LADEN_VOYAGE_DAYS,MATCH(CONCATENATE(AO$4,AO$5,AO$7),LADEN_VOYAGE_ROUTES,0),MATCH(AO$6,LADEN_VOYAGE_SHIPS,0)))),0)</f>
        <v>5339105.98184763</v>
      </c>
      <c r="AQ199" s="349" t="n">
        <f aca="false">-(AP199)*PORTS!$I$6</f>
        <v>-133477.649546191</v>
      </c>
      <c r="AR199" s="327" t="n">
        <f aca="false">+AP199+AQ199</f>
        <v>5205628.33230144</v>
      </c>
      <c r="AS199" s="333"/>
      <c r="AT199" s="346" t="n">
        <f aca="false">+DATE(YEAR(AT198),MONTH(AT198)+1,1)</f>
        <v>42217</v>
      </c>
      <c r="AU199" s="343" t="n">
        <f aca="false">+AR199*(VLOOKUP(AT199,CURVECALC!$C$6:$J$312,4,0)+AV$5)</f>
        <v>20239482.955988</v>
      </c>
      <c r="AV199" s="350" t="n">
        <f aca="false">-AN199*INDEX(ship_curves,MATCH(AT199,'SHIP CURVES'!$A$9:$A$316,0),MATCH(CONCATENATE(AX$4,AX$5,AX$6,AX$7),'SHIP CURVES'!$A$9:$AZ$9,0))</f>
        <v>-1831436.73184354</v>
      </c>
      <c r="AW199" s="351" t="n">
        <f aca="false">-AP199*INDEX(port_processing_fee,MATCH(AT199,PORTS!$H$626:$H$933,0),MATCH(AX$5,PORTS!$H$626:$Z$626,0))</f>
        <v>-170758.191953659</v>
      </c>
      <c r="AX199" s="352" t="n">
        <f aca="false">(((VLOOKUP(AT199,curvecalc,4,0))*IF(AN199=0,0,AR199/AN199)-INDEX(ship_curves,MATCH(AT199,'SHIP CURVES'!$A$9:$A$316,0),MATCH(CONCATENATE(AX$4,AX$5,AX$6,AX$7),'SHIP CURVES'!$A$9:$Z$9,0))-INDEX(terminal_curves,MATCH(AT199,'TERMINAL CURVES'!$A$4:$A$313,0),MATCH(AX$5,'TERMINAL CURVES'!$A$4:$N$4,0))*IF(AN199=0,0,AP199/AN199))-(AV$8)*((AV$7-$N$5)-(INDEX(ship_curves,MATCH(AT199,'SHIP CURVES'!$A$9:$A$316,0),MATCH(CONCATENATE(AX$4,AX$5,AX$6,AX$7),'SHIP CURVES'!$A$9:$Z$9,0))-INDEX(ship_curves,MATCH(AT199,'SHIP CURVES'!$A$9:$A$316,0),MATCH(CONCATENATE(AX$4,AV$6,AX$6,AX$7),'SHIP CURVES'!$A$9:$Z$9,0)))-(INDEX(terminal_curves,MATCH(AT199,'TERMINAL CURVES'!$A$4:$A$313,0),MATCH(AX$5,'TERMINAL CURVES'!$A$4:$N$4,0))-INDEX(terminal_curves,MATCH(AT199,'TERMINAL CURVES'!$A$4:$A$313,0),MATCH(AV$6,'TERMINAL CURVES'!$A$4:$N$4,0)))*IF(AN199=0,0,AP199/AN199)))*-AN199</f>
        <v>-17097875.3923618</v>
      </c>
      <c r="AY199" s="356" t="n">
        <f aca="false">SUM(AV199:AX199)</f>
        <v>-19100070.316159</v>
      </c>
      <c r="AZ199" s="357" t="n">
        <f aca="false">(-AP199/((HLOOKUP(AX$5,port_specs,2,0)/(365.25))*(AT200-AT199)))*(INDEX(fixed_capacity_charge,MATCH(AT199,PORTS!$H$11:$H$317,0),MATCH(AX$5,PORTS!$H$11:$N$11,0))+INDEX(variable_om_charge,MATCH(AT199,PORTS!$H$318:$H$625,0),MATCH(AX$5,PORTS!$H$318:$N$318,0)))</f>
        <v>-1035300.07318302</v>
      </c>
      <c r="BA199" s="343" t="n">
        <f aca="false">+AZ199+AY199</f>
        <v>-20135370.389342</v>
      </c>
      <c r="BB199" s="355" t="n">
        <f aca="false">+BA199+AU199</f>
        <v>104112.566646032</v>
      </c>
      <c r="BC199" s="99"/>
      <c r="BD199" s="357" t="n">
        <f aca="false">+PORTS!I193+PORTS!I501</f>
        <v>1035300.07318302</v>
      </c>
    </row>
    <row r="200" customFormat="false" ht="12.75" hidden="false" customHeight="false" outlineLevel="0" collapsed="false">
      <c r="A200" s="346" t="n">
        <f aca="false">+DATE(YEAR(A199),MONTH(A199)+1,1)</f>
        <v>42248</v>
      </c>
      <c r="B200" s="327" t="n">
        <f aca="false">+IF(AND($A200&gt;=$C$8,$A200&lt;=$C$9),1,0)*PORTS!$I$5/(365.25)*(A201-A200)</f>
        <v>5166876.75662674</v>
      </c>
      <c r="C200" s="328" t="n">
        <f aca="false">+B200-(SUMIF($F$17:$IV$17,$H$17,$F200:$IV200))</f>
        <v>0</v>
      </c>
      <c r="D200" s="0" t="n">
        <f aca="false">+YEAR(E200)</f>
        <v>2015</v>
      </c>
      <c r="E200" s="346" t="n">
        <f aca="false">+DATE(YEAR(E199),MONTH(E199)+1,1)</f>
        <v>42248</v>
      </c>
      <c r="F200" s="327" t="n">
        <f aca="false">+IF(AND(G$8&lt;=E200,G$9&gt;=E200),INDEX(ROUTE_PER_DAY_BY_SHIP,MATCH(CONCATENATE(G$4,G$5,G$7),ROUTE_PER_DAY_ROUTES,0),MATCH(G$6,ROUTE_PER_DAY_SHIPS,0))*(E201-E200),0)</f>
        <v>0</v>
      </c>
      <c r="G200" s="347" t="n">
        <f aca="false">-F200*HLOOKUP(G$6,SHIPS,7,0)*INDEX(LADEN_VOYAGE_DAYS,MATCH(CONCATENATE(G$4,G$5,G$7),LADEN_VOYAGE_ROUTES,0),MATCH(G$6,LADEN_VOYAGE_SHIPS,0))</f>
        <v>-0</v>
      </c>
      <c r="H200" s="348" t="n">
        <f aca="false">SUM(F200:G200)</f>
        <v>0</v>
      </c>
      <c r="I200" s="349" t="n">
        <f aca="false">-(H200)*HLOOKUP(G$5,TERMINAL_CHARGES,3,0)</f>
        <v>-0</v>
      </c>
      <c r="J200" s="327" t="n">
        <f aca="false">+H200+I200</f>
        <v>0</v>
      </c>
      <c r="K200" s="333"/>
      <c r="L200" s="346" t="n">
        <f aca="false">+DATE(YEAR(L199),MONTH(L199)+1,1)</f>
        <v>42248</v>
      </c>
      <c r="M200" s="334" t="n">
        <f aca="false">+J200*(VLOOKUP(L200,CURVECALC!$C$6:$J$312,4,0)+N$5)</f>
        <v>0</v>
      </c>
      <c r="N200" s="350" t="n">
        <f aca="false">-F200*INDEX(ship_curves,MATCH(L200,'SHIP CURVES'!$A$9:$A$316,0),MATCH(CONCATENATE(P$4,P$5,P$6,P$7),'SHIP CURVES'!$A$9:$AZ$9,0))</f>
        <v>-0</v>
      </c>
      <c r="O200" s="351" t="n">
        <f aca="false">-H200*INDEX(port_processing_fee,MATCH(L200,PORTS!$H$626:$H$933,0),MATCH(P$5,PORTS!$H$626:$Z$626,0))</f>
        <v>-0</v>
      </c>
      <c r="P200" s="352" t="n">
        <f aca="false">(((VLOOKUP(L200,curvecalc,4,0))*IF(F200=0,0,J200/F200)-INDEX(ship_curves,MATCH(L200,'SHIP CURVES'!$A$9:$A$316,0),MATCH(CONCATENATE(P$4,P$5,P$6,P$7),'SHIP CURVES'!$A$9:$Z$9,0))-INDEX(terminal_curves,MATCH(L200,'TERMINAL CURVES'!$A$4:$A$313,0),MATCH(P$5,'TERMINAL CURVES'!$A$4:$N$4,0))*IF(F200=0,0,H200/F200))-(N$8)*((N$7-$N$5)-(INDEX(ship_curves,MATCH(L200,'SHIP CURVES'!$A$9:$A$316,0),MATCH(CONCATENATE(P$4,P$5,P$6,P$7),'SHIP CURVES'!$A$9:$Z$9,0))-INDEX(ship_curves,MATCH(L200,'SHIP CURVES'!$A$9:$A$316,0),MATCH(CONCATENATE(P$4,N$6,P$6,P$7),'SHIP CURVES'!$A$9:$Z$9,0)))-(INDEX(terminal_curves,MATCH(L200,'TERMINAL CURVES'!$A$4:$A$313,0),MATCH(P$5,'TERMINAL CURVES'!$A$4:$N$4,0))-INDEX(terminal_curves,MATCH(L200,'TERMINAL CURVES'!$A$4:$A$313,0),MATCH(N$6,'TERMINAL CURVES'!$A$4:$N$4,0)))*IF(F200=0,0,H200/F200)))*-F200</f>
        <v>0</v>
      </c>
      <c r="Q200" s="353" t="n">
        <f aca="false">SUM(N200:P200)</f>
        <v>0</v>
      </c>
      <c r="R200" s="357" t="n">
        <f aca="false">(-H200/((HLOOKUP(P$5,port_specs,2,0)/(365.25))*(L201-L200)))*(INDEX(fixed_capacity_charge,MATCH(L200,PORTS!$H$11:$H$317,0),MATCH(P$5,PORTS!$H$11:$N$11,0))+INDEX(variable_om_charge,MATCH(L200,PORTS!$H$318:$H$625,0),MATCH(P$5,PORTS!$H$318:$N$318,0)))</f>
        <v>-0</v>
      </c>
      <c r="S200" s="343" t="n">
        <f aca="false">+R200+Q200</f>
        <v>0</v>
      </c>
      <c r="T200" s="355" t="n">
        <f aca="false">+S200+M200</f>
        <v>0</v>
      </c>
      <c r="V200" s="346" t="n">
        <f aca="false">+DATE(YEAR(V199),MONTH(V199)+1,1)</f>
        <v>42248</v>
      </c>
      <c r="W200" s="327" t="n">
        <f aca="false">+Y200/(1-HLOOKUP(X$6,SHIPS,7,0)*INDEX(LADEN_VOYAGE_DAYS,MATCH(CONCATENATE(X$4,X$5),LADEN_VOYAGE_ROUTES,0),MATCH(X$6,LADEN_VOYAGE_SHIPS,0)))</f>
        <v>0</v>
      </c>
      <c r="X200" s="347" t="n">
        <f aca="false">+Y200-W200</f>
        <v>0</v>
      </c>
      <c r="Y200" s="348" t="n">
        <f aca="false">+IF(AND(X$8&lt;=V200,X$9&gt;=V200),+MIN($B200-SUMIF($H$17:X$17,Y$17,$H200:X200),((INDEX(ROUTE_PER_DAY_BY_SHIP,MATCH(CONCATENATE(X$4,X$5,X$7),ROUTE_PER_DAY_ROUTES,0),MATCH(X$6,ROUTE_PER_DAY_SHIPS,0))*(V201-V200))-(INDEX(ROUTE_PER_DAY_BY_SHIP,MATCH(CONCATENATE(X$4,X$5,X$7),ROUTE_PER_DAY_ROUTES,0),MATCH(X$6,ROUTE_PER_DAY_SHIPS,0))*(V201-V200))*HLOOKUP(X$6,SHIPS,7,0)*INDEX(LADEN_VOYAGE_DAYS,MATCH(CONCATENATE(X$4,X$5,X$7),LADEN_VOYAGE_ROUTES,0),MATCH(X$6,LADEN_VOYAGE_SHIPS,0)))),0)</f>
        <v>0</v>
      </c>
      <c r="Z200" s="349" t="n">
        <f aca="false">-(Y200)*HLOOKUP(X$5,TERMINAL_CHARGES,3,0)</f>
        <v>-0</v>
      </c>
      <c r="AA200" s="327" t="n">
        <f aca="false">+Y200+Z200</f>
        <v>0</v>
      </c>
      <c r="AB200" s="333"/>
      <c r="AC200" s="346" t="n">
        <f aca="false">+DATE(YEAR(AC199),MONTH(AC199)+1,1)</f>
        <v>42248</v>
      </c>
      <c r="AD200" s="343" t="n">
        <f aca="false">+AA200*(VLOOKUP(AC200,CURVECALC!$C$6:$J$312,4,0)+AE$5)</f>
        <v>0</v>
      </c>
      <c r="AE200" s="350" t="n">
        <f aca="false">-W200*INDEX(ship_curves,MATCH(AC200,'SHIP CURVES'!$A$9:$A$316,0),MATCH(CONCATENATE(AG$4,AG$5,AG$6,AG$7),'SHIP CURVES'!$A$9:$AZ$9,0))</f>
        <v>-0</v>
      </c>
      <c r="AF200" s="351" t="n">
        <f aca="false">-Y200*INDEX(port_processing_fee,MATCH(AC200,PORTS!$H$626:$H$933,0),MATCH(AG$5,PORTS!$H$626:$Z$626,0))</f>
        <v>-0</v>
      </c>
      <c r="AG200" s="352" t="n">
        <f aca="false">(((VLOOKUP(AC200,curvecalc,4,0))*IF(W200=0,0,AA200/W200)-INDEX(ship_curves,MATCH(AC200,'SHIP CURVES'!$A$9:$A$316,0),MATCH(CONCATENATE(AG$4,AG$5,AG$6,AG$7),'SHIP CURVES'!$A$9:$Z$9,0))-INDEX(terminal_curves,MATCH(AC200,'TERMINAL CURVES'!$A$4:$A$313,0),MATCH(AG$5,'TERMINAL CURVES'!$A$4:$N$4,0))*IF(W200=0,0,Y200/W200))-(AE$8)*((AE$7-$N$5)-(INDEX(ship_curves,MATCH(AC200,'SHIP CURVES'!$A$9:$A$316,0),MATCH(CONCATENATE(AG$4,AG$5,AG$6,AG$7),'SHIP CURVES'!$A$9:$Z$9,0))-INDEX(ship_curves,MATCH(AC200,'SHIP CURVES'!$A$9:$A$316,0),MATCH(CONCATENATE(AG$4,AE$6,AG$6,AG$7),'SHIP CURVES'!$A$9:$Z$9,0)))-(INDEX(terminal_curves,MATCH(AC200,'TERMINAL CURVES'!$A$4:$A$313,0),MATCH(AG$5,'TERMINAL CURVES'!$A$4:$N$4,0))-INDEX(terminal_curves,MATCH(AC200,'TERMINAL CURVES'!$A$4:$A$313,0),MATCH(AE$6,'TERMINAL CURVES'!$A$4:$N$4,0)))*IF(W200=0,0,Y200/W200)))*-W200</f>
        <v>0</v>
      </c>
      <c r="AH200" s="356" t="n">
        <f aca="false">SUM(AE200:AG200)</f>
        <v>0</v>
      </c>
      <c r="AI200" s="357" t="n">
        <f aca="false">(-Y200/((HLOOKUP(AG$5,port_specs,2,0)/(365.25))*(AC201-AC200)))*(INDEX(fixed_capacity_charge,MATCH(AC200,PORTS!$H$11:$H$317,0),MATCH(AG$5,PORTS!$H$11:$N$11,0))+INDEX(variable_om_charge,MATCH(AC200,PORTS!$H$318:$H$625,0),MATCH(AG$5,PORTS!$H$318:$N$318,0)))</f>
        <v>-0</v>
      </c>
      <c r="AJ200" s="343" t="n">
        <f aca="false">+AI200+AH200</f>
        <v>0</v>
      </c>
      <c r="AK200" s="355" t="n">
        <f aca="false">+AJ200+AD200</f>
        <v>0</v>
      </c>
      <c r="AM200" s="346" t="n">
        <f aca="false">+DATE(YEAR(AM199),MONTH(AM199)+1,1)</f>
        <v>42248</v>
      </c>
      <c r="AN200" s="327" t="n">
        <f aca="false">+AP200/(1-HLOOKUP(AO$6,SHIPS,7,0)*INDEX(LADEN_VOYAGE_DAYS,MATCH(CONCATENATE(AO$4,AO$5),LADEN_VOYAGE_ROUTES,0),MATCH(AO$6,LADEN_VOYAGE_SHIPS,0)))</f>
        <v>5221704.65550959</v>
      </c>
      <c r="AO200" s="347" t="n">
        <f aca="false">+AP200-AN200</f>
        <v>-54827.8988828501</v>
      </c>
      <c r="AP200" s="348" t="n">
        <f aca="false">+IF(AND(AO$8&lt;=AM200,AO$9&gt;=AM200),+MIN($B200-SUMIF($H$17:AO$17,AP$17,$H200:AO200),((INDEX(ROUTE_PER_DAY_BY_SHIP,MATCH(CONCATENATE(AO$4,AO$5,AO$7),ROUTE_PER_DAY_ROUTES,0),MATCH(AO$6,ROUTE_PER_DAY_SHIPS,0))*(AM201-AM200))-(INDEX(ROUTE_PER_DAY_BY_SHIP,MATCH(CONCATENATE(AO$4,AO$5,AO$7),ROUTE_PER_DAY_ROUTES,0),MATCH(AO$6,ROUTE_PER_DAY_SHIPS,0))*(AM201-AM200))*HLOOKUP(AO$6,SHIPS,7,0)*INDEX(LADEN_VOYAGE_DAYS,MATCH(CONCATENATE(AO$4,AO$5,AO$7),LADEN_VOYAGE_ROUTES,0),MATCH(AO$6,LADEN_VOYAGE_SHIPS,0)))),0)</f>
        <v>5166876.75662674</v>
      </c>
      <c r="AQ200" s="349" t="n">
        <f aca="false">-(AP200)*PORTS!$I$6</f>
        <v>-129171.918915669</v>
      </c>
      <c r="AR200" s="327" t="n">
        <f aca="false">+AP200+AQ200</f>
        <v>5037704.83771107</v>
      </c>
      <c r="AS200" s="333"/>
      <c r="AT200" s="346" t="n">
        <f aca="false">+DATE(YEAR(AT199),MONTH(AT199)+1,1)</f>
        <v>42248</v>
      </c>
      <c r="AU200" s="343" t="n">
        <f aca="false">+AR200*(VLOOKUP(AT200,CURVECALC!$C$6:$J$312,4,0)+AV$5)</f>
        <v>19475766.902591</v>
      </c>
      <c r="AV200" s="350" t="n">
        <f aca="false">-AN200*INDEX(ship_curves,MATCH(AT200,'SHIP CURVES'!$A$9:$A$316,0),MATCH(CONCATENATE(AX$4,AX$5,AX$6,AX$7),'SHIP CURVES'!$A$9:$AZ$9,0))</f>
        <v>-1772957.94413252</v>
      </c>
      <c r="AW200" s="351" t="n">
        <f aca="false">-AP200*INDEX(port_processing_fee,MATCH(AT200,PORTS!$H$626:$H$933,0),MATCH(AX$5,PORTS!$H$626:$Z$626,0))</f>
        <v>-165421.998455107</v>
      </c>
      <c r="AX200" s="352" t="n">
        <f aca="false">(((VLOOKUP(AT200,curvecalc,4,0))*IF(AN200=0,0,AR200/AN200)-INDEX(ship_curves,MATCH(AT200,'SHIP CURVES'!$A$9:$A$316,0),MATCH(CONCATENATE(AX$4,AX$5,AX$6,AX$7),'SHIP CURVES'!$A$9:$Z$9,0))-INDEX(terminal_curves,MATCH(AT200,'TERMINAL CURVES'!$A$4:$A$313,0),MATCH(AX$5,'TERMINAL CURVES'!$A$4:$N$4,0))*IF(AN200=0,0,AP200/AN200))-(AV$8)*((AV$7-$N$5)-(INDEX(ship_curves,MATCH(AT200,'SHIP CURVES'!$A$9:$A$316,0),MATCH(CONCATENATE(AX$4,AX$5,AX$6,AX$7),'SHIP CURVES'!$A$9:$Z$9,0))-INDEX(ship_curves,MATCH(AT200,'SHIP CURVES'!$A$9:$A$316,0),MATCH(CONCATENATE(AX$4,AV$6,AX$6,AX$7),'SHIP CURVES'!$A$9:$Z$9,0)))-(INDEX(terminal_curves,MATCH(AT200,'TERMINAL CURVES'!$A$4:$A$313,0),MATCH(AX$5,'TERMINAL CURVES'!$A$4:$N$4,0))-INDEX(terminal_curves,MATCH(AT200,'TERMINAL CURVES'!$A$4:$A$313,0),MATCH(AV$6,'TERMINAL CURVES'!$A$4:$N$4,0)))*IF(AN200=0,0,AP200/AN200)))*-AN200</f>
        <v>-16400759.7551679</v>
      </c>
      <c r="AY200" s="356" t="n">
        <f aca="false">SUM(AV200:AX200)</f>
        <v>-18339139.6977556</v>
      </c>
      <c r="AZ200" s="357" t="n">
        <f aca="false">(-AP200/((HLOOKUP(AX$5,port_specs,2,0)/(365.25))*(AT201-AT200)))*(INDEX(fixed_capacity_charge,MATCH(AT200,PORTS!$H$11:$H$317,0),MATCH(AX$5,PORTS!$H$11:$N$11,0))+INDEX(variable_om_charge,MATCH(AT200,PORTS!$H$318:$H$625,0),MATCH(AX$5,PORTS!$H$318:$N$318,0)))</f>
        <v>-1035873.10808122</v>
      </c>
      <c r="BA200" s="343" t="n">
        <f aca="false">+AZ200+AY200</f>
        <v>-19375012.8058368</v>
      </c>
      <c r="BB200" s="355" t="n">
        <f aca="false">+BA200+AU200</f>
        <v>100754.096754219</v>
      </c>
      <c r="BC200" s="99"/>
      <c r="BD200" s="357" t="n">
        <f aca="false">+PORTS!I194+PORTS!I502</f>
        <v>1035873.10808122</v>
      </c>
    </row>
    <row r="201" customFormat="false" ht="12.75" hidden="false" customHeight="false" outlineLevel="0" collapsed="false">
      <c r="A201" s="346" t="n">
        <f aca="false">+DATE(YEAR(A200),MONTH(A200)+1,1)</f>
        <v>42278</v>
      </c>
      <c r="B201" s="327" t="n">
        <f aca="false">+IF(AND($A201&gt;=$C$8,$A201&lt;=$C$9),1,0)*PORTS!$I$5/(365.25)*(A202-A201)</f>
        <v>5339105.98184763</v>
      </c>
      <c r="C201" s="328" t="n">
        <f aca="false">+B201-(SUMIF($F$17:$IV$17,$H$17,$F201:$IV201))</f>
        <v>0</v>
      </c>
      <c r="D201" s="0" t="n">
        <f aca="false">+YEAR(E201)</f>
        <v>2015</v>
      </c>
      <c r="E201" s="346" t="n">
        <f aca="false">+DATE(YEAR(E200),MONTH(E200)+1,1)</f>
        <v>42278</v>
      </c>
      <c r="F201" s="327" t="n">
        <f aca="false">+IF(AND(G$8&lt;=E201,G$9&gt;=E201),INDEX(ROUTE_PER_DAY_BY_SHIP,MATCH(CONCATENATE(G$4,G$5,G$7),ROUTE_PER_DAY_ROUTES,0),MATCH(G$6,ROUTE_PER_DAY_SHIPS,0))*(E202-E201),0)</f>
        <v>0</v>
      </c>
      <c r="G201" s="347" t="n">
        <f aca="false">-F201*HLOOKUP(G$6,SHIPS,7,0)*INDEX(LADEN_VOYAGE_DAYS,MATCH(CONCATENATE(G$4,G$5,G$7),LADEN_VOYAGE_ROUTES,0),MATCH(G$6,LADEN_VOYAGE_SHIPS,0))</f>
        <v>-0</v>
      </c>
      <c r="H201" s="348" t="n">
        <f aca="false">SUM(F201:G201)</f>
        <v>0</v>
      </c>
      <c r="I201" s="349" t="n">
        <f aca="false">-(H201)*HLOOKUP(G$5,TERMINAL_CHARGES,3,0)</f>
        <v>-0</v>
      </c>
      <c r="J201" s="327" t="n">
        <f aca="false">+H201+I201</f>
        <v>0</v>
      </c>
      <c r="K201" s="333"/>
      <c r="L201" s="346" t="n">
        <f aca="false">+DATE(YEAR(L200),MONTH(L200)+1,1)</f>
        <v>42278</v>
      </c>
      <c r="M201" s="334" t="n">
        <f aca="false">+J201*(VLOOKUP(L201,CURVECALC!$C$6:$J$312,4,0)+N$5)</f>
        <v>0</v>
      </c>
      <c r="N201" s="350" t="n">
        <f aca="false">-F201*INDEX(ship_curves,MATCH(L201,'SHIP CURVES'!$A$9:$A$316,0),MATCH(CONCATENATE(P$4,P$5,P$6,P$7),'SHIP CURVES'!$A$9:$AZ$9,0))</f>
        <v>-0</v>
      </c>
      <c r="O201" s="351" t="n">
        <f aca="false">-H201*INDEX(port_processing_fee,MATCH(L201,PORTS!$H$626:$H$933,0),MATCH(P$5,PORTS!$H$626:$Z$626,0))</f>
        <v>-0</v>
      </c>
      <c r="P201" s="352" t="n">
        <f aca="false">(((VLOOKUP(L201,curvecalc,4,0))*IF(F201=0,0,J201/F201)-INDEX(ship_curves,MATCH(L201,'SHIP CURVES'!$A$9:$A$316,0),MATCH(CONCATENATE(P$4,P$5,P$6,P$7),'SHIP CURVES'!$A$9:$Z$9,0))-INDEX(terminal_curves,MATCH(L201,'TERMINAL CURVES'!$A$4:$A$313,0),MATCH(P$5,'TERMINAL CURVES'!$A$4:$N$4,0))*IF(F201=0,0,H201/F201))-(N$8)*((N$7-$N$5)-(INDEX(ship_curves,MATCH(L201,'SHIP CURVES'!$A$9:$A$316,0),MATCH(CONCATENATE(P$4,P$5,P$6,P$7),'SHIP CURVES'!$A$9:$Z$9,0))-INDEX(ship_curves,MATCH(L201,'SHIP CURVES'!$A$9:$A$316,0),MATCH(CONCATENATE(P$4,N$6,P$6,P$7),'SHIP CURVES'!$A$9:$Z$9,0)))-(INDEX(terminal_curves,MATCH(L201,'TERMINAL CURVES'!$A$4:$A$313,0),MATCH(P$5,'TERMINAL CURVES'!$A$4:$N$4,0))-INDEX(terminal_curves,MATCH(L201,'TERMINAL CURVES'!$A$4:$A$313,0),MATCH(N$6,'TERMINAL CURVES'!$A$4:$N$4,0)))*IF(F201=0,0,H201/F201)))*-F201</f>
        <v>0</v>
      </c>
      <c r="Q201" s="353" t="n">
        <f aca="false">SUM(N201:P201)</f>
        <v>0</v>
      </c>
      <c r="R201" s="357" t="n">
        <f aca="false">(-H201/((HLOOKUP(P$5,port_specs,2,0)/(365.25))*(L202-L201)))*(INDEX(fixed_capacity_charge,MATCH(L201,PORTS!$H$11:$H$317,0),MATCH(P$5,PORTS!$H$11:$N$11,0))+INDEX(variable_om_charge,MATCH(L201,PORTS!$H$318:$H$625,0),MATCH(P$5,PORTS!$H$318:$N$318,0)))</f>
        <v>-0</v>
      </c>
      <c r="S201" s="343" t="n">
        <f aca="false">+R201+Q201</f>
        <v>0</v>
      </c>
      <c r="T201" s="355" t="n">
        <f aca="false">+S201+M201</f>
        <v>0</v>
      </c>
      <c r="V201" s="346" t="n">
        <f aca="false">+DATE(YEAR(V200),MONTH(V200)+1,1)</f>
        <v>42278</v>
      </c>
      <c r="W201" s="327" t="n">
        <f aca="false">+Y201/(1-HLOOKUP(X$6,SHIPS,7,0)*INDEX(LADEN_VOYAGE_DAYS,MATCH(CONCATENATE(X$4,X$5),LADEN_VOYAGE_ROUTES,0),MATCH(X$6,LADEN_VOYAGE_SHIPS,0)))</f>
        <v>0</v>
      </c>
      <c r="X201" s="347" t="n">
        <f aca="false">+Y201-W201</f>
        <v>0</v>
      </c>
      <c r="Y201" s="348" t="n">
        <f aca="false">+IF(AND(X$8&lt;=V201,X$9&gt;=V201),+MIN($B201-SUMIF($H$17:X$17,Y$17,$H201:X201),((INDEX(ROUTE_PER_DAY_BY_SHIP,MATCH(CONCATENATE(X$4,X$5,X$7),ROUTE_PER_DAY_ROUTES,0),MATCH(X$6,ROUTE_PER_DAY_SHIPS,0))*(V202-V201))-(INDEX(ROUTE_PER_DAY_BY_SHIP,MATCH(CONCATENATE(X$4,X$5,X$7),ROUTE_PER_DAY_ROUTES,0),MATCH(X$6,ROUTE_PER_DAY_SHIPS,0))*(V202-V201))*HLOOKUP(X$6,SHIPS,7,0)*INDEX(LADEN_VOYAGE_DAYS,MATCH(CONCATENATE(X$4,X$5,X$7),LADEN_VOYAGE_ROUTES,0),MATCH(X$6,LADEN_VOYAGE_SHIPS,0)))),0)</f>
        <v>0</v>
      </c>
      <c r="Z201" s="349" t="n">
        <f aca="false">-(Y201)*HLOOKUP(X$5,TERMINAL_CHARGES,3,0)</f>
        <v>-0</v>
      </c>
      <c r="AA201" s="327" t="n">
        <f aca="false">+Y201+Z201</f>
        <v>0</v>
      </c>
      <c r="AB201" s="333"/>
      <c r="AC201" s="346" t="n">
        <f aca="false">+DATE(YEAR(AC200),MONTH(AC200)+1,1)</f>
        <v>42278</v>
      </c>
      <c r="AD201" s="343" t="n">
        <f aca="false">+AA201*(VLOOKUP(AC201,CURVECALC!$C$6:$J$312,4,0)+AE$5)</f>
        <v>0</v>
      </c>
      <c r="AE201" s="350" t="n">
        <f aca="false">-W201*INDEX(ship_curves,MATCH(AC201,'SHIP CURVES'!$A$9:$A$316,0),MATCH(CONCATENATE(AG$4,AG$5,AG$6,AG$7),'SHIP CURVES'!$A$9:$AZ$9,0))</f>
        <v>-0</v>
      </c>
      <c r="AF201" s="351" t="n">
        <f aca="false">-Y201*INDEX(port_processing_fee,MATCH(AC201,PORTS!$H$626:$H$933,0),MATCH(AG$5,PORTS!$H$626:$Z$626,0))</f>
        <v>-0</v>
      </c>
      <c r="AG201" s="352" t="n">
        <f aca="false">(((VLOOKUP(AC201,curvecalc,4,0))*IF(W201=0,0,AA201/W201)-INDEX(ship_curves,MATCH(AC201,'SHIP CURVES'!$A$9:$A$316,0),MATCH(CONCATENATE(AG$4,AG$5,AG$6,AG$7),'SHIP CURVES'!$A$9:$Z$9,0))-INDEX(terminal_curves,MATCH(AC201,'TERMINAL CURVES'!$A$4:$A$313,0),MATCH(AG$5,'TERMINAL CURVES'!$A$4:$N$4,0))*IF(W201=0,0,Y201/W201))-(AE$8)*((AE$7-$N$5)-(INDEX(ship_curves,MATCH(AC201,'SHIP CURVES'!$A$9:$A$316,0),MATCH(CONCATENATE(AG$4,AG$5,AG$6,AG$7),'SHIP CURVES'!$A$9:$Z$9,0))-INDEX(ship_curves,MATCH(AC201,'SHIP CURVES'!$A$9:$A$316,0),MATCH(CONCATENATE(AG$4,AE$6,AG$6,AG$7),'SHIP CURVES'!$A$9:$Z$9,0)))-(INDEX(terminal_curves,MATCH(AC201,'TERMINAL CURVES'!$A$4:$A$313,0),MATCH(AG$5,'TERMINAL CURVES'!$A$4:$N$4,0))-INDEX(terminal_curves,MATCH(AC201,'TERMINAL CURVES'!$A$4:$A$313,0),MATCH(AE$6,'TERMINAL CURVES'!$A$4:$N$4,0)))*IF(W201=0,0,Y201/W201)))*-W201</f>
        <v>0</v>
      </c>
      <c r="AH201" s="356" t="n">
        <f aca="false">SUM(AE201:AG201)</f>
        <v>0</v>
      </c>
      <c r="AI201" s="357" t="n">
        <f aca="false">(-Y201/((HLOOKUP(AG$5,port_specs,2,0)/(365.25))*(AC202-AC201)))*(INDEX(fixed_capacity_charge,MATCH(AC201,PORTS!$H$11:$H$317,0),MATCH(AG$5,PORTS!$H$11:$N$11,0))+INDEX(variable_om_charge,MATCH(AC201,PORTS!$H$318:$H$625,0),MATCH(AG$5,PORTS!$H$318:$N$318,0)))</f>
        <v>-0</v>
      </c>
      <c r="AJ201" s="343" t="n">
        <f aca="false">+AI201+AH201</f>
        <v>0</v>
      </c>
      <c r="AK201" s="355" t="n">
        <f aca="false">+AJ201+AD201</f>
        <v>0</v>
      </c>
      <c r="AM201" s="346" t="n">
        <f aca="false">+DATE(YEAR(AM200),MONTH(AM200)+1,1)</f>
        <v>42278</v>
      </c>
      <c r="AN201" s="327" t="n">
        <f aca="false">+AP201/(1-HLOOKUP(AO$6,SHIPS,7,0)*INDEX(LADEN_VOYAGE_DAYS,MATCH(CONCATENATE(AO$4,AO$5),LADEN_VOYAGE_ROUTES,0),MATCH(AO$6,LADEN_VOYAGE_SHIPS,0)))</f>
        <v>5395761.47735991</v>
      </c>
      <c r="AO201" s="347" t="n">
        <f aca="false">+AP201-AN201</f>
        <v>-56655.4955122788</v>
      </c>
      <c r="AP201" s="348" t="n">
        <f aca="false">+IF(AND(AO$8&lt;=AM201,AO$9&gt;=AM201),+MIN($B201-SUMIF($H$17:AO$17,AP$17,$H201:AO201),((INDEX(ROUTE_PER_DAY_BY_SHIP,MATCH(CONCATENATE(AO$4,AO$5,AO$7),ROUTE_PER_DAY_ROUTES,0),MATCH(AO$6,ROUTE_PER_DAY_SHIPS,0))*(AM202-AM201))-(INDEX(ROUTE_PER_DAY_BY_SHIP,MATCH(CONCATENATE(AO$4,AO$5,AO$7),ROUTE_PER_DAY_ROUTES,0),MATCH(AO$6,ROUTE_PER_DAY_SHIPS,0))*(AM202-AM201))*HLOOKUP(AO$6,SHIPS,7,0)*INDEX(LADEN_VOYAGE_DAYS,MATCH(CONCATENATE(AO$4,AO$5,AO$7),LADEN_VOYAGE_ROUTES,0),MATCH(AO$6,LADEN_VOYAGE_SHIPS,0)))),0)</f>
        <v>5339105.98184763</v>
      </c>
      <c r="AQ201" s="349" t="n">
        <f aca="false">-(AP201)*PORTS!$I$6</f>
        <v>-133477.649546191</v>
      </c>
      <c r="AR201" s="327" t="n">
        <f aca="false">+AP201+AQ201</f>
        <v>5205628.33230144</v>
      </c>
      <c r="AS201" s="333"/>
      <c r="AT201" s="346" t="n">
        <f aca="false">+DATE(YEAR(AT200),MONTH(AT200)+1,1)</f>
        <v>42278</v>
      </c>
      <c r="AU201" s="343" t="n">
        <f aca="false">+AR201*(VLOOKUP(AT201,CURVECALC!$C$6:$J$312,4,0)+AV$5)</f>
        <v>20166604.1593358</v>
      </c>
      <c r="AV201" s="350" t="n">
        <f aca="false">-AN201*INDEX(ship_curves,MATCH(AT201,'SHIP CURVES'!$A$9:$A$316,0),MATCH(CONCATENATE(AX$4,AX$5,AX$6,AX$7),'SHIP CURVES'!$A$9:$AZ$9,0))</f>
        <v>-1832677.64396871</v>
      </c>
      <c r="AW201" s="351" t="n">
        <f aca="false">-AP201*INDEX(port_processing_fee,MATCH(AT201,PORTS!$H$626:$H$933,0),MATCH(AX$5,PORTS!$H$626:$Z$626,0))</f>
        <v>-171114.123471392</v>
      </c>
      <c r="AX201" s="352" t="n">
        <f aca="false">(((VLOOKUP(AT201,curvecalc,4,0))*IF(AN201=0,0,AR201/AN201)-INDEX(ship_curves,MATCH(AT201,'SHIP CURVES'!$A$9:$A$316,0),MATCH(CONCATENATE(AX$4,AX$5,AX$6,AX$7),'SHIP CURVES'!$A$9:$Z$9,0))-INDEX(terminal_curves,MATCH(AT201,'TERMINAL CURVES'!$A$4:$A$313,0),MATCH(AX$5,'TERMINAL CURVES'!$A$4:$N$4,0))*IF(AN201=0,0,AP201/AN201))-(AV$8)*((AV$7-$N$5)-(INDEX(ship_curves,MATCH(AT201,'SHIP CURVES'!$A$9:$A$316,0),MATCH(CONCATENATE(AX$4,AX$5,AX$6,AX$7),'SHIP CURVES'!$A$9:$Z$9,0))-INDEX(ship_curves,MATCH(AT201,'SHIP CURVES'!$A$9:$A$316,0),MATCH(CONCATENATE(AX$4,AV$6,AX$6,AX$7),'SHIP CURVES'!$A$9:$Z$9,0)))-(INDEX(terminal_curves,MATCH(AT201,'TERMINAL CURVES'!$A$4:$A$313,0),MATCH(AX$5,'TERMINAL CURVES'!$A$4:$N$4,0))-INDEX(terminal_curves,MATCH(AT201,'TERMINAL CURVES'!$A$4:$A$313,0),MATCH(AV$6,'TERMINAL CURVES'!$A$4:$N$4,0)))*IF(AN201=0,0,AP201/AN201)))*-AN201</f>
        <v>-17022253.0853589</v>
      </c>
      <c r="AY201" s="356" t="n">
        <f aca="false">SUM(AV201:AX201)</f>
        <v>-19026044.852799</v>
      </c>
      <c r="AZ201" s="357" t="n">
        <f aca="false">(-AP201/((HLOOKUP(AX$5,port_specs,2,0)/(365.25))*(AT202-AT201)))*(INDEX(fixed_capacity_charge,MATCH(AT201,PORTS!$H$11:$H$317,0),MATCH(AX$5,PORTS!$H$11:$N$11,0))+INDEX(variable_om_charge,MATCH(AT201,PORTS!$H$318:$H$625,0),MATCH(AX$5,PORTS!$H$318:$N$318,0)))</f>
        <v>-1036446.73989078</v>
      </c>
      <c r="BA201" s="343" t="n">
        <f aca="false">+AZ201+AY201</f>
        <v>-20062491.5926898</v>
      </c>
      <c r="BB201" s="355" t="n">
        <f aca="false">+BA201+AU201</f>
        <v>104112.566646028</v>
      </c>
      <c r="BC201" s="99"/>
      <c r="BD201" s="357" t="n">
        <f aca="false">+PORTS!I195+PORTS!I503</f>
        <v>1036446.73989078</v>
      </c>
    </row>
    <row r="202" customFormat="false" ht="12.75" hidden="false" customHeight="false" outlineLevel="0" collapsed="false">
      <c r="A202" s="346" t="n">
        <f aca="false">+DATE(YEAR(A201),MONTH(A201)+1,1)</f>
        <v>42309</v>
      </c>
      <c r="B202" s="327" t="n">
        <f aca="false">+IF(AND($A202&gt;=$C$8,$A202&lt;=$C$9),1,0)*PORTS!$I$5/(365.25)*(A203-A202)</f>
        <v>5166876.75662674</v>
      </c>
      <c r="C202" s="328" t="n">
        <f aca="false">+B202-(SUMIF($F$17:$IV$17,$H$17,$F202:$IV202))</f>
        <v>0</v>
      </c>
      <c r="D202" s="0" t="n">
        <f aca="false">+YEAR(E202)</f>
        <v>2015</v>
      </c>
      <c r="E202" s="346" t="n">
        <f aca="false">+DATE(YEAR(E201),MONTH(E201)+1,1)</f>
        <v>42309</v>
      </c>
      <c r="F202" s="327" t="n">
        <f aca="false">+IF(AND(G$8&lt;=E202,G$9&gt;=E202),INDEX(ROUTE_PER_DAY_BY_SHIP,MATCH(CONCATENATE(G$4,G$5,G$7),ROUTE_PER_DAY_ROUTES,0),MATCH(G$6,ROUTE_PER_DAY_SHIPS,0))*(E203-E202),0)</f>
        <v>0</v>
      </c>
      <c r="G202" s="347" t="n">
        <f aca="false">-F202*HLOOKUP(G$6,SHIPS,7,0)*INDEX(LADEN_VOYAGE_DAYS,MATCH(CONCATENATE(G$4,G$5,G$7),LADEN_VOYAGE_ROUTES,0),MATCH(G$6,LADEN_VOYAGE_SHIPS,0))</f>
        <v>-0</v>
      </c>
      <c r="H202" s="348" t="n">
        <f aca="false">SUM(F202:G202)</f>
        <v>0</v>
      </c>
      <c r="I202" s="349" t="n">
        <f aca="false">-(H202)*HLOOKUP(G$5,TERMINAL_CHARGES,3,0)</f>
        <v>-0</v>
      </c>
      <c r="J202" s="327" t="n">
        <f aca="false">+H202+I202</f>
        <v>0</v>
      </c>
      <c r="K202" s="333"/>
      <c r="L202" s="346" t="n">
        <f aca="false">+DATE(YEAR(L201),MONTH(L201)+1,1)</f>
        <v>42309</v>
      </c>
      <c r="M202" s="334" t="n">
        <f aca="false">+J202*(VLOOKUP(L202,CURVECALC!$C$6:$J$312,4,0)+N$5)</f>
        <v>0</v>
      </c>
      <c r="N202" s="350" t="n">
        <f aca="false">-F202*INDEX(ship_curves,MATCH(L202,'SHIP CURVES'!$A$9:$A$316,0),MATCH(CONCATENATE(P$4,P$5,P$6,P$7),'SHIP CURVES'!$A$9:$AZ$9,0))</f>
        <v>-0</v>
      </c>
      <c r="O202" s="351" t="n">
        <f aca="false">-H202*INDEX(port_processing_fee,MATCH(L202,PORTS!$H$626:$H$933,0),MATCH(P$5,PORTS!$H$626:$Z$626,0))</f>
        <v>-0</v>
      </c>
      <c r="P202" s="352" t="n">
        <f aca="false">(((VLOOKUP(L202,curvecalc,4,0))*IF(F202=0,0,J202/F202)-INDEX(ship_curves,MATCH(L202,'SHIP CURVES'!$A$9:$A$316,0),MATCH(CONCATENATE(P$4,P$5,P$6,P$7),'SHIP CURVES'!$A$9:$Z$9,0))-INDEX(terminal_curves,MATCH(L202,'TERMINAL CURVES'!$A$4:$A$313,0),MATCH(P$5,'TERMINAL CURVES'!$A$4:$N$4,0))*IF(F202=0,0,H202/F202))-(N$8)*((N$7-$N$5)-(INDEX(ship_curves,MATCH(L202,'SHIP CURVES'!$A$9:$A$316,0),MATCH(CONCATENATE(P$4,P$5,P$6,P$7),'SHIP CURVES'!$A$9:$Z$9,0))-INDEX(ship_curves,MATCH(L202,'SHIP CURVES'!$A$9:$A$316,0),MATCH(CONCATENATE(P$4,N$6,P$6,P$7),'SHIP CURVES'!$A$9:$Z$9,0)))-(INDEX(terminal_curves,MATCH(L202,'TERMINAL CURVES'!$A$4:$A$313,0),MATCH(P$5,'TERMINAL CURVES'!$A$4:$N$4,0))-INDEX(terminal_curves,MATCH(L202,'TERMINAL CURVES'!$A$4:$A$313,0),MATCH(N$6,'TERMINAL CURVES'!$A$4:$N$4,0)))*IF(F202=0,0,H202/F202)))*-F202</f>
        <v>0</v>
      </c>
      <c r="Q202" s="353" t="n">
        <f aca="false">SUM(N202:P202)</f>
        <v>0</v>
      </c>
      <c r="R202" s="357" t="n">
        <f aca="false">(-H202/((HLOOKUP(P$5,port_specs,2,0)/(365.25))*(L203-L202)))*(INDEX(fixed_capacity_charge,MATCH(L202,PORTS!$H$11:$H$317,0),MATCH(P$5,PORTS!$H$11:$N$11,0))+INDEX(variable_om_charge,MATCH(L202,PORTS!$H$318:$H$625,0),MATCH(P$5,PORTS!$H$318:$N$318,0)))</f>
        <v>-0</v>
      </c>
      <c r="S202" s="343" t="n">
        <f aca="false">+R202+Q202</f>
        <v>0</v>
      </c>
      <c r="T202" s="355" t="n">
        <f aca="false">+S202+M202</f>
        <v>0</v>
      </c>
      <c r="V202" s="346" t="n">
        <f aca="false">+DATE(YEAR(V201),MONTH(V201)+1,1)</f>
        <v>42309</v>
      </c>
      <c r="W202" s="327" t="n">
        <f aca="false">+Y202/(1-HLOOKUP(X$6,SHIPS,7,0)*INDEX(LADEN_VOYAGE_DAYS,MATCH(CONCATENATE(X$4,X$5),LADEN_VOYAGE_ROUTES,0),MATCH(X$6,LADEN_VOYAGE_SHIPS,0)))</f>
        <v>0</v>
      </c>
      <c r="X202" s="347" t="n">
        <f aca="false">+Y202-W202</f>
        <v>0</v>
      </c>
      <c r="Y202" s="348" t="n">
        <f aca="false">+IF(AND(X$8&lt;=V202,X$9&gt;=V202),+MIN($B202-SUMIF($H$17:X$17,Y$17,$H202:X202),((INDEX(ROUTE_PER_DAY_BY_SHIP,MATCH(CONCATENATE(X$4,X$5,X$7),ROUTE_PER_DAY_ROUTES,0),MATCH(X$6,ROUTE_PER_DAY_SHIPS,0))*(V203-V202))-(INDEX(ROUTE_PER_DAY_BY_SHIP,MATCH(CONCATENATE(X$4,X$5,X$7),ROUTE_PER_DAY_ROUTES,0),MATCH(X$6,ROUTE_PER_DAY_SHIPS,0))*(V203-V202))*HLOOKUP(X$6,SHIPS,7,0)*INDEX(LADEN_VOYAGE_DAYS,MATCH(CONCATENATE(X$4,X$5,X$7),LADEN_VOYAGE_ROUTES,0),MATCH(X$6,LADEN_VOYAGE_SHIPS,0)))),0)</f>
        <v>0</v>
      </c>
      <c r="Z202" s="349" t="n">
        <f aca="false">-(Y202)*HLOOKUP(X$5,TERMINAL_CHARGES,3,0)</f>
        <v>-0</v>
      </c>
      <c r="AA202" s="327" t="n">
        <f aca="false">+Y202+Z202</f>
        <v>0</v>
      </c>
      <c r="AB202" s="333"/>
      <c r="AC202" s="346" t="n">
        <f aca="false">+DATE(YEAR(AC201),MONTH(AC201)+1,1)</f>
        <v>42309</v>
      </c>
      <c r="AD202" s="343" t="n">
        <f aca="false">+AA202*(VLOOKUP(AC202,CURVECALC!$C$6:$J$312,4,0)+AE$5)</f>
        <v>0</v>
      </c>
      <c r="AE202" s="350" t="n">
        <f aca="false">-W202*INDEX(ship_curves,MATCH(AC202,'SHIP CURVES'!$A$9:$A$316,0),MATCH(CONCATENATE(AG$4,AG$5,AG$6,AG$7),'SHIP CURVES'!$A$9:$AZ$9,0))</f>
        <v>-0</v>
      </c>
      <c r="AF202" s="351" t="n">
        <f aca="false">-Y202*INDEX(port_processing_fee,MATCH(AC202,PORTS!$H$626:$H$933,0),MATCH(AG$5,PORTS!$H$626:$Z$626,0))</f>
        <v>-0</v>
      </c>
      <c r="AG202" s="352" t="n">
        <f aca="false">(((VLOOKUP(AC202,curvecalc,4,0))*IF(W202=0,0,AA202/W202)-INDEX(ship_curves,MATCH(AC202,'SHIP CURVES'!$A$9:$A$316,0),MATCH(CONCATENATE(AG$4,AG$5,AG$6,AG$7),'SHIP CURVES'!$A$9:$Z$9,0))-INDEX(terminal_curves,MATCH(AC202,'TERMINAL CURVES'!$A$4:$A$313,0),MATCH(AG$5,'TERMINAL CURVES'!$A$4:$N$4,0))*IF(W202=0,0,Y202/W202))-(AE$8)*((AE$7-$N$5)-(INDEX(ship_curves,MATCH(AC202,'SHIP CURVES'!$A$9:$A$316,0),MATCH(CONCATENATE(AG$4,AG$5,AG$6,AG$7),'SHIP CURVES'!$A$9:$Z$9,0))-INDEX(ship_curves,MATCH(AC202,'SHIP CURVES'!$A$9:$A$316,0),MATCH(CONCATENATE(AG$4,AE$6,AG$6,AG$7),'SHIP CURVES'!$A$9:$Z$9,0)))-(INDEX(terminal_curves,MATCH(AC202,'TERMINAL CURVES'!$A$4:$A$313,0),MATCH(AG$5,'TERMINAL CURVES'!$A$4:$N$4,0))-INDEX(terminal_curves,MATCH(AC202,'TERMINAL CURVES'!$A$4:$A$313,0),MATCH(AE$6,'TERMINAL CURVES'!$A$4:$N$4,0)))*IF(W202=0,0,Y202/W202)))*-W202</f>
        <v>0</v>
      </c>
      <c r="AH202" s="356" t="n">
        <f aca="false">SUM(AE202:AG202)</f>
        <v>0</v>
      </c>
      <c r="AI202" s="357" t="n">
        <f aca="false">(-Y202/((HLOOKUP(AG$5,port_specs,2,0)/(365.25))*(AC203-AC202)))*(INDEX(fixed_capacity_charge,MATCH(AC202,PORTS!$H$11:$H$317,0),MATCH(AG$5,PORTS!$H$11:$N$11,0))+INDEX(variable_om_charge,MATCH(AC202,PORTS!$H$318:$H$625,0),MATCH(AG$5,PORTS!$H$318:$N$318,0)))</f>
        <v>-0</v>
      </c>
      <c r="AJ202" s="343" t="n">
        <f aca="false">+AI202+AH202</f>
        <v>0</v>
      </c>
      <c r="AK202" s="355" t="n">
        <f aca="false">+AJ202+AD202</f>
        <v>0</v>
      </c>
      <c r="AM202" s="346" t="n">
        <f aca="false">+DATE(YEAR(AM201),MONTH(AM201)+1,1)</f>
        <v>42309</v>
      </c>
      <c r="AN202" s="327" t="n">
        <f aca="false">+AP202/(1-HLOOKUP(AO$6,SHIPS,7,0)*INDEX(LADEN_VOYAGE_DAYS,MATCH(CONCATENATE(AO$4,AO$5),LADEN_VOYAGE_ROUTES,0),MATCH(AO$6,LADEN_VOYAGE_SHIPS,0)))</f>
        <v>5221704.65550959</v>
      </c>
      <c r="AO202" s="347" t="n">
        <f aca="false">+AP202-AN202</f>
        <v>-54827.8988828501</v>
      </c>
      <c r="AP202" s="348" t="n">
        <f aca="false">+IF(AND(AO$8&lt;=AM202,AO$9&gt;=AM202),+MIN($B202-SUMIF($H$17:AO$17,AP$17,$H202:AO202),((INDEX(ROUTE_PER_DAY_BY_SHIP,MATCH(CONCATENATE(AO$4,AO$5,AO$7),ROUTE_PER_DAY_ROUTES,0),MATCH(AO$6,ROUTE_PER_DAY_SHIPS,0))*(AM203-AM202))-(INDEX(ROUTE_PER_DAY_BY_SHIP,MATCH(CONCATENATE(AO$4,AO$5,AO$7),ROUTE_PER_DAY_ROUTES,0),MATCH(AO$6,ROUTE_PER_DAY_SHIPS,0))*(AM203-AM202))*HLOOKUP(AO$6,SHIPS,7,0)*INDEX(LADEN_VOYAGE_DAYS,MATCH(CONCATENATE(AO$4,AO$5,AO$7),LADEN_VOYAGE_ROUTES,0),MATCH(AO$6,LADEN_VOYAGE_SHIPS,0)))),0)</f>
        <v>5166876.75662674</v>
      </c>
      <c r="AQ202" s="349" t="n">
        <f aca="false">-(AP202)*PORTS!$I$6</f>
        <v>-129171.918915669</v>
      </c>
      <c r="AR202" s="327" t="n">
        <f aca="false">+AP202+AQ202</f>
        <v>5037704.83771107</v>
      </c>
      <c r="AS202" s="333"/>
      <c r="AT202" s="346" t="n">
        <f aca="false">+DATE(YEAR(AT201),MONTH(AT201)+1,1)</f>
        <v>42309</v>
      </c>
      <c r="AU202" s="343" t="n">
        <f aca="false">+AR202*(VLOOKUP(AT202,CURVECALC!$C$6:$J$312,4,0)+AV$5)</f>
        <v>19762916.0783405</v>
      </c>
      <c r="AV202" s="350" t="n">
        <f aca="false">-AN202*INDEX(ship_curves,MATCH(AT202,'SHIP CURVES'!$A$9:$A$316,0),MATCH(CONCATENATE(AX$4,AX$5,AX$6,AX$7),'SHIP CURVES'!$A$9:$AZ$9,0))</f>
        <v>-1774161.32867326</v>
      </c>
      <c r="AW202" s="351" t="n">
        <f aca="false">-AP202*INDEX(port_processing_fee,MATCH(AT202,PORTS!$H$626:$H$933,0),MATCH(AX$5,PORTS!$H$626:$Z$626,0))</f>
        <v>-165766.807112911</v>
      </c>
      <c r="AX202" s="352" t="n">
        <f aca="false">(((VLOOKUP(AT202,curvecalc,4,0))*IF(AN202=0,0,AR202/AN202)-INDEX(ship_curves,MATCH(AT202,'SHIP CURVES'!$A$9:$A$316,0),MATCH(CONCATENATE(AX$4,AX$5,AX$6,AX$7),'SHIP CURVES'!$A$9:$Z$9,0))-INDEX(terminal_curves,MATCH(AT202,'TERMINAL CURVES'!$A$4:$A$313,0),MATCH(AX$5,'TERMINAL CURVES'!$A$4:$N$4,0))*IF(AN202=0,0,AP202/AN202))-(AV$8)*((AV$7-$N$5)-(INDEX(ship_curves,MATCH(AT202,'SHIP CURVES'!$A$9:$A$316,0),MATCH(CONCATENATE(AX$4,AX$5,AX$6,AX$7),'SHIP CURVES'!$A$9:$Z$9,0))-INDEX(ship_curves,MATCH(AT202,'SHIP CURVES'!$A$9:$A$316,0),MATCH(CONCATENATE(AX$4,AV$6,AX$6,AX$7),'SHIP CURVES'!$A$9:$Z$9,0)))-(INDEX(terminal_curves,MATCH(AT202,'TERMINAL CURVES'!$A$4:$A$313,0),MATCH(AX$5,'TERMINAL CURVES'!$A$4:$N$4,0))-INDEX(terminal_curves,MATCH(AT202,'TERMINAL CURVES'!$A$4:$A$313,0),MATCH(AV$6,'TERMINAL CURVES'!$A$4:$N$4,0)))*IF(AN202=0,0,AP202/AN202)))*-AN202</f>
        <v>-16685212.8765667</v>
      </c>
      <c r="AY202" s="356" t="n">
        <f aca="false">SUM(AV202:AX202)</f>
        <v>-18625141.0123529</v>
      </c>
      <c r="AZ202" s="357" t="n">
        <f aca="false">(-AP202/((HLOOKUP(AX$5,port_specs,2,0)/(365.25))*(AT203-AT202)))*(INDEX(fixed_capacity_charge,MATCH(AT202,PORTS!$H$11:$H$317,0),MATCH(AX$5,PORTS!$H$11:$N$11,0))+INDEX(variable_om_charge,MATCH(AT202,PORTS!$H$318:$H$625,0),MATCH(AX$5,PORTS!$H$318:$N$318,0)))</f>
        <v>-1037020.96923347</v>
      </c>
      <c r="BA202" s="343" t="n">
        <f aca="false">+AZ202+AY202</f>
        <v>-19662161.9815863</v>
      </c>
      <c r="BB202" s="355" t="n">
        <f aca="false">+BA202+AU202</f>
        <v>100754.096754219</v>
      </c>
      <c r="BC202" s="99"/>
      <c r="BD202" s="357" t="n">
        <f aca="false">+PORTS!I196+PORTS!I504</f>
        <v>1037020.96923347</v>
      </c>
    </row>
    <row r="203" customFormat="false" ht="12.75" hidden="false" customHeight="false" outlineLevel="0" collapsed="false">
      <c r="A203" s="346" t="n">
        <f aca="false">+DATE(YEAR(A202),MONTH(A202)+1,1)</f>
        <v>42339</v>
      </c>
      <c r="B203" s="327" t="n">
        <f aca="false">+IF(AND($A203&gt;=$C$8,$A203&lt;=$C$9),1,0)*PORTS!$I$5/(365.25)*(A204-A203)</f>
        <v>5339105.98184763</v>
      </c>
      <c r="C203" s="328" t="n">
        <f aca="false">+B203-(SUMIF($F$17:$IV$17,$H$17,$F203:$IV203))</f>
        <v>0</v>
      </c>
      <c r="D203" s="0" t="n">
        <f aca="false">+YEAR(E203)</f>
        <v>2015</v>
      </c>
      <c r="E203" s="346" t="n">
        <f aca="false">+DATE(YEAR(E202),MONTH(E202)+1,1)</f>
        <v>42339</v>
      </c>
      <c r="F203" s="327" t="n">
        <f aca="false">+IF(AND(G$8&lt;=E203,G$9&gt;=E203),INDEX(ROUTE_PER_DAY_BY_SHIP,MATCH(CONCATENATE(G$4,G$5,G$7),ROUTE_PER_DAY_ROUTES,0),MATCH(G$6,ROUTE_PER_DAY_SHIPS,0))*(E204-E203),0)</f>
        <v>0</v>
      </c>
      <c r="G203" s="347" t="n">
        <f aca="false">-F203*HLOOKUP(G$6,SHIPS,7,0)*INDEX(LADEN_VOYAGE_DAYS,MATCH(CONCATENATE(G$4,G$5,G$7),LADEN_VOYAGE_ROUTES,0),MATCH(G$6,LADEN_VOYAGE_SHIPS,0))</f>
        <v>-0</v>
      </c>
      <c r="H203" s="348" t="n">
        <f aca="false">SUM(F203:G203)</f>
        <v>0</v>
      </c>
      <c r="I203" s="349" t="n">
        <f aca="false">-(H203)*HLOOKUP(G$5,TERMINAL_CHARGES,3,0)</f>
        <v>-0</v>
      </c>
      <c r="J203" s="327" t="n">
        <f aca="false">+H203+I203</f>
        <v>0</v>
      </c>
      <c r="K203" s="333"/>
      <c r="L203" s="346" t="n">
        <f aca="false">+DATE(YEAR(L202),MONTH(L202)+1,1)</f>
        <v>42339</v>
      </c>
      <c r="M203" s="334" t="n">
        <f aca="false">+J203*(VLOOKUP(L203,CURVECALC!$C$6:$J$312,4,0)+N$5)</f>
        <v>0</v>
      </c>
      <c r="N203" s="350" t="n">
        <f aca="false">-F203*INDEX(ship_curves,MATCH(L203,'SHIP CURVES'!$A$9:$A$316,0),MATCH(CONCATENATE(P$4,P$5,P$6,P$7),'SHIP CURVES'!$A$9:$AZ$9,0))</f>
        <v>-0</v>
      </c>
      <c r="O203" s="351" t="n">
        <f aca="false">-H203*INDEX(port_processing_fee,MATCH(L203,PORTS!$H$626:$H$933,0),MATCH(P$5,PORTS!$H$626:$Z$626,0))</f>
        <v>-0</v>
      </c>
      <c r="P203" s="352" t="n">
        <f aca="false">(((VLOOKUP(L203,curvecalc,4,0))*IF(F203=0,0,J203/F203)-INDEX(ship_curves,MATCH(L203,'SHIP CURVES'!$A$9:$A$316,0),MATCH(CONCATENATE(P$4,P$5,P$6,P$7),'SHIP CURVES'!$A$9:$Z$9,0))-INDEX(terminal_curves,MATCH(L203,'TERMINAL CURVES'!$A$4:$A$313,0),MATCH(P$5,'TERMINAL CURVES'!$A$4:$N$4,0))*IF(F203=0,0,H203/F203))-(N$8)*((N$7-$N$5)-(INDEX(ship_curves,MATCH(L203,'SHIP CURVES'!$A$9:$A$316,0),MATCH(CONCATENATE(P$4,P$5,P$6,P$7),'SHIP CURVES'!$A$9:$Z$9,0))-INDEX(ship_curves,MATCH(L203,'SHIP CURVES'!$A$9:$A$316,0),MATCH(CONCATENATE(P$4,N$6,P$6,P$7),'SHIP CURVES'!$A$9:$Z$9,0)))-(INDEX(terminal_curves,MATCH(L203,'TERMINAL CURVES'!$A$4:$A$313,0),MATCH(P$5,'TERMINAL CURVES'!$A$4:$N$4,0))-INDEX(terminal_curves,MATCH(L203,'TERMINAL CURVES'!$A$4:$A$313,0),MATCH(N$6,'TERMINAL CURVES'!$A$4:$N$4,0)))*IF(F203=0,0,H203/F203)))*-F203</f>
        <v>0</v>
      </c>
      <c r="Q203" s="353" t="n">
        <f aca="false">SUM(N203:P203)</f>
        <v>0</v>
      </c>
      <c r="R203" s="357" t="n">
        <f aca="false">(-H203/((HLOOKUP(P$5,port_specs,2,0)/(365.25))*(L204-L203)))*(INDEX(fixed_capacity_charge,MATCH(L203,PORTS!$H$11:$H$317,0),MATCH(P$5,PORTS!$H$11:$N$11,0))+INDEX(variable_om_charge,MATCH(L203,PORTS!$H$318:$H$625,0),MATCH(P$5,PORTS!$H$318:$N$318,0)))</f>
        <v>-0</v>
      </c>
      <c r="S203" s="343" t="n">
        <f aca="false">+R203+Q203</f>
        <v>0</v>
      </c>
      <c r="T203" s="355" t="n">
        <f aca="false">+S203+M203</f>
        <v>0</v>
      </c>
      <c r="V203" s="346" t="n">
        <f aca="false">+DATE(YEAR(V202),MONTH(V202)+1,1)</f>
        <v>42339</v>
      </c>
      <c r="W203" s="327" t="n">
        <f aca="false">+Y203/(1-HLOOKUP(X$6,SHIPS,7,0)*INDEX(LADEN_VOYAGE_DAYS,MATCH(CONCATENATE(X$4,X$5),LADEN_VOYAGE_ROUTES,0),MATCH(X$6,LADEN_VOYAGE_SHIPS,0)))</f>
        <v>0</v>
      </c>
      <c r="X203" s="347" t="n">
        <f aca="false">+Y203-W203</f>
        <v>0</v>
      </c>
      <c r="Y203" s="348" t="n">
        <f aca="false">+IF(AND(X$8&lt;=V203,X$9&gt;=V203),+MIN($B203-SUMIF($H$17:X$17,Y$17,$H203:X203),((INDEX(ROUTE_PER_DAY_BY_SHIP,MATCH(CONCATENATE(X$4,X$5,X$7),ROUTE_PER_DAY_ROUTES,0),MATCH(X$6,ROUTE_PER_DAY_SHIPS,0))*(V204-V203))-(INDEX(ROUTE_PER_DAY_BY_SHIP,MATCH(CONCATENATE(X$4,X$5,X$7),ROUTE_PER_DAY_ROUTES,0),MATCH(X$6,ROUTE_PER_DAY_SHIPS,0))*(V204-V203))*HLOOKUP(X$6,SHIPS,7,0)*INDEX(LADEN_VOYAGE_DAYS,MATCH(CONCATENATE(X$4,X$5,X$7),LADEN_VOYAGE_ROUTES,0),MATCH(X$6,LADEN_VOYAGE_SHIPS,0)))),0)</f>
        <v>0</v>
      </c>
      <c r="Z203" s="349" t="n">
        <f aca="false">-(Y203)*HLOOKUP(X$5,TERMINAL_CHARGES,3,0)</f>
        <v>-0</v>
      </c>
      <c r="AA203" s="327" t="n">
        <f aca="false">+Y203+Z203</f>
        <v>0</v>
      </c>
      <c r="AB203" s="333"/>
      <c r="AC203" s="346" t="n">
        <f aca="false">+DATE(YEAR(AC202),MONTH(AC202)+1,1)</f>
        <v>42339</v>
      </c>
      <c r="AD203" s="343" t="n">
        <f aca="false">+AA203*(VLOOKUP(AC203,CURVECALC!$C$6:$J$312,4,0)+AE$5)</f>
        <v>0</v>
      </c>
      <c r="AE203" s="350" t="n">
        <f aca="false">-W203*INDEX(ship_curves,MATCH(AC203,'SHIP CURVES'!$A$9:$A$316,0),MATCH(CONCATENATE(AG$4,AG$5,AG$6,AG$7),'SHIP CURVES'!$A$9:$AZ$9,0))</f>
        <v>-0</v>
      </c>
      <c r="AF203" s="351" t="n">
        <f aca="false">-Y203*INDEX(port_processing_fee,MATCH(AC203,PORTS!$H$626:$H$933,0),MATCH(AG$5,PORTS!$H$626:$Z$626,0))</f>
        <v>-0</v>
      </c>
      <c r="AG203" s="352" t="n">
        <f aca="false">(((VLOOKUP(AC203,curvecalc,4,0))*IF(W203=0,0,AA203/W203)-INDEX(ship_curves,MATCH(AC203,'SHIP CURVES'!$A$9:$A$316,0),MATCH(CONCATENATE(AG$4,AG$5,AG$6,AG$7),'SHIP CURVES'!$A$9:$Z$9,0))-INDEX(terminal_curves,MATCH(AC203,'TERMINAL CURVES'!$A$4:$A$313,0),MATCH(AG$5,'TERMINAL CURVES'!$A$4:$N$4,0))*IF(W203=0,0,Y203/W203))-(AE$8)*((AE$7-$N$5)-(INDEX(ship_curves,MATCH(AC203,'SHIP CURVES'!$A$9:$A$316,0),MATCH(CONCATENATE(AG$4,AG$5,AG$6,AG$7),'SHIP CURVES'!$A$9:$Z$9,0))-INDEX(ship_curves,MATCH(AC203,'SHIP CURVES'!$A$9:$A$316,0),MATCH(CONCATENATE(AG$4,AE$6,AG$6,AG$7),'SHIP CURVES'!$A$9:$Z$9,0)))-(INDEX(terminal_curves,MATCH(AC203,'TERMINAL CURVES'!$A$4:$A$313,0),MATCH(AG$5,'TERMINAL CURVES'!$A$4:$N$4,0))-INDEX(terminal_curves,MATCH(AC203,'TERMINAL CURVES'!$A$4:$A$313,0),MATCH(AE$6,'TERMINAL CURVES'!$A$4:$N$4,0)))*IF(W203=0,0,Y203/W203)))*-W203</f>
        <v>0</v>
      </c>
      <c r="AH203" s="356" t="n">
        <f aca="false">SUM(AE203:AG203)</f>
        <v>0</v>
      </c>
      <c r="AI203" s="357" t="n">
        <f aca="false">(-Y203/((HLOOKUP(AG$5,port_specs,2,0)/(365.25))*(AC204-AC203)))*(INDEX(fixed_capacity_charge,MATCH(AC203,PORTS!$H$11:$H$317,0),MATCH(AG$5,PORTS!$H$11:$N$11,0))+INDEX(variable_om_charge,MATCH(AC203,PORTS!$H$318:$H$625,0),MATCH(AG$5,PORTS!$H$318:$N$318,0)))</f>
        <v>-0</v>
      </c>
      <c r="AJ203" s="343" t="n">
        <f aca="false">+AI203+AH203</f>
        <v>0</v>
      </c>
      <c r="AK203" s="355" t="n">
        <f aca="false">+AJ203+AD203</f>
        <v>0</v>
      </c>
      <c r="AM203" s="346" t="n">
        <f aca="false">+DATE(YEAR(AM202),MONTH(AM202)+1,1)</f>
        <v>42339</v>
      </c>
      <c r="AN203" s="327" t="n">
        <f aca="false">+AP203/(1-HLOOKUP(AO$6,SHIPS,7,0)*INDEX(LADEN_VOYAGE_DAYS,MATCH(CONCATENATE(AO$4,AO$5),LADEN_VOYAGE_ROUTES,0),MATCH(AO$6,LADEN_VOYAGE_SHIPS,0)))</f>
        <v>5395761.47735991</v>
      </c>
      <c r="AO203" s="347" t="n">
        <f aca="false">+AP203-AN203</f>
        <v>-56655.4955122788</v>
      </c>
      <c r="AP203" s="348" t="n">
        <f aca="false">+IF(AND(AO$8&lt;=AM203,AO$9&gt;=AM203),+MIN($B203-SUMIF($H$17:AO$17,AP$17,$H203:AO203),((INDEX(ROUTE_PER_DAY_BY_SHIP,MATCH(CONCATENATE(AO$4,AO$5,AO$7),ROUTE_PER_DAY_ROUTES,0),MATCH(AO$6,ROUTE_PER_DAY_SHIPS,0))*(AM204-AM203))-(INDEX(ROUTE_PER_DAY_BY_SHIP,MATCH(CONCATENATE(AO$4,AO$5,AO$7),ROUTE_PER_DAY_ROUTES,0),MATCH(AO$6,ROUTE_PER_DAY_SHIPS,0))*(AM204-AM203))*HLOOKUP(AO$6,SHIPS,7,0)*INDEX(LADEN_VOYAGE_DAYS,MATCH(CONCATENATE(AO$4,AO$5,AO$7),LADEN_VOYAGE_ROUTES,0),MATCH(AO$6,LADEN_VOYAGE_SHIPS,0)))),0)</f>
        <v>5339105.98184763</v>
      </c>
      <c r="AQ203" s="349" t="n">
        <f aca="false">-(AP203)*PORTS!$I$6</f>
        <v>-133477.649546191</v>
      </c>
      <c r="AR203" s="327" t="n">
        <f aca="false">+AP203+AQ203</f>
        <v>5205628.33230144</v>
      </c>
      <c r="AS203" s="333"/>
      <c r="AT203" s="346" t="n">
        <f aca="false">+DATE(YEAR(AT202),MONTH(AT202)+1,1)</f>
        <v>42339</v>
      </c>
      <c r="AU203" s="343" t="n">
        <f aca="false">+AR203*(VLOOKUP(AT203,CURVECALC!$C$6:$J$312,4,0)+AV$5)</f>
        <v>20780868.3025474</v>
      </c>
      <c r="AV203" s="350" t="n">
        <f aca="false">-AN203*INDEX(ship_curves,MATCH(AT203,'SHIP CURVES'!$A$9:$A$316,0),MATCH(CONCATENATE(AX$4,AX$5,AX$6,AX$7),'SHIP CURVES'!$A$9:$AZ$9,0))</f>
        <v>-1833923.73194697</v>
      </c>
      <c r="AW203" s="351" t="n">
        <f aca="false">-AP203*INDEX(port_processing_fee,MATCH(AT203,PORTS!$H$626:$H$933,0),MATCH(AX$5,PORTS!$H$626:$Z$626,0))</f>
        <v>-171470.796899331</v>
      </c>
      <c r="AX203" s="352" t="n">
        <f aca="false">(((VLOOKUP(AT203,curvecalc,4,0))*IF(AN203=0,0,AR203/AN203)-INDEX(ship_curves,MATCH(AT203,'SHIP CURVES'!$A$9:$A$316,0),MATCH(CONCATENATE(AX$4,AX$5,AX$6,AX$7),'SHIP CURVES'!$A$9:$Z$9,0))-INDEX(terminal_curves,MATCH(AT203,'TERMINAL CURVES'!$A$4:$A$313,0),MATCH(AX$5,'TERMINAL CURVES'!$A$4:$N$4,0))*IF(AN203=0,0,AP203/AN203))-(AV$8)*((AV$7-$N$5)-(INDEX(ship_curves,MATCH(AT203,'SHIP CURVES'!$A$9:$A$316,0),MATCH(CONCATENATE(AX$4,AX$5,AX$6,AX$7),'SHIP CURVES'!$A$9:$Z$9,0))-INDEX(ship_curves,MATCH(AT203,'SHIP CURVES'!$A$9:$A$316,0),MATCH(CONCATENATE(AX$4,AV$6,AX$6,AX$7),'SHIP CURVES'!$A$9:$Z$9,0)))-(INDEX(terminal_curves,MATCH(AT203,'TERMINAL CURVES'!$A$4:$A$313,0),MATCH(AX$5,'TERMINAL CURVES'!$A$4:$N$4,0))-INDEX(terminal_curves,MATCH(AT203,'TERMINAL CURVES'!$A$4:$A$313,0),MATCH(AV$6,'TERMINAL CURVES'!$A$4:$N$4,0)))*IF(AN203=0,0,AP203/AN203)))*-AN203</f>
        <v>-17633765.4103233</v>
      </c>
      <c r="AY203" s="356" t="n">
        <f aca="false">SUM(AV203:AX203)</f>
        <v>-19639159.9391696</v>
      </c>
      <c r="AZ203" s="357" t="n">
        <f aca="false">(-AP203/((HLOOKUP(AX$5,port_specs,2,0)/(365.25))*(AT204-AT203)))*(INDEX(fixed_capacity_charge,MATCH(AT203,PORTS!$H$11:$H$317,0),MATCH(AX$5,PORTS!$H$11:$N$11,0))+INDEX(variable_om_charge,MATCH(AT203,PORTS!$H$318:$H$625,0),MATCH(AX$5,PORTS!$H$318:$N$318,0)))</f>
        <v>-1037595.79673173</v>
      </c>
      <c r="BA203" s="343" t="n">
        <f aca="false">+AZ203+AY203</f>
        <v>-20676755.7359013</v>
      </c>
      <c r="BB203" s="355" t="n">
        <f aca="false">+BA203+AU203</f>
        <v>104112.566646028</v>
      </c>
      <c r="BC203" s="99"/>
      <c r="BD203" s="357" t="n">
        <f aca="false">+PORTS!I197+PORTS!I505</f>
        <v>1037595.79673173</v>
      </c>
    </row>
    <row r="204" customFormat="false" ht="12.75" hidden="false" customHeight="false" outlineLevel="0" collapsed="false">
      <c r="A204" s="346" t="n">
        <f aca="false">+DATE(YEAR(A203),MONTH(A203)+1,1)</f>
        <v>42370</v>
      </c>
      <c r="B204" s="327" t="n">
        <f aca="false">+IF(AND($A204&gt;=$C$8,$A204&lt;=$C$9),1,0)*PORTS!$I$5/(365.25)*(A205-A204)</f>
        <v>5339105.98184763</v>
      </c>
      <c r="C204" s="328" t="n">
        <f aca="false">+B204-(SUMIF($F$17:$IV$17,$H$17,$F204:$IV204))</f>
        <v>0</v>
      </c>
      <c r="D204" s="0" t="n">
        <f aca="false">+YEAR(E204)</f>
        <v>2016</v>
      </c>
      <c r="E204" s="346" t="n">
        <f aca="false">+DATE(YEAR(E203),MONTH(E203)+1,1)</f>
        <v>42370</v>
      </c>
      <c r="F204" s="327" t="n">
        <f aca="false">+IF(AND(G$8&lt;=E204,G$9&gt;=E204),INDEX(ROUTE_PER_DAY_BY_SHIP,MATCH(CONCATENATE(G$4,G$5,G$7),ROUTE_PER_DAY_ROUTES,0),MATCH(G$6,ROUTE_PER_DAY_SHIPS,0))*(E205-E204),0)</f>
        <v>0</v>
      </c>
      <c r="G204" s="347" t="n">
        <f aca="false">-F204*HLOOKUP(G$6,SHIPS,7,0)*INDEX(LADEN_VOYAGE_DAYS,MATCH(CONCATENATE(G$4,G$5,G$7),LADEN_VOYAGE_ROUTES,0),MATCH(G$6,LADEN_VOYAGE_SHIPS,0))</f>
        <v>-0</v>
      </c>
      <c r="H204" s="348" t="n">
        <f aca="false">SUM(F204:G204)</f>
        <v>0</v>
      </c>
      <c r="I204" s="349" t="n">
        <f aca="false">-(H204)*HLOOKUP(G$5,TERMINAL_CHARGES,3,0)</f>
        <v>-0</v>
      </c>
      <c r="J204" s="327" t="n">
        <f aca="false">+H204+I204</f>
        <v>0</v>
      </c>
      <c r="K204" s="333"/>
      <c r="L204" s="346" t="n">
        <f aca="false">+DATE(YEAR(L203),MONTH(L203)+1,1)</f>
        <v>42370</v>
      </c>
      <c r="M204" s="334" t="n">
        <f aca="false">+J204*(VLOOKUP(L204,CURVECALC!$C$6:$J$312,4,0)+N$5)</f>
        <v>0</v>
      </c>
      <c r="N204" s="350" t="n">
        <f aca="false">-F204*INDEX(ship_curves,MATCH(L204,'SHIP CURVES'!$A$9:$A$316,0),MATCH(CONCATENATE(P$4,P$5,P$6,P$7),'SHIP CURVES'!$A$9:$AZ$9,0))</f>
        <v>-0</v>
      </c>
      <c r="O204" s="351" t="n">
        <f aca="false">-H204*INDEX(port_processing_fee,MATCH(L204,PORTS!$H$626:$H$933,0),MATCH(P$5,PORTS!$H$626:$Z$626,0))</f>
        <v>-0</v>
      </c>
      <c r="P204" s="352" t="n">
        <f aca="false">(((VLOOKUP(L204,curvecalc,4,0))*IF(F204=0,0,J204/F204)-INDEX(ship_curves,MATCH(L204,'SHIP CURVES'!$A$9:$A$316,0),MATCH(CONCATENATE(P$4,P$5,P$6,P$7),'SHIP CURVES'!$A$9:$Z$9,0))-INDEX(terminal_curves,MATCH(L204,'TERMINAL CURVES'!$A$4:$A$313,0),MATCH(P$5,'TERMINAL CURVES'!$A$4:$N$4,0))*IF(F204=0,0,H204/F204))-(N$8)*((N$7-$N$5)-(INDEX(ship_curves,MATCH(L204,'SHIP CURVES'!$A$9:$A$316,0),MATCH(CONCATENATE(P$4,P$5,P$6,P$7),'SHIP CURVES'!$A$9:$Z$9,0))-INDEX(ship_curves,MATCH(L204,'SHIP CURVES'!$A$9:$A$316,0),MATCH(CONCATENATE(P$4,N$6,P$6,P$7),'SHIP CURVES'!$A$9:$Z$9,0)))-(INDEX(terminal_curves,MATCH(L204,'TERMINAL CURVES'!$A$4:$A$313,0),MATCH(P$5,'TERMINAL CURVES'!$A$4:$N$4,0))-INDEX(terminal_curves,MATCH(L204,'TERMINAL CURVES'!$A$4:$A$313,0),MATCH(N$6,'TERMINAL CURVES'!$A$4:$N$4,0)))*IF(F204=0,0,H204/F204)))*-F204</f>
        <v>0</v>
      </c>
      <c r="Q204" s="353" t="n">
        <f aca="false">SUM(N204:P204)</f>
        <v>0</v>
      </c>
      <c r="R204" s="357" t="n">
        <f aca="false">(-H204/((HLOOKUP(P$5,port_specs,2,0)/(365.25))*(L205-L204)))*(INDEX(fixed_capacity_charge,MATCH(L204,PORTS!$H$11:$H$317,0),MATCH(P$5,PORTS!$H$11:$N$11,0))+INDEX(variable_om_charge,MATCH(L204,PORTS!$H$318:$H$625,0),MATCH(P$5,PORTS!$H$318:$N$318,0)))</f>
        <v>-0</v>
      </c>
      <c r="S204" s="343" t="n">
        <f aca="false">+R204+Q204</f>
        <v>0</v>
      </c>
      <c r="T204" s="355" t="n">
        <f aca="false">+S204+M204</f>
        <v>0</v>
      </c>
      <c r="V204" s="346" t="n">
        <f aca="false">+DATE(YEAR(V203),MONTH(V203)+1,1)</f>
        <v>42370</v>
      </c>
      <c r="W204" s="327" t="n">
        <f aca="false">+Y204/(1-HLOOKUP(X$6,SHIPS,7,0)*INDEX(LADEN_VOYAGE_DAYS,MATCH(CONCATENATE(X$4,X$5),LADEN_VOYAGE_ROUTES,0),MATCH(X$6,LADEN_VOYAGE_SHIPS,0)))</f>
        <v>0</v>
      </c>
      <c r="X204" s="347" t="n">
        <f aca="false">+Y204-W204</f>
        <v>0</v>
      </c>
      <c r="Y204" s="348" t="n">
        <f aca="false">+IF(AND(X$8&lt;=V204,X$9&gt;=V204),+MIN($B204-SUMIF($H$17:X$17,Y$17,$H204:X204),((INDEX(ROUTE_PER_DAY_BY_SHIP,MATCH(CONCATENATE(X$4,X$5,X$7),ROUTE_PER_DAY_ROUTES,0),MATCH(X$6,ROUTE_PER_DAY_SHIPS,0))*(V205-V204))-(INDEX(ROUTE_PER_DAY_BY_SHIP,MATCH(CONCATENATE(X$4,X$5,X$7),ROUTE_PER_DAY_ROUTES,0),MATCH(X$6,ROUTE_PER_DAY_SHIPS,0))*(V205-V204))*HLOOKUP(X$6,SHIPS,7,0)*INDEX(LADEN_VOYAGE_DAYS,MATCH(CONCATENATE(X$4,X$5,X$7),LADEN_VOYAGE_ROUTES,0),MATCH(X$6,LADEN_VOYAGE_SHIPS,0)))),0)</f>
        <v>0</v>
      </c>
      <c r="Z204" s="349" t="n">
        <f aca="false">-(Y204)*HLOOKUP(X$5,TERMINAL_CHARGES,3,0)</f>
        <v>-0</v>
      </c>
      <c r="AA204" s="327" t="n">
        <f aca="false">+Y204+Z204</f>
        <v>0</v>
      </c>
      <c r="AB204" s="333"/>
      <c r="AC204" s="346" t="n">
        <f aca="false">+DATE(YEAR(AC203),MONTH(AC203)+1,1)</f>
        <v>42370</v>
      </c>
      <c r="AD204" s="343" t="n">
        <f aca="false">+AA204*(VLOOKUP(AC204,CURVECALC!$C$6:$J$312,4,0)+AE$5)</f>
        <v>0</v>
      </c>
      <c r="AE204" s="350" t="n">
        <f aca="false">-W204*INDEX(ship_curves,MATCH(AC204,'SHIP CURVES'!$A$9:$A$316,0),MATCH(CONCATENATE(AG$4,AG$5,AG$6,AG$7),'SHIP CURVES'!$A$9:$AZ$9,0))</f>
        <v>-0</v>
      </c>
      <c r="AF204" s="351" t="n">
        <f aca="false">-Y204*INDEX(port_processing_fee,MATCH(AC204,PORTS!$H$626:$H$933,0),MATCH(AG$5,PORTS!$H$626:$Z$626,0))</f>
        <v>-0</v>
      </c>
      <c r="AG204" s="352" t="n">
        <f aca="false">(((VLOOKUP(AC204,curvecalc,4,0))*IF(W204=0,0,AA204/W204)-INDEX(ship_curves,MATCH(AC204,'SHIP CURVES'!$A$9:$A$316,0),MATCH(CONCATENATE(AG$4,AG$5,AG$6,AG$7),'SHIP CURVES'!$A$9:$Z$9,0))-INDEX(terminal_curves,MATCH(AC204,'TERMINAL CURVES'!$A$4:$A$313,0),MATCH(AG$5,'TERMINAL CURVES'!$A$4:$N$4,0))*IF(W204=0,0,Y204/W204))-(AE$8)*((AE$7-$N$5)-(INDEX(ship_curves,MATCH(AC204,'SHIP CURVES'!$A$9:$A$316,0),MATCH(CONCATENATE(AG$4,AG$5,AG$6,AG$7),'SHIP CURVES'!$A$9:$Z$9,0))-INDEX(ship_curves,MATCH(AC204,'SHIP CURVES'!$A$9:$A$316,0),MATCH(CONCATENATE(AG$4,AE$6,AG$6,AG$7),'SHIP CURVES'!$A$9:$Z$9,0)))-(INDEX(terminal_curves,MATCH(AC204,'TERMINAL CURVES'!$A$4:$A$313,0),MATCH(AG$5,'TERMINAL CURVES'!$A$4:$N$4,0))-INDEX(terminal_curves,MATCH(AC204,'TERMINAL CURVES'!$A$4:$A$313,0),MATCH(AE$6,'TERMINAL CURVES'!$A$4:$N$4,0)))*IF(W204=0,0,Y204/W204)))*-W204</f>
        <v>0</v>
      </c>
      <c r="AH204" s="356" t="n">
        <f aca="false">SUM(AE204:AG204)</f>
        <v>0</v>
      </c>
      <c r="AI204" s="357" t="n">
        <f aca="false">(-Y204/((HLOOKUP(AG$5,port_specs,2,0)/(365.25))*(AC205-AC204)))*(INDEX(fixed_capacity_charge,MATCH(AC204,PORTS!$H$11:$H$317,0),MATCH(AG$5,PORTS!$H$11:$N$11,0))+INDEX(variable_om_charge,MATCH(AC204,PORTS!$H$318:$H$625,0),MATCH(AG$5,PORTS!$H$318:$N$318,0)))</f>
        <v>-0</v>
      </c>
      <c r="AJ204" s="343" t="n">
        <f aca="false">+AI204+AH204</f>
        <v>0</v>
      </c>
      <c r="AK204" s="355" t="n">
        <f aca="false">+AJ204+AD204</f>
        <v>0</v>
      </c>
      <c r="AM204" s="346" t="n">
        <f aca="false">+DATE(YEAR(AM203),MONTH(AM203)+1,1)</f>
        <v>42370</v>
      </c>
      <c r="AN204" s="327" t="n">
        <f aca="false">+AP204/(1-HLOOKUP(AO$6,SHIPS,7,0)*INDEX(LADEN_VOYAGE_DAYS,MATCH(CONCATENATE(AO$4,AO$5),LADEN_VOYAGE_ROUTES,0),MATCH(AO$6,LADEN_VOYAGE_SHIPS,0)))</f>
        <v>5395761.47735991</v>
      </c>
      <c r="AO204" s="347" t="n">
        <f aca="false">+AP204-AN204</f>
        <v>-56655.4955122788</v>
      </c>
      <c r="AP204" s="348" t="n">
        <f aca="false">+IF(AND(AO$8&lt;=AM204,AO$9&gt;=AM204),+MIN($B204-SUMIF($H$17:AO$17,AP$17,$H204:AO204),((INDEX(ROUTE_PER_DAY_BY_SHIP,MATCH(CONCATENATE(AO$4,AO$5,AO$7),ROUTE_PER_DAY_ROUTES,0),MATCH(AO$6,ROUTE_PER_DAY_SHIPS,0))*(AM205-AM204))-(INDEX(ROUTE_PER_DAY_BY_SHIP,MATCH(CONCATENATE(AO$4,AO$5,AO$7),ROUTE_PER_DAY_ROUTES,0),MATCH(AO$6,ROUTE_PER_DAY_SHIPS,0))*(AM205-AM204))*HLOOKUP(AO$6,SHIPS,7,0)*INDEX(LADEN_VOYAGE_DAYS,MATCH(CONCATENATE(AO$4,AO$5,AO$7),LADEN_VOYAGE_ROUTES,0),MATCH(AO$6,LADEN_VOYAGE_SHIPS,0)))),0)</f>
        <v>5339105.98184763</v>
      </c>
      <c r="AQ204" s="349" t="n">
        <f aca="false">-(AP204)*PORTS!$I$6</f>
        <v>-133477.649546191</v>
      </c>
      <c r="AR204" s="327" t="n">
        <f aca="false">+AP204+AQ204</f>
        <v>5205628.33230144</v>
      </c>
      <c r="AS204" s="333"/>
      <c r="AT204" s="346" t="n">
        <f aca="false">+DATE(YEAR(AT203),MONTH(AT203)+1,1)</f>
        <v>42370</v>
      </c>
      <c r="AU204" s="343" t="n">
        <f aca="false">+AR204*(VLOOKUP(AT204,CURVECALC!$C$6:$J$312,4,0)+AV$5)</f>
        <v>21790760.1990138</v>
      </c>
      <c r="AV204" s="350" t="n">
        <f aca="false">-AN204*INDEX(ship_curves,MATCH(AT204,'SHIP CURVES'!$A$9:$A$316,0),MATCH(CONCATENATE(AX$4,AX$5,AX$6,AX$7),'SHIP CURVES'!$A$9:$AZ$9,0))</f>
        <v>-1834548.72362391</v>
      </c>
      <c r="AW204" s="351" t="n">
        <f aca="false">-AP204*INDEX(port_processing_fee,MATCH(AT204,PORTS!$H$626:$H$933,0),MATCH(AX$5,PORTS!$H$626:$Z$626,0))</f>
        <v>-171649.412312768</v>
      </c>
      <c r="AX204" s="352" t="n">
        <f aca="false">(((VLOOKUP(AT204,curvecalc,4,0))*IF(AN204=0,0,AR204/AN204)-INDEX(ship_curves,MATCH(AT204,'SHIP CURVES'!$A$9:$A$316,0),MATCH(CONCATENATE(AX$4,AX$5,AX$6,AX$7),'SHIP CURVES'!$A$9:$Z$9,0))-INDEX(terminal_curves,MATCH(AT204,'TERMINAL CURVES'!$A$4:$A$313,0),MATCH(AX$5,'TERMINAL CURVES'!$A$4:$N$4,0))*IF(AN204=0,0,AP204/AN204))-(AV$8)*((AV$7-$N$5)-(INDEX(ship_curves,MATCH(AT204,'SHIP CURVES'!$A$9:$A$316,0),MATCH(CONCATENATE(AX$4,AX$5,AX$6,AX$7),'SHIP CURVES'!$A$9:$Z$9,0))-INDEX(ship_curves,MATCH(AT204,'SHIP CURVES'!$A$9:$A$316,0),MATCH(CONCATENATE(AX$4,AV$6,AX$6,AX$7),'SHIP CURVES'!$A$9:$Z$9,0)))-(INDEX(terminal_curves,MATCH(AT204,'TERMINAL CURVES'!$A$4:$A$313,0),MATCH(AX$5,'TERMINAL CURVES'!$A$4:$N$4,0))-INDEX(terminal_curves,MATCH(AT204,'TERMINAL CURVES'!$A$4:$A$313,0),MATCH(AV$6,'TERMINAL CURVES'!$A$4:$N$4,0)))*IF(AN204=0,0,AP204/AN204)))*-AN204</f>
        <v>-18642278.2734225</v>
      </c>
      <c r="AY204" s="356" t="n">
        <f aca="false">SUM(AV204:AX204)</f>
        <v>-20648476.4093592</v>
      </c>
      <c r="AZ204" s="357" t="n">
        <f aca="false">(-AP204/((HLOOKUP(AX$5,port_specs,2,0)/(365.25))*(AT205-AT204)))*(INDEX(fixed_capacity_charge,MATCH(AT204,PORTS!$H$11:$H$317,0),MATCH(AX$5,PORTS!$H$11:$N$11,0))+INDEX(variable_om_charge,MATCH(AT204,PORTS!$H$318:$H$625,0),MATCH(AX$5,PORTS!$H$318:$N$318,0)))</f>
        <v>-1038171.22300862</v>
      </c>
      <c r="BA204" s="343" t="n">
        <f aca="false">+AZ204+AY204</f>
        <v>-21686647.6323678</v>
      </c>
      <c r="BB204" s="355" t="n">
        <f aca="false">+BA204+AU204</f>
        <v>104112.566646025</v>
      </c>
      <c r="BC204" s="99"/>
      <c r="BD204" s="357" t="n">
        <f aca="false">+PORTS!I198+PORTS!I506</f>
        <v>1038171.22300862</v>
      </c>
    </row>
    <row r="205" customFormat="false" ht="12.75" hidden="false" customHeight="false" outlineLevel="0" collapsed="false">
      <c r="A205" s="346" t="n">
        <f aca="false">+DATE(YEAR(A204),MONTH(A204)+1,1)</f>
        <v>42401</v>
      </c>
      <c r="B205" s="327" t="n">
        <f aca="false">+IF(AND($A205&gt;=$C$8,$A205&lt;=$C$9),1,0)*PORTS!$I$5/(365.25)*(A206-A205)</f>
        <v>4994647.53140585</v>
      </c>
      <c r="C205" s="328" t="n">
        <f aca="false">+B205-(SUMIF($F$17:$IV$17,$H$17,$F205:$IV205))</f>
        <v>0</v>
      </c>
      <c r="D205" s="0" t="n">
        <f aca="false">+YEAR(E205)</f>
        <v>2016</v>
      </c>
      <c r="E205" s="346" t="n">
        <f aca="false">+DATE(YEAR(E204),MONTH(E204)+1,1)</f>
        <v>42401</v>
      </c>
      <c r="F205" s="327" t="n">
        <f aca="false">+IF(AND(G$8&lt;=E205,G$9&gt;=E205),INDEX(ROUTE_PER_DAY_BY_SHIP,MATCH(CONCATENATE(G$4,G$5,G$7),ROUTE_PER_DAY_ROUTES,0),MATCH(G$6,ROUTE_PER_DAY_SHIPS,0))*(E206-E205),0)</f>
        <v>0</v>
      </c>
      <c r="G205" s="347" t="n">
        <f aca="false">-F205*HLOOKUP(G$6,SHIPS,7,0)*INDEX(LADEN_VOYAGE_DAYS,MATCH(CONCATENATE(G$4,G$5,G$7),LADEN_VOYAGE_ROUTES,0),MATCH(G$6,LADEN_VOYAGE_SHIPS,0))</f>
        <v>-0</v>
      </c>
      <c r="H205" s="348" t="n">
        <f aca="false">SUM(F205:G205)</f>
        <v>0</v>
      </c>
      <c r="I205" s="349" t="n">
        <f aca="false">-(H205)*HLOOKUP(G$5,TERMINAL_CHARGES,3,0)</f>
        <v>-0</v>
      </c>
      <c r="J205" s="327" t="n">
        <f aca="false">+H205+I205</f>
        <v>0</v>
      </c>
      <c r="K205" s="333"/>
      <c r="L205" s="346" t="n">
        <f aca="false">+DATE(YEAR(L204),MONTH(L204)+1,1)</f>
        <v>42401</v>
      </c>
      <c r="M205" s="334" t="n">
        <f aca="false">+J205*(VLOOKUP(L205,CURVECALC!$C$6:$J$312,4,0)+N$5)</f>
        <v>0</v>
      </c>
      <c r="N205" s="350" t="n">
        <f aca="false">-F205*INDEX(ship_curves,MATCH(L205,'SHIP CURVES'!$A$9:$A$316,0),MATCH(CONCATENATE(P$4,P$5,P$6,P$7),'SHIP CURVES'!$A$9:$AZ$9,0))</f>
        <v>-0</v>
      </c>
      <c r="O205" s="351" t="n">
        <f aca="false">-H205*INDEX(port_processing_fee,MATCH(L205,PORTS!$H$626:$H$933,0),MATCH(P$5,PORTS!$H$626:$Z$626,0))</f>
        <v>-0</v>
      </c>
      <c r="P205" s="352" t="n">
        <f aca="false">(((VLOOKUP(L205,curvecalc,4,0))*IF(F205=0,0,J205/F205)-INDEX(ship_curves,MATCH(L205,'SHIP CURVES'!$A$9:$A$316,0),MATCH(CONCATENATE(P$4,P$5,P$6,P$7),'SHIP CURVES'!$A$9:$Z$9,0))-INDEX(terminal_curves,MATCH(L205,'TERMINAL CURVES'!$A$4:$A$313,0),MATCH(P$5,'TERMINAL CURVES'!$A$4:$N$4,0))*IF(F205=0,0,H205/F205))-(N$8)*((N$7-$N$5)-(INDEX(ship_curves,MATCH(L205,'SHIP CURVES'!$A$9:$A$316,0),MATCH(CONCATENATE(P$4,P$5,P$6,P$7),'SHIP CURVES'!$A$9:$Z$9,0))-INDEX(ship_curves,MATCH(L205,'SHIP CURVES'!$A$9:$A$316,0),MATCH(CONCATENATE(P$4,N$6,P$6,P$7),'SHIP CURVES'!$A$9:$Z$9,0)))-(INDEX(terminal_curves,MATCH(L205,'TERMINAL CURVES'!$A$4:$A$313,0),MATCH(P$5,'TERMINAL CURVES'!$A$4:$N$4,0))-INDEX(terminal_curves,MATCH(L205,'TERMINAL CURVES'!$A$4:$A$313,0),MATCH(N$6,'TERMINAL CURVES'!$A$4:$N$4,0)))*IF(F205=0,0,H205/F205)))*-F205</f>
        <v>0</v>
      </c>
      <c r="Q205" s="353" t="n">
        <f aca="false">SUM(N205:P205)</f>
        <v>0</v>
      </c>
      <c r="R205" s="357" t="n">
        <f aca="false">(-H205/((HLOOKUP(P$5,port_specs,2,0)/(365.25))*(L206-L205)))*(INDEX(fixed_capacity_charge,MATCH(L205,PORTS!$H$11:$H$317,0),MATCH(P$5,PORTS!$H$11:$N$11,0))+INDEX(variable_om_charge,MATCH(L205,PORTS!$H$318:$H$625,0),MATCH(P$5,PORTS!$H$318:$N$318,0)))</f>
        <v>-0</v>
      </c>
      <c r="S205" s="343" t="n">
        <f aca="false">+R205+Q205</f>
        <v>0</v>
      </c>
      <c r="T205" s="355" t="n">
        <f aca="false">+S205+M205</f>
        <v>0</v>
      </c>
      <c r="V205" s="346" t="n">
        <f aca="false">+DATE(YEAR(V204),MONTH(V204)+1,1)</f>
        <v>42401</v>
      </c>
      <c r="W205" s="327" t="n">
        <f aca="false">+Y205/(1-HLOOKUP(X$6,SHIPS,7,0)*INDEX(LADEN_VOYAGE_DAYS,MATCH(CONCATENATE(X$4,X$5),LADEN_VOYAGE_ROUTES,0),MATCH(X$6,LADEN_VOYAGE_SHIPS,0)))</f>
        <v>0</v>
      </c>
      <c r="X205" s="347" t="n">
        <f aca="false">+Y205-W205</f>
        <v>0</v>
      </c>
      <c r="Y205" s="348" t="n">
        <f aca="false">+IF(AND(X$8&lt;=V205,X$9&gt;=V205),+MIN($B205-SUMIF($H$17:X$17,Y$17,$H205:X205),((INDEX(ROUTE_PER_DAY_BY_SHIP,MATCH(CONCATENATE(X$4,X$5,X$7),ROUTE_PER_DAY_ROUTES,0),MATCH(X$6,ROUTE_PER_DAY_SHIPS,0))*(V206-V205))-(INDEX(ROUTE_PER_DAY_BY_SHIP,MATCH(CONCATENATE(X$4,X$5,X$7),ROUTE_PER_DAY_ROUTES,0),MATCH(X$6,ROUTE_PER_DAY_SHIPS,0))*(V206-V205))*HLOOKUP(X$6,SHIPS,7,0)*INDEX(LADEN_VOYAGE_DAYS,MATCH(CONCATENATE(X$4,X$5,X$7),LADEN_VOYAGE_ROUTES,0),MATCH(X$6,LADEN_VOYAGE_SHIPS,0)))),0)</f>
        <v>0</v>
      </c>
      <c r="Z205" s="349" t="n">
        <f aca="false">-(Y205)*HLOOKUP(X$5,TERMINAL_CHARGES,3,0)</f>
        <v>-0</v>
      </c>
      <c r="AA205" s="327" t="n">
        <f aca="false">+Y205+Z205</f>
        <v>0</v>
      </c>
      <c r="AB205" s="333"/>
      <c r="AC205" s="346" t="n">
        <f aca="false">+DATE(YEAR(AC204),MONTH(AC204)+1,1)</f>
        <v>42401</v>
      </c>
      <c r="AD205" s="343" t="n">
        <f aca="false">+AA205*(VLOOKUP(AC205,CURVECALC!$C$6:$J$312,4,0)+AE$5)</f>
        <v>0</v>
      </c>
      <c r="AE205" s="350" t="n">
        <f aca="false">-W205*INDEX(ship_curves,MATCH(AC205,'SHIP CURVES'!$A$9:$A$316,0),MATCH(CONCATENATE(AG$4,AG$5,AG$6,AG$7),'SHIP CURVES'!$A$9:$AZ$9,0))</f>
        <v>-0</v>
      </c>
      <c r="AF205" s="351" t="n">
        <f aca="false">-Y205*INDEX(port_processing_fee,MATCH(AC205,PORTS!$H$626:$H$933,0),MATCH(AG$5,PORTS!$H$626:$Z$626,0))</f>
        <v>-0</v>
      </c>
      <c r="AG205" s="352" t="n">
        <f aca="false">(((VLOOKUP(AC205,curvecalc,4,0))*IF(W205=0,0,AA205/W205)-INDEX(ship_curves,MATCH(AC205,'SHIP CURVES'!$A$9:$A$316,0),MATCH(CONCATENATE(AG$4,AG$5,AG$6,AG$7),'SHIP CURVES'!$A$9:$Z$9,0))-INDEX(terminal_curves,MATCH(AC205,'TERMINAL CURVES'!$A$4:$A$313,0),MATCH(AG$5,'TERMINAL CURVES'!$A$4:$N$4,0))*IF(W205=0,0,Y205/W205))-(AE$8)*((AE$7-$N$5)-(INDEX(ship_curves,MATCH(AC205,'SHIP CURVES'!$A$9:$A$316,0),MATCH(CONCATENATE(AG$4,AG$5,AG$6,AG$7),'SHIP CURVES'!$A$9:$Z$9,0))-INDEX(ship_curves,MATCH(AC205,'SHIP CURVES'!$A$9:$A$316,0),MATCH(CONCATENATE(AG$4,AE$6,AG$6,AG$7),'SHIP CURVES'!$A$9:$Z$9,0)))-(INDEX(terminal_curves,MATCH(AC205,'TERMINAL CURVES'!$A$4:$A$313,0),MATCH(AG$5,'TERMINAL CURVES'!$A$4:$N$4,0))-INDEX(terminal_curves,MATCH(AC205,'TERMINAL CURVES'!$A$4:$A$313,0),MATCH(AE$6,'TERMINAL CURVES'!$A$4:$N$4,0)))*IF(W205=0,0,Y205/W205)))*-W205</f>
        <v>0</v>
      </c>
      <c r="AH205" s="356" t="n">
        <f aca="false">SUM(AE205:AG205)</f>
        <v>0</v>
      </c>
      <c r="AI205" s="357" t="n">
        <f aca="false">(-Y205/((HLOOKUP(AG$5,port_specs,2,0)/(365.25))*(AC206-AC205)))*(INDEX(fixed_capacity_charge,MATCH(AC205,PORTS!$H$11:$H$317,0),MATCH(AG$5,PORTS!$H$11:$N$11,0))+INDEX(variable_om_charge,MATCH(AC205,PORTS!$H$318:$H$625,0),MATCH(AG$5,PORTS!$H$318:$N$318,0)))</f>
        <v>-0</v>
      </c>
      <c r="AJ205" s="343" t="n">
        <f aca="false">+AI205+AH205</f>
        <v>0</v>
      </c>
      <c r="AK205" s="355" t="n">
        <f aca="false">+AJ205+AD205</f>
        <v>0</v>
      </c>
      <c r="AM205" s="346" t="n">
        <f aca="false">+DATE(YEAR(AM204),MONTH(AM204)+1,1)</f>
        <v>42401</v>
      </c>
      <c r="AN205" s="327" t="n">
        <f aca="false">+AP205/(1-HLOOKUP(AO$6,SHIPS,7,0)*INDEX(LADEN_VOYAGE_DAYS,MATCH(CONCATENATE(AO$4,AO$5),LADEN_VOYAGE_ROUTES,0),MATCH(AO$6,LADEN_VOYAGE_SHIPS,0)))</f>
        <v>5047647.83365927</v>
      </c>
      <c r="AO205" s="347" t="n">
        <f aca="false">+AP205-AN205</f>
        <v>-53000.3022534223</v>
      </c>
      <c r="AP205" s="348" t="n">
        <f aca="false">+IF(AND(AO$8&lt;=AM205,AO$9&gt;=AM205),+MIN($B205-SUMIF($H$17:AO$17,AP$17,$H205:AO205),((INDEX(ROUTE_PER_DAY_BY_SHIP,MATCH(CONCATENATE(AO$4,AO$5,AO$7),ROUTE_PER_DAY_ROUTES,0),MATCH(AO$6,ROUTE_PER_DAY_SHIPS,0))*(AM206-AM205))-(INDEX(ROUTE_PER_DAY_BY_SHIP,MATCH(CONCATENATE(AO$4,AO$5,AO$7),ROUTE_PER_DAY_ROUTES,0),MATCH(AO$6,ROUTE_PER_DAY_SHIPS,0))*(AM206-AM205))*HLOOKUP(AO$6,SHIPS,7,0)*INDEX(LADEN_VOYAGE_DAYS,MATCH(CONCATENATE(AO$4,AO$5,AO$7),LADEN_VOYAGE_ROUTES,0),MATCH(AO$6,LADEN_VOYAGE_SHIPS,0)))),0)</f>
        <v>4994647.53140585</v>
      </c>
      <c r="AQ205" s="349" t="n">
        <f aca="false">-(AP205)*PORTS!$I$6</f>
        <v>-124866.188285146</v>
      </c>
      <c r="AR205" s="327" t="n">
        <f aca="false">+AP205+AQ205</f>
        <v>4869781.34312071</v>
      </c>
      <c r="AS205" s="333"/>
      <c r="AT205" s="346" t="n">
        <f aca="false">+DATE(YEAR(AT204),MONTH(AT204)+1,1)</f>
        <v>42401</v>
      </c>
      <c r="AU205" s="343" t="n">
        <f aca="false">+AR205*(VLOOKUP(AT205,CURVECALC!$C$6:$J$312,4,0)+AV$5)</f>
        <v>20005061.7575399</v>
      </c>
      <c r="AV205" s="350" t="n">
        <f aca="false">-AN205*INDEX(ship_curves,MATCH(AT205,'SHIP CURVES'!$A$9:$A$316,0),MATCH(CONCATENATE(AX$4,AX$5,AX$6,AX$7),'SHIP CURVES'!$A$9:$AZ$9,0))</f>
        <v>-1716776.62914963</v>
      </c>
      <c r="AW205" s="351" t="n">
        <f aca="false">-AP205*INDEX(port_processing_fee,MATCH(AT205,PORTS!$H$626:$H$933,0),MATCH(AX$5,PORTS!$H$626:$Z$626,0))</f>
        <v>-160742.522572061</v>
      </c>
      <c r="AX205" s="352" t="n">
        <f aca="false">(((VLOOKUP(AT205,curvecalc,4,0))*IF(AN205=0,0,AR205/AN205)-INDEX(ship_curves,MATCH(AT205,'SHIP CURVES'!$A$9:$A$316,0),MATCH(CONCATENATE(AX$4,AX$5,AX$6,AX$7),'SHIP CURVES'!$A$9:$Z$9,0))-INDEX(terminal_curves,MATCH(AT205,'TERMINAL CURVES'!$A$4:$A$313,0),MATCH(AX$5,'TERMINAL CURVES'!$A$4:$N$4,0))*IF(AN205=0,0,AP205/AN205))-(AV$8)*((AV$7-$N$5)-(INDEX(ship_curves,MATCH(AT205,'SHIP CURVES'!$A$9:$A$316,0),MATCH(CONCATENATE(AX$4,AX$5,AX$6,AX$7),'SHIP CURVES'!$A$9:$Z$9,0))-INDEX(ship_curves,MATCH(AT205,'SHIP CURVES'!$A$9:$A$316,0),MATCH(CONCATENATE(AX$4,AV$6,AX$6,AX$7),'SHIP CURVES'!$A$9:$Z$9,0)))-(INDEX(terminal_curves,MATCH(AT205,'TERMINAL CURVES'!$A$4:$A$313,0),MATCH(AX$5,'TERMINAL CURVES'!$A$4:$N$4,0))-INDEX(terminal_curves,MATCH(AT205,'TERMINAL CURVES'!$A$4:$A$313,0),MATCH(AV$6,'TERMINAL CURVES'!$A$4:$N$4,0)))*IF(AN205=0,0,AP205/AN205)))*-AN205</f>
        <v>-16991399.7302679</v>
      </c>
      <c r="AY205" s="356" t="n">
        <f aca="false">SUM(AV205:AX205)</f>
        <v>-18868918.8819895</v>
      </c>
      <c r="AZ205" s="357" t="n">
        <f aca="false">(-AP205/((HLOOKUP(AX$5,port_specs,2,0)/(365.25))*(AT206-AT205)))*(INDEX(fixed_capacity_charge,MATCH(AT205,PORTS!$H$11:$H$317,0),MATCH(AX$5,PORTS!$H$11:$N$11,0))+INDEX(variable_om_charge,MATCH(AT205,PORTS!$H$318:$H$625,0),MATCH(AX$5,PORTS!$H$318:$N$318,0)))</f>
        <v>-1038747.2486879</v>
      </c>
      <c r="BA205" s="343" t="n">
        <f aca="false">+AZ205+AY205</f>
        <v>-19907666.1306774</v>
      </c>
      <c r="BB205" s="355" t="n">
        <f aca="false">+BA205+AU205</f>
        <v>97395.6268624142</v>
      </c>
      <c r="BC205" s="99"/>
      <c r="BD205" s="357" t="n">
        <f aca="false">+PORTS!I199+PORTS!I507</f>
        <v>1038747.2486879</v>
      </c>
    </row>
    <row r="206" customFormat="false" ht="12.75" hidden="false" customHeight="false" outlineLevel="0" collapsed="false">
      <c r="A206" s="346" t="n">
        <f aca="false">+DATE(YEAR(A205),MONTH(A205)+1,1)</f>
        <v>42430</v>
      </c>
      <c r="B206" s="327" t="n">
        <f aca="false">+IF(AND($A206&gt;=$C$8,$A206&lt;=$C$9),1,0)*PORTS!$I$5/(365.25)*(A207-A206)</f>
        <v>5339105.98184763</v>
      </c>
      <c r="C206" s="328" t="n">
        <f aca="false">+B206-(SUMIF($F$17:$IV$17,$H$17,$F206:$IV206))</f>
        <v>0</v>
      </c>
      <c r="D206" s="0" t="n">
        <f aca="false">+YEAR(E206)</f>
        <v>2016</v>
      </c>
      <c r="E206" s="346" t="n">
        <f aca="false">+DATE(YEAR(E205),MONTH(E205)+1,1)</f>
        <v>42430</v>
      </c>
      <c r="F206" s="327" t="n">
        <f aca="false">+IF(AND(G$8&lt;=E206,G$9&gt;=E206),INDEX(ROUTE_PER_DAY_BY_SHIP,MATCH(CONCATENATE(G$4,G$5,G$7),ROUTE_PER_DAY_ROUTES,0),MATCH(G$6,ROUTE_PER_DAY_SHIPS,0))*(E207-E206),0)</f>
        <v>0</v>
      </c>
      <c r="G206" s="347" t="n">
        <f aca="false">-F206*HLOOKUP(G$6,SHIPS,7,0)*INDEX(LADEN_VOYAGE_DAYS,MATCH(CONCATENATE(G$4,G$5,G$7),LADEN_VOYAGE_ROUTES,0),MATCH(G$6,LADEN_VOYAGE_SHIPS,0))</f>
        <v>-0</v>
      </c>
      <c r="H206" s="348" t="n">
        <f aca="false">SUM(F206:G206)</f>
        <v>0</v>
      </c>
      <c r="I206" s="349" t="n">
        <f aca="false">-(H206)*HLOOKUP(G$5,TERMINAL_CHARGES,3,0)</f>
        <v>-0</v>
      </c>
      <c r="J206" s="327" t="n">
        <f aca="false">+H206+I206</f>
        <v>0</v>
      </c>
      <c r="K206" s="333"/>
      <c r="L206" s="346" t="n">
        <f aca="false">+DATE(YEAR(L205),MONTH(L205)+1,1)</f>
        <v>42430</v>
      </c>
      <c r="M206" s="334" t="n">
        <f aca="false">+J206*(VLOOKUP(L206,CURVECALC!$C$6:$J$312,4,0)+N$5)</f>
        <v>0</v>
      </c>
      <c r="N206" s="350" t="n">
        <f aca="false">-F206*INDEX(ship_curves,MATCH(L206,'SHIP CURVES'!$A$9:$A$316,0),MATCH(CONCATENATE(P$4,P$5,P$6,P$7),'SHIP CURVES'!$A$9:$AZ$9,0))</f>
        <v>-0</v>
      </c>
      <c r="O206" s="351" t="n">
        <f aca="false">-H206*INDEX(port_processing_fee,MATCH(L206,PORTS!$H$626:$H$933,0),MATCH(P$5,PORTS!$H$626:$Z$626,0))</f>
        <v>-0</v>
      </c>
      <c r="P206" s="352" t="n">
        <f aca="false">(((VLOOKUP(L206,curvecalc,4,0))*IF(F206=0,0,J206/F206)-INDEX(ship_curves,MATCH(L206,'SHIP CURVES'!$A$9:$A$316,0),MATCH(CONCATENATE(P$4,P$5,P$6,P$7),'SHIP CURVES'!$A$9:$Z$9,0))-INDEX(terminal_curves,MATCH(L206,'TERMINAL CURVES'!$A$4:$A$313,0),MATCH(P$5,'TERMINAL CURVES'!$A$4:$N$4,0))*IF(F206=0,0,H206/F206))-(N$8)*((N$7-$N$5)-(INDEX(ship_curves,MATCH(L206,'SHIP CURVES'!$A$9:$A$316,0),MATCH(CONCATENATE(P$4,P$5,P$6,P$7),'SHIP CURVES'!$A$9:$Z$9,0))-INDEX(ship_curves,MATCH(L206,'SHIP CURVES'!$A$9:$A$316,0),MATCH(CONCATENATE(P$4,N$6,P$6,P$7),'SHIP CURVES'!$A$9:$Z$9,0)))-(INDEX(terminal_curves,MATCH(L206,'TERMINAL CURVES'!$A$4:$A$313,0),MATCH(P$5,'TERMINAL CURVES'!$A$4:$N$4,0))-INDEX(terminal_curves,MATCH(L206,'TERMINAL CURVES'!$A$4:$A$313,0),MATCH(N$6,'TERMINAL CURVES'!$A$4:$N$4,0)))*IF(F206=0,0,H206/F206)))*-F206</f>
        <v>0</v>
      </c>
      <c r="Q206" s="353" t="n">
        <f aca="false">SUM(N206:P206)</f>
        <v>0</v>
      </c>
      <c r="R206" s="357" t="n">
        <f aca="false">(-H206/((HLOOKUP(P$5,port_specs,2,0)/(365.25))*(L207-L206)))*(INDEX(fixed_capacity_charge,MATCH(L206,PORTS!$H$11:$H$317,0),MATCH(P$5,PORTS!$H$11:$N$11,0))+INDEX(variable_om_charge,MATCH(L206,PORTS!$H$318:$H$625,0),MATCH(P$5,PORTS!$H$318:$N$318,0)))</f>
        <v>-0</v>
      </c>
      <c r="S206" s="343" t="n">
        <f aca="false">+R206+Q206</f>
        <v>0</v>
      </c>
      <c r="T206" s="355" t="n">
        <f aca="false">+S206+M206</f>
        <v>0</v>
      </c>
      <c r="V206" s="346" t="n">
        <f aca="false">+DATE(YEAR(V205),MONTH(V205)+1,1)</f>
        <v>42430</v>
      </c>
      <c r="W206" s="327" t="n">
        <f aca="false">+Y206/(1-HLOOKUP(X$6,SHIPS,7,0)*INDEX(LADEN_VOYAGE_DAYS,MATCH(CONCATENATE(X$4,X$5),LADEN_VOYAGE_ROUTES,0),MATCH(X$6,LADEN_VOYAGE_SHIPS,0)))</f>
        <v>0</v>
      </c>
      <c r="X206" s="347" t="n">
        <f aca="false">+Y206-W206</f>
        <v>0</v>
      </c>
      <c r="Y206" s="348" t="n">
        <f aca="false">+IF(AND(X$8&lt;=V206,X$9&gt;=V206),+MIN($B206-SUMIF($H$17:X$17,Y$17,$H206:X206),((INDEX(ROUTE_PER_DAY_BY_SHIP,MATCH(CONCATENATE(X$4,X$5,X$7),ROUTE_PER_DAY_ROUTES,0),MATCH(X$6,ROUTE_PER_DAY_SHIPS,0))*(V207-V206))-(INDEX(ROUTE_PER_DAY_BY_SHIP,MATCH(CONCATENATE(X$4,X$5,X$7),ROUTE_PER_DAY_ROUTES,0),MATCH(X$6,ROUTE_PER_DAY_SHIPS,0))*(V207-V206))*HLOOKUP(X$6,SHIPS,7,0)*INDEX(LADEN_VOYAGE_DAYS,MATCH(CONCATENATE(X$4,X$5,X$7),LADEN_VOYAGE_ROUTES,0),MATCH(X$6,LADEN_VOYAGE_SHIPS,0)))),0)</f>
        <v>0</v>
      </c>
      <c r="Z206" s="349" t="n">
        <f aca="false">-(Y206)*HLOOKUP(X$5,TERMINAL_CHARGES,3,0)</f>
        <v>-0</v>
      </c>
      <c r="AA206" s="327" t="n">
        <f aca="false">+Y206+Z206</f>
        <v>0</v>
      </c>
      <c r="AB206" s="333"/>
      <c r="AC206" s="346" t="n">
        <f aca="false">+DATE(YEAR(AC205),MONTH(AC205)+1,1)</f>
        <v>42430</v>
      </c>
      <c r="AD206" s="343" t="n">
        <f aca="false">+AA206*(VLOOKUP(AC206,CURVECALC!$C$6:$J$312,4,0)+AE$5)</f>
        <v>0</v>
      </c>
      <c r="AE206" s="350" t="n">
        <f aca="false">-W206*INDEX(ship_curves,MATCH(AC206,'SHIP CURVES'!$A$9:$A$316,0),MATCH(CONCATENATE(AG$4,AG$5,AG$6,AG$7),'SHIP CURVES'!$A$9:$AZ$9,0))</f>
        <v>-0</v>
      </c>
      <c r="AF206" s="351" t="n">
        <f aca="false">-Y206*INDEX(port_processing_fee,MATCH(AC206,PORTS!$H$626:$H$933,0),MATCH(AG$5,PORTS!$H$626:$Z$626,0))</f>
        <v>-0</v>
      </c>
      <c r="AG206" s="352" t="n">
        <f aca="false">(((VLOOKUP(AC206,curvecalc,4,0))*IF(W206=0,0,AA206/W206)-INDEX(ship_curves,MATCH(AC206,'SHIP CURVES'!$A$9:$A$316,0),MATCH(CONCATENATE(AG$4,AG$5,AG$6,AG$7),'SHIP CURVES'!$A$9:$Z$9,0))-INDEX(terminal_curves,MATCH(AC206,'TERMINAL CURVES'!$A$4:$A$313,0),MATCH(AG$5,'TERMINAL CURVES'!$A$4:$N$4,0))*IF(W206=0,0,Y206/W206))-(AE$8)*((AE$7-$N$5)-(INDEX(ship_curves,MATCH(AC206,'SHIP CURVES'!$A$9:$A$316,0),MATCH(CONCATENATE(AG$4,AG$5,AG$6,AG$7),'SHIP CURVES'!$A$9:$Z$9,0))-INDEX(ship_curves,MATCH(AC206,'SHIP CURVES'!$A$9:$A$316,0),MATCH(CONCATENATE(AG$4,AE$6,AG$6,AG$7),'SHIP CURVES'!$A$9:$Z$9,0)))-(INDEX(terminal_curves,MATCH(AC206,'TERMINAL CURVES'!$A$4:$A$313,0),MATCH(AG$5,'TERMINAL CURVES'!$A$4:$N$4,0))-INDEX(terminal_curves,MATCH(AC206,'TERMINAL CURVES'!$A$4:$A$313,0),MATCH(AE$6,'TERMINAL CURVES'!$A$4:$N$4,0)))*IF(W206=0,0,Y206/W206)))*-W206</f>
        <v>0</v>
      </c>
      <c r="AH206" s="356" t="n">
        <f aca="false">SUM(AE206:AG206)</f>
        <v>0</v>
      </c>
      <c r="AI206" s="357" t="n">
        <f aca="false">(-Y206/((HLOOKUP(AG$5,port_specs,2,0)/(365.25))*(AC207-AC206)))*(INDEX(fixed_capacity_charge,MATCH(AC206,PORTS!$H$11:$H$317,0),MATCH(AG$5,PORTS!$H$11:$N$11,0))+INDEX(variable_om_charge,MATCH(AC206,PORTS!$H$318:$H$625,0),MATCH(AG$5,PORTS!$H$318:$N$318,0)))</f>
        <v>-0</v>
      </c>
      <c r="AJ206" s="343" t="n">
        <f aca="false">+AI206+AH206</f>
        <v>0</v>
      </c>
      <c r="AK206" s="355" t="n">
        <f aca="false">+AJ206+AD206</f>
        <v>0</v>
      </c>
      <c r="AM206" s="346" t="n">
        <f aca="false">+DATE(YEAR(AM205),MONTH(AM205)+1,1)</f>
        <v>42430</v>
      </c>
      <c r="AN206" s="327" t="n">
        <f aca="false">+AP206/(1-HLOOKUP(AO$6,SHIPS,7,0)*INDEX(LADEN_VOYAGE_DAYS,MATCH(CONCATENATE(AO$4,AO$5),LADEN_VOYAGE_ROUTES,0),MATCH(AO$6,LADEN_VOYAGE_SHIPS,0)))</f>
        <v>5395761.47735991</v>
      </c>
      <c r="AO206" s="347" t="n">
        <f aca="false">+AP206-AN206</f>
        <v>-56655.4955122788</v>
      </c>
      <c r="AP206" s="348" t="n">
        <f aca="false">+IF(AND(AO$8&lt;=AM206,AO$9&gt;=AM206),+MIN($B206-SUMIF($H$17:AO$17,AP$17,$H206:AO206),((INDEX(ROUTE_PER_DAY_BY_SHIP,MATCH(CONCATENATE(AO$4,AO$5,AO$7),ROUTE_PER_DAY_ROUTES,0),MATCH(AO$6,ROUTE_PER_DAY_SHIPS,0))*(AM207-AM206))-(INDEX(ROUTE_PER_DAY_BY_SHIP,MATCH(CONCATENATE(AO$4,AO$5,AO$7),ROUTE_PER_DAY_ROUTES,0),MATCH(AO$6,ROUTE_PER_DAY_SHIPS,0))*(AM207-AM206))*HLOOKUP(AO$6,SHIPS,7,0)*INDEX(LADEN_VOYAGE_DAYS,MATCH(CONCATENATE(AO$4,AO$5,AO$7),LADEN_VOYAGE_ROUTES,0),MATCH(AO$6,LADEN_VOYAGE_SHIPS,0)))),0)</f>
        <v>5339105.98184763</v>
      </c>
      <c r="AQ206" s="349" t="n">
        <f aca="false">-(AP206)*PORTS!$I$6</f>
        <v>-133477.649546191</v>
      </c>
      <c r="AR206" s="327" t="n">
        <f aca="false">+AP206+AQ206</f>
        <v>5205628.33230144</v>
      </c>
      <c r="AS206" s="333"/>
      <c r="AT206" s="346" t="n">
        <f aca="false">+DATE(YEAR(AT205),MONTH(AT205)+1,1)</f>
        <v>42430</v>
      </c>
      <c r="AU206" s="343" t="n">
        <f aca="false">+AR206*(VLOOKUP(AT206,CURVECALC!$C$6:$J$312,4,0)+AV$5)</f>
        <v>20832924.5858704</v>
      </c>
      <c r="AV206" s="350" t="n">
        <f aca="false">-AN206*INDEX(ship_curves,MATCH(AT206,'SHIP CURVES'!$A$9:$A$316,0),MATCH(CONCATENATE(AX$4,AX$5,AX$6,AX$7),'SHIP CURVES'!$A$9:$AZ$9,0))</f>
        <v>-1835802.61588841</v>
      </c>
      <c r="AW206" s="351" t="n">
        <f aca="false">-AP206*INDEX(port_processing_fee,MATCH(AT206,PORTS!$H$626:$H$933,0),MATCH(AX$5,PORTS!$H$626:$Z$626,0))</f>
        <v>-172007.201506618</v>
      </c>
      <c r="AX206" s="352" t="n">
        <f aca="false">(((VLOOKUP(AT206,curvecalc,4,0))*IF(AN206=0,0,AR206/AN206)-INDEX(ship_curves,MATCH(AT206,'SHIP CURVES'!$A$9:$A$316,0),MATCH(CONCATENATE(AX$4,AX$5,AX$6,AX$7),'SHIP CURVES'!$A$9:$Z$9,0))-INDEX(terminal_curves,MATCH(AT206,'TERMINAL CURVES'!$A$4:$A$313,0),MATCH(AX$5,'TERMINAL CURVES'!$A$4:$N$4,0))*IF(AN206=0,0,AP206/AN206))-(AV$8)*((AV$7-$N$5)-(INDEX(ship_curves,MATCH(AT206,'SHIP CURVES'!$A$9:$A$316,0),MATCH(CONCATENATE(AX$4,AX$5,AX$6,AX$7),'SHIP CURVES'!$A$9:$Z$9,0))-INDEX(ship_curves,MATCH(AT206,'SHIP CURVES'!$A$9:$A$316,0),MATCH(CONCATENATE(AX$4,AV$6,AX$6,AX$7),'SHIP CURVES'!$A$9:$Z$9,0)))-(INDEX(terminal_curves,MATCH(AT206,'TERMINAL CURVES'!$A$4:$A$313,0),MATCH(AX$5,'TERMINAL CURVES'!$A$4:$N$4,0))-INDEX(terminal_curves,MATCH(AT206,'TERMINAL CURVES'!$A$4:$A$313,0),MATCH(AV$6,'TERMINAL CURVES'!$A$4:$N$4,0)))*IF(AN206=0,0,AP206/AN206)))*-AN206</f>
        <v>-17681678.3274354</v>
      </c>
      <c r="AY206" s="356" t="n">
        <f aca="false">SUM(AV206:AX206)</f>
        <v>-19689488.1448304</v>
      </c>
      <c r="AZ206" s="357" t="n">
        <f aca="false">(-AP206/((HLOOKUP(AX$5,port_specs,2,0)/(365.25))*(AT207-AT206)))*(INDEX(fixed_capacity_charge,MATCH(AT206,PORTS!$H$11:$H$317,0),MATCH(AX$5,PORTS!$H$11:$N$11,0))+INDEX(variable_om_charge,MATCH(AT206,PORTS!$H$318:$H$625,0),MATCH(AX$5,PORTS!$H$318:$N$318,0)))</f>
        <v>-1039323.87439392</v>
      </c>
      <c r="BA206" s="343" t="n">
        <f aca="false">+AZ206+AY206</f>
        <v>-20728812.0192243</v>
      </c>
      <c r="BB206" s="355" t="n">
        <f aca="false">+BA206+AU206</f>
        <v>104112.566646028</v>
      </c>
      <c r="BC206" s="99"/>
      <c r="BD206" s="357" t="n">
        <f aca="false">+PORTS!I200+PORTS!I508</f>
        <v>1039323.87439392</v>
      </c>
    </row>
    <row r="207" customFormat="false" ht="12.75" hidden="false" customHeight="false" outlineLevel="0" collapsed="false">
      <c r="A207" s="346" t="n">
        <f aca="false">+DATE(YEAR(A206),MONTH(A206)+1,1)</f>
        <v>42461</v>
      </c>
      <c r="B207" s="327" t="n">
        <f aca="false">+IF(AND($A207&gt;=$C$8,$A207&lt;=$C$9),1,0)*PORTS!$I$5/(365.25)*(A208-A207)</f>
        <v>5166876.75662674</v>
      </c>
      <c r="C207" s="328" t="n">
        <f aca="false">+B207-(SUMIF($F$17:$IV$17,$H$17,$F207:$IV207))</f>
        <v>0</v>
      </c>
      <c r="D207" s="0" t="n">
        <f aca="false">+YEAR(E207)</f>
        <v>2016</v>
      </c>
      <c r="E207" s="346" t="n">
        <f aca="false">+DATE(YEAR(E206),MONTH(E206)+1,1)</f>
        <v>42461</v>
      </c>
      <c r="F207" s="327" t="n">
        <f aca="false">+IF(AND(G$8&lt;=E207,G$9&gt;=E207),INDEX(ROUTE_PER_DAY_BY_SHIP,MATCH(CONCATENATE(G$4,G$5,G$7),ROUTE_PER_DAY_ROUTES,0),MATCH(G$6,ROUTE_PER_DAY_SHIPS,0))*(E208-E207),0)</f>
        <v>0</v>
      </c>
      <c r="G207" s="347" t="n">
        <f aca="false">-F207*HLOOKUP(G$6,SHIPS,7,0)*INDEX(LADEN_VOYAGE_DAYS,MATCH(CONCATENATE(G$4,G$5,G$7),LADEN_VOYAGE_ROUTES,0),MATCH(G$6,LADEN_VOYAGE_SHIPS,0))</f>
        <v>-0</v>
      </c>
      <c r="H207" s="348" t="n">
        <f aca="false">SUM(F207:G207)</f>
        <v>0</v>
      </c>
      <c r="I207" s="349" t="n">
        <f aca="false">-(H207)*HLOOKUP(G$5,TERMINAL_CHARGES,3,0)</f>
        <v>-0</v>
      </c>
      <c r="J207" s="327" t="n">
        <f aca="false">+H207+I207</f>
        <v>0</v>
      </c>
      <c r="K207" s="333"/>
      <c r="L207" s="346" t="n">
        <f aca="false">+DATE(YEAR(L206),MONTH(L206)+1,1)</f>
        <v>42461</v>
      </c>
      <c r="M207" s="334" t="n">
        <f aca="false">+J207*(VLOOKUP(L207,CURVECALC!$C$6:$J$312,4,0)+N$5)</f>
        <v>0</v>
      </c>
      <c r="N207" s="350" t="n">
        <f aca="false">-F207*INDEX(ship_curves,MATCH(L207,'SHIP CURVES'!$A$9:$A$316,0),MATCH(CONCATENATE(P$4,P$5,P$6,P$7),'SHIP CURVES'!$A$9:$AZ$9,0))</f>
        <v>-0</v>
      </c>
      <c r="O207" s="351" t="n">
        <f aca="false">-H207*INDEX(port_processing_fee,MATCH(L207,PORTS!$H$626:$H$933,0),MATCH(P$5,PORTS!$H$626:$Z$626,0))</f>
        <v>-0</v>
      </c>
      <c r="P207" s="352" t="n">
        <f aca="false">(((VLOOKUP(L207,curvecalc,4,0))*IF(F207=0,0,J207/F207)-INDEX(ship_curves,MATCH(L207,'SHIP CURVES'!$A$9:$A$316,0),MATCH(CONCATENATE(P$4,P$5,P$6,P$7),'SHIP CURVES'!$A$9:$Z$9,0))-INDEX(terminal_curves,MATCH(L207,'TERMINAL CURVES'!$A$4:$A$313,0),MATCH(P$5,'TERMINAL CURVES'!$A$4:$N$4,0))*IF(F207=0,0,H207/F207))-(N$8)*((N$7-$N$5)-(INDEX(ship_curves,MATCH(L207,'SHIP CURVES'!$A$9:$A$316,0),MATCH(CONCATENATE(P$4,P$5,P$6,P$7),'SHIP CURVES'!$A$9:$Z$9,0))-INDEX(ship_curves,MATCH(L207,'SHIP CURVES'!$A$9:$A$316,0),MATCH(CONCATENATE(P$4,N$6,P$6,P$7),'SHIP CURVES'!$A$9:$Z$9,0)))-(INDEX(terminal_curves,MATCH(L207,'TERMINAL CURVES'!$A$4:$A$313,0),MATCH(P$5,'TERMINAL CURVES'!$A$4:$N$4,0))-INDEX(terminal_curves,MATCH(L207,'TERMINAL CURVES'!$A$4:$A$313,0),MATCH(N$6,'TERMINAL CURVES'!$A$4:$N$4,0)))*IF(F207=0,0,H207/F207)))*-F207</f>
        <v>0</v>
      </c>
      <c r="Q207" s="353" t="n">
        <f aca="false">SUM(N207:P207)</f>
        <v>0</v>
      </c>
      <c r="R207" s="357" t="n">
        <f aca="false">(-H207/((HLOOKUP(P$5,port_specs,2,0)/(365.25))*(L208-L207)))*(INDEX(fixed_capacity_charge,MATCH(L207,PORTS!$H$11:$H$317,0),MATCH(P$5,PORTS!$H$11:$N$11,0))+INDEX(variable_om_charge,MATCH(L207,PORTS!$H$318:$H$625,0),MATCH(P$5,PORTS!$H$318:$N$318,0)))</f>
        <v>-0</v>
      </c>
      <c r="S207" s="343" t="n">
        <f aca="false">+R207+Q207</f>
        <v>0</v>
      </c>
      <c r="T207" s="355" t="n">
        <f aca="false">+S207+M207</f>
        <v>0</v>
      </c>
      <c r="V207" s="346" t="n">
        <f aca="false">+DATE(YEAR(V206),MONTH(V206)+1,1)</f>
        <v>42461</v>
      </c>
      <c r="W207" s="327" t="n">
        <f aca="false">+Y207/(1-HLOOKUP(X$6,SHIPS,7,0)*INDEX(LADEN_VOYAGE_DAYS,MATCH(CONCATENATE(X$4,X$5),LADEN_VOYAGE_ROUTES,0),MATCH(X$6,LADEN_VOYAGE_SHIPS,0)))</f>
        <v>0</v>
      </c>
      <c r="X207" s="347" t="n">
        <f aca="false">+Y207-W207</f>
        <v>0</v>
      </c>
      <c r="Y207" s="348" t="n">
        <f aca="false">+IF(AND(X$8&lt;=V207,X$9&gt;=V207),+MIN($B207-SUMIF($H$17:X$17,Y$17,$H207:X207),((INDEX(ROUTE_PER_DAY_BY_SHIP,MATCH(CONCATENATE(X$4,X$5,X$7),ROUTE_PER_DAY_ROUTES,0),MATCH(X$6,ROUTE_PER_DAY_SHIPS,0))*(V208-V207))-(INDEX(ROUTE_PER_DAY_BY_SHIP,MATCH(CONCATENATE(X$4,X$5,X$7),ROUTE_PER_DAY_ROUTES,0),MATCH(X$6,ROUTE_PER_DAY_SHIPS,0))*(V208-V207))*HLOOKUP(X$6,SHIPS,7,0)*INDEX(LADEN_VOYAGE_DAYS,MATCH(CONCATENATE(X$4,X$5,X$7),LADEN_VOYAGE_ROUTES,0),MATCH(X$6,LADEN_VOYAGE_SHIPS,0)))),0)</f>
        <v>0</v>
      </c>
      <c r="Z207" s="349" t="n">
        <f aca="false">-(Y207)*HLOOKUP(X$5,TERMINAL_CHARGES,3,0)</f>
        <v>-0</v>
      </c>
      <c r="AA207" s="327" t="n">
        <f aca="false">+Y207+Z207</f>
        <v>0</v>
      </c>
      <c r="AB207" s="333"/>
      <c r="AC207" s="346" t="n">
        <f aca="false">+DATE(YEAR(AC206),MONTH(AC206)+1,1)</f>
        <v>42461</v>
      </c>
      <c r="AD207" s="343" t="n">
        <f aca="false">+AA207*(VLOOKUP(AC207,CURVECALC!$C$6:$J$312,4,0)+AE$5)</f>
        <v>0</v>
      </c>
      <c r="AE207" s="350" t="n">
        <f aca="false">-W207*INDEX(ship_curves,MATCH(AC207,'SHIP CURVES'!$A$9:$A$316,0),MATCH(CONCATENATE(AG$4,AG$5,AG$6,AG$7),'SHIP CURVES'!$A$9:$AZ$9,0))</f>
        <v>-0</v>
      </c>
      <c r="AF207" s="351" t="n">
        <f aca="false">-Y207*INDEX(port_processing_fee,MATCH(AC207,PORTS!$H$626:$H$933,0),MATCH(AG$5,PORTS!$H$626:$Z$626,0))</f>
        <v>-0</v>
      </c>
      <c r="AG207" s="352" t="n">
        <f aca="false">(((VLOOKUP(AC207,curvecalc,4,0))*IF(W207=0,0,AA207/W207)-INDEX(ship_curves,MATCH(AC207,'SHIP CURVES'!$A$9:$A$316,0),MATCH(CONCATENATE(AG$4,AG$5,AG$6,AG$7),'SHIP CURVES'!$A$9:$Z$9,0))-INDEX(terminal_curves,MATCH(AC207,'TERMINAL CURVES'!$A$4:$A$313,0),MATCH(AG$5,'TERMINAL CURVES'!$A$4:$N$4,0))*IF(W207=0,0,Y207/W207))-(AE$8)*((AE$7-$N$5)-(INDEX(ship_curves,MATCH(AC207,'SHIP CURVES'!$A$9:$A$316,0),MATCH(CONCATENATE(AG$4,AG$5,AG$6,AG$7),'SHIP CURVES'!$A$9:$Z$9,0))-INDEX(ship_curves,MATCH(AC207,'SHIP CURVES'!$A$9:$A$316,0),MATCH(CONCATENATE(AG$4,AE$6,AG$6,AG$7),'SHIP CURVES'!$A$9:$Z$9,0)))-(INDEX(terminal_curves,MATCH(AC207,'TERMINAL CURVES'!$A$4:$A$313,0),MATCH(AG$5,'TERMINAL CURVES'!$A$4:$N$4,0))-INDEX(terminal_curves,MATCH(AC207,'TERMINAL CURVES'!$A$4:$A$313,0),MATCH(AE$6,'TERMINAL CURVES'!$A$4:$N$4,0)))*IF(W207=0,0,Y207/W207)))*-W207</f>
        <v>0</v>
      </c>
      <c r="AH207" s="356" t="n">
        <f aca="false">SUM(AE207:AG207)</f>
        <v>0</v>
      </c>
      <c r="AI207" s="357" t="n">
        <f aca="false">(-Y207/((HLOOKUP(AG$5,port_specs,2,0)/(365.25))*(AC208-AC207)))*(INDEX(fixed_capacity_charge,MATCH(AC207,PORTS!$H$11:$H$317,0),MATCH(AG$5,PORTS!$H$11:$N$11,0))+INDEX(variable_om_charge,MATCH(AC207,PORTS!$H$318:$H$625,0),MATCH(AG$5,PORTS!$H$318:$N$318,0)))</f>
        <v>-0</v>
      </c>
      <c r="AJ207" s="343" t="n">
        <f aca="false">+AI207+AH207</f>
        <v>0</v>
      </c>
      <c r="AK207" s="355" t="n">
        <f aca="false">+AJ207+AD207</f>
        <v>0</v>
      </c>
      <c r="AM207" s="346" t="n">
        <f aca="false">+DATE(YEAR(AM206),MONTH(AM206)+1,1)</f>
        <v>42461</v>
      </c>
      <c r="AN207" s="327" t="n">
        <f aca="false">+AP207/(1-HLOOKUP(AO$6,SHIPS,7,0)*INDEX(LADEN_VOYAGE_DAYS,MATCH(CONCATENATE(AO$4,AO$5),LADEN_VOYAGE_ROUTES,0),MATCH(AO$6,LADEN_VOYAGE_SHIPS,0)))</f>
        <v>5221704.65550959</v>
      </c>
      <c r="AO207" s="347" t="n">
        <f aca="false">+AP207-AN207</f>
        <v>-54827.8988828501</v>
      </c>
      <c r="AP207" s="348" t="n">
        <f aca="false">+IF(AND(AO$8&lt;=AM207,AO$9&gt;=AM207),+MIN($B207-SUMIF($H$17:AO$17,AP$17,$H207:AO207),((INDEX(ROUTE_PER_DAY_BY_SHIP,MATCH(CONCATENATE(AO$4,AO$5,AO$7),ROUTE_PER_DAY_ROUTES,0),MATCH(AO$6,ROUTE_PER_DAY_SHIPS,0))*(AM208-AM207))-(INDEX(ROUTE_PER_DAY_BY_SHIP,MATCH(CONCATENATE(AO$4,AO$5,AO$7),ROUTE_PER_DAY_ROUTES,0),MATCH(AO$6,ROUTE_PER_DAY_SHIPS,0))*(AM208-AM207))*HLOOKUP(AO$6,SHIPS,7,0)*INDEX(LADEN_VOYAGE_DAYS,MATCH(CONCATENATE(AO$4,AO$5,AO$7),LADEN_VOYAGE_ROUTES,0),MATCH(AO$6,LADEN_VOYAGE_SHIPS,0)))),0)</f>
        <v>5166876.75662674</v>
      </c>
      <c r="AQ207" s="349" t="n">
        <f aca="false">-(AP207)*PORTS!$I$6</f>
        <v>-129171.918915669</v>
      </c>
      <c r="AR207" s="327" t="n">
        <f aca="false">+AP207+AQ207</f>
        <v>5037704.83771107</v>
      </c>
      <c r="AS207" s="333"/>
      <c r="AT207" s="346" t="n">
        <f aca="false">+DATE(YEAR(AT206),MONTH(AT206)+1,1)</f>
        <v>42461</v>
      </c>
      <c r="AU207" s="343" t="n">
        <f aca="false">+AR207*(VLOOKUP(AT207,CURVECALC!$C$6:$J$312,4,0)+AV$5)</f>
        <v>19652086.5719109</v>
      </c>
      <c r="AV207" s="350" t="n">
        <f aca="false">-AN207*INDEX(ship_curves,MATCH(AT207,'SHIP CURVES'!$A$9:$A$316,0),MATCH(CONCATENATE(AX$4,AX$5,AX$6,AX$7),'SHIP CURVES'!$A$9:$AZ$9,0))</f>
        <v>-1777191.79539377</v>
      </c>
      <c r="AW207" s="351" t="n">
        <f aca="false">-AP207*INDEX(port_processing_fee,MATCH(AT207,PORTS!$H$626:$H$933,0),MATCH(AX$5,PORTS!$H$626:$Z$626,0))</f>
        <v>-166631.976459537</v>
      </c>
      <c r="AX207" s="352" t="n">
        <f aca="false">(((VLOOKUP(AT207,curvecalc,4,0))*IF(AN207=0,0,AR207/AN207)-INDEX(ship_curves,MATCH(AT207,'SHIP CURVES'!$A$9:$A$316,0),MATCH(CONCATENATE(AX$4,AX$5,AX$6,AX$7),'SHIP CURVES'!$A$9:$Z$9,0))-INDEX(terminal_curves,MATCH(AT207,'TERMINAL CURVES'!$A$4:$A$313,0),MATCH(AX$5,'TERMINAL CURVES'!$A$4:$N$4,0))*IF(AN207=0,0,AP207/AN207))-(AV$8)*((AV$7-$N$5)-(INDEX(ship_curves,MATCH(AT207,'SHIP CURVES'!$A$9:$A$316,0),MATCH(CONCATENATE(AX$4,AX$5,AX$6,AX$7),'SHIP CURVES'!$A$9:$Z$9,0))-INDEX(ship_curves,MATCH(AT207,'SHIP CURVES'!$A$9:$A$316,0),MATCH(CONCATENATE(AX$4,AV$6,AX$6,AX$7),'SHIP CURVES'!$A$9:$Z$9,0)))-(INDEX(terminal_curves,MATCH(AT207,'TERMINAL CURVES'!$A$4:$A$313,0),MATCH(AX$5,'TERMINAL CURVES'!$A$4:$N$4,0))-INDEX(terminal_curves,MATCH(AT207,'TERMINAL CURVES'!$A$4:$A$313,0),MATCH(AV$6,'TERMINAL CURVES'!$A$4:$N$4,0)))*IF(AN207=0,0,AP207/AN207)))*-AN207</f>
        <v>-16567607.6025517</v>
      </c>
      <c r="AY207" s="356" t="n">
        <f aca="false">SUM(AV207:AX207)</f>
        <v>-18511431.374405</v>
      </c>
      <c r="AZ207" s="357" t="n">
        <f aca="false">(-AP207/((HLOOKUP(AX$5,port_specs,2,0)/(365.25))*(AT208-AT207)))*(INDEX(fixed_capacity_charge,MATCH(AT207,PORTS!$H$11:$H$317,0),MATCH(AX$5,PORTS!$H$11:$N$11,0))+INDEX(variable_om_charge,MATCH(AT207,PORTS!$H$318:$H$625,0),MATCH(AX$5,PORTS!$H$318:$N$318,0)))</f>
        <v>-1039901.10075171</v>
      </c>
      <c r="BA207" s="343" t="n">
        <f aca="false">+AZ207+AY207</f>
        <v>-19551332.4751567</v>
      </c>
      <c r="BB207" s="355" t="n">
        <f aca="false">+BA207+AU207</f>
        <v>100754.096754223</v>
      </c>
      <c r="BC207" s="99"/>
      <c r="BD207" s="357" t="n">
        <f aca="false">+PORTS!I201+PORTS!I509</f>
        <v>1039901.10075171</v>
      </c>
    </row>
    <row r="208" customFormat="false" ht="12.75" hidden="false" customHeight="false" outlineLevel="0" collapsed="false">
      <c r="A208" s="346" t="n">
        <f aca="false">+DATE(YEAR(A207),MONTH(A207)+1,1)</f>
        <v>42491</v>
      </c>
      <c r="B208" s="327" t="n">
        <f aca="false">+IF(AND($A208&gt;=$C$8,$A208&lt;=$C$9),1,0)*PORTS!$I$5/(365.25)*(A209-A208)</f>
        <v>5339105.98184763</v>
      </c>
      <c r="C208" s="328" t="n">
        <f aca="false">+B208-(SUMIF($F$17:$IV$17,$H$17,$F208:$IV208))</f>
        <v>0</v>
      </c>
      <c r="D208" s="0" t="n">
        <f aca="false">+YEAR(E208)</f>
        <v>2016</v>
      </c>
      <c r="E208" s="346" t="n">
        <f aca="false">+DATE(YEAR(E207),MONTH(E207)+1,1)</f>
        <v>42491</v>
      </c>
      <c r="F208" s="327" t="n">
        <f aca="false">+IF(AND(G$8&lt;=E208,G$9&gt;=E208),INDEX(ROUTE_PER_DAY_BY_SHIP,MATCH(CONCATENATE(G$4,G$5,G$7),ROUTE_PER_DAY_ROUTES,0),MATCH(G$6,ROUTE_PER_DAY_SHIPS,0))*(E209-E208),0)</f>
        <v>0</v>
      </c>
      <c r="G208" s="347" t="n">
        <f aca="false">-F208*HLOOKUP(G$6,SHIPS,7,0)*INDEX(LADEN_VOYAGE_DAYS,MATCH(CONCATENATE(G$4,G$5,G$7),LADEN_VOYAGE_ROUTES,0),MATCH(G$6,LADEN_VOYAGE_SHIPS,0))</f>
        <v>-0</v>
      </c>
      <c r="H208" s="348" t="n">
        <f aca="false">SUM(F208:G208)</f>
        <v>0</v>
      </c>
      <c r="I208" s="349" t="n">
        <f aca="false">-(H208)*HLOOKUP(G$5,TERMINAL_CHARGES,3,0)</f>
        <v>-0</v>
      </c>
      <c r="J208" s="327" t="n">
        <f aca="false">+H208+I208</f>
        <v>0</v>
      </c>
      <c r="K208" s="333"/>
      <c r="L208" s="346" t="n">
        <f aca="false">+DATE(YEAR(L207),MONTH(L207)+1,1)</f>
        <v>42491</v>
      </c>
      <c r="M208" s="334" t="n">
        <f aca="false">+J208*(VLOOKUP(L208,CURVECALC!$C$6:$J$312,4,0)+N$5)</f>
        <v>0</v>
      </c>
      <c r="N208" s="350" t="n">
        <f aca="false">-F208*INDEX(ship_curves,MATCH(L208,'SHIP CURVES'!$A$9:$A$316,0),MATCH(CONCATENATE(P$4,P$5,P$6,P$7),'SHIP CURVES'!$A$9:$AZ$9,0))</f>
        <v>-0</v>
      </c>
      <c r="O208" s="351" t="n">
        <f aca="false">-H208*INDEX(port_processing_fee,MATCH(L208,PORTS!$H$626:$H$933,0),MATCH(P$5,PORTS!$H$626:$Z$626,0))</f>
        <v>-0</v>
      </c>
      <c r="P208" s="352" t="n">
        <f aca="false">(((VLOOKUP(L208,curvecalc,4,0))*IF(F208=0,0,J208/F208)-INDEX(ship_curves,MATCH(L208,'SHIP CURVES'!$A$9:$A$316,0),MATCH(CONCATENATE(P$4,P$5,P$6,P$7),'SHIP CURVES'!$A$9:$Z$9,0))-INDEX(terminal_curves,MATCH(L208,'TERMINAL CURVES'!$A$4:$A$313,0),MATCH(P$5,'TERMINAL CURVES'!$A$4:$N$4,0))*IF(F208=0,0,H208/F208))-(N$8)*((N$7-$N$5)-(INDEX(ship_curves,MATCH(L208,'SHIP CURVES'!$A$9:$A$316,0),MATCH(CONCATENATE(P$4,P$5,P$6,P$7),'SHIP CURVES'!$A$9:$Z$9,0))-INDEX(ship_curves,MATCH(L208,'SHIP CURVES'!$A$9:$A$316,0),MATCH(CONCATENATE(P$4,N$6,P$6,P$7),'SHIP CURVES'!$A$9:$Z$9,0)))-(INDEX(terminal_curves,MATCH(L208,'TERMINAL CURVES'!$A$4:$A$313,0),MATCH(P$5,'TERMINAL CURVES'!$A$4:$N$4,0))-INDEX(terminal_curves,MATCH(L208,'TERMINAL CURVES'!$A$4:$A$313,0),MATCH(N$6,'TERMINAL CURVES'!$A$4:$N$4,0)))*IF(F208=0,0,H208/F208)))*-F208</f>
        <v>0</v>
      </c>
      <c r="Q208" s="353" t="n">
        <f aca="false">SUM(N208:P208)</f>
        <v>0</v>
      </c>
      <c r="R208" s="357" t="n">
        <f aca="false">(-H208/((HLOOKUP(P$5,port_specs,2,0)/(365.25))*(L209-L208)))*(INDEX(fixed_capacity_charge,MATCH(L208,PORTS!$H$11:$H$317,0),MATCH(P$5,PORTS!$H$11:$N$11,0))+INDEX(variable_om_charge,MATCH(L208,PORTS!$H$318:$H$625,0),MATCH(P$5,PORTS!$H$318:$N$318,0)))</f>
        <v>-0</v>
      </c>
      <c r="S208" s="343" t="n">
        <f aca="false">+R208+Q208</f>
        <v>0</v>
      </c>
      <c r="T208" s="355" t="n">
        <f aca="false">+S208+M208</f>
        <v>0</v>
      </c>
      <c r="V208" s="346" t="n">
        <f aca="false">+DATE(YEAR(V207),MONTH(V207)+1,1)</f>
        <v>42491</v>
      </c>
      <c r="W208" s="327" t="n">
        <f aca="false">+Y208/(1-HLOOKUP(X$6,SHIPS,7,0)*INDEX(LADEN_VOYAGE_DAYS,MATCH(CONCATENATE(X$4,X$5),LADEN_VOYAGE_ROUTES,0),MATCH(X$6,LADEN_VOYAGE_SHIPS,0)))</f>
        <v>0</v>
      </c>
      <c r="X208" s="347" t="n">
        <f aca="false">+Y208-W208</f>
        <v>0</v>
      </c>
      <c r="Y208" s="348" t="n">
        <f aca="false">+IF(AND(X$8&lt;=V208,X$9&gt;=V208),+MIN($B208-SUMIF($H$17:X$17,Y$17,$H208:X208),((INDEX(ROUTE_PER_DAY_BY_SHIP,MATCH(CONCATENATE(X$4,X$5,X$7),ROUTE_PER_DAY_ROUTES,0),MATCH(X$6,ROUTE_PER_DAY_SHIPS,0))*(V209-V208))-(INDEX(ROUTE_PER_DAY_BY_SHIP,MATCH(CONCATENATE(X$4,X$5,X$7),ROUTE_PER_DAY_ROUTES,0),MATCH(X$6,ROUTE_PER_DAY_SHIPS,0))*(V209-V208))*HLOOKUP(X$6,SHIPS,7,0)*INDEX(LADEN_VOYAGE_DAYS,MATCH(CONCATENATE(X$4,X$5,X$7),LADEN_VOYAGE_ROUTES,0),MATCH(X$6,LADEN_VOYAGE_SHIPS,0)))),0)</f>
        <v>0</v>
      </c>
      <c r="Z208" s="349" t="n">
        <f aca="false">-(Y208)*HLOOKUP(X$5,TERMINAL_CHARGES,3,0)</f>
        <v>-0</v>
      </c>
      <c r="AA208" s="327" t="n">
        <f aca="false">+Y208+Z208</f>
        <v>0</v>
      </c>
      <c r="AB208" s="333"/>
      <c r="AC208" s="346" t="n">
        <f aca="false">+DATE(YEAR(AC207),MONTH(AC207)+1,1)</f>
        <v>42491</v>
      </c>
      <c r="AD208" s="343" t="n">
        <f aca="false">+AA208*(VLOOKUP(AC208,CURVECALC!$C$6:$J$312,4,0)+AE$5)</f>
        <v>0</v>
      </c>
      <c r="AE208" s="350" t="n">
        <f aca="false">-W208*INDEX(ship_curves,MATCH(AC208,'SHIP CURVES'!$A$9:$A$316,0),MATCH(CONCATENATE(AG$4,AG$5,AG$6,AG$7),'SHIP CURVES'!$A$9:$AZ$9,0))</f>
        <v>-0</v>
      </c>
      <c r="AF208" s="351" t="n">
        <f aca="false">-Y208*INDEX(port_processing_fee,MATCH(AC208,PORTS!$H$626:$H$933,0),MATCH(AG$5,PORTS!$H$626:$Z$626,0))</f>
        <v>-0</v>
      </c>
      <c r="AG208" s="352" t="n">
        <f aca="false">(((VLOOKUP(AC208,curvecalc,4,0))*IF(W208=0,0,AA208/W208)-INDEX(ship_curves,MATCH(AC208,'SHIP CURVES'!$A$9:$A$316,0),MATCH(CONCATENATE(AG$4,AG$5,AG$6,AG$7),'SHIP CURVES'!$A$9:$Z$9,0))-INDEX(terminal_curves,MATCH(AC208,'TERMINAL CURVES'!$A$4:$A$313,0),MATCH(AG$5,'TERMINAL CURVES'!$A$4:$N$4,0))*IF(W208=0,0,Y208/W208))-(AE$8)*((AE$7-$N$5)-(INDEX(ship_curves,MATCH(AC208,'SHIP CURVES'!$A$9:$A$316,0),MATCH(CONCATENATE(AG$4,AG$5,AG$6,AG$7),'SHIP CURVES'!$A$9:$Z$9,0))-INDEX(ship_curves,MATCH(AC208,'SHIP CURVES'!$A$9:$A$316,0),MATCH(CONCATENATE(AG$4,AE$6,AG$6,AG$7),'SHIP CURVES'!$A$9:$Z$9,0)))-(INDEX(terminal_curves,MATCH(AC208,'TERMINAL CURVES'!$A$4:$A$313,0),MATCH(AG$5,'TERMINAL CURVES'!$A$4:$N$4,0))-INDEX(terminal_curves,MATCH(AC208,'TERMINAL CURVES'!$A$4:$A$313,0),MATCH(AE$6,'TERMINAL CURVES'!$A$4:$N$4,0)))*IF(W208=0,0,Y208/W208)))*-W208</f>
        <v>0</v>
      </c>
      <c r="AH208" s="356" t="n">
        <f aca="false">SUM(AE208:AG208)</f>
        <v>0</v>
      </c>
      <c r="AI208" s="357" t="n">
        <f aca="false">(-Y208/((HLOOKUP(AG$5,port_specs,2,0)/(365.25))*(AC209-AC208)))*(INDEX(fixed_capacity_charge,MATCH(AC208,PORTS!$H$11:$H$317,0),MATCH(AG$5,PORTS!$H$11:$N$11,0))+INDEX(variable_om_charge,MATCH(AC208,PORTS!$H$318:$H$625,0),MATCH(AG$5,PORTS!$H$318:$N$318,0)))</f>
        <v>-0</v>
      </c>
      <c r="AJ208" s="343" t="n">
        <f aca="false">+AI208+AH208</f>
        <v>0</v>
      </c>
      <c r="AK208" s="355" t="n">
        <f aca="false">+AJ208+AD208</f>
        <v>0</v>
      </c>
      <c r="AM208" s="346" t="n">
        <f aca="false">+DATE(YEAR(AM207),MONTH(AM207)+1,1)</f>
        <v>42491</v>
      </c>
      <c r="AN208" s="327" t="n">
        <f aca="false">+AP208/(1-HLOOKUP(AO$6,SHIPS,7,0)*INDEX(LADEN_VOYAGE_DAYS,MATCH(CONCATENATE(AO$4,AO$5),LADEN_VOYAGE_ROUTES,0),MATCH(AO$6,LADEN_VOYAGE_SHIPS,0)))</f>
        <v>5395761.47735991</v>
      </c>
      <c r="AO208" s="347" t="n">
        <f aca="false">+AP208-AN208</f>
        <v>-56655.4955122788</v>
      </c>
      <c r="AP208" s="348" t="n">
        <f aca="false">+IF(AND(AO$8&lt;=AM208,AO$9&gt;=AM208),+MIN($B208-SUMIF($H$17:AO$17,AP$17,$H208:AO208),((INDEX(ROUTE_PER_DAY_BY_SHIP,MATCH(CONCATENATE(AO$4,AO$5,AO$7),ROUTE_PER_DAY_ROUTES,0),MATCH(AO$6,ROUTE_PER_DAY_SHIPS,0))*(AM209-AM208))-(INDEX(ROUTE_PER_DAY_BY_SHIP,MATCH(CONCATENATE(AO$4,AO$5,AO$7),ROUTE_PER_DAY_ROUTES,0),MATCH(AO$6,ROUTE_PER_DAY_SHIPS,0))*(AM209-AM208))*HLOOKUP(AO$6,SHIPS,7,0)*INDEX(LADEN_VOYAGE_DAYS,MATCH(CONCATENATE(AO$4,AO$5,AO$7),LADEN_VOYAGE_ROUTES,0),MATCH(AO$6,LADEN_VOYAGE_SHIPS,0)))),0)</f>
        <v>5339105.98184763</v>
      </c>
      <c r="AQ208" s="349" t="n">
        <f aca="false">-(AP208)*PORTS!$I$6</f>
        <v>-133477.649546191</v>
      </c>
      <c r="AR208" s="327" t="n">
        <f aca="false">+AP208+AQ208</f>
        <v>5205628.33230144</v>
      </c>
      <c r="AS208" s="333"/>
      <c r="AT208" s="346" t="n">
        <f aca="false">+DATE(YEAR(AT207),MONTH(AT207)+1,1)</f>
        <v>42491</v>
      </c>
      <c r="AU208" s="343" t="n">
        <f aca="false">+AR208*(VLOOKUP(AT208,CURVECALC!$C$6:$J$312,4,0)+AV$5)</f>
        <v>20296744.8676433</v>
      </c>
      <c r="AV208" s="350" t="n">
        <f aca="false">-AN208*INDEX(ship_curves,MATCH(AT208,'SHIP CURVES'!$A$9:$A$316,0),MATCH(CONCATENATE(AX$4,AX$5,AX$6,AX$7),'SHIP CURVES'!$A$9:$AZ$9,0))</f>
        <v>-1837061.73814625</v>
      </c>
      <c r="AW208" s="351" t="n">
        <f aca="false">-AP208*INDEX(port_processing_fee,MATCH(AT208,PORTS!$H$626:$H$933,0),MATCH(AX$5,PORTS!$H$626:$Z$626,0))</f>
        <v>-172365.736482849</v>
      </c>
      <c r="AX208" s="352" t="n">
        <f aca="false">(((VLOOKUP(AT208,curvecalc,4,0))*IF(AN208=0,0,AR208/AN208)-INDEX(ship_curves,MATCH(AT208,'SHIP CURVES'!$A$9:$A$316,0),MATCH(CONCATENATE(AX$4,AX$5,AX$6,AX$7),'SHIP CURVES'!$A$9:$Z$9,0))-INDEX(terminal_curves,MATCH(AT208,'TERMINAL CURVES'!$A$4:$A$313,0),MATCH(AX$5,'TERMINAL CURVES'!$A$4:$N$4,0))*IF(AN208=0,0,AP208/AN208))-(AV$8)*((AV$7-$N$5)-(INDEX(ship_curves,MATCH(AT208,'SHIP CURVES'!$A$9:$A$316,0),MATCH(CONCATENATE(AX$4,AX$5,AX$6,AX$7),'SHIP CURVES'!$A$9:$Z$9,0))-INDEX(ship_curves,MATCH(AT208,'SHIP CURVES'!$A$9:$A$316,0),MATCH(CONCATENATE(AX$4,AV$6,AX$6,AX$7),'SHIP CURVES'!$A$9:$Z$9,0)))-(INDEX(terminal_curves,MATCH(AT208,'TERMINAL CURVES'!$A$4:$A$313,0),MATCH(AX$5,'TERMINAL CURVES'!$A$4:$N$4,0))-INDEX(terminal_curves,MATCH(AT208,'TERMINAL CURVES'!$A$4:$A$313,0),MATCH(AV$6,'TERMINAL CURVES'!$A$4:$N$4,0)))*IF(AN208=0,0,AP208/AN208)))*-AN208</f>
        <v>-17142725.8979812</v>
      </c>
      <c r="AY208" s="356" t="n">
        <f aca="false">SUM(AV208:AX208)</f>
        <v>-19152153.3726103</v>
      </c>
      <c r="AZ208" s="357" t="n">
        <f aca="false">(-AP208/((HLOOKUP(AX$5,port_specs,2,0)/(365.25))*(AT209-AT208)))*(INDEX(fixed_capacity_charge,MATCH(AT208,PORTS!$H$11:$H$317,0),MATCH(AX$5,PORTS!$H$11:$N$11,0))+INDEX(variable_om_charge,MATCH(AT208,PORTS!$H$318:$H$625,0),MATCH(AX$5,PORTS!$H$318:$N$318,0)))</f>
        <v>-1040478.92838697</v>
      </c>
      <c r="BA208" s="343" t="n">
        <f aca="false">+AZ208+AY208</f>
        <v>-20192632.3009973</v>
      </c>
      <c r="BB208" s="355" t="n">
        <f aca="false">+BA208+AU208</f>
        <v>104112.566646028</v>
      </c>
      <c r="BC208" s="99"/>
      <c r="BD208" s="357" t="n">
        <f aca="false">+PORTS!I202+PORTS!I510</f>
        <v>1040478.92838697</v>
      </c>
    </row>
    <row r="209" customFormat="false" ht="12.75" hidden="false" customHeight="false" outlineLevel="0" collapsed="false">
      <c r="A209" s="346" t="n">
        <f aca="false">+DATE(YEAR(A208),MONTH(A208)+1,1)</f>
        <v>42522</v>
      </c>
      <c r="B209" s="327" t="n">
        <f aca="false">+IF(AND($A209&gt;=$C$8,$A209&lt;=$C$9),1,0)*PORTS!$I$5/(365.25)*(A210-A209)</f>
        <v>5166876.75662674</v>
      </c>
      <c r="C209" s="328" t="n">
        <f aca="false">+B209-(SUMIF($F$17:$IV$17,$H$17,$F209:$IV209))</f>
        <v>0</v>
      </c>
      <c r="D209" s="0" t="n">
        <f aca="false">+YEAR(E209)</f>
        <v>2016</v>
      </c>
      <c r="E209" s="346" t="n">
        <f aca="false">+DATE(YEAR(E208),MONTH(E208)+1,1)</f>
        <v>42522</v>
      </c>
      <c r="F209" s="327" t="n">
        <f aca="false">+IF(AND(G$8&lt;=E209,G$9&gt;=E209),INDEX(ROUTE_PER_DAY_BY_SHIP,MATCH(CONCATENATE(G$4,G$5,G$7),ROUTE_PER_DAY_ROUTES,0),MATCH(G$6,ROUTE_PER_DAY_SHIPS,0))*(E210-E209),0)</f>
        <v>0</v>
      </c>
      <c r="G209" s="347" t="n">
        <f aca="false">-F209*HLOOKUP(G$6,SHIPS,7,0)*INDEX(LADEN_VOYAGE_DAYS,MATCH(CONCATENATE(G$4,G$5,G$7),LADEN_VOYAGE_ROUTES,0),MATCH(G$6,LADEN_VOYAGE_SHIPS,0))</f>
        <v>-0</v>
      </c>
      <c r="H209" s="348" t="n">
        <f aca="false">SUM(F209:G209)</f>
        <v>0</v>
      </c>
      <c r="I209" s="349" t="n">
        <f aca="false">-(H209)*HLOOKUP(G$5,TERMINAL_CHARGES,3,0)</f>
        <v>-0</v>
      </c>
      <c r="J209" s="327" t="n">
        <f aca="false">+H209+I209</f>
        <v>0</v>
      </c>
      <c r="K209" s="333"/>
      <c r="L209" s="346" t="n">
        <f aca="false">+DATE(YEAR(L208),MONTH(L208)+1,1)</f>
        <v>42522</v>
      </c>
      <c r="M209" s="334" t="n">
        <f aca="false">+J209*(VLOOKUP(L209,CURVECALC!$C$6:$J$312,4,0)+N$5)</f>
        <v>0</v>
      </c>
      <c r="N209" s="350" t="n">
        <f aca="false">-F209*INDEX(ship_curves,MATCH(L209,'SHIP CURVES'!$A$9:$A$316,0),MATCH(CONCATENATE(P$4,P$5,P$6,P$7),'SHIP CURVES'!$A$9:$AZ$9,0))</f>
        <v>-0</v>
      </c>
      <c r="O209" s="351" t="n">
        <f aca="false">-H209*INDEX(port_processing_fee,MATCH(L209,PORTS!$H$626:$H$933,0),MATCH(P$5,PORTS!$H$626:$Z$626,0))</f>
        <v>-0</v>
      </c>
      <c r="P209" s="352" t="n">
        <f aca="false">(((VLOOKUP(L209,curvecalc,4,0))*IF(F209=0,0,J209/F209)-INDEX(ship_curves,MATCH(L209,'SHIP CURVES'!$A$9:$A$316,0),MATCH(CONCATENATE(P$4,P$5,P$6,P$7),'SHIP CURVES'!$A$9:$Z$9,0))-INDEX(terminal_curves,MATCH(L209,'TERMINAL CURVES'!$A$4:$A$313,0),MATCH(P$5,'TERMINAL CURVES'!$A$4:$N$4,0))*IF(F209=0,0,H209/F209))-(N$8)*((N$7-$N$5)-(INDEX(ship_curves,MATCH(L209,'SHIP CURVES'!$A$9:$A$316,0),MATCH(CONCATENATE(P$4,P$5,P$6,P$7),'SHIP CURVES'!$A$9:$Z$9,0))-INDEX(ship_curves,MATCH(L209,'SHIP CURVES'!$A$9:$A$316,0),MATCH(CONCATENATE(P$4,N$6,P$6,P$7),'SHIP CURVES'!$A$9:$Z$9,0)))-(INDEX(terminal_curves,MATCH(L209,'TERMINAL CURVES'!$A$4:$A$313,0),MATCH(P$5,'TERMINAL CURVES'!$A$4:$N$4,0))-INDEX(terminal_curves,MATCH(L209,'TERMINAL CURVES'!$A$4:$A$313,0),MATCH(N$6,'TERMINAL CURVES'!$A$4:$N$4,0)))*IF(F209=0,0,H209/F209)))*-F209</f>
        <v>0</v>
      </c>
      <c r="Q209" s="353" t="n">
        <f aca="false">SUM(N209:P209)</f>
        <v>0</v>
      </c>
      <c r="R209" s="357" t="n">
        <f aca="false">(-H209/((HLOOKUP(P$5,port_specs,2,0)/(365.25))*(L210-L209)))*(INDEX(fixed_capacity_charge,MATCH(L209,PORTS!$H$11:$H$317,0),MATCH(P$5,PORTS!$H$11:$N$11,0))+INDEX(variable_om_charge,MATCH(L209,PORTS!$H$318:$H$625,0),MATCH(P$5,PORTS!$H$318:$N$318,0)))</f>
        <v>-0</v>
      </c>
      <c r="S209" s="343" t="n">
        <f aca="false">+R209+Q209</f>
        <v>0</v>
      </c>
      <c r="T209" s="355" t="n">
        <f aca="false">+S209+M209</f>
        <v>0</v>
      </c>
      <c r="V209" s="346" t="n">
        <f aca="false">+DATE(YEAR(V208),MONTH(V208)+1,1)</f>
        <v>42522</v>
      </c>
      <c r="W209" s="327" t="n">
        <f aca="false">+Y209/(1-HLOOKUP(X$6,SHIPS,7,0)*INDEX(LADEN_VOYAGE_DAYS,MATCH(CONCATENATE(X$4,X$5),LADEN_VOYAGE_ROUTES,0),MATCH(X$6,LADEN_VOYAGE_SHIPS,0)))</f>
        <v>0</v>
      </c>
      <c r="X209" s="347" t="n">
        <f aca="false">+Y209-W209</f>
        <v>0</v>
      </c>
      <c r="Y209" s="348" t="n">
        <f aca="false">+IF(AND(X$8&lt;=V209,X$9&gt;=V209),+MIN($B209-SUMIF($H$17:X$17,Y$17,$H209:X209),((INDEX(ROUTE_PER_DAY_BY_SHIP,MATCH(CONCATENATE(X$4,X$5,X$7),ROUTE_PER_DAY_ROUTES,0),MATCH(X$6,ROUTE_PER_DAY_SHIPS,0))*(V210-V209))-(INDEX(ROUTE_PER_DAY_BY_SHIP,MATCH(CONCATENATE(X$4,X$5,X$7),ROUTE_PER_DAY_ROUTES,0),MATCH(X$6,ROUTE_PER_DAY_SHIPS,0))*(V210-V209))*HLOOKUP(X$6,SHIPS,7,0)*INDEX(LADEN_VOYAGE_DAYS,MATCH(CONCATENATE(X$4,X$5,X$7),LADEN_VOYAGE_ROUTES,0),MATCH(X$6,LADEN_VOYAGE_SHIPS,0)))),0)</f>
        <v>0</v>
      </c>
      <c r="Z209" s="349" t="n">
        <f aca="false">-(Y209)*HLOOKUP(X$5,TERMINAL_CHARGES,3,0)</f>
        <v>-0</v>
      </c>
      <c r="AA209" s="327" t="n">
        <f aca="false">+Y209+Z209</f>
        <v>0</v>
      </c>
      <c r="AB209" s="333"/>
      <c r="AC209" s="346" t="n">
        <f aca="false">+DATE(YEAR(AC208),MONTH(AC208)+1,1)</f>
        <v>42522</v>
      </c>
      <c r="AD209" s="343" t="n">
        <f aca="false">+AA209*(VLOOKUP(AC209,CURVECALC!$C$6:$J$312,4,0)+AE$5)</f>
        <v>0</v>
      </c>
      <c r="AE209" s="350" t="n">
        <f aca="false">-W209*INDEX(ship_curves,MATCH(AC209,'SHIP CURVES'!$A$9:$A$316,0),MATCH(CONCATENATE(AG$4,AG$5,AG$6,AG$7),'SHIP CURVES'!$A$9:$AZ$9,0))</f>
        <v>-0</v>
      </c>
      <c r="AF209" s="351" t="n">
        <f aca="false">-Y209*INDEX(port_processing_fee,MATCH(AC209,PORTS!$H$626:$H$933,0),MATCH(AG$5,PORTS!$H$626:$Z$626,0))</f>
        <v>-0</v>
      </c>
      <c r="AG209" s="352" t="n">
        <f aca="false">(((VLOOKUP(AC209,curvecalc,4,0))*IF(W209=0,0,AA209/W209)-INDEX(ship_curves,MATCH(AC209,'SHIP CURVES'!$A$9:$A$316,0),MATCH(CONCATENATE(AG$4,AG$5,AG$6,AG$7),'SHIP CURVES'!$A$9:$Z$9,0))-INDEX(terminal_curves,MATCH(AC209,'TERMINAL CURVES'!$A$4:$A$313,0),MATCH(AG$5,'TERMINAL CURVES'!$A$4:$N$4,0))*IF(W209=0,0,Y209/W209))-(AE$8)*((AE$7-$N$5)-(INDEX(ship_curves,MATCH(AC209,'SHIP CURVES'!$A$9:$A$316,0),MATCH(CONCATENATE(AG$4,AG$5,AG$6,AG$7),'SHIP CURVES'!$A$9:$Z$9,0))-INDEX(ship_curves,MATCH(AC209,'SHIP CURVES'!$A$9:$A$316,0),MATCH(CONCATENATE(AG$4,AE$6,AG$6,AG$7),'SHIP CURVES'!$A$9:$Z$9,0)))-(INDEX(terminal_curves,MATCH(AC209,'TERMINAL CURVES'!$A$4:$A$313,0),MATCH(AG$5,'TERMINAL CURVES'!$A$4:$N$4,0))-INDEX(terminal_curves,MATCH(AC209,'TERMINAL CURVES'!$A$4:$A$313,0),MATCH(AE$6,'TERMINAL CURVES'!$A$4:$N$4,0)))*IF(W209=0,0,Y209/W209)))*-W209</f>
        <v>0</v>
      </c>
      <c r="AH209" s="356" t="n">
        <f aca="false">SUM(AE209:AG209)</f>
        <v>0</v>
      </c>
      <c r="AI209" s="357" t="n">
        <f aca="false">(-Y209/((HLOOKUP(AG$5,port_specs,2,0)/(365.25))*(AC210-AC209)))*(INDEX(fixed_capacity_charge,MATCH(AC209,PORTS!$H$11:$H$317,0),MATCH(AG$5,PORTS!$H$11:$N$11,0))+INDEX(variable_om_charge,MATCH(AC209,PORTS!$H$318:$H$625,0),MATCH(AG$5,PORTS!$H$318:$N$318,0)))</f>
        <v>-0</v>
      </c>
      <c r="AJ209" s="343" t="n">
        <f aca="false">+AI209+AH209</f>
        <v>0</v>
      </c>
      <c r="AK209" s="355" t="n">
        <f aca="false">+AJ209+AD209</f>
        <v>0</v>
      </c>
      <c r="AM209" s="346" t="n">
        <f aca="false">+DATE(YEAR(AM208),MONTH(AM208)+1,1)</f>
        <v>42522</v>
      </c>
      <c r="AN209" s="327" t="n">
        <f aca="false">+AP209/(1-HLOOKUP(AO$6,SHIPS,7,0)*INDEX(LADEN_VOYAGE_DAYS,MATCH(CONCATENATE(AO$4,AO$5),LADEN_VOYAGE_ROUTES,0),MATCH(AO$6,LADEN_VOYAGE_SHIPS,0)))</f>
        <v>5221704.65550959</v>
      </c>
      <c r="AO209" s="347" t="n">
        <f aca="false">+AP209-AN209</f>
        <v>-54827.8988828501</v>
      </c>
      <c r="AP209" s="348" t="n">
        <f aca="false">+IF(AND(AO$8&lt;=AM209,AO$9&gt;=AM209),+MIN($B209-SUMIF($H$17:AO$17,AP$17,$H209:AO209),((INDEX(ROUTE_PER_DAY_BY_SHIP,MATCH(CONCATENATE(AO$4,AO$5,AO$7),ROUTE_PER_DAY_ROUTES,0),MATCH(AO$6,ROUTE_PER_DAY_SHIPS,0))*(AM210-AM209))-(INDEX(ROUTE_PER_DAY_BY_SHIP,MATCH(CONCATENATE(AO$4,AO$5,AO$7),ROUTE_PER_DAY_ROUTES,0),MATCH(AO$6,ROUTE_PER_DAY_SHIPS,0))*(AM210-AM209))*HLOOKUP(AO$6,SHIPS,7,0)*INDEX(LADEN_VOYAGE_DAYS,MATCH(CONCATENATE(AO$4,AO$5,AO$7),LADEN_VOYAGE_ROUTES,0),MATCH(AO$6,LADEN_VOYAGE_SHIPS,0)))),0)</f>
        <v>5166876.75662674</v>
      </c>
      <c r="AQ209" s="349" t="n">
        <f aca="false">-(AP209)*PORTS!$I$6</f>
        <v>-129171.918915669</v>
      </c>
      <c r="AR209" s="327" t="n">
        <f aca="false">+AP209+AQ209</f>
        <v>5037704.83771107</v>
      </c>
      <c r="AS209" s="333"/>
      <c r="AT209" s="346" t="n">
        <f aca="false">+DATE(YEAR(AT208),MONTH(AT208)+1,1)</f>
        <v>42522</v>
      </c>
      <c r="AU209" s="343" t="n">
        <f aca="false">+AR209*(VLOOKUP(AT209,CURVECALC!$C$6:$J$312,4,0)+AV$5)</f>
        <v>19858632.4702571</v>
      </c>
      <c r="AV209" s="350" t="n">
        <f aca="false">-AN209*INDEX(ship_curves,MATCH(AT209,'SHIP CURVES'!$A$9:$A$316,0),MATCH(CONCATENATE(AX$4,AX$5,AX$6,AX$7),'SHIP CURVES'!$A$9:$AZ$9,0))</f>
        <v>-1778412.83935752</v>
      </c>
      <c r="AW209" s="351" t="n">
        <f aca="false">-AP209*INDEX(port_processing_fee,MATCH(AT209,PORTS!$H$626:$H$933,0),MATCH(AX$5,PORTS!$H$626:$Z$626,0))</f>
        <v>-166979.30721776</v>
      </c>
      <c r="AX209" s="352" t="n">
        <f aca="false">(((VLOOKUP(AT209,curvecalc,4,0))*IF(AN209=0,0,AR209/AN209)-INDEX(ship_curves,MATCH(AT209,'SHIP CURVES'!$A$9:$A$316,0),MATCH(CONCATENATE(AX$4,AX$5,AX$6,AX$7),'SHIP CURVES'!$A$9:$Z$9,0))-INDEX(terminal_curves,MATCH(AT209,'TERMINAL CURVES'!$A$4:$A$313,0),MATCH(AX$5,'TERMINAL CURVES'!$A$4:$N$4,0))*IF(AN209=0,0,AP209/AN209))-(AV$8)*((AV$7-$N$5)-(INDEX(ship_curves,MATCH(AT209,'SHIP CURVES'!$A$9:$A$316,0),MATCH(CONCATENATE(AX$4,AX$5,AX$6,AX$7),'SHIP CURVES'!$A$9:$Z$9,0))-INDEX(ship_curves,MATCH(AT209,'SHIP CURVES'!$A$9:$A$316,0),MATCH(CONCATENATE(AX$4,AV$6,AX$6,AX$7),'SHIP CURVES'!$A$9:$Z$9,0)))-(INDEX(terminal_curves,MATCH(AT209,'TERMINAL CURVES'!$A$4:$A$313,0),MATCH(AX$5,'TERMINAL CURVES'!$A$4:$N$4,0))-INDEX(terminal_curves,MATCH(AT209,'TERMINAL CURVES'!$A$4:$A$313,0),MATCH(AV$6,'TERMINAL CURVES'!$A$4:$N$4,0)))*IF(AN209=0,0,AP209/AN209)))*-AN209</f>
        <v>-16771428.8690015</v>
      </c>
      <c r="AY209" s="356" t="n">
        <f aca="false">SUM(AV209:AX209)</f>
        <v>-18716821.0155768</v>
      </c>
      <c r="AZ209" s="357" t="n">
        <f aca="false">(-AP209/((HLOOKUP(AX$5,port_specs,2,0)/(365.25))*(AT210-AT209)))*(INDEX(fixed_capacity_charge,MATCH(AT209,PORTS!$H$11:$H$317,0),MATCH(AX$5,PORTS!$H$11:$N$11,0))+INDEX(variable_om_charge,MATCH(AT209,PORTS!$H$318:$H$625,0),MATCH(AX$5,PORTS!$H$318:$N$318,0)))</f>
        <v>-1041057.35792601</v>
      </c>
      <c r="BA209" s="343" t="n">
        <f aca="false">+AZ209+AY209</f>
        <v>-19757878.3735028</v>
      </c>
      <c r="BB209" s="355" t="n">
        <f aca="false">+BA209+AU209</f>
        <v>100754.096754223</v>
      </c>
      <c r="BC209" s="99"/>
      <c r="BD209" s="357" t="n">
        <f aca="false">+PORTS!I203+PORTS!I511</f>
        <v>1041057.35792601</v>
      </c>
    </row>
    <row r="210" customFormat="false" ht="12.75" hidden="false" customHeight="false" outlineLevel="0" collapsed="false">
      <c r="A210" s="346" t="n">
        <f aca="false">+DATE(YEAR(A209),MONTH(A209)+1,1)</f>
        <v>42552</v>
      </c>
      <c r="B210" s="327" t="n">
        <f aca="false">+IF(AND($A210&gt;=$C$8,$A210&lt;=$C$9),1,0)*PORTS!$I$5/(365.25)*(A211-A210)</f>
        <v>5339105.98184763</v>
      </c>
      <c r="C210" s="328" t="n">
        <f aca="false">+B210-(SUMIF($F$17:$IV$17,$H$17,$F210:$IV210))</f>
        <v>0</v>
      </c>
      <c r="D210" s="0" t="n">
        <f aca="false">+YEAR(E210)</f>
        <v>2016</v>
      </c>
      <c r="E210" s="346" t="n">
        <f aca="false">+DATE(YEAR(E209),MONTH(E209)+1,1)</f>
        <v>42552</v>
      </c>
      <c r="F210" s="327" t="n">
        <f aca="false">+IF(AND(G$8&lt;=E210,G$9&gt;=E210),INDEX(ROUTE_PER_DAY_BY_SHIP,MATCH(CONCATENATE(G$4,G$5,G$7),ROUTE_PER_DAY_ROUTES,0),MATCH(G$6,ROUTE_PER_DAY_SHIPS,0))*(E211-E210),0)</f>
        <v>0</v>
      </c>
      <c r="G210" s="347" t="n">
        <f aca="false">-F210*HLOOKUP(G$6,SHIPS,7,0)*INDEX(LADEN_VOYAGE_DAYS,MATCH(CONCATENATE(G$4,G$5,G$7),LADEN_VOYAGE_ROUTES,0),MATCH(G$6,LADEN_VOYAGE_SHIPS,0))</f>
        <v>-0</v>
      </c>
      <c r="H210" s="348" t="n">
        <f aca="false">SUM(F210:G210)</f>
        <v>0</v>
      </c>
      <c r="I210" s="349" t="n">
        <f aca="false">-(H210)*HLOOKUP(G$5,TERMINAL_CHARGES,3,0)</f>
        <v>-0</v>
      </c>
      <c r="J210" s="327" t="n">
        <f aca="false">+H210+I210</f>
        <v>0</v>
      </c>
      <c r="K210" s="333"/>
      <c r="L210" s="346" t="n">
        <f aca="false">+DATE(YEAR(L209),MONTH(L209)+1,1)</f>
        <v>42552</v>
      </c>
      <c r="M210" s="334" t="n">
        <f aca="false">+J210*(VLOOKUP(L210,CURVECALC!$C$6:$J$312,4,0)+N$5)</f>
        <v>0</v>
      </c>
      <c r="N210" s="350" t="n">
        <f aca="false">-F210*INDEX(ship_curves,MATCH(L210,'SHIP CURVES'!$A$9:$A$316,0),MATCH(CONCATENATE(P$4,P$5,P$6,P$7),'SHIP CURVES'!$A$9:$AZ$9,0))</f>
        <v>-0</v>
      </c>
      <c r="O210" s="351" t="n">
        <f aca="false">-H210*INDEX(port_processing_fee,MATCH(L210,PORTS!$H$626:$H$933,0),MATCH(P$5,PORTS!$H$626:$Z$626,0))</f>
        <v>-0</v>
      </c>
      <c r="P210" s="352" t="n">
        <f aca="false">(((VLOOKUP(L210,curvecalc,4,0))*IF(F210=0,0,J210/F210)-INDEX(ship_curves,MATCH(L210,'SHIP CURVES'!$A$9:$A$316,0),MATCH(CONCATENATE(P$4,P$5,P$6,P$7),'SHIP CURVES'!$A$9:$Z$9,0))-INDEX(terminal_curves,MATCH(L210,'TERMINAL CURVES'!$A$4:$A$313,0),MATCH(P$5,'TERMINAL CURVES'!$A$4:$N$4,0))*IF(F210=0,0,H210/F210))-(N$8)*((N$7-$N$5)-(INDEX(ship_curves,MATCH(L210,'SHIP CURVES'!$A$9:$A$316,0),MATCH(CONCATENATE(P$4,P$5,P$6,P$7),'SHIP CURVES'!$A$9:$Z$9,0))-INDEX(ship_curves,MATCH(L210,'SHIP CURVES'!$A$9:$A$316,0),MATCH(CONCATENATE(P$4,N$6,P$6,P$7),'SHIP CURVES'!$A$9:$Z$9,0)))-(INDEX(terminal_curves,MATCH(L210,'TERMINAL CURVES'!$A$4:$A$313,0),MATCH(P$5,'TERMINAL CURVES'!$A$4:$N$4,0))-INDEX(terminal_curves,MATCH(L210,'TERMINAL CURVES'!$A$4:$A$313,0),MATCH(N$6,'TERMINAL CURVES'!$A$4:$N$4,0)))*IF(F210=0,0,H210/F210)))*-F210</f>
        <v>0</v>
      </c>
      <c r="Q210" s="353" t="n">
        <f aca="false">SUM(N210:P210)</f>
        <v>0</v>
      </c>
      <c r="R210" s="357" t="n">
        <f aca="false">(-H210/((HLOOKUP(P$5,port_specs,2,0)/(365.25))*(L211-L210)))*(INDEX(fixed_capacity_charge,MATCH(L210,PORTS!$H$11:$H$317,0),MATCH(P$5,PORTS!$H$11:$N$11,0))+INDEX(variable_om_charge,MATCH(L210,PORTS!$H$318:$H$625,0),MATCH(P$5,PORTS!$H$318:$N$318,0)))</f>
        <v>-0</v>
      </c>
      <c r="S210" s="343" t="n">
        <f aca="false">+R210+Q210</f>
        <v>0</v>
      </c>
      <c r="T210" s="355" t="n">
        <f aca="false">+S210+M210</f>
        <v>0</v>
      </c>
      <c r="V210" s="346" t="n">
        <f aca="false">+DATE(YEAR(V209),MONTH(V209)+1,1)</f>
        <v>42552</v>
      </c>
      <c r="W210" s="327" t="n">
        <f aca="false">+Y210/(1-HLOOKUP(X$6,SHIPS,7,0)*INDEX(LADEN_VOYAGE_DAYS,MATCH(CONCATENATE(X$4,X$5),LADEN_VOYAGE_ROUTES,0),MATCH(X$6,LADEN_VOYAGE_SHIPS,0)))</f>
        <v>0</v>
      </c>
      <c r="X210" s="347" t="n">
        <f aca="false">+Y210-W210</f>
        <v>0</v>
      </c>
      <c r="Y210" s="348" t="n">
        <f aca="false">+IF(AND(X$8&lt;=V210,X$9&gt;=V210),+MIN($B210-SUMIF($H$17:X$17,Y$17,$H210:X210),((INDEX(ROUTE_PER_DAY_BY_SHIP,MATCH(CONCATENATE(X$4,X$5,X$7),ROUTE_PER_DAY_ROUTES,0),MATCH(X$6,ROUTE_PER_DAY_SHIPS,0))*(V211-V210))-(INDEX(ROUTE_PER_DAY_BY_SHIP,MATCH(CONCATENATE(X$4,X$5,X$7),ROUTE_PER_DAY_ROUTES,0),MATCH(X$6,ROUTE_PER_DAY_SHIPS,0))*(V211-V210))*HLOOKUP(X$6,SHIPS,7,0)*INDEX(LADEN_VOYAGE_DAYS,MATCH(CONCATENATE(X$4,X$5,X$7),LADEN_VOYAGE_ROUTES,0),MATCH(X$6,LADEN_VOYAGE_SHIPS,0)))),0)</f>
        <v>0</v>
      </c>
      <c r="Z210" s="349" t="n">
        <f aca="false">-(Y210)*HLOOKUP(X$5,TERMINAL_CHARGES,3,0)</f>
        <v>-0</v>
      </c>
      <c r="AA210" s="327" t="n">
        <f aca="false">+Y210+Z210</f>
        <v>0</v>
      </c>
      <c r="AB210" s="333"/>
      <c r="AC210" s="346" t="n">
        <f aca="false">+DATE(YEAR(AC209),MONTH(AC209)+1,1)</f>
        <v>42552</v>
      </c>
      <c r="AD210" s="343" t="n">
        <f aca="false">+AA210*(VLOOKUP(AC210,CURVECALC!$C$6:$J$312,4,0)+AE$5)</f>
        <v>0</v>
      </c>
      <c r="AE210" s="350" t="n">
        <f aca="false">-W210*INDEX(ship_curves,MATCH(AC210,'SHIP CURVES'!$A$9:$A$316,0),MATCH(CONCATENATE(AG$4,AG$5,AG$6,AG$7),'SHIP CURVES'!$A$9:$AZ$9,0))</f>
        <v>-0</v>
      </c>
      <c r="AF210" s="351" t="n">
        <f aca="false">-Y210*INDEX(port_processing_fee,MATCH(AC210,PORTS!$H$626:$H$933,0),MATCH(AG$5,PORTS!$H$626:$Z$626,0))</f>
        <v>-0</v>
      </c>
      <c r="AG210" s="352" t="n">
        <f aca="false">(((VLOOKUP(AC210,curvecalc,4,0))*IF(W210=0,0,AA210/W210)-INDEX(ship_curves,MATCH(AC210,'SHIP CURVES'!$A$9:$A$316,0),MATCH(CONCATENATE(AG$4,AG$5,AG$6,AG$7),'SHIP CURVES'!$A$9:$Z$9,0))-INDEX(terminal_curves,MATCH(AC210,'TERMINAL CURVES'!$A$4:$A$313,0),MATCH(AG$5,'TERMINAL CURVES'!$A$4:$N$4,0))*IF(W210=0,0,Y210/W210))-(AE$8)*((AE$7-$N$5)-(INDEX(ship_curves,MATCH(AC210,'SHIP CURVES'!$A$9:$A$316,0),MATCH(CONCATENATE(AG$4,AG$5,AG$6,AG$7),'SHIP CURVES'!$A$9:$Z$9,0))-INDEX(ship_curves,MATCH(AC210,'SHIP CURVES'!$A$9:$A$316,0),MATCH(CONCATENATE(AG$4,AE$6,AG$6,AG$7),'SHIP CURVES'!$A$9:$Z$9,0)))-(INDEX(terminal_curves,MATCH(AC210,'TERMINAL CURVES'!$A$4:$A$313,0),MATCH(AG$5,'TERMINAL CURVES'!$A$4:$N$4,0))-INDEX(terminal_curves,MATCH(AC210,'TERMINAL CURVES'!$A$4:$A$313,0),MATCH(AE$6,'TERMINAL CURVES'!$A$4:$N$4,0)))*IF(W210=0,0,Y210/W210)))*-W210</f>
        <v>0</v>
      </c>
      <c r="AH210" s="356" t="n">
        <f aca="false">SUM(AE210:AG210)</f>
        <v>0</v>
      </c>
      <c r="AI210" s="357" t="n">
        <f aca="false">(-Y210/((HLOOKUP(AG$5,port_specs,2,0)/(365.25))*(AC211-AC210)))*(INDEX(fixed_capacity_charge,MATCH(AC210,PORTS!$H$11:$H$317,0),MATCH(AG$5,PORTS!$H$11:$N$11,0))+INDEX(variable_om_charge,MATCH(AC210,PORTS!$H$318:$H$625,0),MATCH(AG$5,PORTS!$H$318:$N$318,0)))</f>
        <v>-0</v>
      </c>
      <c r="AJ210" s="343" t="n">
        <f aca="false">+AI210+AH210</f>
        <v>0</v>
      </c>
      <c r="AK210" s="355" t="n">
        <f aca="false">+AJ210+AD210</f>
        <v>0</v>
      </c>
      <c r="AM210" s="346" t="n">
        <f aca="false">+DATE(YEAR(AM209),MONTH(AM209)+1,1)</f>
        <v>42552</v>
      </c>
      <c r="AN210" s="327" t="n">
        <f aca="false">+AP210/(1-HLOOKUP(AO$6,SHIPS,7,0)*INDEX(LADEN_VOYAGE_DAYS,MATCH(CONCATENATE(AO$4,AO$5),LADEN_VOYAGE_ROUTES,0),MATCH(AO$6,LADEN_VOYAGE_SHIPS,0)))</f>
        <v>5395761.47735991</v>
      </c>
      <c r="AO210" s="347" t="n">
        <f aca="false">+AP210-AN210</f>
        <v>-56655.4955122788</v>
      </c>
      <c r="AP210" s="348" t="n">
        <f aca="false">+IF(AND(AO$8&lt;=AM210,AO$9&gt;=AM210),+MIN($B210-SUMIF($H$17:AO$17,AP$17,$H210:AO210),((INDEX(ROUTE_PER_DAY_BY_SHIP,MATCH(CONCATENATE(AO$4,AO$5,AO$7),ROUTE_PER_DAY_ROUTES,0),MATCH(AO$6,ROUTE_PER_DAY_SHIPS,0))*(AM211-AM210))-(INDEX(ROUTE_PER_DAY_BY_SHIP,MATCH(CONCATENATE(AO$4,AO$5,AO$7),ROUTE_PER_DAY_ROUTES,0),MATCH(AO$6,ROUTE_PER_DAY_SHIPS,0))*(AM211-AM210))*HLOOKUP(AO$6,SHIPS,7,0)*INDEX(LADEN_VOYAGE_DAYS,MATCH(CONCATENATE(AO$4,AO$5,AO$7),LADEN_VOYAGE_ROUTES,0),MATCH(AO$6,LADEN_VOYAGE_SHIPS,0)))),0)</f>
        <v>5339105.98184763</v>
      </c>
      <c r="AQ210" s="349" t="n">
        <f aca="false">-(AP210)*PORTS!$I$6</f>
        <v>-133477.649546191</v>
      </c>
      <c r="AR210" s="327" t="n">
        <f aca="false">+AP210+AQ210</f>
        <v>5205628.33230144</v>
      </c>
      <c r="AS210" s="333"/>
      <c r="AT210" s="346" t="n">
        <f aca="false">+DATE(YEAR(AT209),MONTH(AT209)+1,1)</f>
        <v>42552</v>
      </c>
      <c r="AU210" s="343" t="n">
        <f aca="false">+AR210*(VLOOKUP(AT210,CURVECALC!$C$6:$J$312,4,0)+AV$5)</f>
        <v>20520586.8859323</v>
      </c>
      <c r="AV210" s="350" t="n">
        <f aca="false">-AN210*INDEX(ship_curves,MATCH(AT210,'SHIP CURVES'!$A$9:$A$316,0),MATCH(CONCATENATE(AX$4,AX$5,AX$6,AX$7),'SHIP CURVES'!$A$9:$AZ$9,0))</f>
        <v>-1838326.11221177</v>
      </c>
      <c r="AW210" s="351" t="n">
        <f aca="false">-AP210*INDEX(port_processing_fee,MATCH(AT210,PORTS!$H$626:$H$933,0),MATCH(AX$5,PORTS!$H$626:$Z$626,0))</f>
        <v>-172725.018795982</v>
      </c>
      <c r="AX210" s="352" t="n">
        <f aca="false">(((VLOOKUP(AT210,curvecalc,4,0))*IF(AN210=0,0,AR210/AN210)-INDEX(ship_curves,MATCH(AT210,'SHIP CURVES'!$A$9:$A$316,0),MATCH(CONCATENATE(AX$4,AX$5,AX$6,AX$7),'SHIP CURVES'!$A$9:$Z$9,0))-INDEX(terminal_curves,MATCH(AT210,'TERMINAL CURVES'!$A$4:$A$313,0),MATCH(AX$5,'TERMINAL CURVES'!$A$4:$N$4,0))*IF(AN210=0,0,AP210/AN210))-(AV$8)*((AV$7-$N$5)-(INDEX(ship_curves,MATCH(AT210,'SHIP CURVES'!$A$9:$A$316,0),MATCH(CONCATENATE(AX$4,AX$5,AX$6,AX$7),'SHIP CURVES'!$A$9:$Z$9,0))-INDEX(ship_curves,MATCH(AT210,'SHIP CURVES'!$A$9:$A$316,0),MATCH(CONCATENATE(AX$4,AV$6,AX$6,AX$7),'SHIP CURVES'!$A$9:$Z$9,0)))-(INDEX(terminal_curves,MATCH(AT210,'TERMINAL CURVES'!$A$4:$A$313,0),MATCH(AX$5,'TERMINAL CURVES'!$A$4:$N$4,0))-INDEX(terminal_curves,MATCH(AT210,'TERMINAL CURVES'!$A$4:$A$313,0),MATCH(AV$6,'TERMINAL CURVES'!$A$4:$N$4,0)))*IF(AN210=0,0,AP210/AN210)))*-AN210</f>
        <v>-17363786.7982827</v>
      </c>
      <c r="AY210" s="356" t="n">
        <f aca="false">SUM(AV210:AX210)</f>
        <v>-19374837.9292904</v>
      </c>
      <c r="AZ210" s="357" t="n">
        <f aca="false">(-AP210/((HLOOKUP(AX$5,port_specs,2,0)/(365.25))*(AT211-AT210)))*(INDEX(fixed_capacity_charge,MATCH(AT210,PORTS!$H$11:$H$317,0),MATCH(AX$5,PORTS!$H$11:$N$11,0))+INDEX(variable_om_charge,MATCH(AT210,PORTS!$H$318:$H$625,0),MATCH(AX$5,PORTS!$H$318:$N$318,0)))</f>
        <v>-1041636.38999582</v>
      </c>
      <c r="BA210" s="343" t="n">
        <f aca="false">+AZ210+AY210</f>
        <v>-20416474.3192863</v>
      </c>
      <c r="BB210" s="355" t="n">
        <f aca="false">+BA210+AU210</f>
        <v>104112.566646028</v>
      </c>
      <c r="BC210" s="99"/>
      <c r="BD210" s="357" t="n">
        <f aca="false">+PORTS!I204+PORTS!I512</f>
        <v>1041636.38999582</v>
      </c>
    </row>
    <row r="211" customFormat="false" ht="12.75" hidden="false" customHeight="false" outlineLevel="0" collapsed="false">
      <c r="A211" s="346" t="n">
        <f aca="false">+DATE(YEAR(A210),MONTH(A210)+1,1)</f>
        <v>42583</v>
      </c>
      <c r="B211" s="327" t="n">
        <f aca="false">+IF(AND($A211&gt;=$C$8,$A211&lt;=$C$9),1,0)*PORTS!$I$5/(365.25)*(A212-A211)</f>
        <v>5339105.98184763</v>
      </c>
      <c r="C211" s="328" t="n">
        <f aca="false">+B211-(SUMIF($F$17:$IV$17,$H$17,$F211:$IV211))</f>
        <v>0</v>
      </c>
      <c r="D211" s="0" t="n">
        <f aca="false">+YEAR(E211)</f>
        <v>2016</v>
      </c>
      <c r="E211" s="346" t="n">
        <f aca="false">+DATE(YEAR(E210),MONTH(E210)+1,1)</f>
        <v>42583</v>
      </c>
      <c r="F211" s="327" t="n">
        <f aca="false">+IF(AND(G$8&lt;=E211,G$9&gt;=E211),INDEX(ROUTE_PER_DAY_BY_SHIP,MATCH(CONCATENATE(G$4,G$5,G$7),ROUTE_PER_DAY_ROUTES,0),MATCH(G$6,ROUTE_PER_DAY_SHIPS,0))*(E212-E211),0)</f>
        <v>0</v>
      </c>
      <c r="G211" s="347" t="n">
        <f aca="false">-F211*HLOOKUP(G$6,SHIPS,7,0)*INDEX(LADEN_VOYAGE_DAYS,MATCH(CONCATENATE(G$4,G$5,G$7),LADEN_VOYAGE_ROUTES,0),MATCH(G$6,LADEN_VOYAGE_SHIPS,0))</f>
        <v>-0</v>
      </c>
      <c r="H211" s="348" t="n">
        <f aca="false">SUM(F211:G211)</f>
        <v>0</v>
      </c>
      <c r="I211" s="349" t="n">
        <f aca="false">-(H211)*HLOOKUP(G$5,TERMINAL_CHARGES,3,0)</f>
        <v>-0</v>
      </c>
      <c r="J211" s="327" t="n">
        <f aca="false">+H211+I211</f>
        <v>0</v>
      </c>
      <c r="K211" s="333"/>
      <c r="L211" s="346" t="n">
        <f aca="false">+DATE(YEAR(L210),MONTH(L210)+1,1)</f>
        <v>42583</v>
      </c>
      <c r="M211" s="334" t="n">
        <f aca="false">+J211*(VLOOKUP(L211,CURVECALC!$C$6:$J$312,4,0)+N$5)</f>
        <v>0</v>
      </c>
      <c r="N211" s="350" t="n">
        <f aca="false">-F211*INDEX(ship_curves,MATCH(L211,'SHIP CURVES'!$A$9:$A$316,0),MATCH(CONCATENATE(P$4,P$5,P$6,P$7),'SHIP CURVES'!$A$9:$AZ$9,0))</f>
        <v>-0</v>
      </c>
      <c r="O211" s="351" t="n">
        <f aca="false">-H211*INDEX(port_processing_fee,MATCH(L211,PORTS!$H$626:$H$933,0),MATCH(P$5,PORTS!$H$626:$Z$626,0))</f>
        <v>-0</v>
      </c>
      <c r="P211" s="352" t="n">
        <f aca="false">(((VLOOKUP(L211,curvecalc,4,0))*IF(F211=0,0,J211/F211)-INDEX(ship_curves,MATCH(L211,'SHIP CURVES'!$A$9:$A$316,0),MATCH(CONCATENATE(P$4,P$5,P$6,P$7),'SHIP CURVES'!$A$9:$Z$9,0))-INDEX(terminal_curves,MATCH(L211,'TERMINAL CURVES'!$A$4:$A$313,0),MATCH(P$5,'TERMINAL CURVES'!$A$4:$N$4,0))*IF(F211=0,0,H211/F211))-(N$8)*((N$7-$N$5)-(INDEX(ship_curves,MATCH(L211,'SHIP CURVES'!$A$9:$A$316,0),MATCH(CONCATENATE(P$4,P$5,P$6,P$7),'SHIP CURVES'!$A$9:$Z$9,0))-INDEX(ship_curves,MATCH(L211,'SHIP CURVES'!$A$9:$A$316,0),MATCH(CONCATENATE(P$4,N$6,P$6,P$7),'SHIP CURVES'!$A$9:$Z$9,0)))-(INDEX(terminal_curves,MATCH(L211,'TERMINAL CURVES'!$A$4:$A$313,0),MATCH(P$5,'TERMINAL CURVES'!$A$4:$N$4,0))-INDEX(terminal_curves,MATCH(L211,'TERMINAL CURVES'!$A$4:$A$313,0),MATCH(N$6,'TERMINAL CURVES'!$A$4:$N$4,0)))*IF(F211=0,0,H211/F211)))*-F211</f>
        <v>0</v>
      </c>
      <c r="Q211" s="353" t="n">
        <f aca="false">SUM(N211:P211)</f>
        <v>0</v>
      </c>
      <c r="R211" s="357" t="n">
        <f aca="false">(-H211/((HLOOKUP(P$5,port_specs,2,0)/(365.25))*(L212-L211)))*(INDEX(fixed_capacity_charge,MATCH(L211,PORTS!$H$11:$H$317,0),MATCH(P$5,PORTS!$H$11:$N$11,0))+INDEX(variable_om_charge,MATCH(L211,PORTS!$H$318:$H$625,0),MATCH(P$5,PORTS!$H$318:$N$318,0)))</f>
        <v>-0</v>
      </c>
      <c r="S211" s="343" t="n">
        <f aca="false">+R211+Q211</f>
        <v>0</v>
      </c>
      <c r="T211" s="355" t="n">
        <f aca="false">+S211+M211</f>
        <v>0</v>
      </c>
      <c r="V211" s="346" t="n">
        <f aca="false">+DATE(YEAR(V210),MONTH(V210)+1,1)</f>
        <v>42583</v>
      </c>
      <c r="W211" s="327" t="n">
        <f aca="false">+Y211/(1-HLOOKUP(X$6,SHIPS,7,0)*INDEX(LADEN_VOYAGE_DAYS,MATCH(CONCATENATE(X$4,X$5),LADEN_VOYAGE_ROUTES,0),MATCH(X$6,LADEN_VOYAGE_SHIPS,0)))</f>
        <v>0</v>
      </c>
      <c r="X211" s="347" t="n">
        <f aca="false">+Y211-W211</f>
        <v>0</v>
      </c>
      <c r="Y211" s="348" t="n">
        <f aca="false">+IF(AND(X$8&lt;=V211,X$9&gt;=V211),+MIN($B211-SUMIF($H$17:X$17,Y$17,$H211:X211),((INDEX(ROUTE_PER_DAY_BY_SHIP,MATCH(CONCATENATE(X$4,X$5,X$7),ROUTE_PER_DAY_ROUTES,0),MATCH(X$6,ROUTE_PER_DAY_SHIPS,0))*(V212-V211))-(INDEX(ROUTE_PER_DAY_BY_SHIP,MATCH(CONCATENATE(X$4,X$5,X$7),ROUTE_PER_DAY_ROUTES,0),MATCH(X$6,ROUTE_PER_DAY_SHIPS,0))*(V212-V211))*HLOOKUP(X$6,SHIPS,7,0)*INDEX(LADEN_VOYAGE_DAYS,MATCH(CONCATENATE(X$4,X$5,X$7),LADEN_VOYAGE_ROUTES,0),MATCH(X$6,LADEN_VOYAGE_SHIPS,0)))),0)</f>
        <v>0</v>
      </c>
      <c r="Z211" s="349" t="n">
        <f aca="false">-(Y211)*HLOOKUP(X$5,TERMINAL_CHARGES,3,0)</f>
        <v>-0</v>
      </c>
      <c r="AA211" s="327" t="n">
        <f aca="false">+Y211+Z211</f>
        <v>0</v>
      </c>
      <c r="AB211" s="333"/>
      <c r="AC211" s="346" t="n">
        <f aca="false">+DATE(YEAR(AC210),MONTH(AC210)+1,1)</f>
        <v>42583</v>
      </c>
      <c r="AD211" s="343" t="n">
        <f aca="false">+AA211*(VLOOKUP(AC211,CURVECALC!$C$6:$J$312,4,0)+AE$5)</f>
        <v>0</v>
      </c>
      <c r="AE211" s="350" t="n">
        <f aca="false">-W211*INDEX(ship_curves,MATCH(AC211,'SHIP CURVES'!$A$9:$A$316,0),MATCH(CONCATENATE(AG$4,AG$5,AG$6,AG$7),'SHIP CURVES'!$A$9:$AZ$9,0))</f>
        <v>-0</v>
      </c>
      <c r="AF211" s="351" t="n">
        <f aca="false">-Y211*INDEX(port_processing_fee,MATCH(AC211,PORTS!$H$626:$H$933,0),MATCH(AG$5,PORTS!$H$626:$Z$626,0))</f>
        <v>-0</v>
      </c>
      <c r="AG211" s="352" t="n">
        <f aca="false">(((VLOOKUP(AC211,curvecalc,4,0))*IF(W211=0,0,AA211/W211)-INDEX(ship_curves,MATCH(AC211,'SHIP CURVES'!$A$9:$A$316,0),MATCH(CONCATENATE(AG$4,AG$5,AG$6,AG$7),'SHIP CURVES'!$A$9:$Z$9,0))-INDEX(terminal_curves,MATCH(AC211,'TERMINAL CURVES'!$A$4:$A$313,0),MATCH(AG$5,'TERMINAL CURVES'!$A$4:$N$4,0))*IF(W211=0,0,Y211/W211))-(AE$8)*((AE$7-$N$5)-(INDEX(ship_curves,MATCH(AC211,'SHIP CURVES'!$A$9:$A$316,0),MATCH(CONCATENATE(AG$4,AG$5,AG$6,AG$7),'SHIP CURVES'!$A$9:$Z$9,0))-INDEX(ship_curves,MATCH(AC211,'SHIP CURVES'!$A$9:$A$316,0),MATCH(CONCATENATE(AG$4,AE$6,AG$6,AG$7),'SHIP CURVES'!$A$9:$Z$9,0)))-(INDEX(terminal_curves,MATCH(AC211,'TERMINAL CURVES'!$A$4:$A$313,0),MATCH(AG$5,'TERMINAL CURVES'!$A$4:$N$4,0))-INDEX(terminal_curves,MATCH(AC211,'TERMINAL CURVES'!$A$4:$A$313,0),MATCH(AE$6,'TERMINAL CURVES'!$A$4:$N$4,0)))*IF(W211=0,0,Y211/W211)))*-W211</f>
        <v>0</v>
      </c>
      <c r="AH211" s="356" t="n">
        <f aca="false">SUM(AE211:AG211)</f>
        <v>0</v>
      </c>
      <c r="AI211" s="357" t="n">
        <f aca="false">(-Y211/((HLOOKUP(AG$5,port_specs,2,0)/(365.25))*(AC212-AC211)))*(INDEX(fixed_capacity_charge,MATCH(AC211,PORTS!$H$11:$H$317,0),MATCH(AG$5,PORTS!$H$11:$N$11,0))+INDEX(variable_om_charge,MATCH(AC211,PORTS!$H$318:$H$625,0),MATCH(AG$5,PORTS!$H$318:$N$318,0)))</f>
        <v>-0</v>
      </c>
      <c r="AJ211" s="343" t="n">
        <f aca="false">+AI211+AH211</f>
        <v>0</v>
      </c>
      <c r="AK211" s="355" t="n">
        <f aca="false">+AJ211+AD211</f>
        <v>0</v>
      </c>
      <c r="AM211" s="346" t="n">
        <f aca="false">+DATE(YEAR(AM210),MONTH(AM210)+1,1)</f>
        <v>42583</v>
      </c>
      <c r="AN211" s="327" t="n">
        <f aca="false">+AP211/(1-HLOOKUP(AO$6,SHIPS,7,0)*INDEX(LADEN_VOYAGE_DAYS,MATCH(CONCATENATE(AO$4,AO$5),LADEN_VOYAGE_ROUTES,0),MATCH(AO$6,LADEN_VOYAGE_SHIPS,0)))</f>
        <v>5395761.47735991</v>
      </c>
      <c r="AO211" s="347" t="n">
        <f aca="false">+AP211-AN211</f>
        <v>-56655.4955122788</v>
      </c>
      <c r="AP211" s="348" t="n">
        <f aca="false">+IF(AND(AO$8&lt;=AM211,AO$9&gt;=AM211),+MIN($B211-SUMIF($H$17:AO$17,AP$17,$H211:AO211),((INDEX(ROUTE_PER_DAY_BY_SHIP,MATCH(CONCATENATE(AO$4,AO$5,AO$7),ROUTE_PER_DAY_ROUTES,0),MATCH(AO$6,ROUTE_PER_DAY_SHIPS,0))*(AM212-AM211))-(INDEX(ROUTE_PER_DAY_BY_SHIP,MATCH(CONCATENATE(AO$4,AO$5,AO$7),ROUTE_PER_DAY_ROUTES,0),MATCH(AO$6,ROUTE_PER_DAY_SHIPS,0))*(AM212-AM211))*HLOOKUP(AO$6,SHIPS,7,0)*INDEX(LADEN_VOYAGE_DAYS,MATCH(CONCATENATE(AO$4,AO$5,AO$7),LADEN_VOYAGE_ROUTES,0),MATCH(AO$6,LADEN_VOYAGE_SHIPS,0)))),0)</f>
        <v>5339105.98184763</v>
      </c>
      <c r="AQ211" s="349" t="n">
        <f aca="false">-(AP211)*PORTS!$I$6</f>
        <v>-133477.649546191</v>
      </c>
      <c r="AR211" s="327" t="n">
        <f aca="false">+AP211+AQ211</f>
        <v>5205628.33230144</v>
      </c>
      <c r="AS211" s="333"/>
      <c r="AT211" s="346" t="n">
        <f aca="false">+DATE(YEAR(AT210),MONTH(AT210)+1,1)</f>
        <v>42583</v>
      </c>
      <c r="AU211" s="343" t="n">
        <f aca="false">+AR211*(VLOOKUP(AT211,CURVECALC!$C$6:$J$312,4,0)+AV$5)</f>
        <v>20832924.5858704</v>
      </c>
      <c r="AV211" s="350" t="n">
        <f aca="false">-AN211*INDEX(ship_curves,MATCH(AT211,'SHIP CURVES'!$A$9:$A$316,0),MATCH(CONCATENATE(AX$4,AX$5,AX$6,AX$7),'SHIP CURVES'!$A$9:$AZ$9,0))</f>
        <v>-1838960.27551426</v>
      </c>
      <c r="AW211" s="351" t="n">
        <f aca="false">-AP211*INDEX(port_processing_fee,MATCH(AT211,PORTS!$H$626:$H$933,0),MATCH(AX$5,PORTS!$H$626:$Z$626,0))</f>
        <v>-172904.940690561</v>
      </c>
      <c r="AX211" s="352" t="n">
        <f aca="false">(((VLOOKUP(AT211,curvecalc,4,0))*IF(AN211=0,0,AR211/AN211)-INDEX(ship_curves,MATCH(AT211,'SHIP CURVES'!$A$9:$A$316,0),MATCH(CONCATENATE(AX$4,AX$5,AX$6,AX$7),'SHIP CURVES'!$A$9:$Z$9,0))-INDEX(terminal_curves,MATCH(AT211,'TERMINAL CURVES'!$A$4:$A$313,0),MATCH(AX$5,'TERMINAL CURVES'!$A$4:$N$4,0))*IF(AN211=0,0,AP211/AN211))-(AV$8)*((AV$7-$N$5)-(INDEX(ship_curves,MATCH(AT211,'SHIP CURVES'!$A$9:$A$316,0),MATCH(CONCATENATE(AX$4,AX$5,AX$6,AX$7),'SHIP CURVES'!$A$9:$Z$9,0))-INDEX(ship_curves,MATCH(AT211,'SHIP CURVES'!$A$9:$A$316,0),MATCH(CONCATENATE(AX$4,AV$6,AX$6,AX$7),'SHIP CURVES'!$A$9:$Z$9,0)))-(INDEX(terminal_curves,MATCH(AT211,'TERMINAL CURVES'!$A$4:$A$313,0),MATCH(AX$5,'TERMINAL CURVES'!$A$4:$N$4,0))-INDEX(terminal_curves,MATCH(AT211,'TERMINAL CURVES'!$A$4:$A$313,0),MATCH(AV$6,'TERMINAL CURVES'!$A$4:$N$4,0)))*IF(AN211=0,0,AP211/AN211)))*-AN211</f>
        <v>-17674730.7777955</v>
      </c>
      <c r="AY211" s="356" t="n">
        <f aca="false">SUM(AV211:AX211)</f>
        <v>-19686595.9940003</v>
      </c>
      <c r="AZ211" s="357" t="n">
        <f aca="false">(-AP211/((HLOOKUP(AX$5,port_specs,2,0)/(365.25))*(AT212-AT211)))*(INDEX(fixed_capacity_charge,MATCH(AT211,PORTS!$H$11:$H$317,0),MATCH(AX$5,PORTS!$H$11:$N$11,0))+INDEX(variable_om_charge,MATCH(AT211,PORTS!$H$318:$H$625,0),MATCH(AX$5,PORTS!$H$318:$N$318,0)))</f>
        <v>-1042216.02522403</v>
      </c>
      <c r="BA211" s="343" t="n">
        <f aca="false">+AZ211+AY211</f>
        <v>-20728812.0192243</v>
      </c>
      <c r="BB211" s="355" t="n">
        <f aca="false">+BA211+AU211</f>
        <v>104112.566646028</v>
      </c>
      <c r="BC211" s="99"/>
      <c r="BD211" s="357" t="n">
        <f aca="false">+PORTS!I205+PORTS!I513</f>
        <v>1042216.02522403</v>
      </c>
    </row>
    <row r="212" customFormat="false" ht="12.75" hidden="false" customHeight="false" outlineLevel="0" collapsed="false">
      <c r="A212" s="346" t="n">
        <f aca="false">+DATE(YEAR(A211),MONTH(A211)+1,1)</f>
        <v>42614</v>
      </c>
      <c r="B212" s="327" t="n">
        <f aca="false">+IF(AND($A212&gt;=$C$8,$A212&lt;=$C$9),1,0)*PORTS!$I$5/(365.25)*(A213-A212)</f>
        <v>5166876.75662674</v>
      </c>
      <c r="C212" s="328" t="n">
        <f aca="false">+B212-(SUMIF($F$17:$IV$17,$H$17,$F212:$IV212))</f>
        <v>0</v>
      </c>
      <c r="D212" s="0" t="n">
        <f aca="false">+YEAR(E212)</f>
        <v>2016</v>
      </c>
      <c r="E212" s="346" t="n">
        <f aca="false">+DATE(YEAR(E211),MONTH(E211)+1,1)</f>
        <v>42614</v>
      </c>
      <c r="F212" s="327" t="n">
        <f aca="false">+IF(AND(G$8&lt;=E212,G$9&gt;=E212),INDEX(ROUTE_PER_DAY_BY_SHIP,MATCH(CONCATENATE(G$4,G$5,G$7),ROUTE_PER_DAY_ROUTES,0),MATCH(G$6,ROUTE_PER_DAY_SHIPS,0))*(E213-E212),0)</f>
        <v>0</v>
      </c>
      <c r="G212" s="347" t="n">
        <f aca="false">-F212*HLOOKUP(G$6,SHIPS,7,0)*INDEX(LADEN_VOYAGE_DAYS,MATCH(CONCATENATE(G$4,G$5,G$7),LADEN_VOYAGE_ROUTES,0),MATCH(G$6,LADEN_VOYAGE_SHIPS,0))</f>
        <v>-0</v>
      </c>
      <c r="H212" s="348" t="n">
        <f aca="false">SUM(F212:G212)</f>
        <v>0</v>
      </c>
      <c r="I212" s="349" t="n">
        <f aca="false">-(H212)*HLOOKUP(G$5,TERMINAL_CHARGES,3,0)</f>
        <v>-0</v>
      </c>
      <c r="J212" s="327" t="n">
        <f aca="false">+H212+I212</f>
        <v>0</v>
      </c>
      <c r="K212" s="333"/>
      <c r="L212" s="346" t="n">
        <f aca="false">+DATE(YEAR(L211),MONTH(L211)+1,1)</f>
        <v>42614</v>
      </c>
      <c r="M212" s="334" t="n">
        <f aca="false">+J212*(VLOOKUP(L212,CURVECALC!$C$6:$J$312,4,0)+N$5)</f>
        <v>0</v>
      </c>
      <c r="N212" s="350" t="n">
        <f aca="false">-F212*INDEX(ship_curves,MATCH(L212,'SHIP CURVES'!$A$9:$A$316,0),MATCH(CONCATENATE(P$4,P$5,P$6,P$7),'SHIP CURVES'!$A$9:$AZ$9,0))</f>
        <v>-0</v>
      </c>
      <c r="O212" s="351" t="n">
        <f aca="false">-H212*INDEX(port_processing_fee,MATCH(L212,PORTS!$H$626:$H$933,0),MATCH(P$5,PORTS!$H$626:$Z$626,0))</f>
        <v>-0</v>
      </c>
      <c r="P212" s="352" t="n">
        <f aca="false">(((VLOOKUP(L212,curvecalc,4,0))*IF(F212=0,0,J212/F212)-INDEX(ship_curves,MATCH(L212,'SHIP CURVES'!$A$9:$A$316,0),MATCH(CONCATENATE(P$4,P$5,P$6,P$7),'SHIP CURVES'!$A$9:$Z$9,0))-INDEX(terminal_curves,MATCH(L212,'TERMINAL CURVES'!$A$4:$A$313,0),MATCH(P$5,'TERMINAL CURVES'!$A$4:$N$4,0))*IF(F212=0,0,H212/F212))-(N$8)*((N$7-$N$5)-(INDEX(ship_curves,MATCH(L212,'SHIP CURVES'!$A$9:$A$316,0),MATCH(CONCATENATE(P$4,P$5,P$6,P$7),'SHIP CURVES'!$A$9:$Z$9,0))-INDEX(ship_curves,MATCH(L212,'SHIP CURVES'!$A$9:$A$316,0),MATCH(CONCATENATE(P$4,N$6,P$6,P$7),'SHIP CURVES'!$A$9:$Z$9,0)))-(INDEX(terminal_curves,MATCH(L212,'TERMINAL CURVES'!$A$4:$A$313,0),MATCH(P$5,'TERMINAL CURVES'!$A$4:$N$4,0))-INDEX(terminal_curves,MATCH(L212,'TERMINAL CURVES'!$A$4:$A$313,0),MATCH(N$6,'TERMINAL CURVES'!$A$4:$N$4,0)))*IF(F212=0,0,H212/F212)))*-F212</f>
        <v>0</v>
      </c>
      <c r="Q212" s="353" t="n">
        <f aca="false">SUM(N212:P212)</f>
        <v>0</v>
      </c>
      <c r="R212" s="357" t="n">
        <f aca="false">(-H212/((HLOOKUP(P$5,port_specs,2,0)/(365.25))*(L213-L212)))*(INDEX(fixed_capacity_charge,MATCH(L212,PORTS!$H$11:$H$317,0),MATCH(P$5,PORTS!$H$11:$N$11,0))+INDEX(variable_om_charge,MATCH(L212,PORTS!$H$318:$H$625,0),MATCH(P$5,PORTS!$H$318:$N$318,0)))</f>
        <v>-0</v>
      </c>
      <c r="S212" s="343" t="n">
        <f aca="false">+R212+Q212</f>
        <v>0</v>
      </c>
      <c r="T212" s="355" t="n">
        <f aca="false">+S212+M212</f>
        <v>0</v>
      </c>
      <c r="V212" s="346" t="n">
        <f aca="false">+DATE(YEAR(V211),MONTH(V211)+1,1)</f>
        <v>42614</v>
      </c>
      <c r="W212" s="327" t="n">
        <f aca="false">+Y212/(1-HLOOKUP(X$6,SHIPS,7,0)*INDEX(LADEN_VOYAGE_DAYS,MATCH(CONCATENATE(X$4,X$5),LADEN_VOYAGE_ROUTES,0),MATCH(X$6,LADEN_VOYAGE_SHIPS,0)))</f>
        <v>0</v>
      </c>
      <c r="X212" s="347" t="n">
        <f aca="false">+Y212-W212</f>
        <v>0</v>
      </c>
      <c r="Y212" s="348" t="n">
        <f aca="false">+IF(AND(X$8&lt;=V212,X$9&gt;=V212),+MIN($B212-SUMIF($H$17:X$17,Y$17,$H212:X212),((INDEX(ROUTE_PER_DAY_BY_SHIP,MATCH(CONCATENATE(X$4,X$5,X$7),ROUTE_PER_DAY_ROUTES,0),MATCH(X$6,ROUTE_PER_DAY_SHIPS,0))*(V213-V212))-(INDEX(ROUTE_PER_DAY_BY_SHIP,MATCH(CONCATENATE(X$4,X$5,X$7),ROUTE_PER_DAY_ROUTES,0),MATCH(X$6,ROUTE_PER_DAY_SHIPS,0))*(V213-V212))*HLOOKUP(X$6,SHIPS,7,0)*INDEX(LADEN_VOYAGE_DAYS,MATCH(CONCATENATE(X$4,X$5,X$7),LADEN_VOYAGE_ROUTES,0),MATCH(X$6,LADEN_VOYAGE_SHIPS,0)))),0)</f>
        <v>0</v>
      </c>
      <c r="Z212" s="349" t="n">
        <f aca="false">-(Y212)*HLOOKUP(X$5,TERMINAL_CHARGES,3,0)</f>
        <v>-0</v>
      </c>
      <c r="AA212" s="327" t="n">
        <f aca="false">+Y212+Z212</f>
        <v>0</v>
      </c>
      <c r="AB212" s="333"/>
      <c r="AC212" s="346" t="n">
        <f aca="false">+DATE(YEAR(AC211),MONTH(AC211)+1,1)</f>
        <v>42614</v>
      </c>
      <c r="AD212" s="343" t="n">
        <f aca="false">+AA212*(VLOOKUP(AC212,CURVECALC!$C$6:$J$312,4,0)+AE$5)</f>
        <v>0</v>
      </c>
      <c r="AE212" s="350" t="n">
        <f aca="false">-W212*INDEX(ship_curves,MATCH(AC212,'SHIP CURVES'!$A$9:$A$316,0),MATCH(CONCATENATE(AG$4,AG$5,AG$6,AG$7),'SHIP CURVES'!$A$9:$AZ$9,0))</f>
        <v>-0</v>
      </c>
      <c r="AF212" s="351" t="n">
        <f aca="false">-Y212*INDEX(port_processing_fee,MATCH(AC212,PORTS!$H$626:$H$933,0),MATCH(AG$5,PORTS!$H$626:$Z$626,0))</f>
        <v>-0</v>
      </c>
      <c r="AG212" s="352" t="n">
        <f aca="false">(((VLOOKUP(AC212,curvecalc,4,0))*IF(W212=0,0,AA212/W212)-INDEX(ship_curves,MATCH(AC212,'SHIP CURVES'!$A$9:$A$316,0),MATCH(CONCATENATE(AG$4,AG$5,AG$6,AG$7),'SHIP CURVES'!$A$9:$Z$9,0))-INDEX(terminal_curves,MATCH(AC212,'TERMINAL CURVES'!$A$4:$A$313,0),MATCH(AG$5,'TERMINAL CURVES'!$A$4:$N$4,0))*IF(W212=0,0,Y212/W212))-(AE$8)*((AE$7-$N$5)-(INDEX(ship_curves,MATCH(AC212,'SHIP CURVES'!$A$9:$A$316,0),MATCH(CONCATENATE(AG$4,AG$5,AG$6,AG$7),'SHIP CURVES'!$A$9:$Z$9,0))-INDEX(ship_curves,MATCH(AC212,'SHIP CURVES'!$A$9:$A$316,0),MATCH(CONCATENATE(AG$4,AE$6,AG$6,AG$7),'SHIP CURVES'!$A$9:$Z$9,0)))-(INDEX(terminal_curves,MATCH(AC212,'TERMINAL CURVES'!$A$4:$A$313,0),MATCH(AG$5,'TERMINAL CURVES'!$A$4:$N$4,0))-INDEX(terminal_curves,MATCH(AC212,'TERMINAL CURVES'!$A$4:$A$313,0),MATCH(AE$6,'TERMINAL CURVES'!$A$4:$N$4,0)))*IF(W212=0,0,Y212/W212)))*-W212</f>
        <v>0</v>
      </c>
      <c r="AH212" s="356" t="n">
        <f aca="false">SUM(AE212:AG212)</f>
        <v>0</v>
      </c>
      <c r="AI212" s="357" t="n">
        <f aca="false">(-Y212/((HLOOKUP(AG$5,port_specs,2,0)/(365.25))*(AC213-AC212)))*(INDEX(fixed_capacity_charge,MATCH(AC212,PORTS!$H$11:$H$317,0),MATCH(AG$5,PORTS!$H$11:$N$11,0))+INDEX(variable_om_charge,MATCH(AC212,PORTS!$H$318:$H$625,0),MATCH(AG$5,PORTS!$H$318:$N$318,0)))</f>
        <v>-0</v>
      </c>
      <c r="AJ212" s="343" t="n">
        <f aca="false">+AI212+AH212</f>
        <v>0</v>
      </c>
      <c r="AK212" s="355" t="n">
        <f aca="false">+AJ212+AD212</f>
        <v>0</v>
      </c>
      <c r="AM212" s="346" t="n">
        <f aca="false">+DATE(YEAR(AM211),MONTH(AM211)+1,1)</f>
        <v>42614</v>
      </c>
      <c r="AN212" s="327" t="n">
        <f aca="false">+AP212/(1-HLOOKUP(AO$6,SHIPS,7,0)*INDEX(LADEN_VOYAGE_DAYS,MATCH(CONCATENATE(AO$4,AO$5),LADEN_VOYAGE_ROUTES,0),MATCH(AO$6,LADEN_VOYAGE_SHIPS,0)))</f>
        <v>5221704.65550959</v>
      </c>
      <c r="AO212" s="347" t="n">
        <f aca="false">+AP212-AN212</f>
        <v>-54827.8988828501</v>
      </c>
      <c r="AP212" s="348" t="n">
        <f aca="false">+IF(AND(AO$8&lt;=AM212,AO$9&gt;=AM212),+MIN($B212-SUMIF($H$17:AO$17,AP$17,$H212:AO212),((INDEX(ROUTE_PER_DAY_BY_SHIP,MATCH(CONCATENATE(AO$4,AO$5,AO$7),ROUTE_PER_DAY_ROUTES,0),MATCH(AO$6,ROUTE_PER_DAY_SHIPS,0))*(AM213-AM212))-(INDEX(ROUTE_PER_DAY_BY_SHIP,MATCH(CONCATENATE(AO$4,AO$5,AO$7),ROUTE_PER_DAY_ROUTES,0),MATCH(AO$6,ROUTE_PER_DAY_SHIPS,0))*(AM213-AM212))*HLOOKUP(AO$6,SHIPS,7,0)*INDEX(LADEN_VOYAGE_DAYS,MATCH(CONCATENATE(AO$4,AO$5,AO$7),LADEN_VOYAGE_ROUTES,0),MATCH(AO$6,LADEN_VOYAGE_SHIPS,0)))),0)</f>
        <v>5166876.75662674</v>
      </c>
      <c r="AQ212" s="349" t="n">
        <f aca="false">-(AP212)*PORTS!$I$6</f>
        <v>-129171.918915669</v>
      </c>
      <c r="AR212" s="327" t="n">
        <f aca="false">+AP212+AQ212</f>
        <v>5037704.83771107</v>
      </c>
      <c r="AS212" s="333"/>
      <c r="AT212" s="346" t="n">
        <f aca="false">+DATE(YEAR(AT211),MONTH(AT211)+1,1)</f>
        <v>42614</v>
      </c>
      <c r="AU212" s="343" t="n">
        <f aca="false">+AR212*(VLOOKUP(AT212,CURVECALC!$C$6:$J$312,4,0)+AV$5)</f>
        <v>20045027.5492524</v>
      </c>
      <c r="AV212" s="350" t="n">
        <f aca="false">-AN212*INDEX(ship_curves,MATCH(AT212,'SHIP CURVES'!$A$9:$A$316,0),MATCH(CONCATENATE(AX$4,AX$5,AX$6,AX$7),'SHIP CURVES'!$A$9:$AZ$9,0))</f>
        <v>-1780253.96128093</v>
      </c>
      <c r="AW212" s="351" t="n">
        <f aca="false">-AP212*INDEX(port_processing_fee,MATCH(AT212,PORTS!$H$626:$H$933,0),MATCH(AX$5,PORTS!$H$626:$Z$626,0))</f>
        <v>-167501.661293981</v>
      </c>
      <c r="AX212" s="352" t="n">
        <f aca="false">(((VLOOKUP(AT212,curvecalc,4,0))*IF(AN212=0,0,AR212/AN212)-INDEX(ship_curves,MATCH(AT212,'SHIP CURVES'!$A$9:$A$316,0),MATCH(CONCATENATE(AX$4,AX$5,AX$6,AX$7),'SHIP CURVES'!$A$9:$Z$9,0))-INDEX(terminal_curves,MATCH(AT212,'TERMINAL CURVES'!$A$4:$A$313,0),MATCH(AX$5,'TERMINAL CURVES'!$A$4:$N$4,0))*IF(AN212=0,0,AP212/AN212))-(AV$8)*((AV$7-$N$5)-(INDEX(ship_curves,MATCH(AT212,'SHIP CURVES'!$A$9:$A$316,0),MATCH(CONCATENATE(AX$4,AX$5,AX$6,AX$7),'SHIP CURVES'!$A$9:$Z$9,0))-INDEX(ship_curves,MATCH(AT212,'SHIP CURVES'!$A$9:$A$316,0),MATCH(CONCATENATE(AX$4,AV$6,AX$6,AX$7),'SHIP CURVES'!$A$9:$Z$9,0)))-(INDEX(terminal_curves,MATCH(AT212,'TERMINAL CURVES'!$A$4:$A$313,0),MATCH(AX$5,'TERMINAL CURVES'!$A$4:$N$4,0))-INDEX(terminal_curves,MATCH(AT212,'TERMINAL CURVES'!$A$4:$A$313,0),MATCH(AV$6,'TERMINAL CURVES'!$A$4:$N$4,0)))*IF(AN212=0,0,AP212/AN212)))*-AN212</f>
        <v>-16953721.5656843</v>
      </c>
      <c r="AY212" s="356" t="n">
        <f aca="false">SUM(AV212:AX212)</f>
        <v>-18901477.1882592</v>
      </c>
      <c r="AZ212" s="357" t="n">
        <f aca="false">(-AP212/((HLOOKUP(AX$5,port_specs,2,0)/(365.25))*(AT213-AT212)))*(INDEX(fixed_capacity_charge,MATCH(AT212,PORTS!$H$11:$H$317,0),MATCH(AX$5,PORTS!$H$11:$N$11,0))+INDEX(variable_om_charge,MATCH(AT212,PORTS!$H$318:$H$625,0),MATCH(AX$5,PORTS!$H$318:$N$318,0)))</f>
        <v>-1042796.26423895</v>
      </c>
      <c r="BA212" s="343" t="n">
        <f aca="false">+AZ212+AY212</f>
        <v>-19944273.4524981</v>
      </c>
      <c r="BB212" s="355" t="n">
        <f aca="false">+BA212+AU212</f>
        <v>100754.096754223</v>
      </c>
      <c r="BC212" s="99"/>
      <c r="BD212" s="357" t="n">
        <f aca="false">+PORTS!I206+PORTS!I514</f>
        <v>1042796.26423895</v>
      </c>
    </row>
    <row r="213" customFormat="false" ht="12.75" hidden="false" customHeight="false" outlineLevel="0" collapsed="false">
      <c r="A213" s="346" t="n">
        <f aca="false">+DATE(YEAR(A212),MONTH(A212)+1,1)</f>
        <v>42644</v>
      </c>
      <c r="B213" s="327" t="n">
        <f aca="false">+IF(AND($A213&gt;=$C$8,$A213&lt;=$C$9),1,0)*PORTS!$I$5/(365.25)*(A214-A213)</f>
        <v>5339105.98184763</v>
      </c>
      <c r="C213" s="328" t="n">
        <f aca="false">+B213-(SUMIF($F$17:$IV$17,$H$17,$F213:$IV213))</f>
        <v>0</v>
      </c>
      <c r="D213" s="0" t="n">
        <f aca="false">+YEAR(E213)</f>
        <v>2016</v>
      </c>
      <c r="E213" s="346" t="n">
        <f aca="false">+DATE(YEAR(E212),MONTH(E212)+1,1)</f>
        <v>42644</v>
      </c>
      <c r="F213" s="327" t="n">
        <f aca="false">+IF(AND(G$8&lt;=E213,G$9&gt;=E213),INDEX(ROUTE_PER_DAY_BY_SHIP,MATCH(CONCATENATE(G$4,G$5,G$7),ROUTE_PER_DAY_ROUTES,0),MATCH(G$6,ROUTE_PER_DAY_SHIPS,0))*(E214-E213),0)</f>
        <v>0</v>
      </c>
      <c r="G213" s="347" t="n">
        <f aca="false">-F213*HLOOKUP(G$6,SHIPS,7,0)*INDEX(LADEN_VOYAGE_DAYS,MATCH(CONCATENATE(G$4,G$5,G$7),LADEN_VOYAGE_ROUTES,0),MATCH(G$6,LADEN_VOYAGE_SHIPS,0))</f>
        <v>-0</v>
      </c>
      <c r="H213" s="348" t="n">
        <f aca="false">SUM(F213:G213)</f>
        <v>0</v>
      </c>
      <c r="I213" s="349" t="n">
        <f aca="false">-(H213)*HLOOKUP(G$5,TERMINAL_CHARGES,3,0)</f>
        <v>-0</v>
      </c>
      <c r="J213" s="327" t="n">
        <f aca="false">+H213+I213</f>
        <v>0</v>
      </c>
      <c r="K213" s="333"/>
      <c r="L213" s="346" t="n">
        <f aca="false">+DATE(YEAR(L212),MONTH(L212)+1,1)</f>
        <v>42644</v>
      </c>
      <c r="M213" s="334" t="n">
        <f aca="false">+J213*(VLOOKUP(L213,CURVECALC!$C$6:$J$312,4,0)+N$5)</f>
        <v>0</v>
      </c>
      <c r="N213" s="350" t="n">
        <f aca="false">-F213*INDEX(ship_curves,MATCH(L213,'SHIP CURVES'!$A$9:$A$316,0),MATCH(CONCATENATE(P$4,P$5,P$6,P$7),'SHIP CURVES'!$A$9:$AZ$9,0))</f>
        <v>-0</v>
      </c>
      <c r="O213" s="351" t="n">
        <f aca="false">-H213*INDEX(port_processing_fee,MATCH(L213,PORTS!$H$626:$H$933,0),MATCH(P$5,PORTS!$H$626:$Z$626,0))</f>
        <v>-0</v>
      </c>
      <c r="P213" s="352" t="n">
        <f aca="false">(((VLOOKUP(L213,curvecalc,4,0))*IF(F213=0,0,J213/F213)-INDEX(ship_curves,MATCH(L213,'SHIP CURVES'!$A$9:$A$316,0),MATCH(CONCATENATE(P$4,P$5,P$6,P$7),'SHIP CURVES'!$A$9:$Z$9,0))-INDEX(terminal_curves,MATCH(L213,'TERMINAL CURVES'!$A$4:$A$313,0),MATCH(P$5,'TERMINAL CURVES'!$A$4:$N$4,0))*IF(F213=0,0,H213/F213))-(N$8)*((N$7-$N$5)-(INDEX(ship_curves,MATCH(L213,'SHIP CURVES'!$A$9:$A$316,0),MATCH(CONCATENATE(P$4,P$5,P$6,P$7),'SHIP CURVES'!$A$9:$Z$9,0))-INDEX(ship_curves,MATCH(L213,'SHIP CURVES'!$A$9:$A$316,0),MATCH(CONCATENATE(P$4,N$6,P$6,P$7),'SHIP CURVES'!$A$9:$Z$9,0)))-(INDEX(terminal_curves,MATCH(L213,'TERMINAL CURVES'!$A$4:$A$313,0),MATCH(P$5,'TERMINAL CURVES'!$A$4:$N$4,0))-INDEX(terminal_curves,MATCH(L213,'TERMINAL CURVES'!$A$4:$A$313,0),MATCH(N$6,'TERMINAL CURVES'!$A$4:$N$4,0)))*IF(F213=0,0,H213/F213)))*-F213</f>
        <v>0</v>
      </c>
      <c r="Q213" s="353" t="n">
        <f aca="false">SUM(N213:P213)</f>
        <v>0</v>
      </c>
      <c r="R213" s="357" t="n">
        <f aca="false">(-H213/((HLOOKUP(P$5,port_specs,2,0)/(365.25))*(L214-L213)))*(INDEX(fixed_capacity_charge,MATCH(L213,PORTS!$H$11:$H$317,0),MATCH(P$5,PORTS!$H$11:$N$11,0))+INDEX(variable_om_charge,MATCH(L213,PORTS!$H$318:$H$625,0),MATCH(P$5,PORTS!$H$318:$N$318,0)))</f>
        <v>-0</v>
      </c>
      <c r="S213" s="343" t="n">
        <f aca="false">+R213+Q213</f>
        <v>0</v>
      </c>
      <c r="T213" s="355" t="n">
        <f aca="false">+S213+M213</f>
        <v>0</v>
      </c>
      <c r="V213" s="346" t="n">
        <f aca="false">+DATE(YEAR(V212),MONTH(V212)+1,1)</f>
        <v>42644</v>
      </c>
      <c r="W213" s="327" t="n">
        <f aca="false">+Y213/(1-HLOOKUP(X$6,SHIPS,7,0)*INDEX(LADEN_VOYAGE_DAYS,MATCH(CONCATENATE(X$4,X$5),LADEN_VOYAGE_ROUTES,0),MATCH(X$6,LADEN_VOYAGE_SHIPS,0)))</f>
        <v>0</v>
      </c>
      <c r="X213" s="347" t="n">
        <f aca="false">+Y213-W213</f>
        <v>0</v>
      </c>
      <c r="Y213" s="348" t="n">
        <f aca="false">+IF(AND(X$8&lt;=V213,X$9&gt;=V213),+MIN($B213-SUMIF($H$17:X$17,Y$17,$H213:X213),((INDEX(ROUTE_PER_DAY_BY_SHIP,MATCH(CONCATENATE(X$4,X$5,X$7),ROUTE_PER_DAY_ROUTES,0),MATCH(X$6,ROUTE_PER_DAY_SHIPS,0))*(V214-V213))-(INDEX(ROUTE_PER_DAY_BY_SHIP,MATCH(CONCATENATE(X$4,X$5,X$7),ROUTE_PER_DAY_ROUTES,0),MATCH(X$6,ROUTE_PER_DAY_SHIPS,0))*(V214-V213))*HLOOKUP(X$6,SHIPS,7,0)*INDEX(LADEN_VOYAGE_DAYS,MATCH(CONCATENATE(X$4,X$5,X$7),LADEN_VOYAGE_ROUTES,0),MATCH(X$6,LADEN_VOYAGE_SHIPS,0)))),0)</f>
        <v>0</v>
      </c>
      <c r="Z213" s="349" t="n">
        <f aca="false">-(Y213)*HLOOKUP(X$5,TERMINAL_CHARGES,3,0)</f>
        <v>-0</v>
      </c>
      <c r="AA213" s="327" t="n">
        <f aca="false">+Y213+Z213</f>
        <v>0</v>
      </c>
      <c r="AB213" s="333"/>
      <c r="AC213" s="346" t="n">
        <f aca="false">+DATE(YEAR(AC212),MONTH(AC212)+1,1)</f>
        <v>42644</v>
      </c>
      <c r="AD213" s="343" t="n">
        <f aca="false">+AA213*(VLOOKUP(AC213,CURVECALC!$C$6:$J$312,4,0)+AE$5)</f>
        <v>0</v>
      </c>
      <c r="AE213" s="350" t="n">
        <f aca="false">-W213*INDEX(ship_curves,MATCH(AC213,'SHIP CURVES'!$A$9:$A$316,0),MATCH(CONCATENATE(AG$4,AG$5,AG$6,AG$7),'SHIP CURVES'!$A$9:$AZ$9,0))</f>
        <v>-0</v>
      </c>
      <c r="AF213" s="351" t="n">
        <f aca="false">-Y213*INDEX(port_processing_fee,MATCH(AC213,PORTS!$H$626:$H$933,0),MATCH(AG$5,PORTS!$H$626:$Z$626,0))</f>
        <v>-0</v>
      </c>
      <c r="AG213" s="352" t="n">
        <f aca="false">(((VLOOKUP(AC213,curvecalc,4,0))*IF(W213=0,0,AA213/W213)-INDEX(ship_curves,MATCH(AC213,'SHIP CURVES'!$A$9:$A$316,0),MATCH(CONCATENATE(AG$4,AG$5,AG$6,AG$7),'SHIP CURVES'!$A$9:$Z$9,0))-INDEX(terminal_curves,MATCH(AC213,'TERMINAL CURVES'!$A$4:$A$313,0),MATCH(AG$5,'TERMINAL CURVES'!$A$4:$N$4,0))*IF(W213=0,0,Y213/W213))-(AE$8)*((AE$7-$N$5)-(INDEX(ship_curves,MATCH(AC213,'SHIP CURVES'!$A$9:$A$316,0),MATCH(CONCATENATE(AG$4,AG$5,AG$6,AG$7),'SHIP CURVES'!$A$9:$Z$9,0))-INDEX(ship_curves,MATCH(AC213,'SHIP CURVES'!$A$9:$A$316,0),MATCH(CONCATENATE(AG$4,AE$6,AG$6,AG$7),'SHIP CURVES'!$A$9:$Z$9,0)))-(INDEX(terminal_curves,MATCH(AC213,'TERMINAL CURVES'!$A$4:$A$313,0),MATCH(AG$5,'TERMINAL CURVES'!$A$4:$N$4,0))-INDEX(terminal_curves,MATCH(AC213,'TERMINAL CURVES'!$A$4:$A$313,0),MATCH(AE$6,'TERMINAL CURVES'!$A$4:$N$4,0)))*IF(W213=0,0,Y213/W213)))*-W213</f>
        <v>0</v>
      </c>
      <c r="AH213" s="356" t="n">
        <f aca="false">SUM(AE213:AG213)</f>
        <v>0</v>
      </c>
      <c r="AI213" s="357" t="n">
        <f aca="false">(-Y213/((HLOOKUP(AG$5,port_specs,2,0)/(365.25))*(AC214-AC213)))*(INDEX(fixed_capacity_charge,MATCH(AC213,PORTS!$H$11:$H$317,0),MATCH(AG$5,PORTS!$H$11:$N$11,0))+INDEX(variable_om_charge,MATCH(AC213,PORTS!$H$318:$H$625,0),MATCH(AG$5,PORTS!$H$318:$N$318,0)))</f>
        <v>-0</v>
      </c>
      <c r="AJ213" s="343" t="n">
        <f aca="false">+AI213+AH213</f>
        <v>0</v>
      </c>
      <c r="AK213" s="355" t="n">
        <f aca="false">+AJ213+AD213</f>
        <v>0</v>
      </c>
      <c r="AM213" s="346" t="n">
        <f aca="false">+DATE(YEAR(AM212),MONTH(AM212)+1,1)</f>
        <v>42644</v>
      </c>
      <c r="AN213" s="327" t="n">
        <f aca="false">+AP213/(1-HLOOKUP(AO$6,SHIPS,7,0)*INDEX(LADEN_VOYAGE_DAYS,MATCH(CONCATENATE(AO$4,AO$5),LADEN_VOYAGE_ROUTES,0),MATCH(AO$6,LADEN_VOYAGE_SHIPS,0)))</f>
        <v>5395761.47735991</v>
      </c>
      <c r="AO213" s="347" t="n">
        <f aca="false">+AP213-AN213</f>
        <v>-56655.4955122788</v>
      </c>
      <c r="AP213" s="348" t="n">
        <f aca="false">+IF(AND(AO$8&lt;=AM213,AO$9&gt;=AM213),+MIN($B213-SUMIF($H$17:AO$17,AP$17,$H213:AO213),((INDEX(ROUTE_PER_DAY_BY_SHIP,MATCH(CONCATENATE(AO$4,AO$5,AO$7),ROUTE_PER_DAY_ROUTES,0),MATCH(AO$6,ROUTE_PER_DAY_SHIPS,0))*(AM214-AM213))-(INDEX(ROUTE_PER_DAY_BY_SHIP,MATCH(CONCATENATE(AO$4,AO$5,AO$7),ROUTE_PER_DAY_ROUTES,0),MATCH(AO$6,ROUTE_PER_DAY_SHIPS,0))*(AM214-AM213))*HLOOKUP(AO$6,SHIPS,7,0)*INDEX(LADEN_VOYAGE_DAYS,MATCH(CONCATENATE(AO$4,AO$5,AO$7),LADEN_VOYAGE_ROUTES,0),MATCH(AO$6,LADEN_VOYAGE_SHIPS,0)))),0)</f>
        <v>5339105.98184763</v>
      </c>
      <c r="AQ213" s="349" t="n">
        <f aca="false">-(AP213)*PORTS!$I$6</f>
        <v>-133477.649546191</v>
      </c>
      <c r="AR213" s="327" t="n">
        <f aca="false">+AP213+AQ213</f>
        <v>5205628.33230144</v>
      </c>
      <c r="AS213" s="333"/>
      <c r="AT213" s="346" t="n">
        <f aca="false">+DATE(YEAR(AT212),MONTH(AT212)+1,1)</f>
        <v>42644</v>
      </c>
      <c r="AU213" s="343" t="n">
        <f aca="false">+AR213*(VLOOKUP(AT213,CURVECALC!$C$6:$J$312,4,0)+AV$5)</f>
        <v>20749634.5325536</v>
      </c>
      <c r="AV213" s="350" t="n">
        <f aca="false">-AN213*INDEX(ship_curves,MATCH(AT213,'SHIP CURVES'!$A$9:$A$316,0),MATCH(CONCATENATE(AX$4,AX$5,AX$6,AX$7),'SHIP CURVES'!$A$9:$AZ$9,0))</f>
        <v>-1840232.56839233</v>
      </c>
      <c r="AW213" s="351" t="n">
        <f aca="false">-AP213*INDEX(port_processing_fee,MATCH(AT213,PORTS!$H$626:$H$933,0),MATCH(AX$5,PORTS!$H$626:$Z$626,0))</f>
        <v>-173265.346930868</v>
      </c>
      <c r="AX213" s="352" t="n">
        <f aca="false">(((VLOOKUP(AT213,curvecalc,4,0))*IF(AN213=0,0,AR213/AN213)-INDEX(ship_curves,MATCH(AT213,'SHIP CURVES'!$A$9:$A$316,0),MATCH(CONCATENATE(AX$4,AX$5,AX$6,AX$7),'SHIP CURVES'!$A$9:$Z$9,0))-INDEX(terminal_curves,MATCH(AT213,'TERMINAL CURVES'!$A$4:$A$313,0),MATCH(AX$5,'TERMINAL CURVES'!$A$4:$N$4,0))*IF(AN213=0,0,AP213/AN213))-(AV$8)*((AV$7-$N$5)-(INDEX(ship_curves,MATCH(AT213,'SHIP CURVES'!$A$9:$A$316,0),MATCH(CONCATENATE(AX$4,AX$5,AX$6,AX$7),'SHIP CURVES'!$A$9:$Z$9,0))-INDEX(ship_curves,MATCH(AT213,'SHIP CURVES'!$A$9:$A$316,0),MATCH(CONCATENATE(AX$4,AV$6,AX$6,AX$7),'SHIP CURVES'!$A$9:$Z$9,0)))-(INDEX(terminal_curves,MATCH(AT213,'TERMINAL CURVES'!$A$4:$A$313,0),MATCH(AX$5,'TERMINAL CURVES'!$A$4:$N$4,0))-INDEX(terminal_curves,MATCH(AT213,'TERMINAL CURVES'!$A$4:$A$313,0),MATCH(AV$6,'TERMINAL CURVES'!$A$4:$N$4,0)))*IF(AN213=0,0,AP213/AN213)))*-AN213</f>
        <v>-17588646.9429148</v>
      </c>
      <c r="AY213" s="356" t="n">
        <f aca="false">SUM(AV213:AX213)</f>
        <v>-19602144.858238</v>
      </c>
      <c r="AZ213" s="357" t="n">
        <f aca="false">(-AP213/((HLOOKUP(AX$5,port_specs,2,0)/(365.25))*(AT214-AT213)))*(INDEX(fixed_capacity_charge,MATCH(AT213,PORTS!$H$11:$H$317,0),MATCH(AX$5,PORTS!$H$11:$N$11,0))+INDEX(variable_om_charge,MATCH(AT213,PORTS!$H$318:$H$625,0),MATCH(AX$5,PORTS!$H$318:$N$318,0)))</f>
        <v>-1043377.1076695</v>
      </c>
      <c r="BA213" s="343" t="n">
        <f aca="false">+AZ213+AY213</f>
        <v>-20645521.9659075</v>
      </c>
      <c r="BB213" s="355" t="n">
        <f aca="false">+BA213+AU213</f>
        <v>104112.566646032</v>
      </c>
      <c r="BC213" s="99"/>
      <c r="BD213" s="357" t="n">
        <f aca="false">+PORTS!I207+PORTS!I515</f>
        <v>1043377.1076695</v>
      </c>
    </row>
    <row r="214" customFormat="false" ht="12.75" hidden="false" customHeight="false" outlineLevel="0" collapsed="false">
      <c r="A214" s="346" t="n">
        <f aca="false">+DATE(YEAR(A213),MONTH(A213)+1,1)</f>
        <v>42675</v>
      </c>
      <c r="B214" s="327" t="n">
        <f aca="false">+IF(AND($A214&gt;=$C$8,$A214&lt;=$C$9),1,0)*PORTS!$I$5/(365.25)*(A215-A214)</f>
        <v>5166876.75662674</v>
      </c>
      <c r="C214" s="328" t="n">
        <f aca="false">+B214-(SUMIF($F$17:$IV$17,$H$17,$F214:$IV214))</f>
        <v>0</v>
      </c>
      <c r="D214" s="0" t="n">
        <f aca="false">+YEAR(E214)</f>
        <v>2016</v>
      </c>
      <c r="E214" s="346" t="n">
        <f aca="false">+DATE(YEAR(E213),MONTH(E213)+1,1)</f>
        <v>42675</v>
      </c>
      <c r="F214" s="327" t="n">
        <f aca="false">+IF(AND(G$8&lt;=E214,G$9&gt;=E214),INDEX(ROUTE_PER_DAY_BY_SHIP,MATCH(CONCATENATE(G$4,G$5,G$7),ROUTE_PER_DAY_ROUTES,0),MATCH(G$6,ROUTE_PER_DAY_SHIPS,0))*(E215-E214),0)</f>
        <v>0</v>
      </c>
      <c r="G214" s="347" t="n">
        <f aca="false">-F214*HLOOKUP(G$6,SHIPS,7,0)*INDEX(LADEN_VOYAGE_DAYS,MATCH(CONCATENATE(G$4,G$5,G$7),LADEN_VOYAGE_ROUTES,0),MATCH(G$6,LADEN_VOYAGE_SHIPS,0))</f>
        <v>-0</v>
      </c>
      <c r="H214" s="348" t="n">
        <f aca="false">SUM(F214:G214)</f>
        <v>0</v>
      </c>
      <c r="I214" s="349" t="n">
        <f aca="false">-(H214)*HLOOKUP(G$5,TERMINAL_CHARGES,3,0)</f>
        <v>-0</v>
      </c>
      <c r="J214" s="327" t="n">
        <f aca="false">+H214+I214</f>
        <v>0</v>
      </c>
      <c r="K214" s="333"/>
      <c r="L214" s="346" t="n">
        <f aca="false">+DATE(YEAR(L213),MONTH(L213)+1,1)</f>
        <v>42675</v>
      </c>
      <c r="M214" s="334" t="n">
        <f aca="false">+J214*(VLOOKUP(L214,CURVECALC!$C$6:$J$312,4,0)+N$5)</f>
        <v>0</v>
      </c>
      <c r="N214" s="350" t="n">
        <f aca="false">-F214*INDEX(ship_curves,MATCH(L214,'SHIP CURVES'!$A$9:$A$316,0),MATCH(CONCATENATE(P$4,P$5,P$6,P$7),'SHIP CURVES'!$A$9:$AZ$9,0))</f>
        <v>-0</v>
      </c>
      <c r="O214" s="351" t="n">
        <f aca="false">-H214*INDEX(port_processing_fee,MATCH(L214,PORTS!$H$626:$H$933,0),MATCH(P$5,PORTS!$H$626:$Z$626,0))</f>
        <v>-0</v>
      </c>
      <c r="P214" s="352" t="n">
        <f aca="false">(((VLOOKUP(L214,curvecalc,4,0))*IF(F214=0,0,J214/F214)-INDEX(ship_curves,MATCH(L214,'SHIP CURVES'!$A$9:$A$316,0),MATCH(CONCATENATE(P$4,P$5,P$6,P$7),'SHIP CURVES'!$A$9:$Z$9,0))-INDEX(terminal_curves,MATCH(L214,'TERMINAL CURVES'!$A$4:$A$313,0),MATCH(P$5,'TERMINAL CURVES'!$A$4:$N$4,0))*IF(F214=0,0,H214/F214))-(N$8)*((N$7-$N$5)-(INDEX(ship_curves,MATCH(L214,'SHIP CURVES'!$A$9:$A$316,0),MATCH(CONCATENATE(P$4,P$5,P$6,P$7),'SHIP CURVES'!$A$9:$Z$9,0))-INDEX(ship_curves,MATCH(L214,'SHIP CURVES'!$A$9:$A$316,0),MATCH(CONCATENATE(P$4,N$6,P$6,P$7),'SHIP CURVES'!$A$9:$Z$9,0)))-(INDEX(terminal_curves,MATCH(L214,'TERMINAL CURVES'!$A$4:$A$313,0),MATCH(P$5,'TERMINAL CURVES'!$A$4:$N$4,0))-INDEX(terminal_curves,MATCH(L214,'TERMINAL CURVES'!$A$4:$A$313,0),MATCH(N$6,'TERMINAL CURVES'!$A$4:$N$4,0)))*IF(F214=0,0,H214/F214)))*-F214</f>
        <v>0</v>
      </c>
      <c r="Q214" s="353" t="n">
        <f aca="false">SUM(N214:P214)</f>
        <v>0</v>
      </c>
      <c r="R214" s="357" t="n">
        <f aca="false">(-H214/((HLOOKUP(P$5,port_specs,2,0)/(365.25))*(L215-L214)))*(INDEX(fixed_capacity_charge,MATCH(L214,PORTS!$H$11:$H$317,0),MATCH(P$5,PORTS!$H$11:$N$11,0))+INDEX(variable_om_charge,MATCH(L214,PORTS!$H$318:$H$625,0),MATCH(P$5,PORTS!$H$318:$N$318,0)))</f>
        <v>-0</v>
      </c>
      <c r="S214" s="343" t="n">
        <f aca="false">+R214+Q214</f>
        <v>0</v>
      </c>
      <c r="T214" s="355" t="n">
        <f aca="false">+S214+M214</f>
        <v>0</v>
      </c>
      <c r="V214" s="346" t="n">
        <f aca="false">+DATE(YEAR(V213),MONTH(V213)+1,1)</f>
        <v>42675</v>
      </c>
      <c r="W214" s="327" t="n">
        <f aca="false">+Y214/(1-HLOOKUP(X$6,SHIPS,7,0)*INDEX(LADEN_VOYAGE_DAYS,MATCH(CONCATENATE(X$4,X$5),LADEN_VOYAGE_ROUTES,0),MATCH(X$6,LADEN_VOYAGE_SHIPS,0)))</f>
        <v>0</v>
      </c>
      <c r="X214" s="347" t="n">
        <f aca="false">+Y214-W214</f>
        <v>0</v>
      </c>
      <c r="Y214" s="348" t="n">
        <f aca="false">+IF(AND(X$8&lt;=V214,X$9&gt;=V214),+MIN($B214-SUMIF($H$17:X$17,Y$17,$H214:X214),((INDEX(ROUTE_PER_DAY_BY_SHIP,MATCH(CONCATENATE(X$4,X$5,X$7),ROUTE_PER_DAY_ROUTES,0),MATCH(X$6,ROUTE_PER_DAY_SHIPS,0))*(V215-V214))-(INDEX(ROUTE_PER_DAY_BY_SHIP,MATCH(CONCATENATE(X$4,X$5,X$7),ROUTE_PER_DAY_ROUTES,0),MATCH(X$6,ROUTE_PER_DAY_SHIPS,0))*(V215-V214))*HLOOKUP(X$6,SHIPS,7,0)*INDEX(LADEN_VOYAGE_DAYS,MATCH(CONCATENATE(X$4,X$5,X$7),LADEN_VOYAGE_ROUTES,0),MATCH(X$6,LADEN_VOYAGE_SHIPS,0)))),0)</f>
        <v>0</v>
      </c>
      <c r="Z214" s="349" t="n">
        <f aca="false">-(Y214)*HLOOKUP(X$5,TERMINAL_CHARGES,3,0)</f>
        <v>-0</v>
      </c>
      <c r="AA214" s="327" t="n">
        <f aca="false">+Y214+Z214</f>
        <v>0</v>
      </c>
      <c r="AB214" s="333"/>
      <c r="AC214" s="346" t="n">
        <f aca="false">+DATE(YEAR(AC213),MONTH(AC213)+1,1)</f>
        <v>42675</v>
      </c>
      <c r="AD214" s="343" t="n">
        <f aca="false">+AA214*(VLOOKUP(AC214,CURVECALC!$C$6:$J$312,4,0)+AE$5)</f>
        <v>0</v>
      </c>
      <c r="AE214" s="350" t="n">
        <f aca="false">-W214*INDEX(ship_curves,MATCH(AC214,'SHIP CURVES'!$A$9:$A$316,0),MATCH(CONCATENATE(AG$4,AG$5,AG$6,AG$7),'SHIP CURVES'!$A$9:$AZ$9,0))</f>
        <v>-0</v>
      </c>
      <c r="AF214" s="351" t="n">
        <f aca="false">-Y214*INDEX(port_processing_fee,MATCH(AC214,PORTS!$H$626:$H$933,0),MATCH(AG$5,PORTS!$H$626:$Z$626,0))</f>
        <v>-0</v>
      </c>
      <c r="AG214" s="352" t="n">
        <f aca="false">(((VLOOKUP(AC214,curvecalc,4,0))*IF(W214=0,0,AA214/W214)-INDEX(ship_curves,MATCH(AC214,'SHIP CURVES'!$A$9:$A$316,0),MATCH(CONCATENATE(AG$4,AG$5,AG$6,AG$7),'SHIP CURVES'!$A$9:$Z$9,0))-INDEX(terminal_curves,MATCH(AC214,'TERMINAL CURVES'!$A$4:$A$313,0),MATCH(AG$5,'TERMINAL CURVES'!$A$4:$N$4,0))*IF(W214=0,0,Y214/W214))-(AE$8)*((AE$7-$N$5)-(INDEX(ship_curves,MATCH(AC214,'SHIP CURVES'!$A$9:$A$316,0),MATCH(CONCATENATE(AG$4,AG$5,AG$6,AG$7),'SHIP CURVES'!$A$9:$Z$9,0))-INDEX(ship_curves,MATCH(AC214,'SHIP CURVES'!$A$9:$A$316,0),MATCH(CONCATENATE(AG$4,AE$6,AG$6,AG$7),'SHIP CURVES'!$A$9:$Z$9,0)))-(INDEX(terminal_curves,MATCH(AC214,'TERMINAL CURVES'!$A$4:$A$313,0),MATCH(AG$5,'TERMINAL CURVES'!$A$4:$N$4,0))-INDEX(terminal_curves,MATCH(AC214,'TERMINAL CURVES'!$A$4:$A$313,0),MATCH(AE$6,'TERMINAL CURVES'!$A$4:$N$4,0)))*IF(W214=0,0,Y214/W214)))*-W214</f>
        <v>0</v>
      </c>
      <c r="AH214" s="356" t="n">
        <f aca="false">SUM(AE214:AG214)</f>
        <v>0</v>
      </c>
      <c r="AI214" s="357" t="n">
        <f aca="false">(-Y214/((HLOOKUP(AG$5,port_specs,2,0)/(365.25))*(AC215-AC214)))*(INDEX(fixed_capacity_charge,MATCH(AC214,PORTS!$H$11:$H$317,0),MATCH(AG$5,PORTS!$H$11:$N$11,0))+INDEX(variable_om_charge,MATCH(AC214,PORTS!$H$318:$H$625,0),MATCH(AG$5,PORTS!$H$318:$N$318,0)))</f>
        <v>-0</v>
      </c>
      <c r="AJ214" s="343" t="n">
        <f aca="false">+AI214+AH214</f>
        <v>0</v>
      </c>
      <c r="AK214" s="355" t="n">
        <f aca="false">+AJ214+AD214</f>
        <v>0</v>
      </c>
      <c r="AM214" s="346" t="n">
        <f aca="false">+DATE(YEAR(AM213),MONTH(AM213)+1,1)</f>
        <v>42675</v>
      </c>
      <c r="AN214" s="327" t="n">
        <f aca="false">+AP214/(1-HLOOKUP(AO$6,SHIPS,7,0)*INDEX(LADEN_VOYAGE_DAYS,MATCH(CONCATENATE(AO$4,AO$5),LADEN_VOYAGE_ROUTES,0),MATCH(AO$6,LADEN_VOYAGE_SHIPS,0)))</f>
        <v>5221704.65550959</v>
      </c>
      <c r="AO214" s="347" t="n">
        <f aca="false">+AP214-AN214</f>
        <v>-54827.8988828501</v>
      </c>
      <c r="AP214" s="348" t="n">
        <f aca="false">+IF(AND(AO$8&lt;=AM214,AO$9&gt;=AM214),+MIN($B214-SUMIF($H$17:AO$17,AP$17,$H214:AO214),((INDEX(ROUTE_PER_DAY_BY_SHIP,MATCH(CONCATENATE(AO$4,AO$5,AO$7),ROUTE_PER_DAY_ROUTES,0),MATCH(AO$6,ROUTE_PER_DAY_SHIPS,0))*(AM215-AM214))-(INDEX(ROUTE_PER_DAY_BY_SHIP,MATCH(CONCATENATE(AO$4,AO$5,AO$7),ROUTE_PER_DAY_ROUTES,0),MATCH(AO$6,ROUTE_PER_DAY_SHIPS,0))*(AM215-AM214))*HLOOKUP(AO$6,SHIPS,7,0)*INDEX(LADEN_VOYAGE_DAYS,MATCH(CONCATENATE(AO$4,AO$5,AO$7),LADEN_VOYAGE_ROUTES,0),MATCH(AO$6,LADEN_VOYAGE_SHIPS,0)))),0)</f>
        <v>5166876.75662674</v>
      </c>
      <c r="AQ214" s="349" t="n">
        <f aca="false">-(AP214)*PORTS!$I$6</f>
        <v>-129171.918915669</v>
      </c>
      <c r="AR214" s="327" t="n">
        <f aca="false">+AP214+AQ214</f>
        <v>5037704.83771107</v>
      </c>
      <c r="AS214" s="333"/>
      <c r="AT214" s="346" t="n">
        <f aca="false">+DATE(YEAR(AT213),MONTH(AT213)+1,1)</f>
        <v>42675</v>
      </c>
      <c r="AU214" s="343" t="n">
        <f aca="false">+AR214*(VLOOKUP(AT214,CURVECALC!$C$6:$J$312,4,0)+AV$5)</f>
        <v>20301950.4959756</v>
      </c>
      <c r="AV214" s="350" t="n">
        <f aca="false">-AN214*INDEX(ship_curves,MATCH(AT214,'SHIP CURVES'!$A$9:$A$316,0),MATCH(CONCATENATE(AX$4,AX$5,AX$6,AX$7),'SHIP CURVES'!$A$9:$AZ$9,0))</f>
        <v>-1781487.77755987</v>
      </c>
      <c r="AW214" s="351" t="n">
        <f aca="false">-AP214*INDEX(port_processing_fee,MATCH(AT214,PORTS!$H$626:$H$933,0),MATCH(AX$5,PORTS!$H$626:$Z$626,0))</f>
        <v>-167850.804839278</v>
      </c>
      <c r="AX214" s="352" t="n">
        <f aca="false">(((VLOOKUP(AT214,curvecalc,4,0))*IF(AN214=0,0,AR214/AN214)-INDEX(ship_curves,MATCH(AT214,'SHIP CURVES'!$A$9:$A$316,0),MATCH(CONCATENATE(AX$4,AX$5,AX$6,AX$7),'SHIP CURVES'!$A$9:$Z$9,0))-INDEX(terminal_curves,MATCH(AT214,'TERMINAL CURVES'!$A$4:$A$313,0),MATCH(AX$5,'TERMINAL CURVES'!$A$4:$N$4,0))*IF(AN214=0,0,AP214/AN214))-(AV$8)*((AV$7-$N$5)-(INDEX(ship_curves,MATCH(AT214,'SHIP CURVES'!$A$9:$A$316,0),MATCH(CONCATENATE(AX$4,AX$5,AX$6,AX$7),'SHIP CURVES'!$A$9:$Z$9,0))-INDEX(ship_curves,MATCH(AT214,'SHIP CURVES'!$A$9:$A$316,0),MATCH(CONCATENATE(AX$4,AV$6,AX$6,AX$7),'SHIP CURVES'!$A$9:$Z$9,0)))-(INDEX(terminal_curves,MATCH(AT214,'TERMINAL CURVES'!$A$4:$A$313,0),MATCH(AX$5,'TERMINAL CURVES'!$A$4:$N$4,0))-INDEX(terminal_curves,MATCH(AT214,'TERMINAL CURVES'!$A$4:$A$313,0),MATCH(AV$6,'TERMINAL CURVES'!$A$4:$N$4,0)))*IF(AN214=0,0,AP214/AN214)))*-AN214</f>
        <v>-17207899.260677</v>
      </c>
      <c r="AY214" s="356" t="n">
        <f aca="false">SUM(AV214:AX214)</f>
        <v>-19157237.8430761</v>
      </c>
      <c r="AZ214" s="357" t="n">
        <f aca="false">(-AP214/((HLOOKUP(AX$5,port_specs,2,0)/(365.25))*(AT215-AT214)))*(INDEX(fixed_capacity_charge,MATCH(AT214,PORTS!$H$11:$H$317,0),MATCH(AX$5,PORTS!$H$11:$N$11,0))+INDEX(variable_om_charge,MATCH(AT214,PORTS!$H$318:$H$625,0),MATCH(AX$5,PORTS!$H$318:$N$318,0)))</f>
        <v>-1043958.55614529</v>
      </c>
      <c r="BA214" s="343" t="n">
        <f aca="false">+AZ214+AY214</f>
        <v>-20201196.3992214</v>
      </c>
      <c r="BB214" s="355" t="n">
        <f aca="false">+BA214+AU214</f>
        <v>100754.096754216</v>
      </c>
      <c r="BC214" s="99"/>
      <c r="BD214" s="357" t="n">
        <f aca="false">+PORTS!I208+PORTS!I516</f>
        <v>1043958.55614529</v>
      </c>
    </row>
    <row r="215" customFormat="false" ht="12.75" hidden="false" customHeight="false" outlineLevel="0" collapsed="false">
      <c r="A215" s="346" t="n">
        <f aca="false">+DATE(YEAR(A214),MONTH(A214)+1,1)</f>
        <v>42705</v>
      </c>
      <c r="B215" s="327" t="n">
        <f aca="false">+IF(AND($A215&gt;=$C$8,$A215&lt;=$C$9),1,0)*PORTS!$I$5/(365.25)*(A216-A215)</f>
        <v>5339105.98184763</v>
      </c>
      <c r="C215" s="328" t="n">
        <f aca="false">+B215-(SUMIF($F$17:$IV$17,$H$17,$F215:$IV215))</f>
        <v>0</v>
      </c>
      <c r="D215" s="0" t="n">
        <f aca="false">+YEAR(E215)</f>
        <v>2016</v>
      </c>
      <c r="E215" s="346" t="n">
        <f aca="false">+DATE(YEAR(E214),MONTH(E214)+1,1)</f>
        <v>42705</v>
      </c>
      <c r="F215" s="327" t="n">
        <f aca="false">+IF(AND(G$8&lt;=E215,G$9&gt;=E215),INDEX(ROUTE_PER_DAY_BY_SHIP,MATCH(CONCATENATE(G$4,G$5,G$7),ROUTE_PER_DAY_ROUTES,0),MATCH(G$6,ROUTE_PER_DAY_SHIPS,0))*(E216-E215),0)</f>
        <v>0</v>
      </c>
      <c r="G215" s="347" t="n">
        <f aca="false">-F215*HLOOKUP(G$6,SHIPS,7,0)*INDEX(LADEN_VOYAGE_DAYS,MATCH(CONCATENATE(G$4,G$5,G$7),LADEN_VOYAGE_ROUTES,0),MATCH(G$6,LADEN_VOYAGE_SHIPS,0))</f>
        <v>-0</v>
      </c>
      <c r="H215" s="348" t="n">
        <f aca="false">SUM(F215:G215)</f>
        <v>0</v>
      </c>
      <c r="I215" s="349" t="n">
        <f aca="false">-(H215)*HLOOKUP(G$5,TERMINAL_CHARGES,3,0)</f>
        <v>-0</v>
      </c>
      <c r="J215" s="327" t="n">
        <f aca="false">+H215+I215</f>
        <v>0</v>
      </c>
      <c r="K215" s="333"/>
      <c r="L215" s="346" t="n">
        <f aca="false">+DATE(YEAR(L214),MONTH(L214)+1,1)</f>
        <v>42705</v>
      </c>
      <c r="M215" s="334" t="n">
        <f aca="false">+J215*(VLOOKUP(L215,CURVECALC!$C$6:$J$312,4,0)+N$5)</f>
        <v>0</v>
      </c>
      <c r="N215" s="350" t="n">
        <f aca="false">-F215*INDEX(ship_curves,MATCH(L215,'SHIP CURVES'!$A$9:$A$316,0),MATCH(CONCATENATE(P$4,P$5,P$6,P$7),'SHIP CURVES'!$A$9:$AZ$9,0))</f>
        <v>-0</v>
      </c>
      <c r="O215" s="351" t="n">
        <f aca="false">-H215*INDEX(port_processing_fee,MATCH(L215,PORTS!$H$626:$H$933,0),MATCH(P$5,PORTS!$H$626:$Z$626,0))</f>
        <v>-0</v>
      </c>
      <c r="P215" s="352" t="n">
        <f aca="false">(((VLOOKUP(L215,curvecalc,4,0))*IF(F215=0,0,J215/F215)-INDEX(ship_curves,MATCH(L215,'SHIP CURVES'!$A$9:$A$316,0),MATCH(CONCATENATE(P$4,P$5,P$6,P$7),'SHIP CURVES'!$A$9:$Z$9,0))-INDEX(terminal_curves,MATCH(L215,'TERMINAL CURVES'!$A$4:$A$313,0),MATCH(P$5,'TERMINAL CURVES'!$A$4:$N$4,0))*IF(F215=0,0,H215/F215))-(N$8)*((N$7-$N$5)-(INDEX(ship_curves,MATCH(L215,'SHIP CURVES'!$A$9:$A$316,0),MATCH(CONCATENATE(P$4,P$5,P$6,P$7),'SHIP CURVES'!$A$9:$Z$9,0))-INDEX(ship_curves,MATCH(L215,'SHIP CURVES'!$A$9:$A$316,0),MATCH(CONCATENATE(P$4,N$6,P$6,P$7),'SHIP CURVES'!$A$9:$Z$9,0)))-(INDEX(terminal_curves,MATCH(L215,'TERMINAL CURVES'!$A$4:$A$313,0),MATCH(P$5,'TERMINAL CURVES'!$A$4:$N$4,0))-INDEX(terminal_curves,MATCH(L215,'TERMINAL CURVES'!$A$4:$A$313,0),MATCH(N$6,'TERMINAL CURVES'!$A$4:$N$4,0)))*IF(F215=0,0,H215/F215)))*-F215</f>
        <v>0</v>
      </c>
      <c r="Q215" s="353" t="n">
        <f aca="false">SUM(N215:P215)</f>
        <v>0</v>
      </c>
      <c r="R215" s="357" t="n">
        <f aca="false">(-H215/((HLOOKUP(P$5,port_specs,2,0)/(365.25))*(L216-L215)))*(INDEX(fixed_capacity_charge,MATCH(L215,PORTS!$H$11:$H$317,0),MATCH(P$5,PORTS!$H$11:$N$11,0))+INDEX(variable_om_charge,MATCH(L215,PORTS!$H$318:$H$625,0),MATCH(P$5,PORTS!$H$318:$N$318,0)))</f>
        <v>-0</v>
      </c>
      <c r="S215" s="343" t="n">
        <f aca="false">+R215+Q215</f>
        <v>0</v>
      </c>
      <c r="T215" s="355" t="n">
        <f aca="false">+S215+M215</f>
        <v>0</v>
      </c>
      <c r="V215" s="346" t="n">
        <f aca="false">+DATE(YEAR(V214),MONTH(V214)+1,1)</f>
        <v>42705</v>
      </c>
      <c r="W215" s="327" t="n">
        <f aca="false">+Y215/(1-HLOOKUP(X$6,SHIPS,7,0)*INDEX(LADEN_VOYAGE_DAYS,MATCH(CONCATENATE(X$4,X$5),LADEN_VOYAGE_ROUTES,0),MATCH(X$6,LADEN_VOYAGE_SHIPS,0)))</f>
        <v>0</v>
      </c>
      <c r="X215" s="347" t="n">
        <f aca="false">+Y215-W215</f>
        <v>0</v>
      </c>
      <c r="Y215" s="348" t="n">
        <f aca="false">+IF(AND(X$8&lt;=V215,X$9&gt;=V215),+MIN($B215-SUMIF($H$17:X$17,Y$17,$H215:X215),((INDEX(ROUTE_PER_DAY_BY_SHIP,MATCH(CONCATENATE(X$4,X$5,X$7),ROUTE_PER_DAY_ROUTES,0),MATCH(X$6,ROUTE_PER_DAY_SHIPS,0))*(V216-V215))-(INDEX(ROUTE_PER_DAY_BY_SHIP,MATCH(CONCATENATE(X$4,X$5,X$7),ROUTE_PER_DAY_ROUTES,0),MATCH(X$6,ROUTE_PER_DAY_SHIPS,0))*(V216-V215))*HLOOKUP(X$6,SHIPS,7,0)*INDEX(LADEN_VOYAGE_DAYS,MATCH(CONCATENATE(X$4,X$5,X$7),LADEN_VOYAGE_ROUTES,0),MATCH(X$6,LADEN_VOYAGE_SHIPS,0)))),0)</f>
        <v>0</v>
      </c>
      <c r="Z215" s="349" t="n">
        <f aca="false">-(Y215)*HLOOKUP(X$5,TERMINAL_CHARGES,3,0)</f>
        <v>-0</v>
      </c>
      <c r="AA215" s="327" t="n">
        <f aca="false">+Y215+Z215</f>
        <v>0</v>
      </c>
      <c r="AB215" s="333"/>
      <c r="AC215" s="346" t="n">
        <f aca="false">+DATE(YEAR(AC214),MONTH(AC214)+1,1)</f>
        <v>42705</v>
      </c>
      <c r="AD215" s="343" t="n">
        <f aca="false">+AA215*(VLOOKUP(AC215,CURVECALC!$C$6:$J$312,4,0)+AE$5)</f>
        <v>0</v>
      </c>
      <c r="AE215" s="350" t="n">
        <f aca="false">-W215*INDEX(ship_curves,MATCH(AC215,'SHIP CURVES'!$A$9:$A$316,0),MATCH(CONCATENATE(AG$4,AG$5,AG$6,AG$7),'SHIP CURVES'!$A$9:$AZ$9,0))</f>
        <v>-0</v>
      </c>
      <c r="AF215" s="351" t="n">
        <f aca="false">-Y215*INDEX(port_processing_fee,MATCH(AC215,PORTS!$H$626:$H$933,0),MATCH(AG$5,PORTS!$H$626:$Z$626,0))</f>
        <v>-0</v>
      </c>
      <c r="AG215" s="352" t="n">
        <f aca="false">(((VLOOKUP(AC215,curvecalc,4,0))*IF(W215=0,0,AA215/W215)-INDEX(ship_curves,MATCH(AC215,'SHIP CURVES'!$A$9:$A$316,0),MATCH(CONCATENATE(AG$4,AG$5,AG$6,AG$7),'SHIP CURVES'!$A$9:$Z$9,0))-INDEX(terminal_curves,MATCH(AC215,'TERMINAL CURVES'!$A$4:$A$313,0),MATCH(AG$5,'TERMINAL CURVES'!$A$4:$N$4,0))*IF(W215=0,0,Y215/W215))-(AE$8)*((AE$7-$N$5)-(INDEX(ship_curves,MATCH(AC215,'SHIP CURVES'!$A$9:$A$316,0),MATCH(CONCATENATE(AG$4,AG$5,AG$6,AG$7),'SHIP CURVES'!$A$9:$Z$9,0))-INDEX(ship_curves,MATCH(AC215,'SHIP CURVES'!$A$9:$A$316,0),MATCH(CONCATENATE(AG$4,AE$6,AG$6,AG$7),'SHIP CURVES'!$A$9:$Z$9,0)))-(INDEX(terminal_curves,MATCH(AC215,'TERMINAL CURVES'!$A$4:$A$313,0),MATCH(AG$5,'TERMINAL CURVES'!$A$4:$N$4,0))-INDEX(terminal_curves,MATCH(AC215,'TERMINAL CURVES'!$A$4:$A$313,0),MATCH(AE$6,'TERMINAL CURVES'!$A$4:$N$4,0)))*IF(W215=0,0,Y215/W215)))*-W215</f>
        <v>0</v>
      </c>
      <c r="AH215" s="356" t="n">
        <f aca="false">SUM(AE215:AG215)</f>
        <v>0</v>
      </c>
      <c r="AI215" s="357" t="n">
        <f aca="false">(-Y215/((HLOOKUP(AG$5,port_specs,2,0)/(365.25))*(AC216-AC215)))*(INDEX(fixed_capacity_charge,MATCH(AC215,PORTS!$H$11:$H$317,0),MATCH(AG$5,PORTS!$H$11:$N$11,0))+INDEX(variable_om_charge,MATCH(AC215,PORTS!$H$318:$H$625,0),MATCH(AG$5,PORTS!$H$318:$N$318,0)))</f>
        <v>-0</v>
      </c>
      <c r="AJ215" s="343" t="n">
        <f aca="false">+AI215+AH215</f>
        <v>0</v>
      </c>
      <c r="AK215" s="355" t="n">
        <f aca="false">+AJ215+AD215</f>
        <v>0</v>
      </c>
      <c r="AM215" s="346" t="n">
        <f aca="false">+DATE(YEAR(AM214),MONTH(AM214)+1,1)</f>
        <v>42705</v>
      </c>
      <c r="AN215" s="327" t="n">
        <f aca="false">+AP215/(1-HLOOKUP(AO$6,SHIPS,7,0)*INDEX(LADEN_VOYAGE_DAYS,MATCH(CONCATENATE(AO$4,AO$5),LADEN_VOYAGE_ROUTES,0),MATCH(AO$6,LADEN_VOYAGE_SHIPS,0)))</f>
        <v>5395761.47735991</v>
      </c>
      <c r="AO215" s="347" t="n">
        <f aca="false">+AP215-AN215</f>
        <v>-56655.4955122788</v>
      </c>
      <c r="AP215" s="348" t="n">
        <f aca="false">+IF(AND(AO$8&lt;=AM215,AO$9&gt;=AM215),+MIN($B215-SUMIF($H$17:AO$17,AP$17,$H215:AO215),((INDEX(ROUTE_PER_DAY_BY_SHIP,MATCH(CONCATENATE(AO$4,AO$5,AO$7),ROUTE_PER_DAY_ROUTES,0),MATCH(AO$6,ROUTE_PER_DAY_SHIPS,0))*(AM216-AM215))-(INDEX(ROUTE_PER_DAY_BY_SHIP,MATCH(CONCATENATE(AO$4,AO$5,AO$7),ROUTE_PER_DAY_ROUTES,0),MATCH(AO$6,ROUTE_PER_DAY_SHIPS,0))*(AM216-AM215))*HLOOKUP(AO$6,SHIPS,7,0)*INDEX(LADEN_VOYAGE_DAYS,MATCH(CONCATENATE(AO$4,AO$5,AO$7),LADEN_VOYAGE_ROUTES,0),MATCH(AO$6,LADEN_VOYAGE_SHIPS,0)))),0)</f>
        <v>5339105.98184763</v>
      </c>
      <c r="AQ215" s="349" t="n">
        <f aca="false">-(AP215)*PORTS!$I$6</f>
        <v>-133477.649546191</v>
      </c>
      <c r="AR215" s="327" t="n">
        <f aca="false">+AP215+AQ215</f>
        <v>5205628.33230144</v>
      </c>
      <c r="AS215" s="333"/>
      <c r="AT215" s="346" t="n">
        <f aca="false">+DATE(YEAR(AT214),MONTH(AT214)+1,1)</f>
        <v>42705</v>
      </c>
      <c r="AU215" s="343" t="n">
        <f aca="false">+AR215*(VLOOKUP(AT215,CURVECALC!$C$6:$J$312,4,0)+AV$5)</f>
        <v>21322253.6491067</v>
      </c>
      <c r="AV215" s="350" t="n">
        <f aca="false">-AN215*INDEX(ship_curves,MATCH(AT215,'SHIP CURVES'!$A$9:$A$316,0),MATCH(CONCATENATE(AX$4,AX$5,AX$6,AX$7),'SHIP CURVES'!$A$9:$AZ$9,0))</f>
        <v>-1841510.16801282</v>
      </c>
      <c r="AW215" s="351" t="n">
        <f aca="false">-AP215*INDEX(port_processing_fee,MATCH(AT215,PORTS!$H$626:$H$933,0),MATCH(AX$5,PORTS!$H$626:$Z$626,0))</f>
        <v>-173626.504408574</v>
      </c>
      <c r="AX215" s="352" t="n">
        <f aca="false">(((VLOOKUP(AT215,curvecalc,4,0))*IF(AN215=0,0,AR215/AN215)-INDEX(ship_curves,MATCH(AT215,'SHIP CURVES'!$A$9:$A$316,0),MATCH(CONCATENATE(AX$4,AX$5,AX$6,AX$7),'SHIP CURVES'!$A$9:$Z$9,0))-INDEX(terminal_curves,MATCH(AT215,'TERMINAL CURVES'!$A$4:$A$313,0),MATCH(AX$5,'TERMINAL CURVES'!$A$4:$N$4,0))*IF(AN215=0,0,AP215/AN215))-(AV$8)*((AV$7-$N$5)-(INDEX(ship_curves,MATCH(AT215,'SHIP CURVES'!$A$9:$A$316,0),MATCH(CONCATENATE(AX$4,AX$5,AX$6,AX$7),'SHIP CURVES'!$A$9:$Z$9,0))-INDEX(ship_curves,MATCH(AT215,'SHIP CURVES'!$A$9:$A$316,0),MATCH(CONCATENATE(AX$4,AV$6,AX$6,AX$7),'SHIP CURVES'!$A$9:$Z$9,0)))-(INDEX(terminal_curves,MATCH(AT215,'TERMINAL CURVES'!$A$4:$A$313,0),MATCH(AX$5,'TERMINAL CURVES'!$A$4:$N$4,0))-INDEX(terminal_curves,MATCH(AT215,'TERMINAL CURVES'!$A$4:$A$313,0),MATCH(AV$6,'TERMINAL CURVES'!$A$4:$N$4,0)))*IF(AN215=0,0,AP215/AN215)))*-AN215</f>
        <v>-18158463.7997427</v>
      </c>
      <c r="AY215" s="356" t="n">
        <f aca="false">SUM(AV215:AX215)</f>
        <v>-20173600.4721641</v>
      </c>
      <c r="AZ215" s="357" t="n">
        <f aca="false">(-AP215/((HLOOKUP(AX$5,port_specs,2,0)/(365.25))*(AT216-AT215)))*(INDEX(fixed_capacity_charge,MATCH(AT215,PORTS!$H$11:$H$317,0),MATCH(AX$5,PORTS!$H$11:$N$11,0))+INDEX(variable_om_charge,MATCH(AT215,PORTS!$H$318:$H$625,0),MATCH(AX$5,PORTS!$H$318:$N$318,0)))</f>
        <v>-1044540.61029658</v>
      </c>
      <c r="BA215" s="343" t="n">
        <f aca="false">+AZ215+AY215</f>
        <v>-21218141.0824607</v>
      </c>
      <c r="BB215" s="355" t="n">
        <f aca="false">+BA215+AU215</f>
        <v>104112.566646025</v>
      </c>
      <c r="BC215" s="99"/>
      <c r="BD215" s="357" t="n">
        <f aca="false">+PORTS!I209+PORTS!I517</f>
        <v>1044540.61029658</v>
      </c>
    </row>
    <row r="216" customFormat="false" ht="12.75" hidden="false" customHeight="false" outlineLevel="0" collapsed="false">
      <c r="A216" s="346" t="n">
        <f aca="false">+DATE(YEAR(A215),MONTH(A215)+1,1)</f>
        <v>42736</v>
      </c>
      <c r="B216" s="327" t="n">
        <f aca="false">+IF(AND($A216&gt;=$C$8,$A216&lt;=$C$9),1,0)*PORTS!$I$5/(365.25)*(A217-A216)</f>
        <v>5339105.98184763</v>
      </c>
      <c r="C216" s="328" t="n">
        <f aca="false">+B216-(SUMIF($F$17:$IV$17,$H$17,$F216:$IV216))</f>
        <v>0</v>
      </c>
      <c r="D216" s="0" t="n">
        <f aca="false">+YEAR(E216)</f>
        <v>2017</v>
      </c>
      <c r="E216" s="346" t="n">
        <f aca="false">+DATE(YEAR(E215),MONTH(E215)+1,1)</f>
        <v>42736</v>
      </c>
      <c r="F216" s="327" t="n">
        <f aca="false">+IF(AND(G$8&lt;=E216,G$9&gt;=E216),INDEX(ROUTE_PER_DAY_BY_SHIP,MATCH(CONCATENATE(G$4,G$5,G$7),ROUTE_PER_DAY_ROUTES,0),MATCH(G$6,ROUTE_PER_DAY_SHIPS,0))*(E217-E216),0)</f>
        <v>0</v>
      </c>
      <c r="G216" s="347" t="n">
        <f aca="false">-F216*HLOOKUP(G$6,SHIPS,7,0)*INDEX(LADEN_VOYAGE_DAYS,MATCH(CONCATENATE(G$4,G$5,G$7),LADEN_VOYAGE_ROUTES,0),MATCH(G$6,LADEN_VOYAGE_SHIPS,0))</f>
        <v>-0</v>
      </c>
      <c r="H216" s="348" t="n">
        <f aca="false">SUM(F216:G216)</f>
        <v>0</v>
      </c>
      <c r="I216" s="349" t="n">
        <f aca="false">-(H216)*HLOOKUP(G$5,TERMINAL_CHARGES,3,0)</f>
        <v>-0</v>
      </c>
      <c r="J216" s="327" t="n">
        <f aca="false">+H216+I216</f>
        <v>0</v>
      </c>
      <c r="K216" s="333"/>
      <c r="L216" s="346" t="n">
        <f aca="false">+DATE(YEAR(L215),MONTH(L215)+1,1)</f>
        <v>42736</v>
      </c>
      <c r="M216" s="334" t="n">
        <f aca="false">+J216*(VLOOKUP(L216,CURVECALC!$C$6:$J$312,4,0)+N$5)</f>
        <v>0</v>
      </c>
      <c r="N216" s="350" t="n">
        <f aca="false">-F216*INDEX(ship_curves,MATCH(L216,'SHIP CURVES'!$A$9:$A$316,0),MATCH(CONCATENATE(P$4,P$5,P$6,P$7),'SHIP CURVES'!$A$9:$AZ$9,0))</f>
        <v>-0</v>
      </c>
      <c r="O216" s="351" t="n">
        <f aca="false">-H216*INDEX(port_processing_fee,MATCH(L216,PORTS!$H$626:$H$933,0),MATCH(P$5,PORTS!$H$626:$Z$626,0))</f>
        <v>-0</v>
      </c>
      <c r="P216" s="352" t="n">
        <f aca="false">(((VLOOKUP(L216,curvecalc,4,0))*IF(F216=0,0,J216/F216)-INDEX(ship_curves,MATCH(L216,'SHIP CURVES'!$A$9:$A$316,0),MATCH(CONCATENATE(P$4,P$5,P$6,P$7),'SHIP CURVES'!$A$9:$Z$9,0))-INDEX(terminal_curves,MATCH(L216,'TERMINAL CURVES'!$A$4:$A$313,0),MATCH(P$5,'TERMINAL CURVES'!$A$4:$N$4,0))*IF(F216=0,0,H216/F216))-(N$8)*((N$7-$N$5)-(INDEX(ship_curves,MATCH(L216,'SHIP CURVES'!$A$9:$A$316,0),MATCH(CONCATENATE(P$4,P$5,P$6,P$7),'SHIP CURVES'!$A$9:$Z$9,0))-INDEX(ship_curves,MATCH(L216,'SHIP CURVES'!$A$9:$A$316,0),MATCH(CONCATENATE(P$4,N$6,P$6,P$7),'SHIP CURVES'!$A$9:$Z$9,0)))-(INDEX(terminal_curves,MATCH(L216,'TERMINAL CURVES'!$A$4:$A$313,0),MATCH(P$5,'TERMINAL CURVES'!$A$4:$N$4,0))-INDEX(terminal_curves,MATCH(L216,'TERMINAL CURVES'!$A$4:$A$313,0),MATCH(N$6,'TERMINAL CURVES'!$A$4:$N$4,0)))*IF(F216=0,0,H216/F216)))*-F216</f>
        <v>0</v>
      </c>
      <c r="Q216" s="353" t="n">
        <f aca="false">SUM(N216:P216)</f>
        <v>0</v>
      </c>
      <c r="R216" s="357" t="n">
        <f aca="false">(-H216/((HLOOKUP(P$5,port_specs,2,0)/(365.25))*(L217-L216)))*(INDEX(fixed_capacity_charge,MATCH(L216,PORTS!$H$11:$H$317,0),MATCH(P$5,PORTS!$H$11:$N$11,0))+INDEX(variable_om_charge,MATCH(L216,PORTS!$H$318:$H$625,0),MATCH(P$5,PORTS!$H$318:$N$318,0)))</f>
        <v>-0</v>
      </c>
      <c r="S216" s="343" t="n">
        <f aca="false">+R216+Q216</f>
        <v>0</v>
      </c>
      <c r="T216" s="355" t="n">
        <f aca="false">+S216+M216</f>
        <v>0</v>
      </c>
      <c r="V216" s="346" t="n">
        <f aca="false">+DATE(YEAR(V215),MONTH(V215)+1,1)</f>
        <v>42736</v>
      </c>
      <c r="W216" s="327" t="n">
        <f aca="false">+Y216/(1-HLOOKUP(X$6,SHIPS,7,0)*INDEX(LADEN_VOYAGE_DAYS,MATCH(CONCATENATE(X$4,X$5),LADEN_VOYAGE_ROUTES,0),MATCH(X$6,LADEN_VOYAGE_SHIPS,0)))</f>
        <v>0</v>
      </c>
      <c r="X216" s="347" t="n">
        <f aca="false">+Y216-W216</f>
        <v>0</v>
      </c>
      <c r="Y216" s="348" t="n">
        <f aca="false">+IF(AND(X$8&lt;=V216,X$9&gt;=V216),+MIN($B216-SUMIF($H$17:X$17,Y$17,$H216:X216),((INDEX(ROUTE_PER_DAY_BY_SHIP,MATCH(CONCATENATE(X$4,X$5,X$7),ROUTE_PER_DAY_ROUTES,0),MATCH(X$6,ROUTE_PER_DAY_SHIPS,0))*(V217-V216))-(INDEX(ROUTE_PER_DAY_BY_SHIP,MATCH(CONCATENATE(X$4,X$5,X$7),ROUTE_PER_DAY_ROUTES,0),MATCH(X$6,ROUTE_PER_DAY_SHIPS,0))*(V217-V216))*HLOOKUP(X$6,SHIPS,7,0)*INDEX(LADEN_VOYAGE_DAYS,MATCH(CONCATENATE(X$4,X$5,X$7),LADEN_VOYAGE_ROUTES,0),MATCH(X$6,LADEN_VOYAGE_SHIPS,0)))),0)</f>
        <v>0</v>
      </c>
      <c r="Z216" s="349" t="n">
        <f aca="false">-(Y216)*HLOOKUP(X$5,TERMINAL_CHARGES,3,0)</f>
        <v>-0</v>
      </c>
      <c r="AA216" s="327" t="n">
        <f aca="false">+Y216+Z216</f>
        <v>0</v>
      </c>
      <c r="AB216" s="333"/>
      <c r="AC216" s="346" t="n">
        <f aca="false">+DATE(YEAR(AC215),MONTH(AC215)+1,1)</f>
        <v>42736</v>
      </c>
      <c r="AD216" s="343" t="n">
        <f aca="false">+AA216*(VLOOKUP(AC216,CURVECALC!$C$6:$J$312,4,0)+AE$5)</f>
        <v>0</v>
      </c>
      <c r="AE216" s="350" t="n">
        <f aca="false">-W216*INDEX(ship_curves,MATCH(AC216,'SHIP CURVES'!$A$9:$A$316,0),MATCH(CONCATENATE(AG$4,AG$5,AG$6,AG$7),'SHIP CURVES'!$A$9:$AZ$9,0))</f>
        <v>-0</v>
      </c>
      <c r="AF216" s="351" t="n">
        <f aca="false">-Y216*INDEX(port_processing_fee,MATCH(AC216,PORTS!$H$626:$H$933,0),MATCH(AG$5,PORTS!$H$626:$Z$626,0))</f>
        <v>-0</v>
      </c>
      <c r="AG216" s="352" t="n">
        <f aca="false">(((VLOOKUP(AC216,curvecalc,4,0))*IF(W216=0,0,AA216/W216)-INDEX(ship_curves,MATCH(AC216,'SHIP CURVES'!$A$9:$A$316,0),MATCH(CONCATENATE(AG$4,AG$5,AG$6,AG$7),'SHIP CURVES'!$A$9:$Z$9,0))-INDEX(terminal_curves,MATCH(AC216,'TERMINAL CURVES'!$A$4:$A$313,0),MATCH(AG$5,'TERMINAL CURVES'!$A$4:$N$4,0))*IF(W216=0,0,Y216/W216))-(AE$8)*((AE$7-$N$5)-(INDEX(ship_curves,MATCH(AC216,'SHIP CURVES'!$A$9:$A$316,0),MATCH(CONCATENATE(AG$4,AG$5,AG$6,AG$7),'SHIP CURVES'!$A$9:$Z$9,0))-INDEX(ship_curves,MATCH(AC216,'SHIP CURVES'!$A$9:$A$316,0),MATCH(CONCATENATE(AG$4,AE$6,AG$6,AG$7),'SHIP CURVES'!$A$9:$Z$9,0)))-(INDEX(terminal_curves,MATCH(AC216,'TERMINAL CURVES'!$A$4:$A$313,0),MATCH(AG$5,'TERMINAL CURVES'!$A$4:$N$4,0))-INDEX(terminal_curves,MATCH(AC216,'TERMINAL CURVES'!$A$4:$A$313,0),MATCH(AE$6,'TERMINAL CURVES'!$A$4:$N$4,0)))*IF(W216=0,0,Y216/W216)))*-W216</f>
        <v>0</v>
      </c>
      <c r="AH216" s="356" t="n">
        <f aca="false">SUM(AE216:AG216)</f>
        <v>0</v>
      </c>
      <c r="AI216" s="357" t="n">
        <f aca="false">(-Y216/((HLOOKUP(AG$5,port_specs,2,0)/(365.25))*(AC217-AC216)))*(INDEX(fixed_capacity_charge,MATCH(AC216,PORTS!$H$11:$H$317,0),MATCH(AG$5,PORTS!$H$11:$N$11,0))+INDEX(variable_om_charge,MATCH(AC216,PORTS!$H$318:$H$625,0),MATCH(AG$5,PORTS!$H$318:$N$318,0)))</f>
        <v>-0</v>
      </c>
      <c r="AJ216" s="343" t="n">
        <f aca="false">+AI216+AH216</f>
        <v>0</v>
      </c>
      <c r="AK216" s="355" t="n">
        <f aca="false">+AJ216+AD216</f>
        <v>0</v>
      </c>
      <c r="AM216" s="346" t="n">
        <f aca="false">+DATE(YEAR(AM215),MONTH(AM215)+1,1)</f>
        <v>42736</v>
      </c>
      <c r="AN216" s="327" t="n">
        <f aca="false">+AP216/(1-HLOOKUP(AO$6,SHIPS,7,0)*INDEX(LADEN_VOYAGE_DAYS,MATCH(CONCATENATE(AO$4,AO$5),LADEN_VOYAGE_ROUTES,0),MATCH(AO$6,LADEN_VOYAGE_SHIPS,0)))</f>
        <v>5395761.47735991</v>
      </c>
      <c r="AO216" s="347" t="n">
        <f aca="false">+AP216-AN216</f>
        <v>-56655.4955122788</v>
      </c>
      <c r="AP216" s="348" t="n">
        <f aca="false">+IF(AND(AO$8&lt;=AM216,AO$9&gt;=AM216),+MIN($B216-SUMIF($H$17:AO$17,AP$17,$H216:AO216),((INDEX(ROUTE_PER_DAY_BY_SHIP,MATCH(CONCATENATE(AO$4,AO$5,AO$7),ROUTE_PER_DAY_ROUTES,0),MATCH(AO$6,ROUTE_PER_DAY_SHIPS,0))*(AM217-AM216))-(INDEX(ROUTE_PER_DAY_BY_SHIP,MATCH(CONCATENATE(AO$4,AO$5,AO$7),ROUTE_PER_DAY_ROUTES,0),MATCH(AO$6,ROUTE_PER_DAY_SHIPS,0))*(AM217-AM216))*HLOOKUP(AO$6,SHIPS,7,0)*INDEX(LADEN_VOYAGE_DAYS,MATCH(CONCATENATE(AO$4,AO$5,AO$7),LADEN_VOYAGE_ROUTES,0),MATCH(AO$6,LADEN_VOYAGE_SHIPS,0)))),0)</f>
        <v>5339105.98184763</v>
      </c>
      <c r="AQ216" s="349" t="n">
        <f aca="false">-(AP216)*PORTS!$I$6</f>
        <v>-133477.649546191</v>
      </c>
      <c r="AR216" s="327" t="n">
        <f aca="false">+AP216+AQ216</f>
        <v>5205628.33230144</v>
      </c>
      <c r="AS216" s="333"/>
      <c r="AT216" s="346" t="n">
        <f aca="false">+DATE(YEAR(AT215),MONTH(AT215)+1,1)</f>
        <v>42736</v>
      </c>
      <c r="AU216" s="343" t="n">
        <f aca="false">+AR216*(VLOOKUP(AT216,CURVECALC!$C$6:$J$312,4,0)+AV$5)</f>
        <v>22347762.4305701</v>
      </c>
      <c r="AV216" s="350" t="n">
        <f aca="false">-AN216*INDEX(ship_curves,MATCH(AT216,'SHIP CURVES'!$A$9:$A$316,0),MATCH(CONCATENATE(AX$4,AX$5,AX$6,AX$7),'SHIP CURVES'!$A$9:$AZ$9,0))</f>
        <v>-1842150.9647649</v>
      </c>
      <c r="AW216" s="351" t="n">
        <f aca="false">-AP216*INDEX(port_processing_fee,MATCH(AT216,PORTS!$H$626:$H$933,0),MATCH(AX$5,PORTS!$H$626:$Z$626,0))</f>
        <v>-173807.365350667</v>
      </c>
      <c r="AX216" s="352" t="n">
        <f aca="false">(((VLOOKUP(AT216,curvecalc,4,0))*IF(AN216=0,0,AR216/AN216)-INDEX(ship_curves,MATCH(AT216,'SHIP CURVES'!$A$9:$A$316,0),MATCH(CONCATENATE(AX$4,AX$5,AX$6,AX$7),'SHIP CURVES'!$A$9:$Z$9,0))-INDEX(terminal_curves,MATCH(AT216,'TERMINAL CURVES'!$A$4:$A$313,0),MATCH(AX$5,'TERMINAL CURVES'!$A$4:$N$4,0))*IF(AN216=0,0,AP216/AN216))-(AV$8)*((AV$7-$N$5)-(INDEX(ship_curves,MATCH(AT216,'SHIP CURVES'!$A$9:$A$316,0),MATCH(CONCATENATE(AX$4,AX$5,AX$6,AX$7),'SHIP CURVES'!$A$9:$Z$9,0))-INDEX(ship_curves,MATCH(AT216,'SHIP CURVES'!$A$9:$A$316,0),MATCH(CONCATENATE(AX$4,AV$6,AX$6,AX$7),'SHIP CURVES'!$A$9:$Z$9,0)))-(INDEX(terminal_curves,MATCH(AT216,'TERMINAL CURVES'!$A$4:$A$313,0),MATCH(AX$5,'TERMINAL CURVES'!$A$4:$N$4,0))-INDEX(terminal_curves,MATCH(AT216,'TERMINAL CURVES'!$A$4:$A$313,0),MATCH(AV$6,'TERMINAL CURVES'!$A$4:$N$4,0)))*IF(AN216=0,0,AP216/AN216)))*-AN216</f>
        <v>-19182568.2630542</v>
      </c>
      <c r="AY216" s="356" t="n">
        <f aca="false">SUM(AV216:AX216)</f>
        <v>-21198526.5931698</v>
      </c>
      <c r="AZ216" s="357" t="n">
        <f aca="false">(-AP216/((HLOOKUP(AX$5,port_specs,2,0)/(365.25))*(AT217-AT216)))*(INDEX(fixed_capacity_charge,MATCH(AT216,PORTS!$H$11:$H$317,0),MATCH(AX$5,PORTS!$H$11:$N$11,0))+INDEX(variable_om_charge,MATCH(AT216,PORTS!$H$318:$H$625,0),MATCH(AX$5,PORTS!$H$318:$N$318,0)))</f>
        <v>-1045123.27075428</v>
      </c>
      <c r="BA216" s="343" t="n">
        <f aca="false">+AZ216+AY216</f>
        <v>-22243649.8639241</v>
      </c>
      <c r="BB216" s="355" t="n">
        <f aca="false">+BA216+AU216</f>
        <v>104112.566646025</v>
      </c>
      <c r="BC216" s="99"/>
      <c r="BD216" s="357" t="n">
        <f aca="false">+PORTS!I210+PORTS!I518</f>
        <v>1045123.27075428</v>
      </c>
    </row>
    <row r="217" customFormat="false" ht="12.75" hidden="false" customHeight="false" outlineLevel="0" collapsed="false">
      <c r="A217" s="346" t="n">
        <f aca="false">+DATE(YEAR(A216),MONTH(A216)+1,1)</f>
        <v>42767</v>
      </c>
      <c r="B217" s="327" t="n">
        <f aca="false">+IF(AND($A217&gt;=$C$8,$A217&lt;=$C$9),1,0)*PORTS!$I$5/(365.25)*(A218-A217)</f>
        <v>4822418.30618496</v>
      </c>
      <c r="C217" s="328" t="n">
        <f aca="false">+B217-(SUMIF($F$17:$IV$17,$H$17,$F217:$IV217))</f>
        <v>0</v>
      </c>
      <c r="D217" s="0" t="n">
        <f aca="false">+YEAR(E217)</f>
        <v>2017</v>
      </c>
      <c r="E217" s="346" t="n">
        <f aca="false">+DATE(YEAR(E216),MONTH(E216)+1,1)</f>
        <v>42767</v>
      </c>
      <c r="F217" s="327" t="n">
        <f aca="false">+IF(AND(G$8&lt;=E217,G$9&gt;=E217),INDEX(ROUTE_PER_DAY_BY_SHIP,MATCH(CONCATENATE(G$4,G$5,G$7),ROUTE_PER_DAY_ROUTES,0),MATCH(G$6,ROUTE_PER_DAY_SHIPS,0))*(E218-E217),0)</f>
        <v>0</v>
      </c>
      <c r="G217" s="347" t="n">
        <f aca="false">-F217*HLOOKUP(G$6,SHIPS,7,0)*INDEX(LADEN_VOYAGE_DAYS,MATCH(CONCATENATE(G$4,G$5,G$7),LADEN_VOYAGE_ROUTES,0),MATCH(G$6,LADEN_VOYAGE_SHIPS,0))</f>
        <v>-0</v>
      </c>
      <c r="H217" s="348" t="n">
        <f aca="false">SUM(F217:G217)</f>
        <v>0</v>
      </c>
      <c r="I217" s="349" t="n">
        <f aca="false">-(H217)*HLOOKUP(G$5,TERMINAL_CHARGES,3,0)</f>
        <v>-0</v>
      </c>
      <c r="J217" s="327" t="n">
        <f aca="false">+H217+I217</f>
        <v>0</v>
      </c>
      <c r="K217" s="333"/>
      <c r="L217" s="346" t="n">
        <f aca="false">+DATE(YEAR(L216),MONTH(L216)+1,1)</f>
        <v>42767</v>
      </c>
      <c r="M217" s="334" t="n">
        <f aca="false">+J217*(VLOOKUP(L217,CURVECALC!$C$6:$J$312,4,0)+N$5)</f>
        <v>0</v>
      </c>
      <c r="N217" s="350" t="n">
        <f aca="false">-F217*INDEX(ship_curves,MATCH(L217,'SHIP CURVES'!$A$9:$A$316,0),MATCH(CONCATENATE(P$4,P$5,P$6,P$7),'SHIP CURVES'!$A$9:$AZ$9,0))</f>
        <v>-0</v>
      </c>
      <c r="O217" s="351" t="n">
        <f aca="false">-H217*INDEX(port_processing_fee,MATCH(L217,PORTS!$H$626:$H$933,0),MATCH(P$5,PORTS!$H$626:$Z$626,0))</f>
        <v>-0</v>
      </c>
      <c r="P217" s="352" t="n">
        <f aca="false">(((VLOOKUP(L217,curvecalc,4,0))*IF(F217=0,0,J217/F217)-INDEX(ship_curves,MATCH(L217,'SHIP CURVES'!$A$9:$A$316,0),MATCH(CONCATENATE(P$4,P$5,P$6,P$7),'SHIP CURVES'!$A$9:$Z$9,0))-INDEX(terminal_curves,MATCH(L217,'TERMINAL CURVES'!$A$4:$A$313,0),MATCH(P$5,'TERMINAL CURVES'!$A$4:$N$4,0))*IF(F217=0,0,H217/F217))-(N$8)*((N$7-$N$5)-(INDEX(ship_curves,MATCH(L217,'SHIP CURVES'!$A$9:$A$316,0),MATCH(CONCATENATE(P$4,P$5,P$6,P$7),'SHIP CURVES'!$A$9:$Z$9,0))-INDEX(ship_curves,MATCH(L217,'SHIP CURVES'!$A$9:$A$316,0),MATCH(CONCATENATE(P$4,N$6,P$6,P$7),'SHIP CURVES'!$A$9:$Z$9,0)))-(INDEX(terminal_curves,MATCH(L217,'TERMINAL CURVES'!$A$4:$A$313,0),MATCH(P$5,'TERMINAL CURVES'!$A$4:$N$4,0))-INDEX(terminal_curves,MATCH(L217,'TERMINAL CURVES'!$A$4:$A$313,0),MATCH(N$6,'TERMINAL CURVES'!$A$4:$N$4,0)))*IF(F217=0,0,H217/F217)))*-F217</f>
        <v>0</v>
      </c>
      <c r="Q217" s="353" t="n">
        <f aca="false">SUM(N217:P217)</f>
        <v>0</v>
      </c>
      <c r="R217" s="357" t="n">
        <f aca="false">(-H217/((HLOOKUP(P$5,port_specs,2,0)/(365.25))*(L218-L217)))*(INDEX(fixed_capacity_charge,MATCH(L217,PORTS!$H$11:$H$317,0),MATCH(P$5,PORTS!$H$11:$N$11,0))+INDEX(variable_om_charge,MATCH(L217,PORTS!$H$318:$H$625,0),MATCH(P$5,PORTS!$H$318:$N$318,0)))</f>
        <v>-0</v>
      </c>
      <c r="S217" s="343" t="n">
        <f aca="false">+R217+Q217</f>
        <v>0</v>
      </c>
      <c r="T217" s="355" t="n">
        <f aca="false">+S217+M217</f>
        <v>0</v>
      </c>
      <c r="V217" s="346" t="n">
        <f aca="false">+DATE(YEAR(V216),MONTH(V216)+1,1)</f>
        <v>42767</v>
      </c>
      <c r="W217" s="327" t="n">
        <f aca="false">+Y217/(1-HLOOKUP(X$6,SHIPS,7,0)*INDEX(LADEN_VOYAGE_DAYS,MATCH(CONCATENATE(X$4,X$5),LADEN_VOYAGE_ROUTES,0),MATCH(X$6,LADEN_VOYAGE_SHIPS,0)))</f>
        <v>0</v>
      </c>
      <c r="X217" s="347" t="n">
        <f aca="false">+Y217-W217</f>
        <v>0</v>
      </c>
      <c r="Y217" s="348" t="n">
        <f aca="false">+IF(AND(X$8&lt;=V217,X$9&gt;=V217),+MIN($B217-SUMIF($H$17:X$17,Y$17,$H217:X217),((INDEX(ROUTE_PER_DAY_BY_SHIP,MATCH(CONCATENATE(X$4,X$5,X$7),ROUTE_PER_DAY_ROUTES,0),MATCH(X$6,ROUTE_PER_DAY_SHIPS,0))*(V218-V217))-(INDEX(ROUTE_PER_DAY_BY_SHIP,MATCH(CONCATENATE(X$4,X$5,X$7),ROUTE_PER_DAY_ROUTES,0),MATCH(X$6,ROUTE_PER_DAY_SHIPS,0))*(V218-V217))*HLOOKUP(X$6,SHIPS,7,0)*INDEX(LADEN_VOYAGE_DAYS,MATCH(CONCATENATE(X$4,X$5,X$7),LADEN_VOYAGE_ROUTES,0),MATCH(X$6,LADEN_VOYAGE_SHIPS,0)))),0)</f>
        <v>0</v>
      </c>
      <c r="Z217" s="349" t="n">
        <f aca="false">-(Y217)*HLOOKUP(X$5,TERMINAL_CHARGES,3,0)</f>
        <v>-0</v>
      </c>
      <c r="AA217" s="327" t="n">
        <f aca="false">+Y217+Z217</f>
        <v>0</v>
      </c>
      <c r="AB217" s="333"/>
      <c r="AC217" s="346" t="n">
        <f aca="false">+DATE(YEAR(AC216),MONTH(AC216)+1,1)</f>
        <v>42767</v>
      </c>
      <c r="AD217" s="343" t="n">
        <f aca="false">+AA217*(VLOOKUP(AC217,CURVECALC!$C$6:$J$312,4,0)+AE$5)</f>
        <v>0</v>
      </c>
      <c r="AE217" s="350" t="n">
        <f aca="false">-W217*INDEX(ship_curves,MATCH(AC217,'SHIP CURVES'!$A$9:$A$316,0),MATCH(CONCATENATE(AG$4,AG$5,AG$6,AG$7),'SHIP CURVES'!$A$9:$AZ$9,0))</f>
        <v>-0</v>
      </c>
      <c r="AF217" s="351" t="n">
        <f aca="false">-Y217*INDEX(port_processing_fee,MATCH(AC217,PORTS!$H$626:$H$933,0),MATCH(AG$5,PORTS!$H$626:$Z$626,0))</f>
        <v>-0</v>
      </c>
      <c r="AG217" s="352" t="n">
        <f aca="false">(((VLOOKUP(AC217,curvecalc,4,0))*IF(W217=0,0,AA217/W217)-INDEX(ship_curves,MATCH(AC217,'SHIP CURVES'!$A$9:$A$316,0),MATCH(CONCATENATE(AG$4,AG$5,AG$6,AG$7),'SHIP CURVES'!$A$9:$Z$9,0))-INDEX(terminal_curves,MATCH(AC217,'TERMINAL CURVES'!$A$4:$A$313,0),MATCH(AG$5,'TERMINAL CURVES'!$A$4:$N$4,0))*IF(W217=0,0,Y217/W217))-(AE$8)*((AE$7-$N$5)-(INDEX(ship_curves,MATCH(AC217,'SHIP CURVES'!$A$9:$A$316,0),MATCH(CONCATENATE(AG$4,AG$5,AG$6,AG$7),'SHIP CURVES'!$A$9:$Z$9,0))-INDEX(ship_curves,MATCH(AC217,'SHIP CURVES'!$A$9:$A$316,0),MATCH(CONCATENATE(AG$4,AE$6,AG$6,AG$7),'SHIP CURVES'!$A$9:$Z$9,0)))-(INDEX(terminal_curves,MATCH(AC217,'TERMINAL CURVES'!$A$4:$A$313,0),MATCH(AG$5,'TERMINAL CURVES'!$A$4:$N$4,0))-INDEX(terminal_curves,MATCH(AC217,'TERMINAL CURVES'!$A$4:$A$313,0),MATCH(AE$6,'TERMINAL CURVES'!$A$4:$N$4,0)))*IF(W217=0,0,Y217/W217)))*-W217</f>
        <v>0</v>
      </c>
      <c r="AH217" s="356" t="n">
        <f aca="false">SUM(AE217:AG217)</f>
        <v>0</v>
      </c>
      <c r="AI217" s="357" t="n">
        <f aca="false">(-Y217/((HLOOKUP(AG$5,port_specs,2,0)/(365.25))*(AC218-AC217)))*(INDEX(fixed_capacity_charge,MATCH(AC217,PORTS!$H$11:$H$317,0),MATCH(AG$5,PORTS!$H$11:$N$11,0))+INDEX(variable_om_charge,MATCH(AC217,PORTS!$H$318:$H$625,0),MATCH(AG$5,PORTS!$H$318:$N$318,0)))</f>
        <v>-0</v>
      </c>
      <c r="AJ217" s="343" t="n">
        <f aca="false">+AI217+AH217</f>
        <v>0</v>
      </c>
      <c r="AK217" s="355" t="n">
        <f aca="false">+AJ217+AD217</f>
        <v>0</v>
      </c>
      <c r="AM217" s="346" t="n">
        <f aca="false">+DATE(YEAR(AM216),MONTH(AM216)+1,1)</f>
        <v>42767</v>
      </c>
      <c r="AN217" s="327" t="n">
        <f aca="false">+AP217/(1-HLOOKUP(AO$6,SHIPS,7,0)*INDEX(LADEN_VOYAGE_DAYS,MATCH(CONCATENATE(AO$4,AO$5),LADEN_VOYAGE_ROUTES,0),MATCH(AO$6,LADEN_VOYAGE_SHIPS,0)))</f>
        <v>4873591.01180895</v>
      </c>
      <c r="AO217" s="347" t="n">
        <f aca="false">+AP217-AN217</f>
        <v>-51172.7056239937</v>
      </c>
      <c r="AP217" s="348" t="n">
        <f aca="false">+IF(AND(AO$8&lt;=AM217,AO$9&gt;=AM217),+MIN($B217-SUMIF($H$17:AO$17,AP$17,$H217:AO217),((INDEX(ROUTE_PER_DAY_BY_SHIP,MATCH(CONCATENATE(AO$4,AO$5,AO$7),ROUTE_PER_DAY_ROUTES,0),MATCH(AO$6,ROUTE_PER_DAY_SHIPS,0))*(AM218-AM217))-(INDEX(ROUTE_PER_DAY_BY_SHIP,MATCH(CONCATENATE(AO$4,AO$5,AO$7),ROUTE_PER_DAY_ROUTES,0),MATCH(AO$6,ROUTE_PER_DAY_SHIPS,0))*(AM218-AM217))*HLOOKUP(AO$6,SHIPS,7,0)*INDEX(LADEN_VOYAGE_DAYS,MATCH(CONCATENATE(AO$4,AO$5,AO$7),LADEN_VOYAGE_ROUTES,0),MATCH(AO$6,LADEN_VOYAGE_SHIPS,0)))),0)</f>
        <v>4822418.30618496</v>
      </c>
      <c r="AQ217" s="349" t="n">
        <f aca="false">-(AP217)*PORTS!$I$6</f>
        <v>-120560.457654624</v>
      </c>
      <c r="AR217" s="327" t="n">
        <f aca="false">+AP217+AQ217</f>
        <v>4701857.84853034</v>
      </c>
      <c r="AS217" s="333"/>
      <c r="AT217" s="346" t="n">
        <f aca="false">+DATE(YEAR(AT216),MONTH(AT216)+1,1)</f>
        <v>42767</v>
      </c>
      <c r="AU217" s="343" t="n">
        <f aca="false">+AR217*(VLOOKUP(AT217,CURVECALC!$C$6:$J$312,4,0)+AV$5)</f>
        <v>19837138.2629495</v>
      </c>
      <c r="AV217" s="350" t="n">
        <f aca="false">-AN217*INDEX(ship_curves,MATCH(AT217,'SHIP CURVES'!$A$9:$A$316,0),MATCH(CONCATENATE(AX$4,AX$5,AX$6,AX$7),'SHIP CURVES'!$A$9:$AZ$9,0))</f>
        <v>-1664458.2807189</v>
      </c>
      <c r="AW217" s="351" t="n">
        <f aca="false">-AP217*INDEX(port_processing_fee,MATCH(AT217,PORTS!$H$626:$H$933,0),MATCH(AX$5,PORTS!$H$626:$Z$626,0))</f>
        <v>-157150.826171228</v>
      </c>
      <c r="AX217" s="352" t="n">
        <f aca="false">(((VLOOKUP(AT217,curvecalc,4,0))*IF(AN217=0,0,AR217/AN217)-INDEX(ship_curves,MATCH(AT217,'SHIP CURVES'!$A$9:$A$316,0),MATCH(CONCATENATE(AX$4,AX$5,AX$6,AX$7),'SHIP CURVES'!$A$9:$Z$9,0))-INDEX(terminal_curves,MATCH(AT217,'TERMINAL CURVES'!$A$4:$A$313,0),MATCH(AX$5,'TERMINAL CURVES'!$A$4:$N$4,0))*IF(AN217=0,0,AP217/AN217))-(AV$8)*((AV$7-$N$5)-(INDEX(ship_curves,MATCH(AT217,'SHIP CURVES'!$A$9:$A$316,0),MATCH(CONCATENATE(AX$4,AX$5,AX$6,AX$7),'SHIP CURVES'!$A$9:$Z$9,0))-INDEX(ship_curves,MATCH(AT217,'SHIP CURVES'!$A$9:$A$316,0),MATCH(CONCATENATE(AX$4,AV$6,AX$6,AX$7),'SHIP CURVES'!$A$9:$Z$9,0)))-(INDEX(terminal_curves,MATCH(AT217,'TERMINAL CURVES'!$A$4:$A$313,0),MATCH(AX$5,'TERMINAL CURVES'!$A$4:$N$4,0))-INDEX(terminal_curves,MATCH(AT217,'TERMINAL CURVES'!$A$4:$A$313,0),MATCH(AV$6,'TERMINAL CURVES'!$A$4:$N$4,0)))*IF(AN217=0,0,AP217/AN217)))*-AN217</f>
        <v>-16875785.4609388</v>
      </c>
      <c r="AY217" s="356" t="n">
        <f aca="false">SUM(AV217:AX217)</f>
        <v>-18697394.5678289</v>
      </c>
      <c r="AZ217" s="357" t="n">
        <f aca="false">(-AP217/((HLOOKUP(AX$5,port_specs,2,0)/(365.25))*(AT218-AT217)))*(INDEX(fixed_capacity_charge,MATCH(AT217,PORTS!$H$11:$H$317,0),MATCH(AX$5,PORTS!$H$11:$N$11,0))+INDEX(variable_om_charge,MATCH(AT217,PORTS!$H$318:$H$625,0),MATCH(AX$5,PORTS!$H$318:$N$318,0)))</f>
        <v>-1045706.53814995</v>
      </c>
      <c r="BA217" s="343" t="n">
        <f aca="false">+AZ217+AY217</f>
        <v>-19743101.1059789</v>
      </c>
      <c r="BB217" s="355" t="n">
        <f aca="false">+BA217+AU217</f>
        <v>94037.1569706053</v>
      </c>
      <c r="BC217" s="99"/>
      <c r="BD217" s="357" t="n">
        <f aca="false">+PORTS!I211+PORTS!I519</f>
        <v>1045706.53814995</v>
      </c>
    </row>
    <row r="218" customFormat="false" ht="12.75" hidden="false" customHeight="false" outlineLevel="0" collapsed="false">
      <c r="A218" s="346" t="n">
        <f aca="false">+DATE(YEAR(A217),MONTH(A217)+1,1)</f>
        <v>42795</v>
      </c>
      <c r="B218" s="327" t="n">
        <f aca="false">+IF(AND($A218&gt;=$C$8,$A218&lt;=$C$9),1,0)*PORTS!$I$5/(365.25)*(A219-A218)</f>
        <v>5339105.98184763</v>
      </c>
      <c r="C218" s="328" t="n">
        <f aca="false">+B218-(SUMIF($F$17:$IV$17,$H$17,$F218:$IV218))</f>
        <v>0</v>
      </c>
      <c r="D218" s="0" t="n">
        <f aca="false">+YEAR(E218)</f>
        <v>2017</v>
      </c>
      <c r="E218" s="346" t="n">
        <f aca="false">+DATE(YEAR(E217),MONTH(E217)+1,1)</f>
        <v>42795</v>
      </c>
      <c r="F218" s="327" t="n">
        <f aca="false">+IF(AND(G$8&lt;=E218,G$9&gt;=E218),INDEX(ROUTE_PER_DAY_BY_SHIP,MATCH(CONCATENATE(G$4,G$5,G$7),ROUTE_PER_DAY_ROUTES,0),MATCH(G$6,ROUTE_PER_DAY_SHIPS,0))*(E219-E218),0)</f>
        <v>0</v>
      </c>
      <c r="G218" s="347" t="n">
        <f aca="false">-F218*HLOOKUP(G$6,SHIPS,7,0)*INDEX(LADEN_VOYAGE_DAYS,MATCH(CONCATENATE(G$4,G$5,G$7),LADEN_VOYAGE_ROUTES,0),MATCH(G$6,LADEN_VOYAGE_SHIPS,0))</f>
        <v>-0</v>
      </c>
      <c r="H218" s="348" t="n">
        <f aca="false">SUM(F218:G218)</f>
        <v>0</v>
      </c>
      <c r="I218" s="349" t="n">
        <f aca="false">-(H218)*HLOOKUP(G$5,TERMINAL_CHARGES,3,0)</f>
        <v>-0</v>
      </c>
      <c r="J218" s="327" t="n">
        <f aca="false">+H218+I218</f>
        <v>0</v>
      </c>
      <c r="K218" s="333"/>
      <c r="L218" s="346" t="n">
        <f aca="false">+DATE(YEAR(L217),MONTH(L217)+1,1)</f>
        <v>42795</v>
      </c>
      <c r="M218" s="334" t="n">
        <f aca="false">+J218*(VLOOKUP(L218,CURVECALC!$C$6:$J$312,4,0)+N$5)</f>
        <v>0</v>
      </c>
      <c r="N218" s="350" t="n">
        <f aca="false">-F218*INDEX(ship_curves,MATCH(L218,'SHIP CURVES'!$A$9:$A$316,0),MATCH(CONCATENATE(P$4,P$5,P$6,P$7),'SHIP CURVES'!$A$9:$AZ$9,0))</f>
        <v>-0</v>
      </c>
      <c r="O218" s="351" t="n">
        <f aca="false">-H218*INDEX(port_processing_fee,MATCH(L218,PORTS!$H$626:$H$933,0),MATCH(P$5,PORTS!$H$626:$Z$626,0))</f>
        <v>-0</v>
      </c>
      <c r="P218" s="352" t="n">
        <f aca="false">(((VLOOKUP(L218,curvecalc,4,0))*IF(F218=0,0,J218/F218)-INDEX(ship_curves,MATCH(L218,'SHIP CURVES'!$A$9:$A$316,0),MATCH(CONCATENATE(P$4,P$5,P$6,P$7),'SHIP CURVES'!$A$9:$Z$9,0))-INDEX(terminal_curves,MATCH(L218,'TERMINAL CURVES'!$A$4:$A$313,0),MATCH(P$5,'TERMINAL CURVES'!$A$4:$N$4,0))*IF(F218=0,0,H218/F218))-(N$8)*((N$7-$N$5)-(INDEX(ship_curves,MATCH(L218,'SHIP CURVES'!$A$9:$A$316,0),MATCH(CONCATENATE(P$4,P$5,P$6,P$7),'SHIP CURVES'!$A$9:$Z$9,0))-INDEX(ship_curves,MATCH(L218,'SHIP CURVES'!$A$9:$A$316,0),MATCH(CONCATENATE(P$4,N$6,P$6,P$7),'SHIP CURVES'!$A$9:$Z$9,0)))-(INDEX(terminal_curves,MATCH(L218,'TERMINAL CURVES'!$A$4:$A$313,0),MATCH(P$5,'TERMINAL CURVES'!$A$4:$N$4,0))-INDEX(terminal_curves,MATCH(L218,'TERMINAL CURVES'!$A$4:$A$313,0),MATCH(N$6,'TERMINAL CURVES'!$A$4:$N$4,0)))*IF(F218=0,0,H218/F218)))*-F218</f>
        <v>0</v>
      </c>
      <c r="Q218" s="353" t="n">
        <f aca="false">SUM(N218:P218)</f>
        <v>0</v>
      </c>
      <c r="R218" s="357" t="n">
        <f aca="false">(-H218/((HLOOKUP(P$5,port_specs,2,0)/(365.25))*(L219-L218)))*(INDEX(fixed_capacity_charge,MATCH(L218,PORTS!$H$11:$H$317,0),MATCH(P$5,PORTS!$H$11:$N$11,0))+INDEX(variable_om_charge,MATCH(L218,PORTS!$H$318:$H$625,0),MATCH(P$5,PORTS!$H$318:$N$318,0)))</f>
        <v>-0</v>
      </c>
      <c r="S218" s="343" t="n">
        <f aca="false">+R218+Q218</f>
        <v>0</v>
      </c>
      <c r="T218" s="355" t="n">
        <f aca="false">+S218+M218</f>
        <v>0</v>
      </c>
      <c r="V218" s="346" t="n">
        <f aca="false">+DATE(YEAR(V217),MONTH(V217)+1,1)</f>
        <v>42795</v>
      </c>
      <c r="W218" s="327" t="n">
        <f aca="false">+Y218/(1-HLOOKUP(X$6,SHIPS,7,0)*INDEX(LADEN_VOYAGE_DAYS,MATCH(CONCATENATE(X$4,X$5),LADEN_VOYAGE_ROUTES,0),MATCH(X$6,LADEN_VOYAGE_SHIPS,0)))</f>
        <v>0</v>
      </c>
      <c r="X218" s="347" t="n">
        <f aca="false">+Y218-W218</f>
        <v>0</v>
      </c>
      <c r="Y218" s="348" t="n">
        <f aca="false">+IF(AND(X$8&lt;=V218,X$9&gt;=V218),+MIN($B218-SUMIF($H$17:X$17,Y$17,$H218:X218),((INDEX(ROUTE_PER_DAY_BY_SHIP,MATCH(CONCATENATE(X$4,X$5,X$7),ROUTE_PER_DAY_ROUTES,0),MATCH(X$6,ROUTE_PER_DAY_SHIPS,0))*(V219-V218))-(INDEX(ROUTE_PER_DAY_BY_SHIP,MATCH(CONCATENATE(X$4,X$5,X$7),ROUTE_PER_DAY_ROUTES,0),MATCH(X$6,ROUTE_PER_DAY_SHIPS,0))*(V219-V218))*HLOOKUP(X$6,SHIPS,7,0)*INDEX(LADEN_VOYAGE_DAYS,MATCH(CONCATENATE(X$4,X$5,X$7),LADEN_VOYAGE_ROUTES,0),MATCH(X$6,LADEN_VOYAGE_SHIPS,0)))),0)</f>
        <v>0</v>
      </c>
      <c r="Z218" s="349" t="n">
        <f aca="false">-(Y218)*HLOOKUP(X$5,TERMINAL_CHARGES,3,0)</f>
        <v>-0</v>
      </c>
      <c r="AA218" s="327" t="n">
        <f aca="false">+Y218+Z218</f>
        <v>0</v>
      </c>
      <c r="AB218" s="333"/>
      <c r="AC218" s="346" t="n">
        <f aca="false">+DATE(YEAR(AC217),MONTH(AC217)+1,1)</f>
        <v>42795</v>
      </c>
      <c r="AD218" s="343" t="n">
        <f aca="false">+AA218*(VLOOKUP(AC218,CURVECALC!$C$6:$J$312,4,0)+AE$5)</f>
        <v>0</v>
      </c>
      <c r="AE218" s="350" t="n">
        <f aca="false">-W218*INDEX(ship_curves,MATCH(AC218,'SHIP CURVES'!$A$9:$A$316,0),MATCH(CONCATENATE(AG$4,AG$5,AG$6,AG$7),'SHIP CURVES'!$A$9:$AZ$9,0))</f>
        <v>-0</v>
      </c>
      <c r="AF218" s="351" t="n">
        <f aca="false">-Y218*INDEX(port_processing_fee,MATCH(AC218,PORTS!$H$626:$H$933,0),MATCH(AG$5,PORTS!$H$626:$Z$626,0))</f>
        <v>-0</v>
      </c>
      <c r="AG218" s="352" t="n">
        <f aca="false">(((VLOOKUP(AC218,curvecalc,4,0))*IF(W218=0,0,AA218/W218)-INDEX(ship_curves,MATCH(AC218,'SHIP CURVES'!$A$9:$A$316,0),MATCH(CONCATENATE(AG$4,AG$5,AG$6,AG$7),'SHIP CURVES'!$A$9:$Z$9,0))-INDEX(terminal_curves,MATCH(AC218,'TERMINAL CURVES'!$A$4:$A$313,0),MATCH(AG$5,'TERMINAL CURVES'!$A$4:$N$4,0))*IF(W218=0,0,Y218/W218))-(AE$8)*((AE$7-$N$5)-(INDEX(ship_curves,MATCH(AC218,'SHIP CURVES'!$A$9:$A$316,0),MATCH(CONCATENATE(AG$4,AG$5,AG$6,AG$7),'SHIP CURVES'!$A$9:$Z$9,0))-INDEX(ship_curves,MATCH(AC218,'SHIP CURVES'!$A$9:$A$316,0),MATCH(CONCATENATE(AG$4,AE$6,AG$6,AG$7),'SHIP CURVES'!$A$9:$Z$9,0)))-(INDEX(terminal_curves,MATCH(AC218,'TERMINAL CURVES'!$A$4:$A$313,0),MATCH(AG$5,'TERMINAL CURVES'!$A$4:$N$4,0))-INDEX(terminal_curves,MATCH(AC218,'TERMINAL CURVES'!$A$4:$A$313,0),MATCH(AE$6,'TERMINAL CURVES'!$A$4:$N$4,0)))*IF(W218=0,0,Y218/W218)))*-W218</f>
        <v>0</v>
      </c>
      <c r="AH218" s="356" t="n">
        <f aca="false">SUM(AE218:AG218)</f>
        <v>0</v>
      </c>
      <c r="AI218" s="357" t="n">
        <f aca="false">(-Y218/((HLOOKUP(AG$5,port_specs,2,0)/(365.25))*(AC219-AC218)))*(INDEX(fixed_capacity_charge,MATCH(AC218,PORTS!$H$11:$H$317,0),MATCH(AG$5,PORTS!$H$11:$N$11,0))+INDEX(variable_om_charge,MATCH(AC218,PORTS!$H$318:$H$625,0),MATCH(AG$5,PORTS!$H$318:$N$318,0)))</f>
        <v>-0</v>
      </c>
      <c r="AJ218" s="343" t="n">
        <f aca="false">+AI218+AH218</f>
        <v>0</v>
      </c>
      <c r="AK218" s="355" t="n">
        <f aca="false">+AJ218+AD218</f>
        <v>0</v>
      </c>
      <c r="AM218" s="346" t="n">
        <f aca="false">+DATE(YEAR(AM217),MONTH(AM217)+1,1)</f>
        <v>42795</v>
      </c>
      <c r="AN218" s="327" t="n">
        <f aca="false">+AP218/(1-HLOOKUP(AO$6,SHIPS,7,0)*INDEX(LADEN_VOYAGE_DAYS,MATCH(CONCATENATE(AO$4,AO$5),LADEN_VOYAGE_ROUTES,0),MATCH(AO$6,LADEN_VOYAGE_SHIPS,0)))</f>
        <v>5395761.47735991</v>
      </c>
      <c r="AO218" s="347" t="n">
        <f aca="false">+AP218-AN218</f>
        <v>-56655.4955122788</v>
      </c>
      <c r="AP218" s="348" t="n">
        <f aca="false">+IF(AND(AO$8&lt;=AM218,AO$9&gt;=AM218),+MIN($B218-SUMIF($H$17:AO$17,AP$17,$H218:AO218),((INDEX(ROUTE_PER_DAY_BY_SHIP,MATCH(CONCATENATE(AO$4,AO$5,AO$7),ROUTE_PER_DAY_ROUTES,0),MATCH(AO$6,ROUTE_PER_DAY_SHIPS,0))*(AM219-AM218))-(INDEX(ROUTE_PER_DAY_BY_SHIP,MATCH(CONCATENATE(AO$4,AO$5,AO$7),ROUTE_PER_DAY_ROUTES,0),MATCH(AO$6,ROUTE_PER_DAY_SHIPS,0))*(AM219-AM218))*HLOOKUP(AO$6,SHIPS,7,0)*INDEX(LADEN_VOYAGE_DAYS,MATCH(CONCATENATE(AO$4,AO$5,AO$7),LADEN_VOYAGE_ROUTES,0),MATCH(AO$6,LADEN_VOYAGE_SHIPS,0)))),0)</f>
        <v>5339105.98184763</v>
      </c>
      <c r="AQ218" s="349" t="n">
        <f aca="false">-(AP218)*PORTS!$I$6</f>
        <v>-133477.649546191</v>
      </c>
      <c r="AR218" s="327" t="n">
        <f aca="false">+AP218+AQ218</f>
        <v>5205628.33230144</v>
      </c>
      <c r="AS218" s="333"/>
      <c r="AT218" s="346" t="n">
        <f aca="false">+DATE(YEAR(AT217),MONTH(AT217)+1,1)</f>
        <v>42795</v>
      </c>
      <c r="AU218" s="343" t="n">
        <f aca="false">+AR218*(VLOOKUP(AT218,CURVECALC!$C$6:$J$312,4,0)+AV$5)</f>
        <v>21426366.2157527</v>
      </c>
      <c r="AV218" s="350" t="n">
        <f aca="false">-AN218*INDEX(ship_curves,MATCH(AT218,'SHIP CURVES'!$A$9:$A$316,0),MATCH(CONCATENATE(AX$4,AX$5,AX$6,AX$7),'SHIP CURVES'!$A$9:$AZ$9,0))</f>
        <v>-1843436.56602999</v>
      </c>
      <c r="AW218" s="351" t="n">
        <f aca="false">-AP218*INDEX(port_processing_fee,MATCH(AT218,PORTS!$H$626:$H$933,0),MATCH(AX$5,PORTS!$H$626:$Z$626,0))</f>
        <v>-174169.652621542</v>
      </c>
      <c r="AX218" s="352" t="n">
        <f aca="false">(((VLOOKUP(AT218,curvecalc,4,0))*IF(AN218=0,0,AR218/AN218)-INDEX(ship_curves,MATCH(AT218,'SHIP CURVES'!$A$9:$A$316,0),MATCH(CONCATENATE(AX$4,AX$5,AX$6,AX$7),'SHIP CURVES'!$A$9:$Z$9,0))-INDEX(terminal_curves,MATCH(AT218,'TERMINAL CURVES'!$A$4:$A$313,0),MATCH(AX$5,'TERMINAL CURVES'!$A$4:$N$4,0))*IF(AN218=0,0,AP218/AN218))-(AV$8)*((AV$7-$N$5)-(INDEX(ship_curves,MATCH(AT218,'SHIP CURVES'!$A$9:$A$316,0),MATCH(CONCATENATE(AX$4,AX$5,AX$6,AX$7),'SHIP CURVES'!$A$9:$Z$9,0))-INDEX(ship_curves,MATCH(AT218,'SHIP CURVES'!$A$9:$A$316,0),MATCH(CONCATENATE(AX$4,AV$6,AX$6,AX$7),'SHIP CURVES'!$A$9:$Z$9,0)))-(INDEX(terminal_curves,MATCH(AT218,'TERMINAL CURVES'!$A$4:$A$313,0),MATCH(AX$5,'TERMINAL CURVES'!$A$4:$N$4,0))-INDEX(terminal_curves,MATCH(AT218,'TERMINAL CURVES'!$A$4:$A$313,0),MATCH(AV$6,'TERMINAL CURVES'!$A$4:$N$4,0)))*IF(AN218=0,0,AP218/AN218)))*-AN218</f>
        <v>-18258357.0173394</v>
      </c>
      <c r="AY218" s="356" t="n">
        <f aca="false">SUM(AV218:AX218)</f>
        <v>-20275963.2359909</v>
      </c>
      <c r="AZ218" s="357" t="n">
        <f aca="false">(-AP218/((HLOOKUP(AX$5,port_specs,2,0)/(365.25))*(AT219-AT218)))*(INDEX(fixed_capacity_charge,MATCH(AT218,PORTS!$H$11:$H$317,0),MATCH(AX$5,PORTS!$H$11:$N$11,0))+INDEX(variable_om_charge,MATCH(AT218,PORTS!$H$318:$H$625,0),MATCH(AX$5,PORTS!$H$318:$N$318,0)))</f>
        <v>-1046290.41311583</v>
      </c>
      <c r="BA218" s="343" t="n">
        <f aca="false">+AZ218+AY218</f>
        <v>-21322253.6491067</v>
      </c>
      <c r="BB218" s="355" t="n">
        <f aca="false">+BA218+AU218</f>
        <v>104112.566646028</v>
      </c>
      <c r="BC218" s="99"/>
      <c r="BD218" s="357" t="n">
        <f aca="false">+PORTS!I212+PORTS!I520</f>
        <v>1046290.41311583</v>
      </c>
    </row>
    <row r="219" customFormat="false" ht="12.75" hidden="false" customHeight="false" outlineLevel="0" collapsed="false">
      <c r="A219" s="346" t="n">
        <f aca="false">+DATE(YEAR(A218),MONTH(A218)+1,1)</f>
        <v>42826</v>
      </c>
      <c r="B219" s="327" t="n">
        <f aca="false">+IF(AND($A219&gt;=$C$8,$A219&lt;=$C$9),1,0)*PORTS!$I$5/(365.25)*(A220-A219)</f>
        <v>5166876.75662674</v>
      </c>
      <c r="C219" s="328" t="n">
        <f aca="false">+B219-(SUMIF($F$17:$IV$17,$H$17,$F219:$IV219))</f>
        <v>0</v>
      </c>
      <c r="D219" s="0" t="n">
        <f aca="false">+YEAR(E219)</f>
        <v>2017</v>
      </c>
      <c r="E219" s="346" t="n">
        <f aca="false">+DATE(YEAR(E218),MONTH(E218)+1,1)</f>
        <v>42826</v>
      </c>
      <c r="F219" s="327" t="n">
        <f aca="false">+IF(AND(G$8&lt;=E219,G$9&gt;=E219),INDEX(ROUTE_PER_DAY_BY_SHIP,MATCH(CONCATENATE(G$4,G$5,G$7),ROUTE_PER_DAY_ROUTES,0),MATCH(G$6,ROUTE_PER_DAY_SHIPS,0))*(E220-E219),0)</f>
        <v>0</v>
      </c>
      <c r="G219" s="347" t="n">
        <f aca="false">-F219*HLOOKUP(G$6,SHIPS,7,0)*INDEX(LADEN_VOYAGE_DAYS,MATCH(CONCATENATE(G$4,G$5,G$7),LADEN_VOYAGE_ROUTES,0),MATCH(G$6,LADEN_VOYAGE_SHIPS,0))</f>
        <v>-0</v>
      </c>
      <c r="H219" s="348" t="n">
        <f aca="false">SUM(F219:G219)</f>
        <v>0</v>
      </c>
      <c r="I219" s="349" t="n">
        <f aca="false">-(H219)*HLOOKUP(G$5,TERMINAL_CHARGES,3,0)</f>
        <v>-0</v>
      </c>
      <c r="J219" s="327" t="n">
        <f aca="false">+H219+I219</f>
        <v>0</v>
      </c>
      <c r="K219" s="333"/>
      <c r="L219" s="346" t="n">
        <f aca="false">+DATE(YEAR(L218),MONTH(L218)+1,1)</f>
        <v>42826</v>
      </c>
      <c r="M219" s="334" t="n">
        <f aca="false">+J219*(VLOOKUP(L219,CURVECALC!$C$6:$J$312,4,0)+N$5)</f>
        <v>0</v>
      </c>
      <c r="N219" s="350" t="n">
        <f aca="false">-F219*INDEX(ship_curves,MATCH(L219,'SHIP CURVES'!$A$9:$A$316,0),MATCH(CONCATENATE(P$4,P$5,P$6,P$7),'SHIP CURVES'!$A$9:$AZ$9,0))</f>
        <v>-0</v>
      </c>
      <c r="O219" s="351" t="n">
        <f aca="false">-H219*INDEX(port_processing_fee,MATCH(L219,PORTS!$H$626:$H$933,0),MATCH(P$5,PORTS!$H$626:$Z$626,0))</f>
        <v>-0</v>
      </c>
      <c r="P219" s="352" t="n">
        <f aca="false">(((VLOOKUP(L219,curvecalc,4,0))*IF(F219=0,0,J219/F219)-INDEX(ship_curves,MATCH(L219,'SHIP CURVES'!$A$9:$A$316,0),MATCH(CONCATENATE(P$4,P$5,P$6,P$7),'SHIP CURVES'!$A$9:$Z$9,0))-INDEX(terminal_curves,MATCH(L219,'TERMINAL CURVES'!$A$4:$A$313,0),MATCH(P$5,'TERMINAL CURVES'!$A$4:$N$4,0))*IF(F219=0,0,H219/F219))-(N$8)*((N$7-$N$5)-(INDEX(ship_curves,MATCH(L219,'SHIP CURVES'!$A$9:$A$316,0),MATCH(CONCATENATE(P$4,P$5,P$6,P$7),'SHIP CURVES'!$A$9:$Z$9,0))-INDEX(ship_curves,MATCH(L219,'SHIP CURVES'!$A$9:$A$316,0),MATCH(CONCATENATE(P$4,N$6,P$6,P$7),'SHIP CURVES'!$A$9:$Z$9,0)))-(INDEX(terminal_curves,MATCH(L219,'TERMINAL CURVES'!$A$4:$A$313,0),MATCH(P$5,'TERMINAL CURVES'!$A$4:$N$4,0))-INDEX(terminal_curves,MATCH(L219,'TERMINAL CURVES'!$A$4:$A$313,0),MATCH(N$6,'TERMINAL CURVES'!$A$4:$N$4,0)))*IF(F219=0,0,H219/F219)))*-F219</f>
        <v>0</v>
      </c>
      <c r="Q219" s="353" t="n">
        <f aca="false">SUM(N219:P219)</f>
        <v>0</v>
      </c>
      <c r="R219" s="357" t="n">
        <f aca="false">(-H219/((HLOOKUP(P$5,port_specs,2,0)/(365.25))*(L220-L219)))*(INDEX(fixed_capacity_charge,MATCH(L219,PORTS!$H$11:$H$317,0),MATCH(P$5,PORTS!$H$11:$N$11,0))+INDEX(variable_om_charge,MATCH(L219,PORTS!$H$318:$H$625,0),MATCH(P$5,PORTS!$H$318:$N$318,0)))</f>
        <v>-0</v>
      </c>
      <c r="S219" s="343" t="n">
        <f aca="false">+R219+Q219</f>
        <v>0</v>
      </c>
      <c r="T219" s="355" t="n">
        <f aca="false">+S219+M219</f>
        <v>0</v>
      </c>
      <c r="V219" s="346" t="n">
        <f aca="false">+DATE(YEAR(V218),MONTH(V218)+1,1)</f>
        <v>42826</v>
      </c>
      <c r="W219" s="327" t="n">
        <f aca="false">+Y219/(1-HLOOKUP(X$6,SHIPS,7,0)*INDEX(LADEN_VOYAGE_DAYS,MATCH(CONCATENATE(X$4,X$5),LADEN_VOYAGE_ROUTES,0),MATCH(X$6,LADEN_VOYAGE_SHIPS,0)))</f>
        <v>0</v>
      </c>
      <c r="X219" s="347" t="n">
        <f aca="false">+Y219-W219</f>
        <v>0</v>
      </c>
      <c r="Y219" s="348" t="n">
        <f aca="false">+IF(AND(X$8&lt;=V219,X$9&gt;=V219),+MIN($B219-SUMIF($H$17:X$17,Y$17,$H219:X219),((INDEX(ROUTE_PER_DAY_BY_SHIP,MATCH(CONCATENATE(X$4,X$5,X$7),ROUTE_PER_DAY_ROUTES,0),MATCH(X$6,ROUTE_PER_DAY_SHIPS,0))*(V220-V219))-(INDEX(ROUTE_PER_DAY_BY_SHIP,MATCH(CONCATENATE(X$4,X$5,X$7),ROUTE_PER_DAY_ROUTES,0),MATCH(X$6,ROUTE_PER_DAY_SHIPS,0))*(V220-V219))*HLOOKUP(X$6,SHIPS,7,0)*INDEX(LADEN_VOYAGE_DAYS,MATCH(CONCATENATE(X$4,X$5,X$7),LADEN_VOYAGE_ROUTES,0),MATCH(X$6,LADEN_VOYAGE_SHIPS,0)))),0)</f>
        <v>0</v>
      </c>
      <c r="Z219" s="349" t="n">
        <f aca="false">-(Y219)*HLOOKUP(X$5,TERMINAL_CHARGES,3,0)</f>
        <v>-0</v>
      </c>
      <c r="AA219" s="327" t="n">
        <f aca="false">+Y219+Z219</f>
        <v>0</v>
      </c>
      <c r="AB219" s="333"/>
      <c r="AC219" s="346" t="n">
        <f aca="false">+DATE(YEAR(AC218),MONTH(AC218)+1,1)</f>
        <v>42826</v>
      </c>
      <c r="AD219" s="343" t="n">
        <f aca="false">+AA219*(VLOOKUP(AC219,CURVECALC!$C$6:$J$312,4,0)+AE$5)</f>
        <v>0</v>
      </c>
      <c r="AE219" s="350" t="n">
        <f aca="false">-W219*INDEX(ship_curves,MATCH(AC219,'SHIP CURVES'!$A$9:$A$316,0),MATCH(CONCATENATE(AG$4,AG$5,AG$6,AG$7),'SHIP CURVES'!$A$9:$AZ$9,0))</f>
        <v>-0</v>
      </c>
      <c r="AF219" s="351" t="n">
        <f aca="false">-Y219*INDEX(port_processing_fee,MATCH(AC219,PORTS!$H$626:$H$933,0),MATCH(AG$5,PORTS!$H$626:$Z$626,0))</f>
        <v>-0</v>
      </c>
      <c r="AG219" s="352" t="n">
        <f aca="false">(((VLOOKUP(AC219,curvecalc,4,0))*IF(W219=0,0,AA219/W219)-INDEX(ship_curves,MATCH(AC219,'SHIP CURVES'!$A$9:$A$316,0),MATCH(CONCATENATE(AG$4,AG$5,AG$6,AG$7),'SHIP CURVES'!$A$9:$Z$9,0))-INDEX(terminal_curves,MATCH(AC219,'TERMINAL CURVES'!$A$4:$A$313,0),MATCH(AG$5,'TERMINAL CURVES'!$A$4:$N$4,0))*IF(W219=0,0,Y219/W219))-(AE$8)*((AE$7-$N$5)-(INDEX(ship_curves,MATCH(AC219,'SHIP CURVES'!$A$9:$A$316,0),MATCH(CONCATENATE(AG$4,AG$5,AG$6,AG$7),'SHIP CURVES'!$A$9:$Z$9,0))-INDEX(ship_curves,MATCH(AC219,'SHIP CURVES'!$A$9:$A$316,0),MATCH(CONCATENATE(AG$4,AE$6,AG$6,AG$7),'SHIP CURVES'!$A$9:$Z$9,0)))-(INDEX(terminal_curves,MATCH(AC219,'TERMINAL CURVES'!$A$4:$A$313,0),MATCH(AG$5,'TERMINAL CURVES'!$A$4:$N$4,0))-INDEX(terminal_curves,MATCH(AC219,'TERMINAL CURVES'!$A$4:$A$313,0),MATCH(AE$6,'TERMINAL CURVES'!$A$4:$N$4,0)))*IF(W219=0,0,Y219/W219)))*-W219</f>
        <v>0</v>
      </c>
      <c r="AH219" s="356" t="n">
        <f aca="false">SUM(AE219:AG219)</f>
        <v>0</v>
      </c>
      <c r="AI219" s="357" t="n">
        <f aca="false">(-Y219/((HLOOKUP(AG$5,port_specs,2,0)/(365.25))*(AC220-AC219)))*(INDEX(fixed_capacity_charge,MATCH(AC219,PORTS!$H$11:$H$317,0),MATCH(AG$5,PORTS!$H$11:$N$11,0))+INDEX(variable_om_charge,MATCH(AC219,PORTS!$H$318:$H$625,0),MATCH(AG$5,PORTS!$H$318:$N$318,0)))</f>
        <v>-0</v>
      </c>
      <c r="AJ219" s="343" t="n">
        <f aca="false">+AI219+AH219</f>
        <v>0</v>
      </c>
      <c r="AK219" s="355" t="n">
        <f aca="false">+AJ219+AD219</f>
        <v>0</v>
      </c>
      <c r="AM219" s="346" t="n">
        <f aca="false">+DATE(YEAR(AM218),MONTH(AM218)+1,1)</f>
        <v>42826</v>
      </c>
      <c r="AN219" s="327" t="n">
        <f aca="false">+AP219/(1-HLOOKUP(AO$6,SHIPS,7,0)*INDEX(LADEN_VOYAGE_DAYS,MATCH(CONCATENATE(AO$4,AO$5),LADEN_VOYAGE_ROUTES,0),MATCH(AO$6,LADEN_VOYAGE_SHIPS,0)))</f>
        <v>5221704.65550959</v>
      </c>
      <c r="AO219" s="347" t="n">
        <f aca="false">+AP219-AN219</f>
        <v>-54827.8988828501</v>
      </c>
      <c r="AP219" s="348" t="n">
        <f aca="false">+IF(AND(AO$8&lt;=AM219,AO$9&gt;=AM219),+MIN($B219-SUMIF($H$17:AO$17,AP$17,$H219:AO219),((INDEX(ROUTE_PER_DAY_BY_SHIP,MATCH(CONCATENATE(AO$4,AO$5,AO$7),ROUTE_PER_DAY_ROUTES,0),MATCH(AO$6,ROUTE_PER_DAY_SHIPS,0))*(AM220-AM219))-(INDEX(ROUTE_PER_DAY_BY_SHIP,MATCH(CONCATENATE(AO$4,AO$5,AO$7),ROUTE_PER_DAY_ROUTES,0),MATCH(AO$6,ROUTE_PER_DAY_SHIPS,0))*(AM220-AM219))*HLOOKUP(AO$6,SHIPS,7,0)*INDEX(LADEN_VOYAGE_DAYS,MATCH(CONCATENATE(AO$4,AO$5,AO$7),LADEN_VOYAGE_ROUTES,0),MATCH(AO$6,LADEN_VOYAGE_SHIPS,0)))),0)</f>
        <v>5166876.75662674</v>
      </c>
      <c r="AQ219" s="349" t="n">
        <f aca="false">-(AP219)*PORTS!$I$6</f>
        <v>-129171.918915669</v>
      </c>
      <c r="AR219" s="327" t="n">
        <f aca="false">+AP219+AQ219</f>
        <v>5037704.83771107</v>
      </c>
      <c r="AS219" s="333"/>
      <c r="AT219" s="346" t="n">
        <f aca="false">+DATE(YEAR(AT218),MONTH(AT218)+1,1)</f>
        <v>42826</v>
      </c>
      <c r="AU219" s="343" t="n">
        <f aca="false">+AR219*(VLOOKUP(AT219,CURVECALC!$C$6:$J$312,4,0)+AV$5)</f>
        <v>20241498.0379231</v>
      </c>
      <c r="AV219" s="350" t="n">
        <f aca="false">-AN219*INDEX(ship_curves,MATCH(AT219,'SHIP CURVES'!$A$9:$A$316,0),MATCH(CONCATENATE(AX$4,AX$5,AX$6,AX$7),'SHIP CURVES'!$A$9:$AZ$9,0))</f>
        <v>-1784594.88010768</v>
      </c>
      <c r="AW219" s="351" t="n">
        <f aca="false">-AP219*INDEX(port_processing_fee,MATCH(AT219,PORTS!$H$626:$H$933,0),MATCH(AX$5,PORTS!$H$626:$Z$626,0))</f>
        <v>-168726.850977119</v>
      </c>
      <c r="AX219" s="352" t="n">
        <f aca="false">(((VLOOKUP(AT219,curvecalc,4,0))*IF(AN219=0,0,AR219/AN219)-INDEX(ship_curves,MATCH(AT219,'SHIP CURVES'!$A$9:$A$316,0),MATCH(CONCATENATE(AX$4,AX$5,AX$6,AX$7),'SHIP CURVES'!$A$9:$Z$9,0))-INDEX(terminal_curves,MATCH(AT219,'TERMINAL CURVES'!$A$4:$A$313,0),MATCH(AX$5,'TERMINAL CURVES'!$A$4:$N$4,0))*IF(AN219=0,0,AP219/AN219))-(AV$8)*((AV$7-$N$5)-(INDEX(ship_curves,MATCH(AT219,'SHIP CURVES'!$A$9:$A$316,0),MATCH(CONCATENATE(AX$4,AX$5,AX$6,AX$7),'SHIP CURVES'!$A$9:$Z$9,0))-INDEX(ship_curves,MATCH(AT219,'SHIP CURVES'!$A$9:$A$316,0),MATCH(CONCATENATE(AX$4,AV$6,AX$6,AX$7),'SHIP CURVES'!$A$9:$Z$9,0)))-(INDEX(terminal_curves,MATCH(AT219,'TERMINAL CURVES'!$A$4:$A$313,0),MATCH(AX$5,'TERMINAL CURVES'!$A$4:$N$4,0))-INDEX(terminal_curves,MATCH(AT219,'TERMINAL CURVES'!$A$4:$A$313,0),MATCH(AV$6,'TERMINAL CURVES'!$A$4:$N$4,0)))*IF(AN219=0,0,AP219/AN219)))*-AN219</f>
        <v>-17140547.3137993</v>
      </c>
      <c r="AY219" s="356" t="n">
        <f aca="false">SUM(AV219:AX219)</f>
        <v>-19093869.0448841</v>
      </c>
      <c r="AZ219" s="357" t="n">
        <f aca="false">(-AP219/((HLOOKUP(AX$5,port_specs,2,0)/(365.25))*(AT220-AT219)))*(INDEX(fixed_capacity_charge,MATCH(AT219,PORTS!$H$11:$H$317,0),MATCH(AX$5,PORTS!$H$11:$N$11,0))+INDEX(variable_om_charge,MATCH(AT219,PORTS!$H$318:$H$625,0),MATCH(AX$5,PORTS!$H$318:$N$318,0)))</f>
        <v>-1046874.89628479</v>
      </c>
      <c r="BA219" s="343" t="n">
        <f aca="false">+AZ219+AY219</f>
        <v>-20140743.9411689</v>
      </c>
      <c r="BB219" s="355" t="n">
        <f aca="false">+BA219+AU219</f>
        <v>100754.096754223</v>
      </c>
      <c r="BC219" s="99"/>
      <c r="BD219" s="357" t="n">
        <f aca="false">+PORTS!I213+PORTS!I521</f>
        <v>1046874.89628479</v>
      </c>
    </row>
    <row r="220" customFormat="false" ht="12.75" hidden="false" customHeight="false" outlineLevel="0" collapsed="false">
      <c r="A220" s="346" t="n">
        <f aca="false">+DATE(YEAR(A219),MONTH(A219)+1,1)</f>
        <v>42856</v>
      </c>
      <c r="B220" s="327" t="n">
        <f aca="false">+IF(AND($A220&gt;=$C$8,$A220&lt;=$C$9),1,0)*PORTS!$I$5/(365.25)*(A221-A220)</f>
        <v>5339105.98184763</v>
      </c>
      <c r="C220" s="328" t="n">
        <f aca="false">+B220-(SUMIF($F$17:$IV$17,$H$17,$F220:$IV220))</f>
        <v>0</v>
      </c>
      <c r="D220" s="0" t="n">
        <f aca="false">+YEAR(E220)</f>
        <v>2017</v>
      </c>
      <c r="E220" s="346" t="n">
        <f aca="false">+DATE(YEAR(E219),MONTH(E219)+1,1)</f>
        <v>42856</v>
      </c>
      <c r="F220" s="327" t="n">
        <f aca="false">+IF(AND(G$8&lt;=E220,G$9&gt;=E220),INDEX(ROUTE_PER_DAY_BY_SHIP,MATCH(CONCATENATE(G$4,G$5,G$7),ROUTE_PER_DAY_ROUTES,0),MATCH(G$6,ROUTE_PER_DAY_SHIPS,0))*(E221-E220),0)</f>
        <v>0</v>
      </c>
      <c r="G220" s="347" t="n">
        <f aca="false">-F220*HLOOKUP(G$6,SHIPS,7,0)*INDEX(LADEN_VOYAGE_DAYS,MATCH(CONCATENATE(G$4,G$5,G$7),LADEN_VOYAGE_ROUTES,0),MATCH(G$6,LADEN_VOYAGE_SHIPS,0))</f>
        <v>-0</v>
      </c>
      <c r="H220" s="348" t="n">
        <f aca="false">SUM(F220:G220)</f>
        <v>0</v>
      </c>
      <c r="I220" s="349" t="n">
        <f aca="false">-(H220)*HLOOKUP(G$5,TERMINAL_CHARGES,3,0)</f>
        <v>-0</v>
      </c>
      <c r="J220" s="327" t="n">
        <f aca="false">+H220+I220</f>
        <v>0</v>
      </c>
      <c r="K220" s="333"/>
      <c r="L220" s="346" t="n">
        <f aca="false">+DATE(YEAR(L219),MONTH(L219)+1,1)</f>
        <v>42856</v>
      </c>
      <c r="M220" s="334" t="n">
        <f aca="false">+J220*(VLOOKUP(L220,CURVECALC!$C$6:$J$312,4,0)+N$5)</f>
        <v>0</v>
      </c>
      <c r="N220" s="350" t="n">
        <f aca="false">-F220*INDEX(ship_curves,MATCH(L220,'SHIP CURVES'!$A$9:$A$316,0),MATCH(CONCATENATE(P$4,P$5,P$6,P$7),'SHIP CURVES'!$A$9:$AZ$9,0))</f>
        <v>-0</v>
      </c>
      <c r="O220" s="351" t="n">
        <f aca="false">-H220*INDEX(port_processing_fee,MATCH(L220,PORTS!$H$626:$H$933,0),MATCH(P$5,PORTS!$H$626:$Z$626,0))</f>
        <v>-0</v>
      </c>
      <c r="P220" s="352" t="n">
        <f aca="false">(((VLOOKUP(L220,curvecalc,4,0))*IF(F220=0,0,J220/F220)-INDEX(ship_curves,MATCH(L220,'SHIP CURVES'!$A$9:$A$316,0),MATCH(CONCATENATE(P$4,P$5,P$6,P$7),'SHIP CURVES'!$A$9:$Z$9,0))-INDEX(terminal_curves,MATCH(L220,'TERMINAL CURVES'!$A$4:$A$313,0),MATCH(P$5,'TERMINAL CURVES'!$A$4:$N$4,0))*IF(F220=0,0,H220/F220))-(N$8)*((N$7-$N$5)-(INDEX(ship_curves,MATCH(L220,'SHIP CURVES'!$A$9:$A$316,0),MATCH(CONCATENATE(P$4,P$5,P$6,P$7),'SHIP CURVES'!$A$9:$Z$9,0))-INDEX(ship_curves,MATCH(L220,'SHIP CURVES'!$A$9:$A$316,0),MATCH(CONCATENATE(P$4,N$6,P$6,P$7),'SHIP CURVES'!$A$9:$Z$9,0)))-(INDEX(terminal_curves,MATCH(L220,'TERMINAL CURVES'!$A$4:$A$313,0),MATCH(P$5,'TERMINAL CURVES'!$A$4:$N$4,0))-INDEX(terminal_curves,MATCH(L220,'TERMINAL CURVES'!$A$4:$A$313,0),MATCH(N$6,'TERMINAL CURVES'!$A$4:$N$4,0)))*IF(F220=0,0,H220/F220)))*-F220</f>
        <v>0</v>
      </c>
      <c r="Q220" s="353" t="n">
        <f aca="false">SUM(N220:P220)</f>
        <v>0</v>
      </c>
      <c r="R220" s="357" t="n">
        <f aca="false">(-H220/((HLOOKUP(P$5,port_specs,2,0)/(365.25))*(L221-L220)))*(INDEX(fixed_capacity_charge,MATCH(L220,PORTS!$H$11:$H$317,0),MATCH(P$5,PORTS!$H$11:$N$11,0))+INDEX(variable_om_charge,MATCH(L220,PORTS!$H$318:$H$625,0),MATCH(P$5,PORTS!$H$318:$N$318,0)))</f>
        <v>-0</v>
      </c>
      <c r="S220" s="343" t="n">
        <f aca="false">+R220+Q220</f>
        <v>0</v>
      </c>
      <c r="T220" s="355" t="n">
        <f aca="false">+S220+M220</f>
        <v>0</v>
      </c>
      <c r="V220" s="346" t="n">
        <f aca="false">+DATE(YEAR(V219),MONTH(V219)+1,1)</f>
        <v>42856</v>
      </c>
      <c r="W220" s="327" t="n">
        <f aca="false">+Y220/(1-HLOOKUP(X$6,SHIPS,7,0)*INDEX(LADEN_VOYAGE_DAYS,MATCH(CONCATENATE(X$4,X$5),LADEN_VOYAGE_ROUTES,0),MATCH(X$6,LADEN_VOYAGE_SHIPS,0)))</f>
        <v>0</v>
      </c>
      <c r="X220" s="347" t="n">
        <f aca="false">+Y220-W220</f>
        <v>0</v>
      </c>
      <c r="Y220" s="348" t="n">
        <f aca="false">+IF(AND(X$8&lt;=V220,X$9&gt;=V220),+MIN($B220-SUMIF($H$17:X$17,Y$17,$H220:X220),((INDEX(ROUTE_PER_DAY_BY_SHIP,MATCH(CONCATENATE(X$4,X$5,X$7),ROUTE_PER_DAY_ROUTES,0),MATCH(X$6,ROUTE_PER_DAY_SHIPS,0))*(V221-V220))-(INDEX(ROUTE_PER_DAY_BY_SHIP,MATCH(CONCATENATE(X$4,X$5,X$7),ROUTE_PER_DAY_ROUTES,0),MATCH(X$6,ROUTE_PER_DAY_SHIPS,0))*(V221-V220))*HLOOKUP(X$6,SHIPS,7,0)*INDEX(LADEN_VOYAGE_DAYS,MATCH(CONCATENATE(X$4,X$5,X$7),LADEN_VOYAGE_ROUTES,0),MATCH(X$6,LADEN_VOYAGE_SHIPS,0)))),0)</f>
        <v>0</v>
      </c>
      <c r="Z220" s="349" t="n">
        <f aca="false">-(Y220)*HLOOKUP(X$5,TERMINAL_CHARGES,3,0)</f>
        <v>-0</v>
      </c>
      <c r="AA220" s="327" t="n">
        <f aca="false">+Y220+Z220</f>
        <v>0</v>
      </c>
      <c r="AB220" s="333"/>
      <c r="AC220" s="346" t="n">
        <f aca="false">+DATE(YEAR(AC219),MONTH(AC219)+1,1)</f>
        <v>42856</v>
      </c>
      <c r="AD220" s="343" t="n">
        <f aca="false">+AA220*(VLOOKUP(AC220,CURVECALC!$C$6:$J$312,4,0)+AE$5)</f>
        <v>0</v>
      </c>
      <c r="AE220" s="350" t="n">
        <f aca="false">-W220*INDEX(ship_curves,MATCH(AC220,'SHIP CURVES'!$A$9:$A$316,0),MATCH(CONCATENATE(AG$4,AG$5,AG$6,AG$7),'SHIP CURVES'!$A$9:$AZ$9,0))</f>
        <v>-0</v>
      </c>
      <c r="AF220" s="351" t="n">
        <f aca="false">-Y220*INDEX(port_processing_fee,MATCH(AC220,PORTS!$H$626:$H$933,0),MATCH(AG$5,PORTS!$H$626:$Z$626,0))</f>
        <v>-0</v>
      </c>
      <c r="AG220" s="352" t="n">
        <f aca="false">(((VLOOKUP(AC220,curvecalc,4,0))*IF(W220=0,0,AA220/W220)-INDEX(ship_curves,MATCH(AC220,'SHIP CURVES'!$A$9:$A$316,0),MATCH(CONCATENATE(AG$4,AG$5,AG$6,AG$7),'SHIP CURVES'!$A$9:$Z$9,0))-INDEX(terminal_curves,MATCH(AC220,'TERMINAL CURVES'!$A$4:$A$313,0),MATCH(AG$5,'TERMINAL CURVES'!$A$4:$N$4,0))*IF(W220=0,0,Y220/W220))-(AE$8)*((AE$7-$N$5)-(INDEX(ship_curves,MATCH(AC220,'SHIP CURVES'!$A$9:$A$316,0),MATCH(CONCATENATE(AG$4,AG$5,AG$6,AG$7),'SHIP CURVES'!$A$9:$Z$9,0))-INDEX(ship_curves,MATCH(AC220,'SHIP CURVES'!$A$9:$A$316,0),MATCH(CONCATENATE(AG$4,AE$6,AG$6,AG$7),'SHIP CURVES'!$A$9:$Z$9,0)))-(INDEX(terminal_curves,MATCH(AC220,'TERMINAL CURVES'!$A$4:$A$313,0),MATCH(AG$5,'TERMINAL CURVES'!$A$4:$N$4,0))-INDEX(terminal_curves,MATCH(AC220,'TERMINAL CURVES'!$A$4:$A$313,0),MATCH(AE$6,'TERMINAL CURVES'!$A$4:$N$4,0)))*IF(W220=0,0,Y220/W220)))*-W220</f>
        <v>0</v>
      </c>
      <c r="AH220" s="356" t="n">
        <f aca="false">SUM(AE220:AG220)</f>
        <v>0</v>
      </c>
      <c r="AI220" s="357" t="n">
        <f aca="false">(-Y220/((HLOOKUP(AG$5,port_specs,2,0)/(365.25))*(AC221-AC220)))*(INDEX(fixed_capacity_charge,MATCH(AC220,PORTS!$H$11:$H$317,0),MATCH(AG$5,PORTS!$H$11:$N$11,0))+INDEX(variable_om_charge,MATCH(AC220,PORTS!$H$318:$H$625,0),MATCH(AG$5,PORTS!$H$318:$N$318,0)))</f>
        <v>-0</v>
      </c>
      <c r="AJ220" s="343" t="n">
        <f aca="false">+AI220+AH220</f>
        <v>0</v>
      </c>
      <c r="AK220" s="355" t="n">
        <f aca="false">+AJ220+AD220</f>
        <v>0</v>
      </c>
      <c r="AM220" s="346" t="n">
        <f aca="false">+DATE(YEAR(AM219),MONTH(AM219)+1,1)</f>
        <v>42856</v>
      </c>
      <c r="AN220" s="327" t="n">
        <f aca="false">+AP220/(1-HLOOKUP(AO$6,SHIPS,7,0)*INDEX(LADEN_VOYAGE_DAYS,MATCH(CONCATENATE(AO$4,AO$5),LADEN_VOYAGE_ROUTES,0),MATCH(AO$6,LADEN_VOYAGE_SHIPS,0)))</f>
        <v>5395761.47735991</v>
      </c>
      <c r="AO220" s="347" t="n">
        <f aca="false">+AP220-AN220</f>
        <v>-56655.4955122788</v>
      </c>
      <c r="AP220" s="348" t="n">
        <f aca="false">+IF(AND(AO$8&lt;=AM220,AO$9&gt;=AM220),+MIN($B220-SUMIF($H$17:AO$17,AP$17,$H220:AO220),((INDEX(ROUTE_PER_DAY_BY_SHIP,MATCH(CONCATENATE(AO$4,AO$5,AO$7),ROUTE_PER_DAY_ROUTES,0),MATCH(AO$6,ROUTE_PER_DAY_SHIPS,0))*(AM221-AM220))-(INDEX(ROUTE_PER_DAY_BY_SHIP,MATCH(CONCATENATE(AO$4,AO$5,AO$7),ROUTE_PER_DAY_ROUTES,0),MATCH(AO$6,ROUTE_PER_DAY_SHIPS,0))*(AM221-AM220))*HLOOKUP(AO$6,SHIPS,7,0)*INDEX(LADEN_VOYAGE_DAYS,MATCH(CONCATENATE(AO$4,AO$5,AO$7),LADEN_VOYAGE_ROUTES,0),MATCH(AO$6,LADEN_VOYAGE_SHIPS,0)))),0)</f>
        <v>5339105.98184763</v>
      </c>
      <c r="AQ220" s="349" t="n">
        <f aca="false">-(AP220)*PORTS!$I$6</f>
        <v>-133477.649546191</v>
      </c>
      <c r="AR220" s="327" t="n">
        <f aca="false">+AP220+AQ220</f>
        <v>5205628.33230144</v>
      </c>
      <c r="AS220" s="333"/>
      <c r="AT220" s="346" t="n">
        <f aca="false">+DATE(YEAR(AT219),MONTH(AT219)+1,1)</f>
        <v>42856</v>
      </c>
      <c r="AU220" s="343" t="n">
        <f aca="false">+AR220*(VLOOKUP(AT220,CURVECALC!$C$6:$J$312,4,0)+AV$5)</f>
        <v>20911009.0108549</v>
      </c>
      <c r="AV220" s="350" t="n">
        <f aca="false">-AN220*INDEX(ship_curves,MATCH(AT220,'SHIP CURVES'!$A$9:$A$316,0),MATCH(CONCATENATE(AX$4,AX$5,AX$6,AX$7),'SHIP CURVES'!$A$9:$AZ$9,0))</f>
        <v>-1844727.52954688</v>
      </c>
      <c r="AW220" s="351" t="n">
        <f aca="false">-AP220*INDEX(port_processing_fee,MATCH(AT220,PORTS!$H$626:$H$933,0),MATCH(AX$5,PORTS!$H$626:$Z$626,0))</f>
        <v>-174532.695050672</v>
      </c>
      <c r="AX220" s="352" t="n">
        <f aca="false">(((VLOOKUP(AT220,curvecalc,4,0))*IF(AN220=0,0,AR220/AN220)-INDEX(ship_curves,MATCH(AT220,'SHIP CURVES'!$A$9:$A$316,0),MATCH(CONCATENATE(AX$4,AX$5,AX$6,AX$7),'SHIP CURVES'!$A$9:$Z$9,0))-INDEX(terminal_curves,MATCH(AT220,'TERMINAL CURVES'!$A$4:$A$313,0),MATCH(AX$5,'TERMINAL CURVES'!$A$4:$N$4,0))*IF(AN220=0,0,AP220/AN220))-(AV$8)*((AV$7-$N$5)-(INDEX(ship_curves,MATCH(AT220,'SHIP CURVES'!$A$9:$A$316,0),MATCH(CONCATENATE(AX$4,AX$5,AX$6,AX$7),'SHIP CURVES'!$A$9:$Z$9,0))-INDEX(ship_curves,MATCH(AT220,'SHIP CURVES'!$A$9:$A$316,0),MATCH(CONCATENATE(AX$4,AV$6,AX$6,AX$7),'SHIP CURVES'!$A$9:$Z$9,0)))-(INDEX(terminal_curves,MATCH(AT220,'TERMINAL CURVES'!$A$4:$A$313,0),MATCH(AX$5,'TERMINAL CURVES'!$A$4:$N$4,0))-INDEX(terminal_curves,MATCH(AT220,'TERMINAL CURVES'!$A$4:$A$313,0),MATCH(AV$6,'TERMINAL CURVES'!$A$4:$N$4,0)))*IF(AN220=0,0,AP220/AN220)))*-AN220</f>
        <v>-17740176.2313209</v>
      </c>
      <c r="AY220" s="356" t="n">
        <f aca="false">SUM(AV220:AX220)</f>
        <v>-19759436.4559185</v>
      </c>
      <c r="AZ220" s="357" t="n">
        <f aca="false">(-AP220/((HLOOKUP(AX$5,port_specs,2,0)/(365.25))*(AT221-AT220)))*(INDEX(fixed_capacity_charge,MATCH(AT220,PORTS!$H$11:$H$317,0),MATCH(AX$5,PORTS!$H$11:$N$11,0))+INDEX(variable_om_charge,MATCH(AT220,PORTS!$H$318:$H$625,0),MATCH(AX$5,PORTS!$H$318:$N$318,0)))</f>
        <v>-1047459.98829039</v>
      </c>
      <c r="BA220" s="343" t="n">
        <f aca="false">+AZ220+AY220</f>
        <v>-20806896.4442089</v>
      </c>
      <c r="BB220" s="355" t="n">
        <f aca="false">+BA220+AU220</f>
        <v>104112.566646028</v>
      </c>
      <c r="BC220" s="99"/>
      <c r="BD220" s="357" t="n">
        <f aca="false">+PORTS!I214+PORTS!I522</f>
        <v>1047459.98829039</v>
      </c>
    </row>
    <row r="221" customFormat="false" ht="12.75" hidden="false" customHeight="false" outlineLevel="0" collapsed="false">
      <c r="A221" s="346" t="n">
        <f aca="false">+DATE(YEAR(A220),MONTH(A220)+1,1)</f>
        <v>42887</v>
      </c>
      <c r="B221" s="327" t="n">
        <f aca="false">+IF(AND($A221&gt;=$C$8,$A221&lt;=$C$9),1,0)*PORTS!$I$5/(365.25)*(A222-A221)</f>
        <v>5166876.75662674</v>
      </c>
      <c r="C221" s="328" t="n">
        <f aca="false">+B221-(SUMIF($F$17:$IV$17,$H$17,$F221:$IV221))</f>
        <v>0</v>
      </c>
      <c r="D221" s="0" t="n">
        <f aca="false">+YEAR(E221)</f>
        <v>2017</v>
      </c>
      <c r="E221" s="346" t="n">
        <f aca="false">+DATE(YEAR(E220),MONTH(E220)+1,1)</f>
        <v>42887</v>
      </c>
      <c r="F221" s="327" t="n">
        <f aca="false">+IF(AND(G$8&lt;=E221,G$9&gt;=E221),INDEX(ROUTE_PER_DAY_BY_SHIP,MATCH(CONCATENATE(G$4,G$5,G$7),ROUTE_PER_DAY_ROUTES,0),MATCH(G$6,ROUTE_PER_DAY_SHIPS,0))*(E222-E221),0)</f>
        <v>0</v>
      </c>
      <c r="G221" s="347" t="n">
        <f aca="false">-F221*HLOOKUP(G$6,SHIPS,7,0)*INDEX(LADEN_VOYAGE_DAYS,MATCH(CONCATENATE(G$4,G$5,G$7),LADEN_VOYAGE_ROUTES,0),MATCH(G$6,LADEN_VOYAGE_SHIPS,0))</f>
        <v>-0</v>
      </c>
      <c r="H221" s="348" t="n">
        <f aca="false">SUM(F221:G221)</f>
        <v>0</v>
      </c>
      <c r="I221" s="349" t="n">
        <f aca="false">-(H221)*HLOOKUP(G$5,TERMINAL_CHARGES,3,0)</f>
        <v>-0</v>
      </c>
      <c r="J221" s="327" t="n">
        <f aca="false">+H221+I221</f>
        <v>0</v>
      </c>
      <c r="K221" s="333"/>
      <c r="L221" s="346" t="n">
        <f aca="false">+DATE(YEAR(L220),MONTH(L220)+1,1)</f>
        <v>42887</v>
      </c>
      <c r="M221" s="334" t="n">
        <f aca="false">+J221*(VLOOKUP(L221,CURVECALC!$C$6:$J$312,4,0)+N$5)</f>
        <v>0</v>
      </c>
      <c r="N221" s="350" t="n">
        <f aca="false">-F221*INDEX(ship_curves,MATCH(L221,'SHIP CURVES'!$A$9:$A$316,0),MATCH(CONCATENATE(P$4,P$5,P$6,P$7),'SHIP CURVES'!$A$9:$AZ$9,0))</f>
        <v>-0</v>
      </c>
      <c r="O221" s="351" t="n">
        <f aca="false">-H221*INDEX(port_processing_fee,MATCH(L221,PORTS!$H$626:$H$933,0),MATCH(P$5,PORTS!$H$626:$Z$626,0))</f>
        <v>-0</v>
      </c>
      <c r="P221" s="352" t="n">
        <f aca="false">(((VLOOKUP(L221,curvecalc,4,0))*IF(F221=0,0,J221/F221)-INDEX(ship_curves,MATCH(L221,'SHIP CURVES'!$A$9:$A$316,0),MATCH(CONCATENATE(P$4,P$5,P$6,P$7),'SHIP CURVES'!$A$9:$Z$9,0))-INDEX(terminal_curves,MATCH(L221,'TERMINAL CURVES'!$A$4:$A$313,0),MATCH(P$5,'TERMINAL CURVES'!$A$4:$N$4,0))*IF(F221=0,0,H221/F221))-(N$8)*((N$7-$N$5)-(INDEX(ship_curves,MATCH(L221,'SHIP CURVES'!$A$9:$A$316,0),MATCH(CONCATENATE(P$4,P$5,P$6,P$7),'SHIP CURVES'!$A$9:$Z$9,0))-INDEX(ship_curves,MATCH(L221,'SHIP CURVES'!$A$9:$A$316,0),MATCH(CONCATENATE(P$4,N$6,P$6,P$7),'SHIP CURVES'!$A$9:$Z$9,0)))-(INDEX(terminal_curves,MATCH(L221,'TERMINAL CURVES'!$A$4:$A$313,0),MATCH(P$5,'TERMINAL CURVES'!$A$4:$N$4,0))-INDEX(terminal_curves,MATCH(L221,'TERMINAL CURVES'!$A$4:$A$313,0),MATCH(N$6,'TERMINAL CURVES'!$A$4:$N$4,0)))*IF(F221=0,0,H221/F221)))*-F221</f>
        <v>0</v>
      </c>
      <c r="Q221" s="353" t="n">
        <f aca="false">SUM(N221:P221)</f>
        <v>0</v>
      </c>
      <c r="R221" s="357" t="n">
        <f aca="false">(-H221/((HLOOKUP(P$5,port_specs,2,0)/(365.25))*(L222-L221)))*(INDEX(fixed_capacity_charge,MATCH(L221,PORTS!$H$11:$H$317,0),MATCH(P$5,PORTS!$H$11:$N$11,0))+INDEX(variable_om_charge,MATCH(L221,PORTS!$H$318:$H$625,0),MATCH(P$5,PORTS!$H$318:$N$318,0)))</f>
        <v>-0</v>
      </c>
      <c r="S221" s="343" t="n">
        <f aca="false">+R221+Q221</f>
        <v>0</v>
      </c>
      <c r="T221" s="355" t="n">
        <f aca="false">+S221+M221</f>
        <v>0</v>
      </c>
      <c r="V221" s="346" t="n">
        <f aca="false">+DATE(YEAR(V220),MONTH(V220)+1,1)</f>
        <v>42887</v>
      </c>
      <c r="W221" s="327" t="n">
        <f aca="false">+Y221/(1-HLOOKUP(X$6,SHIPS,7,0)*INDEX(LADEN_VOYAGE_DAYS,MATCH(CONCATENATE(X$4,X$5),LADEN_VOYAGE_ROUTES,0),MATCH(X$6,LADEN_VOYAGE_SHIPS,0)))</f>
        <v>0</v>
      </c>
      <c r="X221" s="347" t="n">
        <f aca="false">+Y221-W221</f>
        <v>0</v>
      </c>
      <c r="Y221" s="348" t="n">
        <f aca="false">+IF(AND(X$8&lt;=V221,X$9&gt;=V221),+MIN($B221-SUMIF($H$17:X$17,Y$17,$H221:X221),((INDEX(ROUTE_PER_DAY_BY_SHIP,MATCH(CONCATENATE(X$4,X$5,X$7),ROUTE_PER_DAY_ROUTES,0),MATCH(X$6,ROUTE_PER_DAY_SHIPS,0))*(V222-V221))-(INDEX(ROUTE_PER_DAY_BY_SHIP,MATCH(CONCATENATE(X$4,X$5,X$7),ROUTE_PER_DAY_ROUTES,0),MATCH(X$6,ROUTE_PER_DAY_SHIPS,0))*(V222-V221))*HLOOKUP(X$6,SHIPS,7,0)*INDEX(LADEN_VOYAGE_DAYS,MATCH(CONCATENATE(X$4,X$5,X$7),LADEN_VOYAGE_ROUTES,0),MATCH(X$6,LADEN_VOYAGE_SHIPS,0)))),0)</f>
        <v>0</v>
      </c>
      <c r="Z221" s="349" t="n">
        <f aca="false">-(Y221)*HLOOKUP(X$5,TERMINAL_CHARGES,3,0)</f>
        <v>-0</v>
      </c>
      <c r="AA221" s="327" t="n">
        <f aca="false">+Y221+Z221</f>
        <v>0</v>
      </c>
      <c r="AB221" s="333"/>
      <c r="AC221" s="346" t="n">
        <f aca="false">+DATE(YEAR(AC220),MONTH(AC220)+1,1)</f>
        <v>42887</v>
      </c>
      <c r="AD221" s="343" t="n">
        <f aca="false">+AA221*(VLOOKUP(AC221,CURVECALC!$C$6:$J$312,4,0)+AE$5)</f>
        <v>0</v>
      </c>
      <c r="AE221" s="350" t="n">
        <f aca="false">-W221*INDEX(ship_curves,MATCH(AC221,'SHIP CURVES'!$A$9:$A$316,0),MATCH(CONCATENATE(AG$4,AG$5,AG$6,AG$7),'SHIP CURVES'!$A$9:$AZ$9,0))</f>
        <v>-0</v>
      </c>
      <c r="AF221" s="351" t="n">
        <f aca="false">-Y221*INDEX(port_processing_fee,MATCH(AC221,PORTS!$H$626:$H$933,0),MATCH(AG$5,PORTS!$H$626:$Z$626,0))</f>
        <v>-0</v>
      </c>
      <c r="AG221" s="352" t="n">
        <f aca="false">(((VLOOKUP(AC221,curvecalc,4,0))*IF(W221=0,0,AA221/W221)-INDEX(ship_curves,MATCH(AC221,'SHIP CURVES'!$A$9:$A$316,0),MATCH(CONCATENATE(AG$4,AG$5,AG$6,AG$7),'SHIP CURVES'!$A$9:$Z$9,0))-INDEX(terminal_curves,MATCH(AC221,'TERMINAL CURVES'!$A$4:$A$313,0),MATCH(AG$5,'TERMINAL CURVES'!$A$4:$N$4,0))*IF(W221=0,0,Y221/W221))-(AE$8)*((AE$7-$N$5)-(INDEX(ship_curves,MATCH(AC221,'SHIP CURVES'!$A$9:$A$316,0),MATCH(CONCATENATE(AG$4,AG$5,AG$6,AG$7),'SHIP CURVES'!$A$9:$Z$9,0))-INDEX(ship_curves,MATCH(AC221,'SHIP CURVES'!$A$9:$A$316,0),MATCH(CONCATENATE(AG$4,AE$6,AG$6,AG$7),'SHIP CURVES'!$A$9:$Z$9,0)))-(INDEX(terminal_curves,MATCH(AC221,'TERMINAL CURVES'!$A$4:$A$313,0),MATCH(AG$5,'TERMINAL CURVES'!$A$4:$N$4,0))-INDEX(terminal_curves,MATCH(AC221,'TERMINAL CURVES'!$A$4:$A$313,0),MATCH(AE$6,'TERMINAL CURVES'!$A$4:$N$4,0)))*IF(W221=0,0,Y221/W221)))*-W221</f>
        <v>0</v>
      </c>
      <c r="AH221" s="356" t="n">
        <f aca="false">SUM(AE221:AG221)</f>
        <v>0</v>
      </c>
      <c r="AI221" s="357" t="n">
        <f aca="false">(-Y221/((HLOOKUP(AG$5,port_specs,2,0)/(365.25))*(AC222-AC221)))*(INDEX(fixed_capacity_charge,MATCH(AC221,PORTS!$H$11:$H$317,0),MATCH(AG$5,PORTS!$H$11:$N$11,0))+INDEX(variable_om_charge,MATCH(AC221,PORTS!$H$318:$H$625,0),MATCH(AG$5,PORTS!$H$318:$N$318,0)))</f>
        <v>-0</v>
      </c>
      <c r="AJ221" s="343" t="n">
        <f aca="false">+AI221+AH221</f>
        <v>0</v>
      </c>
      <c r="AK221" s="355" t="n">
        <f aca="false">+AJ221+AD221</f>
        <v>0</v>
      </c>
      <c r="AM221" s="346" t="n">
        <f aca="false">+DATE(YEAR(AM220),MONTH(AM220)+1,1)</f>
        <v>42887</v>
      </c>
      <c r="AN221" s="327" t="n">
        <f aca="false">+AP221/(1-HLOOKUP(AO$6,SHIPS,7,0)*INDEX(LADEN_VOYAGE_DAYS,MATCH(CONCATENATE(AO$4,AO$5),LADEN_VOYAGE_ROUTES,0),MATCH(AO$6,LADEN_VOYAGE_SHIPS,0)))</f>
        <v>5221704.65550959</v>
      </c>
      <c r="AO221" s="347" t="n">
        <f aca="false">+AP221-AN221</f>
        <v>-54827.8988828501</v>
      </c>
      <c r="AP221" s="348" t="n">
        <f aca="false">+IF(AND(AO$8&lt;=AM221,AO$9&gt;=AM221),+MIN($B221-SUMIF($H$17:AO$17,AP$17,$H221:AO221),((INDEX(ROUTE_PER_DAY_BY_SHIP,MATCH(CONCATENATE(AO$4,AO$5,AO$7),ROUTE_PER_DAY_ROUTES,0),MATCH(AO$6,ROUTE_PER_DAY_SHIPS,0))*(AM222-AM221))-(INDEX(ROUTE_PER_DAY_BY_SHIP,MATCH(CONCATENATE(AO$4,AO$5,AO$7),ROUTE_PER_DAY_ROUTES,0),MATCH(AO$6,ROUTE_PER_DAY_SHIPS,0))*(AM222-AM221))*HLOOKUP(AO$6,SHIPS,7,0)*INDEX(LADEN_VOYAGE_DAYS,MATCH(CONCATENATE(AO$4,AO$5,AO$7),LADEN_VOYAGE_ROUTES,0),MATCH(AO$6,LADEN_VOYAGE_SHIPS,0)))),0)</f>
        <v>5166876.75662674</v>
      </c>
      <c r="AQ221" s="349" t="n">
        <f aca="false">-(AP221)*PORTS!$I$6</f>
        <v>-129171.918915669</v>
      </c>
      <c r="AR221" s="327" t="n">
        <f aca="false">+AP221+AQ221</f>
        <v>5037704.83771107</v>
      </c>
      <c r="AS221" s="333"/>
      <c r="AT221" s="346" t="n">
        <f aca="false">+DATE(YEAR(AT220),MONTH(AT220)+1,1)</f>
        <v>42887</v>
      </c>
      <c r="AU221" s="343" t="n">
        <f aca="false">+AR221*(VLOOKUP(AT221,CURVECALC!$C$6:$J$312,4,0)+AV$5)</f>
        <v>20458119.3459447</v>
      </c>
      <c r="AV221" s="350" t="n">
        <f aca="false">-AN221*INDEX(ship_curves,MATCH(AT221,'SHIP CURVES'!$A$9:$A$316,0),MATCH(CONCATENATE(AX$4,AX$5,AX$6,AX$7),'SHIP CURVES'!$A$9:$AZ$9,0))</f>
        <v>-1785846.80238918</v>
      </c>
      <c r="AW221" s="351" t="n">
        <f aca="false">-AP221*INDEX(port_processing_fee,MATCH(AT221,PORTS!$H$626:$H$933,0),MATCH(AX$5,PORTS!$H$626:$Z$626,0))</f>
        <v>-169078.548330338</v>
      </c>
      <c r="AX221" s="352" t="n">
        <f aca="false">(((VLOOKUP(AT221,curvecalc,4,0))*IF(AN221=0,0,AR221/AN221)-INDEX(ship_curves,MATCH(AT221,'SHIP CURVES'!$A$9:$A$316,0),MATCH(CONCATENATE(AX$4,AX$5,AX$6,AX$7),'SHIP CURVES'!$A$9:$Z$9,0))-INDEX(terminal_curves,MATCH(AT221,'TERMINAL CURVES'!$A$4:$A$313,0),MATCH(AX$5,'TERMINAL CURVES'!$A$4:$N$4,0))*IF(AN221=0,0,AP221/AN221))-(AV$8)*((AV$7-$N$5)-(INDEX(ship_curves,MATCH(AT221,'SHIP CURVES'!$A$9:$A$316,0),MATCH(CONCATENATE(AX$4,AX$5,AX$6,AX$7),'SHIP CURVES'!$A$9:$Z$9,0))-INDEX(ship_curves,MATCH(AT221,'SHIP CURVES'!$A$9:$A$316,0),MATCH(CONCATENATE(AX$4,AV$6,AX$6,AX$7),'SHIP CURVES'!$A$9:$Z$9,0)))-(INDEX(terminal_curves,MATCH(AT221,'TERMINAL CURVES'!$A$4:$A$313,0),MATCH(AX$5,'TERMINAL CURVES'!$A$4:$N$4,0))-INDEX(terminal_curves,MATCH(AT221,'TERMINAL CURVES'!$A$4:$A$313,0),MATCH(AV$6,'TERMINAL CURVES'!$A$4:$N$4,0)))*IF(AN221=0,0,AP221/AN221)))*-AN221</f>
        <v>-17354394.2087041</v>
      </c>
      <c r="AY221" s="356" t="n">
        <f aca="false">SUM(AV221:AX221)</f>
        <v>-19309319.5594236</v>
      </c>
      <c r="AZ221" s="357" t="n">
        <f aca="false">(-AP221/((HLOOKUP(AX$5,port_specs,2,0)/(365.25))*(AT222-AT221)))*(INDEX(fixed_capacity_charge,MATCH(AT221,PORTS!$H$11:$H$317,0),MATCH(AX$5,PORTS!$H$11:$N$11,0))+INDEX(variable_om_charge,MATCH(AT221,PORTS!$H$318:$H$625,0),MATCH(AX$5,PORTS!$H$318:$N$318,0)))</f>
        <v>-1048045.68976683</v>
      </c>
      <c r="BA221" s="343" t="n">
        <f aca="false">+AZ221+AY221</f>
        <v>-20357365.2491904</v>
      </c>
      <c r="BB221" s="355" t="n">
        <f aca="false">+BA221+AU221</f>
        <v>100754.096754223</v>
      </c>
      <c r="BC221" s="99"/>
      <c r="BD221" s="357" t="n">
        <f aca="false">+PORTS!I215+PORTS!I523</f>
        <v>1048045.68976683</v>
      </c>
    </row>
    <row r="222" customFormat="false" ht="12.75" hidden="false" customHeight="false" outlineLevel="0" collapsed="false">
      <c r="A222" s="346" t="n">
        <f aca="false">+DATE(YEAR(A221),MONTH(A221)+1,1)</f>
        <v>42917</v>
      </c>
      <c r="B222" s="327" t="n">
        <f aca="false">+IF(AND($A222&gt;=$C$8,$A222&lt;=$C$9),1,0)*PORTS!$I$5/(365.25)*(A223-A222)</f>
        <v>5339105.98184763</v>
      </c>
      <c r="C222" s="328" t="n">
        <f aca="false">+B222-(SUMIF($F$17:$IV$17,$H$17,$F222:$IV222))</f>
        <v>0</v>
      </c>
      <c r="D222" s="0" t="n">
        <f aca="false">+YEAR(E222)</f>
        <v>2017</v>
      </c>
      <c r="E222" s="346" t="n">
        <f aca="false">+DATE(YEAR(E221),MONTH(E221)+1,1)</f>
        <v>42917</v>
      </c>
      <c r="F222" s="327" t="n">
        <f aca="false">+IF(AND(G$8&lt;=E222,G$9&gt;=E222),INDEX(ROUTE_PER_DAY_BY_SHIP,MATCH(CONCATENATE(G$4,G$5,G$7),ROUTE_PER_DAY_ROUTES,0),MATCH(G$6,ROUTE_PER_DAY_SHIPS,0))*(E223-E222),0)</f>
        <v>0</v>
      </c>
      <c r="G222" s="347" t="n">
        <f aca="false">-F222*HLOOKUP(G$6,SHIPS,7,0)*INDEX(LADEN_VOYAGE_DAYS,MATCH(CONCATENATE(G$4,G$5,G$7),LADEN_VOYAGE_ROUTES,0),MATCH(G$6,LADEN_VOYAGE_SHIPS,0))</f>
        <v>-0</v>
      </c>
      <c r="H222" s="348" t="n">
        <f aca="false">SUM(F222:G222)</f>
        <v>0</v>
      </c>
      <c r="I222" s="349" t="n">
        <f aca="false">-(H222)*HLOOKUP(G$5,TERMINAL_CHARGES,3,0)</f>
        <v>-0</v>
      </c>
      <c r="J222" s="327" t="n">
        <f aca="false">+H222+I222</f>
        <v>0</v>
      </c>
      <c r="K222" s="333"/>
      <c r="L222" s="346" t="n">
        <f aca="false">+DATE(YEAR(L221),MONTH(L221)+1,1)</f>
        <v>42917</v>
      </c>
      <c r="M222" s="334" t="n">
        <f aca="false">+J222*(VLOOKUP(L222,CURVECALC!$C$6:$J$312,4,0)+N$5)</f>
        <v>0</v>
      </c>
      <c r="N222" s="350" t="n">
        <f aca="false">-F222*INDEX(ship_curves,MATCH(L222,'SHIP CURVES'!$A$9:$A$316,0),MATCH(CONCATENATE(P$4,P$5,P$6,P$7),'SHIP CURVES'!$A$9:$AZ$9,0))</f>
        <v>-0</v>
      </c>
      <c r="O222" s="351" t="n">
        <f aca="false">-H222*INDEX(port_processing_fee,MATCH(L222,PORTS!$H$626:$H$933,0),MATCH(P$5,PORTS!$H$626:$Z$626,0))</f>
        <v>-0</v>
      </c>
      <c r="P222" s="352" t="n">
        <f aca="false">(((VLOOKUP(L222,curvecalc,4,0))*IF(F222=0,0,J222/F222)-INDEX(ship_curves,MATCH(L222,'SHIP CURVES'!$A$9:$A$316,0),MATCH(CONCATENATE(P$4,P$5,P$6,P$7),'SHIP CURVES'!$A$9:$Z$9,0))-INDEX(terminal_curves,MATCH(L222,'TERMINAL CURVES'!$A$4:$A$313,0),MATCH(P$5,'TERMINAL CURVES'!$A$4:$N$4,0))*IF(F222=0,0,H222/F222))-(N$8)*((N$7-$N$5)-(INDEX(ship_curves,MATCH(L222,'SHIP CURVES'!$A$9:$A$316,0),MATCH(CONCATENATE(P$4,P$5,P$6,P$7),'SHIP CURVES'!$A$9:$Z$9,0))-INDEX(ship_curves,MATCH(L222,'SHIP CURVES'!$A$9:$A$316,0),MATCH(CONCATENATE(P$4,N$6,P$6,P$7),'SHIP CURVES'!$A$9:$Z$9,0)))-(INDEX(terminal_curves,MATCH(L222,'TERMINAL CURVES'!$A$4:$A$313,0),MATCH(P$5,'TERMINAL CURVES'!$A$4:$N$4,0))-INDEX(terminal_curves,MATCH(L222,'TERMINAL CURVES'!$A$4:$A$313,0),MATCH(N$6,'TERMINAL CURVES'!$A$4:$N$4,0)))*IF(F222=0,0,H222/F222)))*-F222</f>
        <v>0</v>
      </c>
      <c r="Q222" s="353" t="n">
        <f aca="false">SUM(N222:P222)</f>
        <v>0</v>
      </c>
      <c r="R222" s="357" t="n">
        <f aca="false">(-H222/((HLOOKUP(P$5,port_specs,2,0)/(365.25))*(L223-L222)))*(INDEX(fixed_capacity_charge,MATCH(L222,PORTS!$H$11:$H$317,0),MATCH(P$5,PORTS!$H$11:$N$11,0))+INDEX(variable_om_charge,MATCH(L222,PORTS!$H$318:$H$625,0),MATCH(P$5,PORTS!$H$318:$N$318,0)))</f>
        <v>-0</v>
      </c>
      <c r="S222" s="343" t="n">
        <f aca="false">+R222+Q222</f>
        <v>0</v>
      </c>
      <c r="T222" s="355" t="n">
        <f aca="false">+S222+M222</f>
        <v>0</v>
      </c>
      <c r="V222" s="346" t="n">
        <f aca="false">+DATE(YEAR(V221),MONTH(V221)+1,1)</f>
        <v>42917</v>
      </c>
      <c r="W222" s="327" t="n">
        <f aca="false">+Y222/(1-HLOOKUP(X$6,SHIPS,7,0)*INDEX(LADEN_VOYAGE_DAYS,MATCH(CONCATENATE(X$4,X$5),LADEN_VOYAGE_ROUTES,0),MATCH(X$6,LADEN_VOYAGE_SHIPS,0)))</f>
        <v>0</v>
      </c>
      <c r="X222" s="347" t="n">
        <f aca="false">+Y222-W222</f>
        <v>0</v>
      </c>
      <c r="Y222" s="348" t="n">
        <f aca="false">+IF(AND(X$8&lt;=V222,X$9&gt;=V222),+MIN($B222-SUMIF($H$17:X$17,Y$17,$H222:X222),((INDEX(ROUTE_PER_DAY_BY_SHIP,MATCH(CONCATENATE(X$4,X$5,X$7),ROUTE_PER_DAY_ROUTES,0),MATCH(X$6,ROUTE_PER_DAY_SHIPS,0))*(V223-V222))-(INDEX(ROUTE_PER_DAY_BY_SHIP,MATCH(CONCATENATE(X$4,X$5,X$7),ROUTE_PER_DAY_ROUTES,0),MATCH(X$6,ROUTE_PER_DAY_SHIPS,0))*(V223-V222))*HLOOKUP(X$6,SHIPS,7,0)*INDEX(LADEN_VOYAGE_DAYS,MATCH(CONCATENATE(X$4,X$5,X$7),LADEN_VOYAGE_ROUTES,0),MATCH(X$6,LADEN_VOYAGE_SHIPS,0)))),0)</f>
        <v>0</v>
      </c>
      <c r="Z222" s="349" t="n">
        <f aca="false">-(Y222)*HLOOKUP(X$5,TERMINAL_CHARGES,3,0)</f>
        <v>-0</v>
      </c>
      <c r="AA222" s="327" t="n">
        <f aca="false">+Y222+Z222</f>
        <v>0</v>
      </c>
      <c r="AB222" s="333"/>
      <c r="AC222" s="346" t="n">
        <f aca="false">+DATE(YEAR(AC221),MONTH(AC221)+1,1)</f>
        <v>42917</v>
      </c>
      <c r="AD222" s="343" t="n">
        <f aca="false">+AA222*(VLOOKUP(AC222,CURVECALC!$C$6:$J$312,4,0)+AE$5)</f>
        <v>0</v>
      </c>
      <c r="AE222" s="350" t="n">
        <f aca="false">-W222*INDEX(ship_curves,MATCH(AC222,'SHIP CURVES'!$A$9:$A$316,0),MATCH(CONCATENATE(AG$4,AG$5,AG$6,AG$7),'SHIP CURVES'!$A$9:$AZ$9,0))</f>
        <v>-0</v>
      </c>
      <c r="AF222" s="351" t="n">
        <f aca="false">-Y222*INDEX(port_processing_fee,MATCH(AC222,PORTS!$H$626:$H$933,0),MATCH(AG$5,PORTS!$H$626:$Z$626,0))</f>
        <v>-0</v>
      </c>
      <c r="AG222" s="352" t="n">
        <f aca="false">(((VLOOKUP(AC222,curvecalc,4,0))*IF(W222=0,0,AA222/W222)-INDEX(ship_curves,MATCH(AC222,'SHIP CURVES'!$A$9:$A$316,0),MATCH(CONCATENATE(AG$4,AG$5,AG$6,AG$7),'SHIP CURVES'!$A$9:$Z$9,0))-INDEX(terminal_curves,MATCH(AC222,'TERMINAL CURVES'!$A$4:$A$313,0),MATCH(AG$5,'TERMINAL CURVES'!$A$4:$N$4,0))*IF(W222=0,0,Y222/W222))-(AE$8)*((AE$7-$N$5)-(INDEX(ship_curves,MATCH(AC222,'SHIP CURVES'!$A$9:$A$316,0),MATCH(CONCATENATE(AG$4,AG$5,AG$6,AG$7),'SHIP CURVES'!$A$9:$Z$9,0))-INDEX(ship_curves,MATCH(AC222,'SHIP CURVES'!$A$9:$A$316,0),MATCH(CONCATENATE(AG$4,AE$6,AG$6,AG$7),'SHIP CURVES'!$A$9:$Z$9,0)))-(INDEX(terminal_curves,MATCH(AC222,'TERMINAL CURVES'!$A$4:$A$313,0),MATCH(AG$5,'TERMINAL CURVES'!$A$4:$N$4,0))-INDEX(terminal_curves,MATCH(AC222,'TERMINAL CURVES'!$A$4:$A$313,0),MATCH(AE$6,'TERMINAL CURVES'!$A$4:$N$4,0)))*IF(W222=0,0,Y222/W222)))*-W222</f>
        <v>0</v>
      </c>
      <c r="AH222" s="356" t="n">
        <f aca="false">SUM(AE222:AG222)</f>
        <v>0</v>
      </c>
      <c r="AI222" s="357" t="n">
        <f aca="false">(-Y222/((HLOOKUP(AG$5,port_specs,2,0)/(365.25))*(AC223-AC222)))*(INDEX(fixed_capacity_charge,MATCH(AC222,PORTS!$H$11:$H$317,0),MATCH(AG$5,PORTS!$H$11:$N$11,0))+INDEX(variable_om_charge,MATCH(AC222,PORTS!$H$318:$H$625,0),MATCH(AG$5,PORTS!$H$318:$N$318,0)))</f>
        <v>-0</v>
      </c>
      <c r="AJ222" s="343" t="n">
        <f aca="false">+AI222+AH222</f>
        <v>0</v>
      </c>
      <c r="AK222" s="355" t="n">
        <f aca="false">+AJ222+AD222</f>
        <v>0</v>
      </c>
      <c r="AM222" s="346" t="n">
        <f aca="false">+DATE(YEAR(AM221),MONTH(AM221)+1,1)</f>
        <v>42917</v>
      </c>
      <c r="AN222" s="327" t="n">
        <f aca="false">+AP222/(1-HLOOKUP(AO$6,SHIPS,7,0)*INDEX(LADEN_VOYAGE_DAYS,MATCH(CONCATENATE(AO$4,AO$5),LADEN_VOYAGE_ROUTES,0),MATCH(AO$6,LADEN_VOYAGE_SHIPS,0)))</f>
        <v>5395761.47735991</v>
      </c>
      <c r="AO222" s="347" t="n">
        <f aca="false">+AP222-AN222</f>
        <v>-56655.4955122788</v>
      </c>
      <c r="AP222" s="348" t="n">
        <f aca="false">+IF(AND(AO$8&lt;=AM222,AO$9&gt;=AM222),+MIN($B222-SUMIF($H$17:AO$17,AP$17,$H222:AO222),((INDEX(ROUTE_PER_DAY_BY_SHIP,MATCH(CONCATENATE(AO$4,AO$5,AO$7),ROUTE_PER_DAY_ROUTES,0),MATCH(AO$6,ROUTE_PER_DAY_SHIPS,0))*(AM223-AM222))-(INDEX(ROUTE_PER_DAY_BY_SHIP,MATCH(CONCATENATE(AO$4,AO$5,AO$7),ROUTE_PER_DAY_ROUTES,0),MATCH(AO$6,ROUTE_PER_DAY_SHIPS,0))*(AM223-AM222))*HLOOKUP(AO$6,SHIPS,7,0)*INDEX(LADEN_VOYAGE_DAYS,MATCH(CONCATENATE(AO$4,AO$5,AO$7),LADEN_VOYAGE_ROUTES,0),MATCH(AO$6,LADEN_VOYAGE_SHIPS,0)))),0)</f>
        <v>5339105.98184763</v>
      </c>
      <c r="AQ222" s="349" t="n">
        <f aca="false">-(AP222)*PORTS!$I$6</f>
        <v>-133477.649546191</v>
      </c>
      <c r="AR222" s="327" t="n">
        <f aca="false">+AP222+AQ222</f>
        <v>5205628.33230144</v>
      </c>
      <c r="AS222" s="333"/>
      <c r="AT222" s="346" t="n">
        <f aca="false">+DATE(YEAR(AT221),MONTH(AT221)+1,1)</f>
        <v>42917</v>
      </c>
      <c r="AU222" s="343" t="n">
        <f aca="false">+AR222*(VLOOKUP(AT222,CURVECALC!$C$6:$J$312,4,0)+AV$5)</f>
        <v>21140056.6574762</v>
      </c>
      <c r="AV222" s="350" t="n">
        <f aca="false">-AN222*INDEX(ship_curves,MATCH(AT222,'SHIP CURVES'!$A$9:$A$316,0),MATCH(CONCATENATE(AX$4,AX$5,AX$6,AX$7),'SHIP CURVES'!$A$9:$AZ$9,0))</f>
        <v>-1846023.87768157</v>
      </c>
      <c r="AW222" s="351" t="n">
        <f aca="false">-AP222*INDEX(port_processing_fee,MATCH(AT222,PORTS!$H$626:$H$933,0),MATCH(AX$5,PORTS!$H$626:$Z$626,0))</f>
        <v>-174896.494212122</v>
      </c>
      <c r="AX222" s="352" t="n">
        <f aca="false">(((VLOOKUP(AT222,curvecalc,4,0))*IF(AN222=0,0,AR222/AN222)-INDEX(ship_curves,MATCH(AT222,'SHIP CURVES'!$A$9:$A$316,0),MATCH(CONCATENATE(AX$4,AX$5,AX$6,AX$7),'SHIP CURVES'!$A$9:$Z$9,0))-INDEX(terminal_curves,MATCH(AT222,'TERMINAL CURVES'!$A$4:$A$313,0),MATCH(AX$5,'TERMINAL CURVES'!$A$4:$N$4,0))*IF(AN222=0,0,AP222/AN222))-(AV$8)*((AV$7-$N$5)-(INDEX(ship_curves,MATCH(AT222,'SHIP CURVES'!$A$9:$A$316,0),MATCH(CONCATENATE(AX$4,AX$5,AX$6,AX$7),'SHIP CURVES'!$A$9:$Z$9,0))-INDEX(ship_curves,MATCH(AT222,'SHIP CURVES'!$A$9:$A$316,0),MATCH(CONCATENATE(AX$4,AV$6,AX$6,AX$7),'SHIP CURVES'!$A$9:$Z$9,0)))-(INDEX(terminal_curves,MATCH(AT222,'TERMINAL CURVES'!$A$4:$A$313,0),MATCH(AX$5,'TERMINAL CURVES'!$A$4:$N$4,0))-INDEX(terminal_curves,MATCH(AT222,'TERMINAL CURVES'!$A$4:$A$313,0),MATCH(AV$6,'TERMINAL CURVES'!$A$4:$N$4,0)))*IF(AN222=0,0,AP222/AN222)))*-AN222</f>
        <v>-17966391.7175875</v>
      </c>
      <c r="AY222" s="356" t="n">
        <f aca="false">SUM(AV222:AX222)</f>
        <v>-19987312.0894812</v>
      </c>
      <c r="AZ222" s="357" t="n">
        <f aca="false">(-AP222/((HLOOKUP(AX$5,port_specs,2,0)/(365.25))*(AT223-AT222)))*(INDEX(fixed_capacity_charge,MATCH(AT222,PORTS!$H$11:$H$317,0),MATCH(AX$5,PORTS!$H$11:$N$11,0))+INDEX(variable_om_charge,MATCH(AT222,PORTS!$H$318:$H$625,0),MATCH(AX$5,PORTS!$H$318:$N$318,0)))</f>
        <v>-1048632.00134898</v>
      </c>
      <c r="BA222" s="343" t="n">
        <f aca="false">+AZ222+AY222</f>
        <v>-21035944.0908301</v>
      </c>
      <c r="BB222" s="355" t="n">
        <f aca="false">+BA222+AU222</f>
        <v>104112.566646025</v>
      </c>
      <c r="BC222" s="99"/>
      <c r="BD222" s="357" t="n">
        <f aca="false">+PORTS!I216+PORTS!I524</f>
        <v>1048632.00134898</v>
      </c>
    </row>
    <row r="223" customFormat="false" ht="12.75" hidden="false" customHeight="false" outlineLevel="0" collapsed="false">
      <c r="A223" s="346" t="n">
        <f aca="false">+DATE(YEAR(A222),MONTH(A222)+1,1)</f>
        <v>42948</v>
      </c>
      <c r="B223" s="327" t="n">
        <f aca="false">+IF(AND($A223&gt;=$C$8,$A223&lt;=$C$9),1,0)*PORTS!$I$5/(365.25)*(A224-A223)</f>
        <v>5339105.98184763</v>
      </c>
      <c r="C223" s="328" t="n">
        <f aca="false">+B223-(SUMIF($F$17:$IV$17,$H$17,$F223:$IV223))</f>
        <v>0</v>
      </c>
      <c r="D223" s="0" t="n">
        <f aca="false">+YEAR(E223)</f>
        <v>2017</v>
      </c>
      <c r="E223" s="346" t="n">
        <f aca="false">+DATE(YEAR(E222),MONTH(E222)+1,1)</f>
        <v>42948</v>
      </c>
      <c r="F223" s="327" t="n">
        <f aca="false">+IF(AND(G$8&lt;=E223,G$9&gt;=E223),INDEX(ROUTE_PER_DAY_BY_SHIP,MATCH(CONCATENATE(G$4,G$5,G$7),ROUTE_PER_DAY_ROUTES,0),MATCH(G$6,ROUTE_PER_DAY_SHIPS,0))*(E224-E223),0)</f>
        <v>0</v>
      </c>
      <c r="G223" s="347" t="n">
        <f aca="false">-F223*HLOOKUP(G$6,SHIPS,7,0)*INDEX(LADEN_VOYAGE_DAYS,MATCH(CONCATENATE(G$4,G$5,G$7),LADEN_VOYAGE_ROUTES,0),MATCH(G$6,LADEN_VOYAGE_SHIPS,0))</f>
        <v>-0</v>
      </c>
      <c r="H223" s="348" t="n">
        <f aca="false">SUM(F223:G223)</f>
        <v>0</v>
      </c>
      <c r="I223" s="349" t="n">
        <f aca="false">-(H223)*HLOOKUP(G$5,TERMINAL_CHARGES,3,0)</f>
        <v>-0</v>
      </c>
      <c r="J223" s="327" t="n">
        <f aca="false">+H223+I223</f>
        <v>0</v>
      </c>
      <c r="K223" s="333"/>
      <c r="L223" s="346" t="n">
        <f aca="false">+DATE(YEAR(L222),MONTH(L222)+1,1)</f>
        <v>42948</v>
      </c>
      <c r="M223" s="334" t="n">
        <f aca="false">+J223*(VLOOKUP(L223,CURVECALC!$C$6:$J$312,4,0)+N$5)</f>
        <v>0</v>
      </c>
      <c r="N223" s="350" t="n">
        <f aca="false">-F223*INDEX(ship_curves,MATCH(L223,'SHIP CURVES'!$A$9:$A$316,0),MATCH(CONCATENATE(P$4,P$5,P$6,P$7),'SHIP CURVES'!$A$9:$AZ$9,0))</f>
        <v>-0</v>
      </c>
      <c r="O223" s="351" t="n">
        <f aca="false">-H223*INDEX(port_processing_fee,MATCH(L223,PORTS!$H$626:$H$933,0),MATCH(P$5,PORTS!$H$626:$Z$626,0))</f>
        <v>-0</v>
      </c>
      <c r="P223" s="352" t="n">
        <f aca="false">(((VLOOKUP(L223,curvecalc,4,0))*IF(F223=0,0,J223/F223)-INDEX(ship_curves,MATCH(L223,'SHIP CURVES'!$A$9:$A$316,0),MATCH(CONCATENATE(P$4,P$5,P$6,P$7),'SHIP CURVES'!$A$9:$Z$9,0))-INDEX(terminal_curves,MATCH(L223,'TERMINAL CURVES'!$A$4:$A$313,0),MATCH(P$5,'TERMINAL CURVES'!$A$4:$N$4,0))*IF(F223=0,0,H223/F223))-(N$8)*((N$7-$N$5)-(INDEX(ship_curves,MATCH(L223,'SHIP CURVES'!$A$9:$A$316,0),MATCH(CONCATENATE(P$4,P$5,P$6,P$7),'SHIP CURVES'!$A$9:$Z$9,0))-INDEX(ship_curves,MATCH(L223,'SHIP CURVES'!$A$9:$A$316,0),MATCH(CONCATENATE(P$4,N$6,P$6,P$7),'SHIP CURVES'!$A$9:$Z$9,0)))-(INDEX(terminal_curves,MATCH(L223,'TERMINAL CURVES'!$A$4:$A$313,0),MATCH(P$5,'TERMINAL CURVES'!$A$4:$N$4,0))-INDEX(terminal_curves,MATCH(L223,'TERMINAL CURVES'!$A$4:$A$313,0),MATCH(N$6,'TERMINAL CURVES'!$A$4:$N$4,0)))*IF(F223=0,0,H223/F223)))*-F223</f>
        <v>0</v>
      </c>
      <c r="Q223" s="353" t="n">
        <f aca="false">SUM(N223:P223)</f>
        <v>0</v>
      </c>
      <c r="R223" s="357" t="n">
        <f aca="false">(-H223/((HLOOKUP(P$5,port_specs,2,0)/(365.25))*(L224-L223)))*(INDEX(fixed_capacity_charge,MATCH(L223,PORTS!$H$11:$H$317,0),MATCH(P$5,PORTS!$H$11:$N$11,0))+INDEX(variable_om_charge,MATCH(L223,PORTS!$H$318:$H$625,0),MATCH(P$5,PORTS!$H$318:$N$318,0)))</f>
        <v>-0</v>
      </c>
      <c r="S223" s="343" t="n">
        <f aca="false">+R223+Q223</f>
        <v>0</v>
      </c>
      <c r="T223" s="355" t="n">
        <f aca="false">+S223+M223</f>
        <v>0</v>
      </c>
      <c r="V223" s="346" t="n">
        <f aca="false">+DATE(YEAR(V222),MONTH(V222)+1,1)</f>
        <v>42948</v>
      </c>
      <c r="W223" s="327" t="n">
        <f aca="false">+Y223/(1-HLOOKUP(X$6,SHIPS,7,0)*INDEX(LADEN_VOYAGE_DAYS,MATCH(CONCATENATE(X$4,X$5),LADEN_VOYAGE_ROUTES,0),MATCH(X$6,LADEN_VOYAGE_SHIPS,0)))</f>
        <v>0</v>
      </c>
      <c r="X223" s="347" t="n">
        <f aca="false">+Y223-W223</f>
        <v>0</v>
      </c>
      <c r="Y223" s="348" t="n">
        <f aca="false">+IF(AND(X$8&lt;=V223,X$9&gt;=V223),+MIN($B223-SUMIF($H$17:X$17,Y$17,$H223:X223),((INDEX(ROUTE_PER_DAY_BY_SHIP,MATCH(CONCATENATE(X$4,X$5,X$7),ROUTE_PER_DAY_ROUTES,0),MATCH(X$6,ROUTE_PER_DAY_SHIPS,0))*(V224-V223))-(INDEX(ROUTE_PER_DAY_BY_SHIP,MATCH(CONCATENATE(X$4,X$5,X$7),ROUTE_PER_DAY_ROUTES,0),MATCH(X$6,ROUTE_PER_DAY_SHIPS,0))*(V224-V223))*HLOOKUP(X$6,SHIPS,7,0)*INDEX(LADEN_VOYAGE_DAYS,MATCH(CONCATENATE(X$4,X$5,X$7),LADEN_VOYAGE_ROUTES,0),MATCH(X$6,LADEN_VOYAGE_SHIPS,0)))),0)</f>
        <v>0</v>
      </c>
      <c r="Z223" s="349" t="n">
        <f aca="false">-(Y223)*HLOOKUP(X$5,TERMINAL_CHARGES,3,0)</f>
        <v>-0</v>
      </c>
      <c r="AA223" s="327" t="n">
        <f aca="false">+Y223+Z223</f>
        <v>0</v>
      </c>
      <c r="AB223" s="333"/>
      <c r="AC223" s="346" t="n">
        <f aca="false">+DATE(YEAR(AC222),MONTH(AC222)+1,1)</f>
        <v>42948</v>
      </c>
      <c r="AD223" s="343" t="n">
        <f aca="false">+AA223*(VLOOKUP(AC223,CURVECALC!$C$6:$J$312,4,0)+AE$5)</f>
        <v>0</v>
      </c>
      <c r="AE223" s="350" t="n">
        <f aca="false">-W223*INDEX(ship_curves,MATCH(AC223,'SHIP CURVES'!$A$9:$A$316,0),MATCH(CONCATENATE(AG$4,AG$5,AG$6,AG$7),'SHIP CURVES'!$A$9:$AZ$9,0))</f>
        <v>-0</v>
      </c>
      <c r="AF223" s="351" t="n">
        <f aca="false">-Y223*INDEX(port_processing_fee,MATCH(AC223,PORTS!$H$626:$H$933,0),MATCH(AG$5,PORTS!$H$626:$Z$626,0))</f>
        <v>-0</v>
      </c>
      <c r="AG223" s="352" t="n">
        <f aca="false">(((VLOOKUP(AC223,curvecalc,4,0))*IF(W223=0,0,AA223/W223)-INDEX(ship_curves,MATCH(AC223,'SHIP CURVES'!$A$9:$A$316,0),MATCH(CONCATENATE(AG$4,AG$5,AG$6,AG$7),'SHIP CURVES'!$A$9:$Z$9,0))-INDEX(terminal_curves,MATCH(AC223,'TERMINAL CURVES'!$A$4:$A$313,0),MATCH(AG$5,'TERMINAL CURVES'!$A$4:$N$4,0))*IF(W223=0,0,Y223/W223))-(AE$8)*((AE$7-$N$5)-(INDEX(ship_curves,MATCH(AC223,'SHIP CURVES'!$A$9:$A$316,0),MATCH(CONCATENATE(AG$4,AG$5,AG$6,AG$7),'SHIP CURVES'!$A$9:$Z$9,0))-INDEX(ship_curves,MATCH(AC223,'SHIP CURVES'!$A$9:$A$316,0),MATCH(CONCATENATE(AG$4,AE$6,AG$6,AG$7),'SHIP CURVES'!$A$9:$Z$9,0)))-(INDEX(terminal_curves,MATCH(AC223,'TERMINAL CURVES'!$A$4:$A$313,0),MATCH(AG$5,'TERMINAL CURVES'!$A$4:$N$4,0))-INDEX(terminal_curves,MATCH(AC223,'TERMINAL CURVES'!$A$4:$A$313,0),MATCH(AE$6,'TERMINAL CURVES'!$A$4:$N$4,0)))*IF(W223=0,0,Y223/W223)))*-W223</f>
        <v>0</v>
      </c>
      <c r="AH223" s="356" t="n">
        <f aca="false">SUM(AE223:AG223)</f>
        <v>0</v>
      </c>
      <c r="AI223" s="357" t="n">
        <f aca="false">(-Y223/((HLOOKUP(AG$5,port_specs,2,0)/(365.25))*(AC224-AC223)))*(INDEX(fixed_capacity_charge,MATCH(AC223,PORTS!$H$11:$H$317,0),MATCH(AG$5,PORTS!$H$11:$N$11,0))+INDEX(variable_om_charge,MATCH(AC223,PORTS!$H$318:$H$625,0),MATCH(AG$5,PORTS!$H$318:$N$318,0)))</f>
        <v>-0</v>
      </c>
      <c r="AJ223" s="343" t="n">
        <f aca="false">+AI223+AH223</f>
        <v>0</v>
      </c>
      <c r="AK223" s="355" t="n">
        <f aca="false">+AJ223+AD223</f>
        <v>0</v>
      </c>
      <c r="AM223" s="346" t="n">
        <f aca="false">+DATE(YEAR(AM222),MONTH(AM222)+1,1)</f>
        <v>42948</v>
      </c>
      <c r="AN223" s="327" t="n">
        <f aca="false">+AP223/(1-HLOOKUP(AO$6,SHIPS,7,0)*INDEX(LADEN_VOYAGE_DAYS,MATCH(CONCATENATE(AO$4,AO$5),LADEN_VOYAGE_ROUTES,0),MATCH(AO$6,LADEN_VOYAGE_SHIPS,0)))</f>
        <v>5395761.47735991</v>
      </c>
      <c r="AO223" s="347" t="n">
        <f aca="false">+AP223-AN223</f>
        <v>-56655.4955122788</v>
      </c>
      <c r="AP223" s="348" t="n">
        <f aca="false">+IF(AND(AO$8&lt;=AM223,AO$9&gt;=AM223),+MIN($B223-SUMIF($H$17:AO$17,AP$17,$H223:AO223),((INDEX(ROUTE_PER_DAY_BY_SHIP,MATCH(CONCATENATE(AO$4,AO$5,AO$7),ROUTE_PER_DAY_ROUTES,0),MATCH(AO$6,ROUTE_PER_DAY_SHIPS,0))*(AM224-AM223))-(INDEX(ROUTE_PER_DAY_BY_SHIP,MATCH(CONCATENATE(AO$4,AO$5,AO$7),ROUTE_PER_DAY_ROUTES,0),MATCH(AO$6,ROUTE_PER_DAY_SHIPS,0))*(AM224-AM223))*HLOOKUP(AO$6,SHIPS,7,0)*INDEX(LADEN_VOYAGE_DAYS,MATCH(CONCATENATE(AO$4,AO$5,AO$7),LADEN_VOYAGE_ROUTES,0),MATCH(AO$6,LADEN_VOYAGE_SHIPS,0)))),0)</f>
        <v>5339105.98184763</v>
      </c>
      <c r="AQ223" s="349" t="n">
        <f aca="false">-(AP223)*PORTS!$I$6</f>
        <v>-133477.649546191</v>
      </c>
      <c r="AR223" s="327" t="n">
        <f aca="false">+AP223+AQ223</f>
        <v>5205628.33230144</v>
      </c>
      <c r="AS223" s="333"/>
      <c r="AT223" s="346" t="n">
        <f aca="false">+DATE(YEAR(AT222),MONTH(AT222)+1,1)</f>
        <v>42948</v>
      </c>
      <c r="AU223" s="343" t="n">
        <f aca="false">+AR223*(VLOOKUP(AT223,CURVECALC!$C$6:$J$312,4,0)+AV$5)</f>
        <v>21452394.3574142</v>
      </c>
      <c r="AV223" s="350" t="n">
        <f aca="false">-AN223*INDEX(ship_curves,MATCH(AT223,'SHIP CURVES'!$A$9:$A$316,0),MATCH(CONCATENATE(AX$4,AX$5,AX$6,AX$7),'SHIP CURVES'!$A$9:$AZ$9,0))</f>
        <v>-1846674.07799546</v>
      </c>
      <c r="AW223" s="351" t="n">
        <f aca="false">-AP223*INDEX(port_processing_fee,MATCH(AT223,PORTS!$H$626:$H$933,0),MATCH(AX$5,PORTS!$H$626:$Z$626,0))</f>
        <v>-175078.678060259</v>
      </c>
      <c r="AX223" s="352" t="n">
        <f aca="false">(((VLOOKUP(AT223,curvecalc,4,0))*IF(AN223=0,0,AR223/AN223)-INDEX(ship_curves,MATCH(AT223,'SHIP CURVES'!$A$9:$A$316,0),MATCH(CONCATENATE(AX$4,AX$5,AX$6,AX$7),'SHIP CURVES'!$A$9:$Z$9,0))-INDEX(terminal_curves,MATCH(AT223,'TERMINAL CURVES'!$A$4:$A$313,0),MATCH(AX$5,'TERMINAL CURVES'!$A$4:$N$4,0))*IF(AN223=0,0,AP223/AN223))-(AV$8)*((AV$7-$N$5)-(INDEX(ship_curves,MATCH(AT223,'SHIP CURVES'!$A$9:$A$316,0),MATCH(CONCATENATE(AX$4,AX$5,AX$6,AX$7),'SHIP CURVES'!$A$9:$Z$9,0))-INDEX(ship_curves,MATCH(AT223,'SHIP CURVES'!$A$9:$A$316,0),MATCH(CONCATENATE(AX$4,AV$6,AX$6,AX$7),'SHIP CURVES'!$A$9:$Z$9,0)))-(INDEX(terminal_curves,MATCH(AT223,'TERMINAL CURVES'!$A$4:$A$313,0),MATCH(AX$5,'TERMINAL CURVES'!$A$4:$N$4,0))-INDEX(terminal_curves,MATCH(AT223,'TERMINAL CURVES'!$A$4:$A$313,0),MATCH(AV$6,'TERMINAL CURVES'!$A$4:$N$4,0)))*IF(AN223=0,0,AP223/AN223)))*-AN223</f>
        <v>-18277310.1110402</v>
      </c>
      <c r="AY223" s="356" t="n">
        <f aca="false">SUM(AV223:AX223)</f>
        <v>-20299062.8670959</v>
      </c>
      <c r="AZ223" s="357" t="n">
        <f aca="false">(-AP223/((HLOOKUP(AX$5,port_specs,2,0)/(365.25))*(AT224-AT223)))*(INDEX(fixed_capacity_charge,MATCH(AT223,PORTS!$H$11:$H$317,0),MATCH(AX$5,PORTS!$H$11:$N$11,0))+INDEX(variable_om_charge,MATCH(AT223,PORTS!$H$318:$H$625,0),MATCH(AX$5,PORTS!$H$318:$N$318,0)))</f>
        <v>-1049218.92367235</v>
      </c>
      <c r="BA223" s="343" t="n">
        <f aca="false">+AZ223+AY223</f>
        <v>-21348281.7907682</v>
      </c>
      <c r="BB223" s="355" t="n">
        <f aca="false">+BA223+AU223</f>
        <v>104112.566646025</v>
      </c>
      <c r="BC223" s="99"/>
      <c r="BD223" s="357" t="n">
        <f aca="false">+PORTS!I217+PORTS!I525</f>
        <v>1049218.92367235</v>
      </c>
    </row>
    <row r="224" customFormat="false" ht="12.75" hidden="false" customHeight="false" outlineLevel="0" collapsed="false">
      <c r="A224" s="346" t="n">
        <f aca="false">+DATE(YEAR(A223),MONTH(A223)+1,1)</f>
        <v>42979</v>
      </c>
      <c r="B224" s="327" t="n">
        <f aca="false">+IF(AND($A224&gt;=$C$8,$A224&lt;=$C$9),1,0)*PORTS!$I$5/(365.25)*(A225-A224)</f>
        <v>5166876.75662674</v>
      </c>
      <c r="C224" s="328" t="n">
        <f aca="false">+B224-(SUMIF($F$17:$IV$17,$H$17,$F224:$IV224))</f>
        <v>0</v>
      </c>
      <c r="D224" s="0" t="n">
        <f aca="false">+YEAR(E224)</f>
        <v>2017</v>
      </c>
      <c r="E224" s="346" t="n">
        <f aca="false">+DATE(YEAR(E223),MONTH(E223)+1,1)</f>
        <v>42979</v>
      </c>
      <c r="F224" s="327" t="n">
        <f aca="false">+IF(AND(G$8&lt;=E224,G$9&gt;=E224),INDEX(ROUTE_PER_DAY_BY_SHIP,MATCH(CONCATENATE(G$4,G$5,G$7),ROUTE_PER_DAY_ROUTES,0),MATCH(G$6,ROUTE_PER_DAY_SHIPS,0))*(E225-E224),0)</f>
        <v>0</v>
      </c>
      <c r="G224" s="347" t="n">
        <f aca="false">-F224*HLOOKUP(G$6,SHIPS,7,0)*INDEX(LADEN_VOYAGE_DAYS,MATCH(CONCATENATE(G$4,G$5,G$7),LADEN_VOYAGE_ROUTES,0),MATCH(G$6,LADEN_VOYAGE_SHIPS,0))</f>
        <v>-0</v>
      </c>
      <c r="H224" s="348" t="n">
        <f aca="false">SUM(F224:G224)</f>
        <v>0</v>
      </c>
      <c r="I224" s="349" t="n">
        <f aca="false">-(H224)*HLOOKUP(G$5,TERMINAL_CHARGES,3,0)</f>
        <v>-0</v>
      </c>
      <c r="J224" s="327" t="n">
        <f aca="false">+H224+I224</f>
        <v>0</v>
      </c>
      <c r="K224" s="333"/>
      <c r="L224" s="346" t="n">
        <f aca="false">+DATE(YEAR(L223),MONTH(L223)+1,1)</f>
        <v>42979</v>
      </c>
      <c r="M224" s="334" t="n">
        <f aca="false">+J224*(VLOOKUP(L224,CURVECALC!$C$6:$J$312,4,0)+N$5)</f>
        <v>0</v>
      </c>
      <c r="N224" s="350" t="n">
        <f aca="false">-F224*INDEX(ship_curves,MATCH(L224,'SHIP CURVES'!$A$9:$A$316,0),MATCH(CONCATENATE(P$4,P$5,P$6,P$7),'SHIP CURVES'!$A$9:$AZ$9,0))</f>
        <v>-0</v>
      </c>
      <c r="O224" s="351" t="n">
        <f aca="false">-H224*INDEX(port_processing_fee,MATCH(L224,PORTS!$H$626:$H$933,0),MATCH(P$5,PORTS!$H$626:$Z$626,0))</f>
        <v>-0</v>
      </c>
      <c r="P224" s="352" t="n">
        <f aca="false">(((VLOOKUP(L224,curvecalc,4,0))*IF(F224=0,0,J224/F224)-INDEX(ship_curves,MATCH(L224,'SHIP CURVES'!$A$9:$A$316,0),MATCH(CONCATENATE(P$4,P$5,P$6,P$7),'SHIP CURVES'!$A$9:$Z$9,0))-INDEX(terminal_curves,MATCH(L224,'TERMINAL CURVES'!$A$4:$A$313,0),MATCH(P$5,'TERMINAL CURVES'!$A$4:$N$4,0))*IF(F224=0,0,H224/F224))-(N$8)*((N$7-$N$5)-(INDEX(ship_curves,MATCH(L224,'SHIP CURVES'!$A$9:$A$316,0),MATCH(CONCATENATE(P$4,P$5,P$6,P$7),'SHIP CURVES'!$A$9:$Z$9,0))-INDEX(ship_curves,MATCH(L224,'SHIP CURVES'!$A$9:$A$316,0),MATCH(CONCATENATE(P$4,N$6,P$6,P$7),'SHIP CURVES'!$A$9:$Z$9,0)))-(INDEX(terminal_curves,MATCH(L224,'TERMINAL CURVES'!$A$4:$A$313,0),MATCH(P$5,'TERMINAL CURVES'!$A$4:$N$4,0))-INDEX(terminal_curves,MATCH(L224,'TERMINAL CURVES'!$A$4:$A$313,0),MATCH(N$6,'TERMINAL CURVES'!$A$4:$N$4,0)))*IF(F224=0,0,H224/F224)))*-F224</f>
        <v>0</v>
      </c>
      <c r="Q224" s="353" t="n">
        <f aca="false">SUM(N224:P224)</f>
        <v>0</v>
      </c>
      <c r="R224" s="357" t="n">
        <f aca="false">(-H224/((HLOOKUP(P$5,port_specs,2,0)/(365.25))*(L225-L224)))*(INDEX(fixed_capacity_charge,MATCH(L224,PORTS!$H$11:$H$317,0),MATCH(P$5,PORTS!$H$11:$N$11,0))+INDEX(variable_om_charge,MATCH(L224,PORTS!$H$318:$H$625,0),MATCH(P$5,PORTS!$H$318:$N$318,0)))</f>
        <v>-0</v>
      </c>
      <c r="S224" s="343" t="n">
        <f aca="false">+R224+Q224</f>
        <v>0</v>
      </c>
      <c r="T224" s="355" t="n">
        <f aca="false">+S224+M224</f>
        <v>0</v>
      </c>
      <c r="V224" s="346" t="n">
        <f aca="false">+DATE(YEAR(V223),MONTH(V223)+1,1)</f>
        <v>42979</v>
      </c>
      <c r="W224" s="327" t="n">
        <f aca="false">+Y224/(1-HLOOKUP(X$6,SHIPS,7,0)*INDEX(LADEN_VOYAGE_DAYS,MATCH(CONCATENATE(X$4,X$5),LADEN_VOYAGE_ROUTES,0),MATCH(X$6,LADEN_VOYAGE_SHIPS,0)))</f>
        <v>0</v>
      </c>
      <c r="X224" s="347" t="n">
        <f aca="false">+Y224-W224</f>
        <v>0</v>
      </c>
      <c r="Y224" s="348" t="n">
        <f aca="false">+IF(AND(X$8&lt;=V224,X$9&gt;=V224),+MIN($B224-SUMIF($H$17:X$17,Y$17,$H224:X224),((INDEX(ROUTE_PER_DAY_BY_SHIP,MATCH(CONCATENATE(X$4,X$5,X$7),ROUTE_PER_DAY_ROUTES,0),MATCH(X$6,ROUTE_PER_DAY_SHIPS,0))*(V225-V224))-(INDEX(ROUTE_PER_DAY_BY_SHIP,MATCH(CONCATENATE(X$4,X$5,X$7),ROUTE_PER_DAY_ROUTES,0),MATCH(X$6,ROUTE_PER_DAY_SHIPS,0))*(V225-V224))*HLOOKUP(X$6,SHIPS,7,0)*INDEX(LADEN_VOYAGE_DAYS,MATCH(CONCATENATE(X$4,X$5,X$7),LADEN_VOYAGE_ROUTES,0),MATCH(X$6,LADEN_VOYAGE_SHIPS,0)))),0)</f>
        <v>0</v>
      </c>
      <c r="Z224" s="349" t="n">
        <f aca="false">-(Y224)*HLOOKUP(X$5,TERMINAL_CHARGES,3,0)</f>
        <v>-0</v>
      </c>
      <c r="AA224" s="327" t="n">
        <f aca="false">+Y224+Z224</f>
        <v>0</v>
      </c>
      <c r="AB224" s="333"/>
      <c r="AC224" s="346" t="n">
        <f aca="false">+DATE(YEAR(AC223),MONTH(AC223)+1,1)</f>
        <v>42979</v>
      </c>
      <c r="AD224" s="343" t="n">
        <f aca="false">+AA224*(VLOOKUP(AC224,CURVECALC!$C$6:$J$312,4,0)+AE$5)</f>
        <v>0</v>
      </c>
      <c r="AE224" s="350" t="n">
        <f aca="false">-W224*INDEX(ship_curves,MATCH(AC224,'SHIP CURVES'!$A$9:$A$316,0),MATCH(CONCATENATE(AG$4,AG$5,AG$6,AG$7),'SHIP CURVES'!$A$9:$AZ$9,0))</f>
        <v>-0</v>
      </c>
      <c r="AF224" s="351" t="n">
        <f aca="false">-Y224*INDEX(port_processing_fee,MATCH(AC224,PORTS!$H$626:$H$933,0),MATCH(AG$5,PORTS!$H$626:$Z$626,0))</f>
        <v>-0</v>
      </c>
      <c r="AG224" s="352" t="n">
        <f aca="false">(((VLOOKUP(AC224,curvecalc,4,0))*IF(W224=0,0,AA224/W224)-INDEX(ship_curves,MATCH(AC224,'SHIP CURVES'!$A$9:$A$316,0),MATCH(CONCATENATE(AG$4,AG$5,AG$6,AG$7),'SHIP CURVES'!$A$9:$Z$9,0))-INDEX(terminal_curves,MATCH(AC224,'TERMINAL CURVES'!$A$4:$A$313,0),MATCH(AG$5,'TERMINAL CURVES'!$A$4:$N$4,0))*IF(W224=0,0,Y224/W224))-(AE$8)*((AE$7-$N$5)-(INDEX(ship_curves,MATCH(AC224,'SHIP CURVES'!$A$9:$A$316,0),MATCH(CONCATENATE(AG$4,AG$5,AG$6,AG$7),'SHIP CURVES'!$A$9:$Z$9,0))-INDEX(ship_curves,MATCH(AC224,'SHIP CURVES'!$A$9:$A$316,0),MATCH(CONCATENATE(AG$4,AE$6,AG$6,AG$7),'SHIP CURVES'!$A$9:$Z$9,0)))-(INDEX(terminal_curves,MATCH(AC224,'TERMINAL CURVES'!$A$4:$A$313,0),MATCH(AG$5,'TERMINAL CURVES'!$A$4:$N$4,0))-INDEX(terminal_curves,MATCH(AC224,'TERMINAL CURVES'!$A$4:$A$313,0),MATCH(AE$6,'TERMINAL CURVES'!$A$4:$N$4,0)))*IF(W224=0,0,Y224/W224)))*-W224</f>
        <v>0</v>
      </c>
      <c r="AH224" s="356" t="n">
        <f aca="false">SUM(AE224:AG224)</f>
        <v>0</v>
      </c>
      <c r="AI224" s="357" t="n">
        <f aca="false">(-Y224/((HLOOKUP(AG$5,port_specs,2,0)/(365.25))*(AC225-AC224)))*(INDEX(fixed_capacity_charge,MATCH(AC224,PORTS!$H$11:$H$317,0),MATCH(AG$5,PORTS!$H$11:$N$11,0))+INDEX(variable_om_charge,MATCH(AC224,PORTS!$H$318:$H$625,0),MATCH(AG$5,PORTS!$H$318:$N$318,0)))</f>
        <v>-0</v>
      </c>
      <c r="AJ224" s="343" t="n">
        <f aca="false">+AI224+AH224</f>
        <v>0</v>
      </c>
      <c r="AK224" s="355" t="n">
        <f aca="false">+AJ224+AD224</f>
        <v>0</v>
      </c>
      <c r="AM224" s="346" t="n">
        <f aca="false">+DATE(YEAR(AM223),MONTH(AM223)+1,1)</f>
        <v>42979</v>
      </c>
      <c r="AN224" s="327" t="n">
        <f aca="false">+AP224/(1-HLOOKUP(AO$6,SHIPS,7,0)*INDEX(LADEN_VOYAGE_DAYS,MATCH(CONCATENATE(AO$4,AO$5),LADEN_VOYAGE_ROUTES,0),MATCH(AO$6,LADEN_VOYAGE_SHIPS,0)))</f>
        <v>5221704.65550959</v>
      </c>
      <c r="AO224" s="347" t="n">
        <f aca="false">+AP224-AN224</f>
        <v>-54827.8988828501</v>
      </c>
      <c r="AP224" s="348" t="n">
        <f aca="false">+IF(AND(AO$8&lt;=AM224,AO$9&gt;=AM224),+MIN($B224-SUMIF($H$17:AO$17,AP$17,$H224:AO224),((INDEX(ROUTE_PER_DAY_BY_SHIP,MATCH(CONCATENATE(AO$4,AO$5,AO$7),ROUTE_PER_DAY_ROUTES,0),MATCH(AO$6,ROUTE_PER_DAY_SHIPS,0))*(AM225-AM224))-(INDEX(ROUTE_PER_DAY_BY_SHIP,MATCH(CONCATENATE(AO$4,AO$5,AO$7),ROUTE_PER_DAY_ROUTES,0),MATCH(AO$6,ROUTE_PER_DAY_SHIPS,0))*(AM225-AM224))*HLOOKUP(AO$6,SHIPS,7,0)*INDEX(LADEN_VOYAGE_DAYS,MATCH(CONCATENATE(AO$4,AO$5,AO$7),LADEN_VOYAGE_ROUTES,0),MATCH(AO$6,LADEN_VOYAGE_SHIPS,0)))),0)</f>
        <v>5166876.75662674</v>
      </c>
      <c r="AQ224" s="349" t="n">
        <f aca="false">-(AP224)*PORTS!$I$6</f>
        <v>-129171.918915669</v>
      </c>
      <c r="AR224" s="327" t="n">
        <f aca="false">+AP224+AQ224</f>
        <v>5037704.83771107</v>
      </c>
      <c r="AS224" s="333"/>
      <c r="AT224" s="346" t="n">
        <f aca="false">+DATE(YEAR(AT223),MONTH(AT223)+1,1)</f>
        <v>42979</v>
      </c>
      <c r="AU224" s="343" t="n">
        <f aca="false">+AR224*(VLOOKUP(AT224,CURVECALC!$C$6:$J$312,4,0)+AV$5)</f>
        <v>20639476.7201023</v>
      </c>
      <c r="AV224" s="350" t="n">
        <f aca="false">-AN224*INDEX(ship_curves,MATCH(AT224,'SHIP CURVES'!$A$9:$A$316,0),MATCH(CONCATENATE(AX$4,AX$5,AX$6,AX$7),'SHIP CURVES'!$A$9:$AZ$9,0))</f>
        <v>-1787734.48344516</v>
      </c>
      <c r="AW224" s="351" t="n">
        <f aca="false">-AP224*INDEX(port_processing_fee,MATCH(AT224,PORTS!$H$626:$H$933,0),MATCH(AX$5,PORTS!$H$626:$Z$626,0))</f>
        <v>-169607.469370876</v>
      </c>
      <c r="AX224" s="352" t="n">
        <f aca="false">(((VLOOKUP(AT224,curvecalc,4,0))*IF(AN224=0,0,AR224/AN224)-INDEX(ship_curves,MATCH(AT224,'SHIP CURVES'!$A$9:$A$316,0),MATCH(CONCATENATE(AX$4,AX$5,AX$6,AX$7),'SHIP CURVES'!$A$9:$Z$9,0))-INDEX(terminal_curves,MATCH(AT224,'TERMINAL CURVES'!$A$4:$A$313,0),MATCH(AX$5,'TERMINAL CURVES'!$A$4:$N$4,0))*IF(AN224=0,0,AP224/AN224))-(AV$8)*((AV$7-$N$5)-(INDEX(ship_curves,MATCH(AT224,'SHIP CURVES'!$A$9:$A$316,0),MATCH(CONCATENATE(AX$4,AX$5,AX$6,AX$7),'SHIP CURVES'!$A$9:$Z$9,0))-INDEX(ship_curves,MATCH(AT224,'SHIP CURVES'!$A$9:$A$316,0),MATCH(CONCATENATE(AX$4,AV$6,AX$6,AX$7),'SHIP CURVES'!$A$9:$Z$9,0)))-(INDEX(terminal_curves,MATCH(AT224,'TERMINAL CURVES'!$A$4:$A$313,0),MATCH(AX$5,'TERMINAL CURVES'!$A$4:$N$4,0))-INDEX(terminal_curves,MATCH(AT224,'TERMINAL CURVES'!$A$4:$A$313,0),MATCH(AV$6,'TERMINAL CURVES'!$A$4:$N$4,0)))*IF(AN224=0,0,AP224/AN224)))*-AN224</f>
        <v>-17531574.2131589</v>
      </c>
      <c r="AY224" s="356" t="n">
        <f aca="false">SUM(AV224:AX224)</f>
        <v>-19488916.1659749</v>
      </c>
      <c r="AZ224" s="357" t="n">
        <f aca="false">(-AP224/((HLOOKUP(AX$5,port_specs,2,0)/(365.25))*(AT225-AT224)))*(INDEX(fixed_capacity_charge,MATCH(AT224,PORTS!$H$11:$H$317,0),MATCH(AX$5,PORTS!$H$11:$N$11,0))+INDEX(variable_om_charge,MATCH(AT224,PORTS!$H$318:$H$625,0),MATCH(AX$5,PORTS!$H$318:$N$318,0)))</f>
        <v>-1049806.45737315</v>
      </c>
      <c r="BA224" s="343" t="n">
        <f aca="false">+AZ224+AY224</f>
        <v>-20538722.623348</v>
      </c>
      <c r="BB224" s="355" t="n">
        <f aca="false">+BA224+AU224</f>
        <v>100754.096754223</v>
      </c>
      <c r="BC224" s="99"/>
      <c r="BD224" s="357" t="n">
        <f aca="false">+PORTS!I218+PORTS!I526</f>
        <v>1049806.45737315</v>
      </c>
    </row>
    <row r="225" customFormat="false" ht="12.75" hidden="false" customHeight="false" outlineLevel="0" collapsed="false">
      <c r="A225" s="346" t="n">
        <f aca="false">+DATE(YEAR(A224),MONTH(A224)+1,1)</f>
        <v>43009</v>
      </c>
      <c r="B225" s="327" t="n">
        <f aca="false">+IF(AND($A225&gt;=$C$8,$A225&lt;=$C$9),1,0)*PORTS!$I$5/(365.25)*(A226-A225)</f>
        <v>5339105.98184763</v>
      </c>
      <c r="C225" s="328" t="n">
        <f aca="false">+B225-(SUMIF($F$17:$IV$17,$H$17,$F225:$IV225))</f>
        <v>0</v>
      </c>
      <c r="D225" s="0" t="n">
        <f aca="false">+YEAR(E225)</f>
        <v>2017</v>
      </c>
      <c r="E225" s="346" t="n">
        <f aca="false">+DATE(YEAR(E224),MONTH(E224)+1,1)</f>
        <v>43009</v>
      </c>
      <c r="F225" s="327" t="n">
        <f aca="false">+IF(AND(G$8&lt;=E225,G$9&gt;=E225),INDEX(ROUTE_PER_DAY_BY_SHIP,MATCH(CONCATENATE(G$4,G$5,G$7),ROUTE_PER_DAY_ROUTES,0),MATCH(G$6,ROUTE_PER_DAY_SHIPS,0))*(E226-E225),0)</f>
        <v>0</v>
      </c>
      <c r="G225" s="347" t="n">
        <f aca="false">-F225*HLOOKUP(G$6,SHIPS,7,0)*INDEX(LADEN_VOYAGE_DAYS,MATCH(CONCATENATE(G$4,G$5,G$7),LADEN_VOYAGE_ROUTES,0),MATCH(G$6,LADEN_VOYAGE_SHIPS,0))</f>
        <v>-0</v>
      </c>
      <c r="H225" s="348" t="n">
        <f aca="false">SUM(F225:G225)</f>
        <v>0</v>
      </c>
      <c r="I225" s="349" t="n">
        <f aca="false">-(H225)*HLOOKUP(G$5,TERMINAL_CHARGES,3,0)</f>
        <v>-0</v>
      </c>
      <c r="J225" s="327" t="n">
        <f aca="false">+H225+I225</f>
        <v>0</v>
      </c>
      <c r="K225" s="333"/>
      <c r="L225" s="346" t="n">
        <f aca="false">+DATE(YEAR(L224),MONTH(L224)+1,1)</f>
        <v>43009</v>
      </c>
      <c r="M225" s="334" t="n">
        <f aca="false">+J225*(VLOOKUP(L225,CURVECALC!$C$6:$J$312,4,0)+N$5)</f>
        <v>0</v>
      </c>
      <c r="N225" s="350" t="n">
        <f aca="false">-F225*INDEX(ship_curves,MATCH(L225,'SHIP CURVES'!$A$9:$A$316,0),MATCH(CONCATENATE(P$4,P$5,P$6,P$7),'SHIP CURVES'!$A$9:$AZ$9,0))</f>
        <v>-0</v>
      </c>
      <c r="O225" s="351" t="n">
        <f aca="false">-H225*INDEX(port_processing_fee,MATCH(L225,PORTS!$H$626:$H$933,0),MATCH(P$5,PORTS!$H$626:$Z$626,0))</f>
        <v>-0</v>
      </c>
      <c r="P225" s="352" t="n">
        <f aca="false">(((VLOOKUP(L225,curvecalc,4,0))*IF(F225=0,0,J225/F225)-INDEX(ship_curves,MATCH(L225,'SHIP CURVES'!$A$9:$A$316,0),MATCH(CONCATENATE(P$4,P$5,P$6,P$7),'SHIP CURVES'!$A$9:$Z$9,0))-INDEX(terminal_curves,MATCH(L225,'TERMINAL CURVES'!$A$4:$A$313,0),MATCH(P$5,'TERMINAL CURVES'!$A$4:$N$4,0))*IF(F225=0,0,H225/F225))-(N$8)*((N$7-$N$5)-(INDEX(ship_curves,MATCH(L225,'SHIP CURVES'!$A$9:$A$316,0),MATCH(CONCATENATE(P$4,P$5,P$6,P$7),'SHIP CURVES'!$A$9:$Z$9,0))-INDEX(ship_curves,MATCH(L225,'SHIP CURVES'!$A$9:$A$316,0),MATCH(CONCATENATE(P$4,N$6,P$6,P$7),'SHIP CURVES'!$A$9:$Z$9,0)))-(INDEX(terminal_curves,MATCH(L225,'TERMINAL CURVES'!$A$4:$A$313,0),MATCH(P$5,'TERMINAL CURVES'!$A$4:$N$4,0))-INDEX(terminal_curves,MATCH(L225,'TERMINAL CURVES'!$A$4:$A$313,0),MATCH(N$6,'TERMINAL CURVES'!$A$4:$N$4,0)))*IF(F225=0,0,H225/F225)))*-F225</f>
        <v>0</v>
      </c>
      <c r="Q225" s="353" t="n">
        <f aca="false">SUM(N225:P225)</f>
        <v>0</v>
      </c>
      <c r="R225" s="357" t="n">
        <f aca="false">(-H225/((HLOOKUP(P$5,port_specs,2,0)/(365.25))*(L226-L225)))*(INDEX(fixed_capacity_charge,MATCH(L225,PORTS!$H$11:$H$317,0),MATCH(P$5,PORTS!$H$11:$N$11,0))+INDEX(variable_om_charge,MATCH(L225,PORTS!$H$318:$H$625,0),MATCH(P$5,PORTS!$H$318:$N$318,0)))</f>
        <v>-0</v>
      </c>
      <c r="S225" s="343" t="n">
        <f aca="false">+R225+Q225</f>
        <v>0</v>
      </c>
      <c r="T225" s="355" t="n">
        <f aca="false">+S225+M225</f>
        <v>0</v>
      </c>
      <c r="V225" s="346" t="n">
        <f aca="false">+DATE(YEAR(V224),MONTH(V224)+1,1)</f>
        <v>43009</v>
      </c>
      <c r="W225" s="327" t="n">
        <f aca="false">+Y225/(1-HLOOKUP(X$6,SHIPS,7,0)*INDEX(LADEN_VOYAGE_DAYS,MATCH(CONCATENATE(X$4,X$5),LADEN_VOYAGE_ROUTES,0),MATCH(X$6,LADEN_VOYAGE_SHIPS,0)))</f>
        <v>0</v>
      </c>
      <c r="X225" s="347" t="n">
        <f aca="false">+Y225-W225</f>
        <v>0</v>
      </c>
      <c r="Y225" s="348" t="n">
        <f aca="false">+IF(AND(X$8&lt;=V225,X$9&gt;=V225),+MIN($B225-SUMIF($H$17:X$17,Y$17,$H225:X225),((INDEX(ROUTE_PER_DAY_BY_SHIP,MATCH(CONCATENATE(X$4,X$5,X$7),ROUTE_PER_DAY_ROUTES,0),MATCH(X$6,ROUTE_PER_DAY_SHIPS,0))*(V226-V225))-(INDEX(ROUTE_PER_DAY_BY_SHIP,MATCH(CONCATENATE(X$4,X$5,X$7),ROUTE_PER_DAY_ROUTES,0),MATCH(X$6,ROUTE_PER_DAY_SHIPS,0))*(V226-V225))*HLOOKUP(X$6,SHIPS,7,0)*INDEX(LADEN_VOYAGE_DAYS,MATCH(CONCATENATE(X$4,X$5,X$7),LADEN_VOYAGE_ROUTES,0),MATCH(X$6,LADEN_VOYAGE_SHIPS,0)))),0)</f>
        <v>0</v>
      </c>
      <c r="Z225" s="349" t="n">
        <f aca="false">-(Y225)*HLOOKUP(X$5,TERMINAL_CHARGES,3,0)</f>
        <v>-0</v>
      </c>
      <c r="AA225" s="327" t="n">
        <f aca="false">+Y225+Z225</f>
        <v>0</v>
      </c>
      <c r="AB225" s="333"/>
      <c r="AC225" s="346" t="n">
        <f aca="false">+DATE(YEAR(AC224),MONTH(AC224)+1,1)</f>
        <v>43009</v>
      </c>
      <c r="AD225" s="343" t="n">
        <f aca="false">+AA225*(VLOOKUP(AC225,CURVECALC!$C$6:$J$312,4,0)+AE$5)</f>
        <v>0</v>
      </c>
      <c r="AE225" s="350" t="n">
        <f aca="false">-W225*INDEX(ship_curves,MATCH(AC225,'SHIP CURVES'!$A$9:$A$316,0),MATCH(CONCATENATE(AG$4,AG$5,AG$6,AG$7),'SHIP CURVES'!$A$9:$AZ$9,0))</f>
        <v>-0</v>
      </c>
      <c r="AF225" s="351" t="n">
        <f aca="false">-Y225*INDEX(port_processing_fee,MATCH(AC225,PORTS!$H$626:$H$933,0),MATCH(AG$5,PORTS!$H$626:$Z$626,0))</f>
        <v>-0</v>
      </c>
      <c r="AG225" s="352" t="n">
        <f aca="false">(((VLOOKUP(AC225,curvecalc,4,0))*IF(W225=0,0,AA225/W225)-INDEX(ship_curves,MATCH(AC225,'SHIP CURVES'!$A$9:$A$316,0),MATCH(CONCATENATE(AG$4,AG$5,AG$6,AG$7),'SHIP CURVES'!$A$9:$Z$9,0))-INDEX(terminal_curves,MATCH(AC225,'TERMINAL CURVES'!$A$4:$A$313,0),MATCH(AG$5,'TERMINAL CURVES'!$A$4:$N$4,0))*IF(W225=0,0,Y225/W225))-(AE$8)*((AE$7-$N$5)-(INDEX(ship_curves,MATCH(AC225,'SHIP CURVES'!$A$9:$A$316,0),MATCH(CONCATENATE(AG$4,AG$5,AG$6,AG$7),'SHIP CURVES'!$A$9:$Z$9,0))-INDEX(ship_curves,MATCH(AC225,'SHIP CURVES'!$A$9:$A$316,0),MATCH(CONCATENATE(AG$4,AE$6,AG$6,AG$7),'SHIP CURVES'!$A$9:$Z$9,0)))-(INDEX(terminal_curves,MATCH(AC225,'TERMINAL CURVES'!$A$4:$A$313,0),MATCH(AG$5,'TERMINAL CURVES'!$A$4:$N$4,0))-INDEX(terminal_curves,MATCH(AC225,'TERMINAL CURVES'!$A$4:$A$313,0),MATCH(AE$6,'TERMINAL CURVES'!$A$4:$N$4,0)))*IF(W225=0,0,Y225/W225)))*-W225</f>
        <v>0</v>
      </c>
      <c r="AH225" s="356" t="n">
        <f aca="false">SUM(AE225:AG225)</f>
        <v>0</v>
      </c>
      <c r="AI225" s="357" t="n">
        <f aca="false">(-Y225/((HLOOKUP(AG$5,port_specs,2,0)/(365.25))*(AC226-AC225)))*(INDEX(fixed_capacity_charge,MATCH(AC225,PORTS!$H$11:$H$317,0),MATCH(AG$5,PORTS!$H$11:$N$11,0))+INDEX(variable_om_charge,MATCH(AC225,PORTS!$H$318:$H$625,0),MATCH(AG$5,PORTS!$H$318:$N$318,0)))</f>
        <v>-0</v>
      </c>
      <c r="AJ225" s="343" t="n">
        <f aca="false">+AI225+AH225</f>
        <v>0</v>
      </c>
      <c r="AK225" s="355" t="n">
        <f aca="false">+AJ225+AD225</f>
        <v>0</v>
      </c>
      <c r="AM225" s="346" t="n">
        <f aca="false">+DATE(YEAR(AM224),MONTH(AM224)+1,1)</f>
        <v>43009</v>
      </c>
      <c r="AN225" s="327" t="n">
        <f aca="false">+AP225/(1-HLOOKUP(AO$6,SHIPS,7,0)*INDEX(LADEN_VOYAGE_DAYS,MATCH(CONCATENATE(AO$4,AO$5),LADEN_VOYAGE_ROUTES,0),MATCH(AO$6,LADEN_VOYAGE_SHIPS,0)))</f>
        <v>5395761.47735991</v>
      </c>
      <c r="AO225" s="347" t="n">
        <f aca="false">+AP225-AN225</f>
        <v>-56655.4955122788</v>
      </c>
      <c r="AP225" s="348" t="n">
        <f aca="false">+IF(AND(AO$8&lt;=AM225,AO$9&gt;=AM225),+MIN($B225-SUMIF($H$17:AO$17,AP$17,$H225:AO225),((INDEX(ROUTE_PER_DAY_BY_SHIP,MATCH(CONCATENATE(AO$4,AO$5,AO$7),ROUTE_PER_DAY_ROUTES,0),MATCH(AO$6,ROUTE_PER_DAY_SHIPS,0))*(AM226-AM225))-(INDEX(ROUTE_PER_DAY_BY_SHIP,MATCH(CONCATENATE(AO$4,AO$5,AO$7),ROUTE_PER_DAY_ROUTES,0),MATCH(AO$6,ROUTE_PER_DAY_SHIPS,0))*(AM226-AM225))*HLOOKUP(AO$6,SHIPS,7,0)*INDEX(LADEN_VOYAGE_DAYS,MATCH(CONCATENATE(AO$4,AO$5,AO$7),LADEN_VOYAGE_ROUTES,0),MATCH(AO$6,LADEN_VOYAGE_SHIPS,0)))),0)</f>
        <v>5339105.98184763</v>
      </c>
      <c r="AQ225" s="349" t="n">
        <f aca="false">-(AP225)*PORTS!$I$6</f>
        <v>-133477.649546191</v>
      </c>
      <c r="AR225" s="327" t="n">
        <f aca="false">+AP225+AQ225</f>
        <v>5205628.33230144</v>
      </c>
      <c r="AS225" s="333"/>
      <c r="AT225" s="346" t="n">
        <f aca="false">+DATE(YEAR(AT224),MONTH(AT224)+1,1)</f>
        <v>43009</v>
      </c>
      <c r="AU225" s="343" t="n">
        <f aca="false">+AR225*(VLOOKUP(AT225,CURVECALC!$C$6:$J$312,4,0)+AV$5)</f>
        <v>21358693.0474328</v>
      </c>
      <c r="AV225" s="350" t="n">
        <f aca="false">-AN225*INDEX(ship_curves,MATCH(AT225,'SHIP CURVES'!$A$9:$A$316,0),MATCH(CONCATENATE(AX$4,AX$5,AX$6,AX$7),'SHIP CURVES'!$A$9:$AZ$9,0))</f>
        <v>-1847978.54519724</v>
      </c>
      <c r="AW225" s="351" t="n">
        <f aca="false">-AP225*INDEX(port_processing_fee,MATCH(AT225,PORTS!$H$626:$H$933,0),MATCH(AX$5,PORTS!$H$626:$Z$626,0))</f>
        <v>-175443.615278742</v>
      </c>
      <c r="AX225" s="352" t="n">
        <f aca="false">(((VLOOKUP(AT225,curvecalc,4,0))*IF(AN225=0,0,AR225/AN225)-INDEX(ship_curves,MATCH(AT225,'SHIP CURVES'!$A$9:$A$316,0),MATCH(CONCATENATE(AX$4,AX$5,AX$6,AX$7),'SHIP CURVES'!$A$9:$Z$9,0))-INDEX(terminal_curves,MATCH(AT225,'TERMINAL CURVES'!$A$4:$A$313,0),MATCH(AX$5,'TERMINAL CURVES'!$A$4:$N$4,0))*IF(AN225=0,0,AP225/AN225))-(AV$8)*((AV$7-$N$5)-(INDEX(ship_curves,MATCH(AT225,'SHIP CURVES'!$A$9:$A$316,0),MATCH(CONCATENATE(AX$4,AX$5,AX$6,AX$7),'SHIP CURVES'!$A$9:$Z$9,0))-INDEX(ship_curves,MATCH(AT225,'SHIP CURVES'!$A$9:$A$316,0),MATCH(CONCATENATE(AX$4,AV$6,AX$6,AX$7),'SHIP CURVES'!$A$9:$Z$9,0)))-(INDEX(terminal_curves,MATCH(AT225,'TERMINAL CURVES'!$A$4:$A$313,0),MATCH(AX$5,'TERMINAL CURVES'!$A$4:$N$4,0))-INDEX(terminal_curves,MATCH(AT225,'TERMINAL CURVES'!$A$4:$A$313,0),MATCH(AV$6,'TERMINAL CURVES'!$A$4:$N$4,0)))*IF(AN225=0,0,AP225/AN225)))*-AN225</f>
        <v>-18180763.7172226</v>
      </c>
      <c r="AY225" s="356" t="n">
        <f aca="false">SUM(AV225:AX225)</f>
        <v>-20204185.8776986</v>
      </c>
      <c r="AZ225" s="357" t="n">
        <f aca="false">(-AP225/((HLOOKUP(AX$5,port_specs,2,0)/(365.25))*(AT226-AT225)))*(INDEX(fixed_capacity_charge,MATCH(AT225,PORTS!$H$11:$H$317,0),MATCH(AX$5,PORTS!$H$11:$N$11,0))+INDEX(variable_om_charge,MATCH(AT225,PORTS!$H$318:$H$625,0),MATCH(AX$5,PORTS!$H$318:$N$318,0)))</f>
        <v>-1050394.60308821</v>
      </c>
      <c r="BA225" s="343" t="n">
        <f aca="false">+AZ225+AY225</f>
        <v>-21254580.4807868</v>
      </c>
      <c r="BB225" s="355" t="n">
        <f aca="false">+BA225+AU225</f>
        <v>104112.566646028</v>
      </c>
      <c r="BC225" s="99"/>
      <c r="BD225" s="357" t="n">
        <f aca="false">+PORTS!I219+PORTS!I527</f>
        <v>1050394.60308821</v>
      </c>
    </row>
    <row r="226" customFormat="false" ht="12.75" hidden="false" customHeight="false" outlineLevel="0" collapsed="false">
      <c r="A226" s="346" t="n">
        <f aca="false">+DATE(YEAR(A225),MONTH(A225)+1,1)</f>
        <v>43040</v>
      </c>
      <c r="B226" s="327" t="n">
        <f aca="false">+IF(AND($A226&gt;=$C$8,$A226&lt;=$C$9),1,0)*PORTS!$I$5/(365.25)*(A227-A226)</f>
        <v>5166876.75662674</v>
      </c>
      <c r="C226" s="328" t="n">
        <f aca="false">+B226-(SUMIF($F$17:$IV$17,$H$17,$F226:$IV226))</f>
        <v>0</v>
      </c>
      <c r="D226" s="0" t="n">
        <f aca="false">+YEAR(E226)</f>
        <v>2017</v>
      </c>
      <c r="E226" s="346" t="n">
        <f aca="false">+DATE(YEAR(E225),MONTH(E225)+1,1)</f>
        <v>43040</v>
      </c>
      <c r="F226" s="327" t="n">
        <f aca="false">+IF(AND(G$8&lt;=E226,G$9&gt;=E226),INDEX(ROUTE_PER_DAY_BY_SHIP,MATCH(CONCATENATE(G$4,G$5,G$7),ROUTE_PER_DAY_ROUTES,0),MATCH(G$6,ROUTE_PER_DAY_SHIPS,0))*(E227-E226),0)</f>
        <v>0</v>
      </c>
      <c r="G226" s="347" t="n">
        <f aca="false">-F226*HLOOKUP(G$6,SHIPS,7,0)*INDEX(LADEN_VOYAGE_DAYS,MATCH(CONCATENATE(G$4,G$5,G$7),LADEN_VOYAGE_ROUTES,0),MATCH(G$6,LADEN_VOYAGE_SHIPS,0))</f>
        <v>-0</v>
      </c>
      <c r="H226" s="348" t="n">
        <f aca="false">SUM(F226:G226)</f>
        <v>0</v>
      </c>
      <c r="I226" s="349" t="n">
        <f aca="false">-(H226)*HLOOKUP(G$5,TERMINAL_CHARGES,3,0)</f>
        <v>-0</v>
      </c>
      <c r="J226" s="327" t="n">
        <f aca="false">+H226+I226</f>
        <v>0</v>
      </c>
      <c r="K226" s="333"/>
      <c r="L226" s="346" t="n">
        <f aca="false">+DATE(YEAR(L225),MONTH(L225)+1,1)</f>
        <v>43040</v>
      </c>
      <c r="M226" s="334" t="n">
        <f aca="false">+J226*(VLOOKUP(L226,CURVECALC!$C$6:$J$312,4,0)+N$5)</f>
        <v>0</v>
      </c>
      <c r="N226" s="350" t="n">
        <f aca="false">-F226*INDEX(ship_curves,MATCH(L226,'SHIP CURVES'!$A$9:$A$316,0),MATCH(CONCATENATE(P$4,P$5,P$6,P$7),'SHIP CURVES'!$A$9:$AZ$9,0))</f>
        <v>-0</v>
      </c>
      <c r="O226" s="351" t="n">
        <f aca="false">-H226*INDEX(port_processing_fee,MATCH(L226,PORTS!$H$626:$H$933,0),MATCH(P$5,PORTS!$H$626:$Z$626,0))</f>
        <v>-0</v>
      </c>
      <c r="P226" s="352" t="n">
        <f aca="false">(((VLOOKUP(L226,curvecalc,4,0))*IF(F226=0,0,J226/F226)-INDEX(ship_curves,MATCH(L226,'SHIP CURVES'!$A$9:$A$316,0),MATCH(CONCATENATE(P$4,P$5,P$6,P$7),'SHIP CURVES'!$A$9:$Z$9,0))-INDEX(terminal_curves,MATCH(L226,'TERMINAL CURVES'!$A$4:$A$313,0),MATCH(P$5,'TERMINAL CURVES'!$A$4:$N$4,0))*IF(F226=0,0,H226/F226))-(N$8)*((N$7-$N$5)-(INDEX(ship_curves,MATCH(L226,'SHIP CURVES'!$A$9:$A$316,0),MATCH(CONCATENATE(P$4,P$5,P$6,P$7),'SHIP CURVES'!$A$9:$Z$9,0))-INDEX(ship_curves,MATCH(L226,'SHIP CURVES'!$A$9:$A$316,0),MATCH(CONCATENATE(P$4,N$6,P$6,P$7),'SHIP CURVES'!$A$9:$Z$9,0)))-(INDEX(terminal_curves,MATCH(L226,'TERMINAL CURVES'!$A$4:$A$313,0),MATCH(P$5,'TERMINAL CURVES'!$A$4:$N$4,0))-INDEX(terminal_curves,MATCH(L226,'TERMINAL CURVES'!$A$4:$A$313,0),MATCH(N$6,'TERMINAL CURVES'!$A$4:$N$4,0)))*IF(F226=0,0,H226/F226)))*-F226</f>
        <v>0</v>
      </c>
      <c r="Q226" s="353" t="n">
        <f aca="false">SUM(N226:P226)</f>
        <v>0</v>
      </c>
      <c r="R226" s="357" t="n">
        <f aca="false">(-H226/((HLOOKUP(P$5,port_specs,2,0)/(365.25))*(L227-L226)))*(INDEX(fixed_capacity_charge,MATCH(L226,PORTS!$H$11:$H$317,0),MATCH(P$5,PORTS!$H$11:$N$11,0))+INDEX(variable_om_charge,MATCH(L226,PORTS!$H$318:$H$625,0),MATCH(P$5,PORTS!$H$318:$N$318,0)))</f>
        <v>-0</v>
      </c>
      <c r="S226" s="343" t="n">
        <f aca="false">+R226+Q226</f>
        <v>0</v>
      </c>
      <c r="T226" s="355" t="n">
        <f aca="false">+S226+M226</f>
        <v>0</v>
      </c>
      <c r="V226" s="346" t="n">
        <f aca="false">+DATE(YEAR(V225),MONTH(V225)+1,1)</f>
        <v>43040</v>
      </c>
      <c r="W226" s="327" t="n">
        <f aca="false">+Y226/(1-HLOOKUP(X$6,SHIPS,7,0)*INDEX(LADEN_VOYAGE_DAYS,MATCH(CONCATENATE(X$4,X$5),LADEN_VOYAGE_ROUTES,0),MATCH(X$6,LADEN_VOYAGE_SHIPS,0)))</f>
        <v>0</v>
      </c>
      <c r="X226" s="347" t="n">
        <f aca="false">+Y226-W226</f>
        <v>0</v>
      </c>
      <c r="Y226" s="348" t="n">
        <f aca="false">+IF(AND(X$8&lt;=V226,X$9&gt;=V226),+MIN($B226-SUMIF($H$17:X$17,Y$17,$H226:X226),((INDEX(ROUTE_PER_DAY_BY_SHIP,MATCH(CONCATENATE(X$4,X$5,X$7),ROUTE_PER_DAY_ROUTES,0),MATCH(X$6,ROUTE_PER_DAY_SHIPS,0))*(V227-V226))-(INDEX(ROUTE_PER_DAY_BY_SHIP,MATCH(CONCATENATE(X$4,X$5,X$7),ROUTE_PER_DAY_ROUTES,0),MATCH(X$6,ROUTE_PER_DAY_SHIPS,0))*(V227-V226))*HLOOKUP(X$6,SHIPS,7,0)*INDEX(LADEN_VOYAGE_DAYS,MATCH(CONCATENATE(X$4,X$5,X$7),LADEN_VOYAGE_ROUTES,0),MATCH(X$6,LADEN_VOYAGE_SHIPS,0)))),0)</f>
        <v>0</v>
      </c>
      <c r="Z226" s="349" t="n">
        <f aca="false">-(Y226)*HLOOKUP(X$5,TERMINAL_CHARGES,3,0)</f>
        <v>-0</v>
      </c>
      <c r="AA226" s="327" t="n">
        <f aca="false">+Y226+Z226</f>
        <v>0</v>
      </c>
      <c r="AB226" s="333"/>
      <c r="AC226" s="346" t="n">
        <f aca="false">+DATE(YEAR(AC225),MONTH(AC225)+1,1)</f>
        <v>43040</v>
      </c>
      <c r="AD226" s="343" t="n">
        <f aca="false">+AA226*(VLOOKUP(AC226,CURVECALC!$C$6:$J$312,4,0)+AE$5)</f>
        <v>0</v>
      </c>
      <c r="AE226" s="350" t="n">
        <f aca="false">-W226*INDEX(ship_curves,MATCH(AC226,'SHIP CURVES'!$A$9:$A$316,0),MATCH(CONCATENATE(AG$4,AG$5,AG$6,AG$7),'SHIP CURVES'!$A$9:$AZ$9,0))</f>
        <v>-0</v>
      </c>
      <c r="AF226" s="351" t="n">
        <f aca="false">-Y226*INDEX(port_processing_fee,MATCH(AC226,PORTS!$H$626:$H$933,0),MATCH(AG$5,PORTS!$H$626:$Z$626,0))</f>
        <v>-0</v>
      </c>
      <c r="AG226" s="352" t="n">
        <f aca="false">(((VLOOKUP(AC226,curvecalc,4,0))*IF(W226=0,0,AA226/W226)-INDEX(ship_curves,MATCH(AC226,'SHIP CURVES'!$A$9:$A$316,0),MATCH(CONCATENATE(AG$4,AG$5,AG$6,AG$7),'SHIP CURVES'!$A$9:$Z$9,0))-INDEX(terminal_curves,MATCH(AC226,'TERMINAL CURVES'!$A$4:$A$313,0),MATCH(AG$5,'TERMINAL CURVES'!$A$4:$N$4,0))*IF(W226=0,0,Y226/W226))-(AE$8)*((AE$7-$N$5)-(INDEX(ship_curves,MATCH(AC226,'SHIP CURVES'!$A$9:$A$316,0),MATCH(CONCATENATE(AG$4,AG$5,AG$6,AG$7),'SHIP CURVES'!$A$9:$Z$9,0))-INDEX(ship_curves,MATCH(AC226,'SHIP CURVES'!$A$9:$A$316,0),MATCH(CONCATENATE(AG$4,AE$6,AG$6,AG$7),'SHIP CURVES'!$A$9:$Z$9,0)))-(INDEX(terminal_curves,MATCH(AC226,'TERMINAL CURVES'!$A$4:$A$313,0),MATCH(AG$5,'TERMINAL CURVES'!$A$4:$N$4,0))-INDEX(terminal_curves,MATCH(AC226,'TERMINAL CURVES'!$A$4:$A$313,0),MATCH(AE$6,'TERMINAL CURVES'!$A$4:$N$4,0)))*IF(W226=0,0,Y226/W226)))*-W226</f>
        <v>0</v>
      </c>
      <c r="AH226" s="356" t="n">
        <f aca="false">SUM(AE226:AG226)</f>
        <v>0</v>
      </c>
      <c r="AI226" s="357" t="n">
        <f aca="false">(-Y226/((HLOOKUP(AG$5,port_specs,2,0)/(365.25))*(AC227-AC226)))*(INDEX(fixed_capacity_charge,MATCH(AC226,PORTS!$H$11:$H$317,0),MATCH(AG$5,PORTS!$H$11:$N$11,0))+INDEX(variable_om_charge,MATCH(AC226,PORTS!$H$318:$H$625,0),MATCH(AG$5,PORTS!$H$318:$N$318,0)))</f>
        <v>-0</v>
      </c>
      <c r="AJ226" s="343" t="n">
        <f aca="false">+AI226+AH226</f>
        <v>0</v>
      </c>
      <c r="AK226" s="355" t="n">
        <f aca="false">+AJ226+AD226</f>
        <v>0</v>
      </c>
      <c r="AM226" s="346" t="n">
        <f aca="false">+DATE(YEAR(AM225),MONTH(AM225)+1,1)</f>
        <v>43040</v>
      </c>
      <c r="AN226" s="327" t="n">
        <f aca="false">+AP226/(1-HLOOKUP(AO$6,SHIPS,7,0)*INDEX(LADEN_VOYAGE_DAYS,MATCH(CONCATENATE(AO$4,AO$5),LADEN_VOYAGE_ROUTES,0),MATCH(AO$6,LADEN_VOYAGE_SHIPS,0)))</f>
        <v>5221704.65550959</v>
      </c>
      <c r="AO226" s="347" t="n">
        <f aca="false">+AP226-AN226</f>
        <v>-54827.8988828501</v>
      </c>
      <c r="AP226" s="348" t="n">
        <f aca="false">+IF(AND(AO$8&lt;=AM226,AO$9&gt;=AM226),+MIN($B226-SUMIF($H$17:AO$17,AP$17,$H226:AO226),((INDEX(ROUTE_PER_DAY_BY_SHIP,MATCH(CONCATENATE(AO$4,AO$5,AO$7),ROUTE_PER_DAY_ROUTES,0),MATCH(AO$6,ROUTE_PER_DAY_SHIPS,0))*(AM227-AM226))-(INDEX(ROUTE_PER_DAY_BY_SHIP,MATCH(CONCATENATE(AO$4,AO$5,AO$7),ROUTE_PER_DAY_ROUTES,0),MATCH(AO$6,ROUTE_PER_DAY_SHIPS,0))*(AM227-AM226))*HLOOKUP(AO$6,SHIPS,7,0)*INDEX(LADEN_VOYAGE_DAYS,MATCH(CONCATENATE(AO$4,AO$5,AO$7),LADEN_VOYAGE_ROUTES,0),MATCH(AO$6,LADEN_VOYAGE_SHIPS,0)))),0)</f>
        <v>5166876.75662674</v>
      </c>
      <c r="AQ226" s="349" t="n">
        <f aca="false">-(AP226)*PORTS!$I$6</f>
        <v>-129171.918915669</v>
      </c>
      <c r="AR226" s="327" t="n">
        <f aca="false">+AP226+AQ226</f>
        <v>5037704.83771107</v>
      </c>
      <c r="AS226" s="333"/>
      <c r="AT226" s="346" t="n">
        <f aca="false">+DATE(YEAR(AT225),MONTH(AT225)+1,1)</f>
        <v>43040</v>
      </c>
      <c r="AU226" s="343" t="n">
        <f aca="false">+AR226*(VLOOKUP(AT226,CURVECALC!$C$6:$J$312,4,0)+AV$5)</f>
        <v>20866173.4377993</v>
      </c>
      <c r="AV226" s="350" t="n">
        <f aca="false">-AN226*INDEX(ship_curves,MATCH(AT226,'SHIP CURVES'!$A$9:$A$316,0),MATCH(CONCATENATE(AX$4,AX$5,AX$6,AX$7),'SHIP CURVES'!$A$9:$AZ$9,0))</f>
        <v>-1788999.50103398</v>
      </c>
      <c r="AW226" s="351" t="n">
        <f aca="false">-AP226*INDEX(port_processing_fee,MATCH(AT226,PORTS!$H$626:$H$933,0),MATCH(AX$5,PORTS!$H$626:$Z$626,0))</f>
        <v>-169961.002301281</v>
      </c>
      <c r="AX226" s="352" t="n">
        <f aca="false">(((VLOOKUP(AT226,curvecalc,4,0))*IF(AN226=0,0,AR226/AN226)-INDEX(ship_curves,MATCH(AT226,'SHIP CURVES'!$A$9:$A$316,0),MATCH(CONCATENATE(AX$4,AX$5,AX$6,AX$7),'SHIP CURVES'!$A$9:$Z$9,0))-INDEX(terminal_curves,MATCH(AT226,'TERMINAL CURVES'!$A$4:$A$313,0),MATCH(AX$5,'TERMINAL CURVES'!$A$4:$N$4,0))*IF(AN226=0,0,AP226/AN226))-(AV$8)*((AV$7-$N$5)-(INDEX(ship_curves,MATCH(AT226,'SHIP CURVES'!$A$9:$A$316,0),MATCH(CONCATENATE(AX$4,AX$5,AX$6,AX$7),'SHIP CURVES'!$A$9:$Z$9,0))-INDEX(ship_curves,MATCH(AT226,'SHIP CURVES'!$A$9:$A$316,0),MATCH(CONCATENATE(AX$4,AV$6,AX$6,AX$7),'SHIP CURVES'!$A$9:$Z$9,0)))-(INDEX(terminal_curves,MATCH(AT226,'TERMINAL CURVES'!$A$4:$A$313,0),MATCH(AX$5,'TERMINAL CURVES'!$A$4:$N$4,0))-INDEX(terminal_curves,MATCH(AT226,'TERMINAL CURVES'!$A$4:$A$313,0),MATCH(AV$6,'TERMINAL CURVES'!$A$4:$N$4,0)))*IF(AN226=0,0,AP226/AN226)))*-AN226</f>
        <v>-17755475.4762547</v>
      </c>
      <c r="AY226" s="356" t="n">
        <f aca="false">SUM(AV226:AX226)</f>
        <v>-19714435.97959</v>
      </c>
      <c r="AZ226" s="357" t="n">
        <f aca="false">(-AP226/((HLOOKUP(AX$5,port_specs,2,0)/(365.25))*(AT227-AT226)))*(INDEX(fixed_capacity_charge,MATCH(AT226,PORTS!$H$11:$H$317,0),MATCH(AX$5,PORTS!$H$11:$N$11,0))+INDEX(variable_om_charge,MATCH(AT226,PORTS!$H$318:$H$625,0),MATCH(AX$5,PORTS!$H$318:$N$318,0)))</f>
        <v>-1050983.36145507</v>
      </c>
      <c r="BA226" s="343" t="n">
        <f aca="false">+AZ226+AY226</f>
        <v>-20765419.341045</v>
      </c>
      <c r="BB226" s="355" t="n">
        <f aca="false">+BA226+AU226</f>
        <v>100754.096754219</v>
      </c>
      <c r="BC226" s="99"/>
      <c r="BD226" s="357" t="n">
        <f aca="false">+PORTS!I220+PORTS!I528</f>
        <v>1050983.36145507</v>
      </c>
    </row>
    <row r="227" customFormat="false" ht="12.75" hidden="false" customHeight="false" outlineLevel="0" collapsed="false">
      <c r="A227" s="346" t="n">
        <f aca="false">+DATE(YEAR(A226),MONTH(A226)+1,1)</f>
        <v>43070</v>
      </c>
      <c r="B227" s="327" t="n">
        <f aca="false">+IF(AND($A227&gt;=$C$8,$A227&lt;=$C$9),1,0)*PORTS!$I$5/(365.25)*(A228-A227)</f>
        <v>5339105.98184763</v>
      </c>
      <c r="C227" s="328" t="n">
        <f aca="false">+B227-(SUMIF($F$17:$IV$17,$H$17,$F227:$IV227))</f>
        <v>0</v>
      </c>
      <c r="D227" s="0" t="n">
        <f aca="false">+YEAR(E227)</f>
        <v>2017</v>
      </c>
      <c r="E227" s="346" t="n">
        <f aca="false">+DATE(YEAR(E226),MONTH(E226)+1,1)</f>
        <v>43070</v>
      </c>
      <c r="F227" s="327" t="n">
        <f aca="false">+IF(AND(G$8&lt;=E227,G$9&gt;=E227),INDEX(ROUTE_PER_DAY_BY_SHIP,MATCH(CONCATENATE(G$4,G$5,G$7),ROUTE_PER_DAY_ROUTES,0),MATCH(G$6,ROUTE_PER_DAY_SHIPS,0))*(E228-E227),0)</f>
        <v>0</v>
      </c>
      <c r="G227" s="347" t="n">
        <f aca="false">-F227*HLOOKUP(G$6,SHIPS,7,0)*INDEX(LADEN_VOYAGE_DAYS,MATCH(CONCATENATE(G$4,G$5,G$7),LADEN_VOYAGE_ROUTES,0),MATCH(G$6,LADEN_VOYAGE_SHIPS,0))</f>
        <v>-0</v>
      </c>
      <c r="H227" s="348" t="n">
        <f aca="false">SUM(F227:G227)</f>
        <v>0</v>
      </c>
      <c r="I227" s="349" t="n">
        <f aca="false">-(H227)*HLOOKUP(G$5,TERMINAL_CHARGES,3,0)</f>
        <v>-0</v>
      </c>
      <c r="J227" s="327" t="n">
        <f aca="false">+H227+I227</f>
        <v>0</v>
      </c>
      <c r="K227" s="333"/>
      <c r="L227" s="346" t="n">
        <f aca="false">+DATE(YEAR(L226),MONTH(L226)+1,1)</f>
        <v>43070</v>
      </c>
      <c r="M227" s="334" t="n">
        <f aca="false">+J227*(VLOOKUP(L227,CURVECALC!$C$6:$J$312,4,0)+N$5)</f>
        <v>0</v>
      </c>
      <c r="N227" s="350" t="n">
        <f aca="false">-F227*INDEX(ship_curves,MATCH(L227,'SHIP CURVES'!$A$9:$A$316,0),MATCH(CONCATENATE(P$4,P$5,P$6,P$7),'SHIP CURVES'!$A$9:$AZ$9,0))</f>
        <v>-0</v>
      </c>
      <c r="O227" s="351" t="n">
        <f aca="false">-H227*INDEX(port_processing_fee,MATCH(L227,PORTS!$H$626:$H$933,0),MATCH(P$5,PORTS!$H$626:$Z$626,0))</f>
        <v>-0</v>
      </c>
      <c r="P227" s="352" t="n">
        <f aca="false">(((VLOOKUP(L227,curvecalc,4,0))*IF(F227=0,0,J227/F227)-INDEX(ship_curves,MATCH(L227,'SHIP CURVES'!$A$9:$A$316,0),MATCH(CONCATENATE(P$4,P$5,P$6,P$7),'SHIP CURVES'!$A$9:$Z$9,0))-INDEX(terminal_curves,MATCH(L227,'TERMINAL CURVES'!$A$4:$A$313,0),MATCH(P$5,'TERMINAL CURVES'!$A$4:$N$4,0))*IF(F227=0,0,H227/F227))-(N$8)*((N$7-$N$5)-(INDEX(ship_curves,MATCH(L227,'SHIP CURVES'!$A$9:$A$316,0),MATCH(CONCATENATE(P$4,P$5,P$6,P$7),'SHIP CURVES'!$A$9:$Z$9,0))-INDEX(ship_curves,MATCH(L227,'SHIP CURVES'!$A$9:$A$316,0),MATCH(CONCATENATE(P$4,N$6,P$6,P$7),'SHIP CURVES'!$A$9:$Z$9,0)))-(INDEX(terminal_curves,MATCH(L227,'TERMINAL CURVES'!$A$4:$A$313,0),MATCH(P$5,'TERMINAL CURVES'!$A$4:$N$4,0))-INDEX(terminal_curves,MATCH(L227,'TERMINAL CURVES'!$A$4:$A$313,0),MATCH(N$6,'TERMINAL CURVES'!$A$4:$N$4,0)))*IF(F227=0,0,H227/F227)))*-F227</f>
        <v>0</v>
      </c>
      <c r="Q227" s="353" t="n">
        <f aca="false">SUM(N227:P227)</f>
        <v>0</v>
      </c>
      <c r="R227" s="357" t="n">
        <f aca="false">(-H227/((HLOOKUP(P$5,port_specs,2,0)/(365.25))*(L228-L227)))*(INDEX(fixed_capacity_charge,MATCH(L227,PORTS!$H$11:$H$317,0),MATCH(P$5,PORTS!$H$11:$N$11,0))+INDEX(variable_om_charge,MATCH(L227,PORTS!$H$318:$H$625,0),MATCH(P$5,PORTS!$H$318:$N$318,0)))</f>
        <v>-0</v>
      </c>
      <c r="S227" s="343" t="n">
        <f aca="false">+R227+Q227</f>
        <v>0</v>
      </c>
      <c r="T227" s="355" t="n">
        <f aca="false">+S227+M227</f>
        <v>0</v>
      </c>
      <c r="V227" s="346" t="n">
        <f aca="false">+DATE(YEAR(V226),MONTH(V226)+1,1)</f>
        <v>43070</v>
      </c>
      <c r="W227" s="327" t="n">
        <f aca="false">+Y227/(1-HLOOKUP(X$6,SHIPS,7,0)*INDEX(LADEN_VOYAGE_DAYS,MATCH(CONCATENATE(X$4,X$5),LADEN_VOYAGE_ROUTES,0),MATCH(X$6,LADEN_VOYAGE_SHIPS,0)))</f>
        <v>0</v>
      </c>
      <c r="X227" s="347" t="n">
        <f aca="false">+Y227-W227</f>
        <v>0</v>
      </c>
      <c r="Y227" s="348" t="n">
        <f aca="false">+IF(AND(X$8&lt;=V227,X$9&gt;=V227),+MIN($B227-SUMIF($H$17:X$17,Y$17,$H227:X227),((INDEX(ROUTE_PER_DAY_BY_SHIP,MATCH(CONCATENATE(X$4,X$5,X$7),ROUTE_PER_DAY_ROUTES,0),MATCH(X$6,ROUTE_PER_DAY_SHIPS,0))*(V228-V227))-(INDEX(ROUTE_PER_DAY_BY_SHIP,MATCH(CONCATENATE(X$4,X$5,X$7),ROUTE_PER_DAY_ROUTES,0),MATCH(X$6,ROUTE_PER_DAY_SHIPS,0))*(V228-V227))*HLOOKUP(X$6,SHIPS,7,0)*INDEX(LADEN_VOYAGE_DAYS,MATCH(CONCATENATE(X$4,X$5,X$7),LADEN_VOYAGE_ROUTES,0),MATCH(X$6,LADEN_VOYAGE_SHIPS,0)))),0)</f>
        <v>0</v>
      </c>
      <c r="Z227" s="349" t="n">
        <f aca="false">-(Y227)*HLOOKUP(X$5,TERMINAL_CHARGES,3,0)</f>
        <v>-0</v>
      </c>
      <c r="AA227" s="327" t="n">
        <f aca="false">+Y227+Z227</f>
        <v>0</v>
      </c>
      <c r="AB227" s="333"/>
      <c r="AC227" s="346" t="n">
        <f aca="false">+DATE(YEAR(AC226),MONTH(AC226)+1,1)</f>
        <v>43070</v>
      </c>
      <c r="AD227" s="343" t="n">
        <f aca="false">+AA227*(VLOOKUP(AC227,CURVECALC!$C$6:$J$312,4,0)+AE$5)</f>
        <v>0</v>
      </c>
      <c r="AE227" s="350" t="n">
        <f aca="false">-W227*INDEX(ship_curves,MATCH(AC227,'SHIP CURVES'!$A$9:$A$316,0),MATCH(CONCATENATE(AG$4,AG$5,AG$6,AG$7),'SHIP CURVES'!$A$9:$AZ$9,0))</f>
        <v>-0</v>
      </c>
      <c r="AF227" s="351" t="n">
        <f aca="false">-Y227*INDEX(port_processing_fee,MATCH(AC227,PORTS!$H$626:$H$933,0),MATCH(AG$5,PORTS!$H$626:$Z$626,0))</f>
        <v>-0</v>
      </c>
      <c r="AG227" s="352" t="n">
        <f aca="false">(((VLOOKUP(AC227,curvecalc,4,0))*IF(W227=0,0,AA227/W227)-INDEX(ship_curves,MATCH(AC227,'SHIP CURVES'!$A$9:$A$316,0),MATCH(CONCATENATE(AG$4,AG$5,AG$6,AG$7),'SHIP CURVES'!$A$9:$Z$9,0))-INDEX(terminal_curves,MATCH(AC227,'TERMINAL CURVES'!$A$4:$A$313,0),MATCH(AG$5,'TERMINAL CURVES'!$A$4:$N$4,0))*IF(W227=0,0,Y227/W227))-(AE$8)*((AE$7-$N$5)-(INDEX(ship_curves,MATCH(AC227,'SHIP CURVES'!$A$9:$A$316,0),MATCH(CONCATENATE(AG$4,AG$5,AG$6,AG$7),'SHIP CURVES'!$A$9:$Z$9,0))-INDEX(ship_curves,MATCH(AC227,'SHIP CURVES'!$A$9:$A$316,0),MATCH(CONCATENATE(AG$4,AE$6,AG$6,AG$7),'SHIP CURVES'!$A$9:$Z$9,0)))-(INDEX(terminal_curves,MATCH(AC227,'TERMINAL CURVES'!$A$4:$A$313,0),MATCH(AG$5,'TERMINAL CURVES'!$A$4:$N$4,0))-INDEX(terminal_curves,MATCH(AC227,'TERMINAL CURVES'!$A$4:$A$313,0),MATCH(AE$6,'TERMINAL CURVES'!$A$4:$N$4,0)))*IF(W227=0,0,Y227/W227)))*-W227</f>
        <v>0</v>
      </c>
      <c r="AH227" s="356" t="n">
        <f aca="false">SUM(AE227:AG227)</f>
        <v>0</v>
      </c>
      <c r="AI227" s="357" t="n">
        <f aca="false">(-Y227/((HLOOKUP(AG$5,port_specs,2,0)/(365.25))*(AC228-AC227)))*(INDEX(fixed_capacity_charge,MATCH(AC227,PORTS!$H$11:$H$317,0),MATCH(AG$5,PORTS!$H$11:$N$11,0))+INDEX(variable_om_charge,MATCH(AC227,PORTS!$H$318:$H$625,0),MATCH(AG$5,PORTS!$H$318:$N$318,0)))</f>
        <v>-0</v>
      </c>
      <c r="AJ227" s="343" t="n">
        <f aca="false">+AI227+AH227</f>
        <v>0</v>
      </c>
      <c r="AK227" s="355" t="n">
        <f aca="false">+AJ227+AD227</f>
        <v>0</v>
      </c>
      <c r="AM227" s="346" t="n">
        <f aca="false">+DATE(YEAR(AM226),MONTH(AM226)+1,1)</f>
        <v>43070</v>
      </c>
      <c r="AN227" s="327" t="n">
        <f aca="false">+AP227/(1-HLOOKUP(AO$6,SHIPS,7,0)*INDEX(LADEN_VOYAGE_DAYS,MATCH(CONCATENATE(AO$4,AO$5),LADEN_VOYAGE_ROUTES,0),MATCH(AO$6,LADEN_VOYAGE_SHIPS,0)))</f>
        <v>5395761.47735991</v>
      </c>
      <c r="AO227" s="347" t="n">
        <f aca="false">+AP227-AN227</f>
        <v>-56655.4955122788</v>
      </c>
      <c r="AP227" s="348" t="n">
        <f aca="false">+IF(AND(AO$8&lt;=AM227,AO$9&gt;=AM227),+MIN($B227-SUMIF($H$17:AO$17,AP$17,$H227:AO227),((INDEX(ROUTE_PER_DAY_BY_SHIP,MATCH(CONCATENATE(AO$4,AO$5,AO$7),ROUTE_PER_DAY_ROUTES,0),MATCH(AO$6,ROUTE_PER_DAY_SHIPS,0))*(AM228-AM227))-(INDEX(ROUTE_PER_DAY_BY_SHIP,MATCH(CONCATENATE(AO$4,AO$5,AO$7),ROUTE_PER_DAY_ROUTES,0),MATCH(AO$6,ROUTE_PER_DAY_SHIPS,0))*(AM228-AM227))*HLOOKUP(AO$6,SHIPS,7,0)*INDEX(LADEN_VOYAGE_DAYS,MATCH(CONCATENATE(AO$4,AO$5,AO$7),LADEN_VOYAGE_ROUTES,0),MATCH(AO$6,LADEN_VOYAGE_SHIPS,0)))),0)</f>
        <v>5339105.98184763</v>
      </c>
      <c r="AQ227" s="349" t="n">
        <f aca="false">-(AP227)*PORTS!$I$6</f>
        <v>-133477.649546191</v>
      </c>
      <c r="AR227" s="327" t="n">
        <f aca="false">+AP227+AQ227</f>
        <v>5205628.33230144</v>
      </c>
      <c r="AS227" s="333"/>
      <c r="AT227" s="346" t="n">
        <f aca="false">+DATE(YEAR(AT226),MONTH(AT226)+1,1)</f>
        <v>43070</v>
      </c>
      <c r="AU227" s="343" t="n">
        <f aca="false">+AR227*(VLOOKUP(AT227,CURVECALC!$C$6:$J$312,4,0)+AV$5)</f>
        <v>21889667.1373276</v>
      </c>
      <c r="AV227" s="350" t="n">
        <f aca="false">-AN227*INDEX(ship_curves,MATCH(AT227,'SHIP CURVES'!$A$9:$A$316,0),MATCH(CONCATENATE(AX$4,AX$5,AX$6,AX$7),'SHIP CURVES'!$A$9:$AZ$9,0))</f>
        <v>-1849288.45334078</v>
      </c>
      <c r="AW227" s="351" t="n">
        <f aca="false">-AP227*INDEX(port_processing_fee,MATCH(AT227,PORTS!$H$626:$H$933,0),MATCH(AX$5,PORTS!$H$626:$Z$626,0))</f>
        <v>-175809.313179079</v>
      </c>
      <c r="AX227" s="352" t="n">
        <f aca="false">(((VLOOKUP(AT227,curvecalc,4,0))*IF(AN227=0,0,AR227/AN227)-INDEX(ship_curves,MATCH(AT227,'SHIP CURVES'!$A$9:$A$316,0),MATCH(CONCATENATE(AX$4,AX$5,AX$6,AX$7),'SHIP CURVES'!$A$9:$Z$9,0))-INDEX(terminal_curves,MATCH(AT227,'TERMINAL CURVES'!$A$4:$A$313,0),MATCH(AX$5,'TERMINAL CURVES'!$A$4:$N$4,0))*IF(AN227=0,0,AP227/AN227))-(AV$8)*((AV$7-$N$5)-(INDEX(ship_curves,MATCH(AT227,'SHIP CURVES'!$A$9:$A$316,0),MATCH(CONCATENATE(AX$4,AX$5,AX$6,AX$7),'SHIP CURVES'!$A$9:$Z$9,0))-INDEX(ship_curves,MATCH(AT227,'SHIP CURVES'!$A$9:$A$316,0),MATCH(CONCATENATE(AX$4,AV$6,AX$6,AX$7),'SHIP CURVES'!$A$9:$Z$9,0)))-(INDEX(terminal_curves,MATCH(AT227,'TERMINAL CURVES'!$A$4:$A$313,0),MATCH(AX$5,'TERMINAL CURVES'!$A$4:$N$4,0))-INDEX(terminal_curves,MATCH(AT227,'TERMINAL CURVES'!$A$4:$A$313,0),MATCH(AV$6,'TERMINAL CURVES'!$A$4:$N$4,0)))*IF(AN227=0,0,AP227/AN227)))*-AN227</f>
        <v>-18708884.0710498</v>
      </c>
      <c r="AY227" s="356" t="n">
        <f aca="false">SUM(AV227:AX227)</f>
        <v>-20733981.8375696</v>
      </c>
      <c r="AZ227" s="357" t="n">
        <f aca="false">(-AP227/((HLOOKUP(AX$5,port_specs,2,0)/(365.25))*(AT228-AT227)))*(INDEX(fixed_capacity_charge,MATCH(AT227,PORTS!$H$11:$H$317,0),MATCH(AX$5,PORTS!$H$11:$N$11,0))+INDEX(variable_om_charge,MATCH(AT227,PORTS!$H$318:$H$625,0),MATCH(AX$5,PORTS!$H$318:$N$318,0)))</f>
        <v>-1051572.73311189</v>
      </c>
      <c r="BA227" s="343" t="n">
        <f aca="false">+AZ227+AY227</f>
        <v>-21785554.5706815</v>
      </c>
      <c r="BB227" s="355" t="n">
        <f aca="false">+BA227+AU227</f>
        <v>104112.566646028</v>
      </c>
      <c r="BC227" s="99"/>
      <c r="BD227" s="357" t="n">
        <f aca="false">+PORTS!I221+PORTS!I529</f>
        <v>1051572.73311189</v>
      </c>
    </row>
    <row r="228" customFormat="false" ht="12.75" hidden="false" customHeight="false" outlineLevel="0" collapsed="false">
      <c r="A228" s="346" t="n">
        <f aca="false">+DATE(YEAR(A227),MONTH(A227)+1,1)</f>
        <v>43101</v>
      </c>
      <c r="B228" s="327" t="n">
        <f aca="false">+IF(AND($A228&gt;=$C$8,$A228&lt;=$C$9),1,0)*PORTS!$I$5/(365.25)*(A229-A228)</f>
        <v>5339105.98184763</v>
      </c>
      <c r="C228" s="328" t="n">
        <f aca="false">+B228-(SUMIF($F$17:$IV$17,$H$17,$F228:$IV228))</f>
        <v>0</v>
      </c>
      <c r="D228" s="0" t="n">
        <f aca="false">+YEAR(E228)</f>
        <v>2018</v>
      </c>
      <c r="E228" s="346" t="n">
        <f aca="false">+DATE(YEAR(E227),MONTH(E227)+1,1)</f>
        <v>43101</v>
      </c>
      <c r="F228" s="327" t="n">
        <f aca="false">+IF(AND(G$8&lt;=E228,G$9&gt;=E228),INDEX(ROUTE_PER_DAY_BY_SHIP,MATCH(CONCATENATE(G$4,G$5,G$7),ROUTE_PER_DAY_ROUTES,0),MATCH(G$6,ROUTE_PER_DAY_SHIPS,0))*(E229-E228),0)</f>
        <v>0</v>
      </c>
      <c r="G228" s="347" t="n">
        <f aca="false">-F228*HLOOKUP(G$6,SHIPS,7,0)*INDEX(LADEN_VOYAGE_DAYS,MATCH(CONCATENATE(G$4,G$5,G$7),LADEN_VOYAGE_ROUTES,0),MATCH(G$6,LADEN_VOYAGE_SHIPS,0))</f>
        <v>-0</v>
      </c>
      <c r="H228" s="348" t="n">
        <f aca="false">SUM(F228:G228)</f>
        <v>0</v>
      </c>
      <c r="I228" s="349" t="n">
        <f aca="false">-(H228)*HLOOKUP(G$5,TERMINAL_CHARGES,3,0)</f>
        <v>-0</v>
      </c>
      <c r="J228" s="327" t="n">
        <f aca="false">+H228+I228</f>
        <v>0</v>
      </c>
      <c r="K228" s="333"/>
      <c r="L228" s="346" t="n">
        <f aca="false">+DATE(YEAR(L227),MONTH(L227)+1,1)</f>
        <v>43101</v>
      </c>
      <c r="M228" s="334" t="n">
        <f aca="false">+J228*(VLOOKUP(L228,CURVECALC!$C$6:$J$312,4,0)+N$5)</f>
        <v>0</v>
      </c>
      <c r="N228" s="350" t="n">
        <f aca="false">-F228*INDEX(ship_curves,MATCH(L228,'SHIP CURVES'!$A$9:$A$316,0),MATCH(CONCATENATE(P$4,P$5,P$6,P$7),'SHIP CURVES'!$A$9:$AZ$9,0))</f>
        <v>-0</v>
      </c>
      <c r="O228" s="351" t="n">
        <f aca="false">-H228*INDEX(port_processing_fee,MATCH(L228,PORTS!$H$626:$H$933,0),MATCH(P$5,PORTS!$H$626:$Z$626,0))</f>
        <v>-0</v>
      </c>
      <c r="P228" s="352" t="n">
        <f aca="false">(((VLOOKUP(L228,curvecalc,4,0))*IF(F228=0,0,J228/F228)-INDEX(ship_curves,MATCH(L228,'SHIP CURVES'!$A$9:$A$316,0),MATCH(CONCATENATE(P$4,P$5,P$6,P$7),'SHIP CURVES'!$A$9:$Z$9,0))-INDEX(terminal_curves,MATCH(L228,'TERMINAL CURVES'!$A$4:$A$313,0),MATCH(P$5,'TERMINAL CURVES'!$A$4:$N$4,0))*IF(F228=0,0,H228/F228))-(N$8)*((N$7-$N$5)-(INDEX(ship_curves,MATCH(L228,'SHIP CURVES'!$A$9:$A$316,0),MATCH(CONCATENATE(P$4,P$5,P$6,P$7),'SHIP CURVES'!$A$9:$Z$9,0))-INDEX(ship_curves,MATCH(L228,'SHIP CURVES'!$A$9:$A$316,0),MATCH(CONCATENATE(P$4,N$6,P$6,P$7),'SHIP CURVES'!$A$9:$Z$9,0)))-(INDEX(terminal_curves,MATCH(L228,'TERMINAL CURVES'!$A$4:$A$313,0),MATCH(P$5,'TERMINAL CURVES'!$A$4:$N$4,0))-INDEX(terminal_curves,MATCH(L228,'TERMINAL CURVES'!$A$4:$A$313,0),MATCH(N$6,'TERMINAL CURVES'!$A$4:$N$4,0)))*IF(F228=0,0,H228/F228)))*-F228</f>
        <v>0</v>
      </c>
      <c r="Q228" s="353" t="n">
        <f aca="false">SUM(N228:P228)</f>
        <v>0</v>
      </c>
      <c r="R228" s="357" t="n">
        <f aca="false">(-H228/((HLOOKUP(P$5,port_specs,2,0)/(365.25))*(L229-L228)))*(INDEX(fixed_capacity_charge,MATCH(L228,PORTS!$H$11:$H$317,0),MATCH(P$5,PORTS!$H$11:$N$11,0))+INDEX(variable_om_charge,MATCH(L228,PORTS!$H$318:$H$625,0),MATCH(P$5,PORTS!$H$318:$N$318,0)))</f>
        <v>-0</v>
      </c>
      <c r="S228" s="343" t="n">
        <f aca="false">+R228+Q228</f>
        <v>0</v>
      </c>
      <c r="T228" s="355" t="n">
        <f aca="false">+S228+M228</f>
        <v>0</v>
      </c>
      <c r="V228" s="346" t="n">
        <f aca="false">+DATE(YEAR(V227),MONTH(V227)+1,1)</f>
        <v>43101</v>
      </c>
      <c r="W228" s="327" t="n">
        <f aca="false">+Y228/(1-HLOOKUP(X$6,SHIPS,7,0)*INDEX(LADEN_VOYAGE_DAYS,MATCH(CONCATENATE(X$4,X$5),LADEN_VOYAGE_ROUTES,0),MATCH(X$6,LADEN_VOYAGE_SHIPS,0)))</f>
        <v>0</v>
      </c>
      <c r="X228" s="347" t="n">
        <f aca="false">+Y228-W228</f>
        <v>0</v>
      </c>
      <c r="Y228" s="348" t="n">
        <f aca="false">+IF(AND(X$8&lt;=V228,X$9&gt;=V228),+MIN($B228-SUMIF($H$17:X$17,Y$17,$H228:X228),((INDEX(ROUTE_PER_DAY_BY_SHIP,MATCH(CONCATENATE(X$4,X$5,X$7),ROUTE_PER_DAY_ROUTES,0),MATCH(X$6,ROUTE_PER_DAY_SHIPS,0))*(V229-V228))-(INDEX(ROUTE_PER_DAY_BY_SHIP,MATCH(CONCATENATE(X$4,X$5,X$7),ROUTE_PER_DAY_ROUTES,0),MATCH(X$6,ROUTE_PER_DAY_SHIPS,0))*(V229-V228))*HLOOKUP(X$6,SHIPS,7,0)*INDEX(LADEN_VOYAGE_DAYS,MATCH(CONCATENATE(X$4,X$5,X$7),LADEN_VOYAGE_ROUTES,0),MATCH(X$6,LADEN_VOYAGE_SHIPS,0)))),0)</f>
        <v>0</v>
      </c>
      <c r="Z228" s="349" t="n">
        <f aca="false">-(Y228)*HLOOKUP(X$5,TERMINAL_CHARGES,3,0)</f>
        <v>-0</v>
      </c>
      <c r="AA228" s="327" t="n">
        <f aca="false">+Y228+Z228</f>
        <v>0</v>
      </c>
      <c r="AB228" s="333"/>
      <c r="AC228" s="346" t="n">
        <f aca="false">+DATE(YEAR(AC227),MONTH(AC227)+1,1)</f>
        <v>43101</v>
      </c>
      <c r="AD228" s="343" t="n">
        <f aca="false">+AA228*(VLOOKUP(AC228,CURVECALC!$C$6:$J$312,4,0)+AE$5)</f>
        <v>0</v>
      </c>
      <c r="AE228" s="350" t="n">
        <f aca="false">-W228*INDEX(ship_curves,MATCH(AC228,'SHIP CURVES'!$A$9:$A$316,0),MATCH(CONCATENATE(AG$4,AG$5,AG$6,AG$7),'SHIP CURVES'!$A$9:$AZ$9,0))</f>
        <v>-0</v>
      </c>
      <c r="AF228" s="351" t="n">
        <f aca="false">-Y228*INDEX(port_processing_fee,MATCH(AC228,PORTS!$H$626:$H$933,0),MATCH(AG$5,PORTS!$H$626:$Z$626,0))</f>
        <v>-0</v>
      </c>
      <c r="AG228" s="352" t="n">
        <f aca="false">(((VLOOKUP(AC228,curvecalc,4,0))*IF(W228=0,0,AA228/W228)-INDEX(ship_curves,MATCH(AC228,'SHIP CURVES'!$A$9:$A$316,0),MATCH(CONCATENATE(AG$4,AG$5,AG$6,AG$7),'SHIP CURVES'!$A$9:$Z$9,0))-INDEX(terminal_curves,MATCH(AC228,'TERMINAL CURVES'!$A$4:$A$313,0),MATCH(AG$5,'TERMINAL CURVES'!$A$4:$N$4,0))*IF(W228=0,0,Y228/W228))-(AE$8)*((AE$7-$N$5)-(INDEX(ship_curves,MATCH(AC228,'SHIP CURVES'!$A$9:$A$316,0),MATCH(CONCATENATE(AG$4,AG$5,AG$6,AG$7),'SHIP CURVES'!$A$9:$Z$9,0))-INDEX(ship_curves,MATCH(AC228,'SHIP CURVES'!$A$9:$A$316,0),MATCH(CONCATENATE(AG$4,AE$6,AG$6,AG$7),'SHIP CURVES'!$A$9:$Z$9,0)))-(INDEX(terminal_curves,MATCH(AC228,'TERMINAL CURVES'!$A$4:$A$313,0),MATCH(AG$5,'TERMINAL CURVES'!$A$4:$N$4,0))-INDEX(terminal_curves,MATCH(AC228,'TERMINAL CURVES'!$A$4:$A$313,0),MATCH(AE$6,'TERMINAL CURVES'!$A$4:$N$4,0)))*IF(W228=0,0,Y228/W228)))*-W228</f>
        <v>0</v>
      </c>
      <c r="AH228" s="356" t="n">
        <f aca="false">SUM(AE228:AG228)</f>
        <v>0</v>
      </c>
      <c r="AI228" s="357" t="n">
        <f aca="false">(-Y228/((HLOOKUP(AG$5,port_specs,2,0)/(365.25))*(AC229-AC228)))*(INDEX(fixed_capacity_charge,MATCH(AC228,PORTS!$H$11:$H$317,0),MATCH(AG$5,PORTS!$H$11:$N$11,0))+INDEX(variable_om_charge,MATCH(AC228,PORTS!$H$318:$H$625,0),MATCH(AG$5,PORTS!$H$318:$N$318,0)))</f>
        <v>-0</v>
      </c>
      <c r="AJ228" s="343" t="n">
        <f aca="false">+AI228+AH228</f>
        <v>0</v>
      </c>
      <c r="AK228" s="355" t="n">
        <f aca="false">+AJ228+AD228</f>
        <v>0</v>
      </c>
      <c r="AM228" s="346" t="n">
        <f aca="false">+DATE(YEAR(AM227),MONTH(AM227)+1,1)</f>
        <v>43101</v>
      </c>
      <c r="AN228" s="327" t="n">
        <f aca="false">+AP228/(1-HLOOKUP(AO$6,SHIPS,7,0)*INDEX(LADEN_VOYAGE_DAYS,MATCH(CONCATENATE(AO$4,AO$5),LADEN_VOYAGE_ROUTES,0),MATCH(AO$6,LADEN_VOYAGE_SHIPS,0)))</f>
        <v>5395761.47735991</v>
      </c>
      <c r="AO228" s="347" t="n">
        <f aca="false">+AP228-AN228</f>
        <v>-56655.4955122788</v>
      </c>
      <c r="AP228" s="348" t="n">
        <f aca="false">+IF(AND(AO$8&lt;=AM228,AO$9&gt;=AM228),+MIN($B228-SUMIF($H$17:AO$17,AP$17,$H228:AO228),((INDEX(ROUTE_PER_DAY_BY_SHIP,MATCH(CONCATENATE(AO$4,AO$5,AO$7),ROUTE_PER_DAY_ROUTES,0),MATCH(AO$6,ROUTE_PER_DAY_SHIPS,0))*(AM229-AM228))-(INDEX(ROUTE_PER_DAY_BY_SHIP,MATCH(CONCATENATE(AO$4,AO$5,AO$7),ROUTE_PER_DAY_ROUTES,0),MATCH(AO$6,ROUTE_PER_DAY_SHIPS,0))*(AM229-AM228))*HLOOKUP(AO$6,SHIPS,7,0)*INDEX(LADEN_VOYAGE_DAYS,MATCH(CONCATENATE(AO$4,AO$5,AO$7),LADEN_VOYAGE_ROUTES,0),MATCH(AO$6,LADEN_VOYAGE_SHIPS,0)))),0)</f>
        <v>5339105.98184763</v>
      </c>
      <c r="AQ228" s="349" t="n">
        <f aca="false">-(AP228)*PORTS!$I$6</f>
        <v>-133477.649546191</v>
      </c>
      <c r="AR228" s="327" t="n">
        <f aca="false">+AP228+AQ228</f>
        <v>5205628.33230144</v>
      </c>
      <c r="AS228" s="333"/>
      <c r="AT228" s="346" t="n">
        <f aca="false">+DATE(YEAR(AT227),MONTH(AT227)+1,1)</f>
        <v>43101</v>
      </c>
      <c r="AU228" s="343" t="n">
        <f aca="false">+AR228*(VLOOKUP(AT228,CURVECALC!$C$6:$J$312,4,0)+AV$5)</f>
        <v>22930792.8037879</v>
      </c>
      <c r="AV228" s="350" t="n">
        <f aca="false">-AN228*INDEX(ship_curves,MATCH(AT228,'SHIP CURVES'!$A$9:$A$316,0),MATCH(CONCATENATE(AX$4,AX$5,AX$6,AX$7),'SHIP CURVES'!$A$9:$AZ$9,0))</f>
        <v>-1849945.45485396</v>
      </c>
      <c r="AW228" s="351" t="n">
        <f aca="false">-AP228*INDEX(port_processing_fee,MATCH(AT228,PORTS!$H$626:$H$933,0),MATCH(AX$5,PORTS!$H$626:$Z$626,0))</f>
        <v>-175992.447880307</v>
      </c>
      <c r="AX228" s="352" t="n">
        <f aca="false">(((VLOOKUP(AT228,curvecalc,4,0))*IF(AN228=0,0,AR228/AN228)-INDEX(ship_curves,MATCH(AT228,'SHIP CURVES'!$A$9:$A$316,0),MATCH(CONCATENATE(AX$4,AX$5,AX$6,AX$7),'SHIP CURVES'!$A$9:$Z$9,0))-INDEX(terminal_curves,MATCH(AT228,'TERMINAL CURVES'!$A$4:$A$313,0),MATCH(AX$5,'TERMINAL CURVES'!$A$4:$N$4,0))*IF(AN228=0,0,AP228/AN228))-(AV$8)*((AV$7-$N$5)-(INDEX(ship_curves,MATCH(AT228,'SHIP CURVES'!$A$9:$A$316,0),MATCH(CONCATENATE(AX$4,AX$5,AX$6,AX$7),'SHIP CURVES'!$A$9:$Z$9,0))-INDEX(ship_curves,MATCH(AT228,'SHIP CURVES'!$A$9:$A$316,0),MATCH(CONCATENATE(AX$4,AV$6,AX$6,AX$7),'SHIP CURVES'!$A$9:$Z$9,0)))-(INDEX(terminal_curves,MATCH(AT228,'TERMINAL CURVES'!$A$4:$A$313,0),MATCH(AX$5,'TERMINAL CURVES'!$A$4:$N$4,0))-INDEX(terminal_curves,MATCH(AT228,'TERMINAL CURVES'!$A$4:$A$313,0),MATCH(AV$6,'TERMINAL CURVES'!$A$4:$N$4,0)))*IF(AN228=0,0,AP228/AN228)))*-AN228</f>
        <v>-19748579.61571</v>
      </c>
      <c r="AY228" s="356" t="n">
        <f aca="false">SUM(AV228:AX228)</f>
        <v>-21774517.5184443</v>
      </c>
      <c r="AZ228" s="357" t="n">
        <f aca="false">(-AP228/((HLOOKUP(AX$5,port_specs,2,0)/(365.25))*(AT229-AT228)))*(INDEX(fixed_capacity_charge,MATCH(AT228,PORTS!$H$11:$H$317,0),MATCH(AX$5,PORTS!$H$11:$N$11,0))+INDEX(variable_om_charge,MATCH(AT228,PORTS!$H$318:$H$625,0),MATCH(AX$5,PORTS!$H$318:$N$318,0)))</f>
        <v>-1052162.71869752</v>
      </c>
      <c r="BA228" s="343" t="n">
        <f aca="false">+AZ228+AY228</f>
        <v>-22826680.2371418</v>
      </c>
      <c r="BB228" s="355" t="n">
        <f aca="false">+BA228+AU228</f>
        <v>104112.566646025</v>
      </c>
      <c r="BC228" s="99"/>
      <c r="BD228" s="357" t="n">
        <f aca="false">+PORTS!I222+PORTS!I530</f>
        <v>1052162.71869752</v>
      </c>
    </row>
    <row r="229" customFormat="false" ht="12.75" hidden="false" customHeight="false" outlineLevel="0" collapsed="false">
      <c r="A229" s="346" t="n">
        <f aca="false">+DATE(YEAR(A228),MONTH(A228)+1,1)</f>
        <v>43132</v>
      </c>
      <c r="B229" s="327" t="n">
        <f aca="false">+IF(AND($A229&gt;=$C$8,$A229&lt;=$C$9),1,0)*PORTS!$I$5/(365.25)*(A230-A229)</f>
        <v>4822418.30618496</v>
      </c>
      <c r="C229" s="328" t="n">
        <f aca="false">+B229-(SUMIF($F$17:$IV$17,$H$17,$F229:$IV229))</f>
        <v>0</v>
      </c>
      <c r="D229" s="0" t="n">
        <f aca="false">+YEAR(E229)</f>
        <v>2018</v>
      </c>
      <c r="E229" s="346" t="n">
        <f aca="false">+DATE(YEAR(E228),MONTH(E228)+1,1)</f>
        <v>43132</v>
      </c>
      <c r="F229" s="327" t="n">
        <f aca="false">+IF(AND(G$8&lt;=E229,G$9&gt;=E229),INDEX(ROUTE_PER_DAY_BY_SHIP,MATCH(CONCATENATE(G$4,G$5,G$7),ROUTE_PER_DAY_ROUTES,0),MATCH(G$6,ROUTE_PER_DAY_SHIPS,0))*(E230-E229),0)</f>
        <v>0</v>
      </c>
      <c r="G229" s="347" t="n">
        <f aca="false">-F229*HLOOKUP(G$6,SHIPS,7,0)*INDEX(LADEN_VOYAGE_DAYS,MATCH(CONCATENATE(G$4,G$5,G$7),LADEN_VOYAGE_ROUTES,0),MATCH(G$6,LADEN_VOYAGE_SHIPS,0))</f>
        <v>-0</v>
      </c>
      <c r="H229" s="348" t="n">
        <f aca="false">SUM(F229:G229)</f>
        <v>0</v>
      </c>
      <c r="I229" s="349" t="n">
        <f aca="false">-(H229)*HLOOKUP(G$5,TERMINAL_CHARGES,3,0)</f>
        <v>-0</v>
      </c>
      <c r="J229" s="327" t="n">
        <f aca="false">+H229+I229</f>
        <v>0</v>
      </c>
      <c r="K229" s="333"/>
      <c r="L229" s="346" t="n">
        <f aca="false">+DATE(YEAR(L228),MONTH(L228)+1,1)</f>
        <v>43132</v>
      </c>
      <c r="M229" s="334" t="n">
        <f aca="false">+J229*(VLOOKUP(L229,CURVECALC!$C$6:$J$312,4,0)+N$5)</f>
        <v>0</v>
      </c>
      <c r="N229" s="350" t="n">
        <f aca="false">-F229*INDEX(ship_curves,MATCH(L229,'SHIP CURVES'!$A$9:$A$316,0),MATCH(CONCATENATE(P$4,P$5,P$6,P$7),'SHIP CURVES'!$A$9:$AZ$9,0))</f>
        <v>-0</v>
      </c>
      <c r="O229" s="351" t="n">
        <f aca="false">-H229*INDEX(port_processing_fee,MATCH(L229,PORTS!$H$626:$H$933,0),MATCH(P$5,PORTS!$H$626:$Z$626,0))</f>
        <v>-0</v>
      </c>
      <c r="P229" s="352" t="n">
        <f aca="false">(((VLOOKUP(L229,curvecalc,4,0))*IF(F229=0,0,J229/F229)-INDEX(ship_curves,MATCH(L229,'SHIP CURVES'!$A$9:$A$316,0),MATCH(CONCATENATE(P$4,P$5,P$6,P$7),'SHIP CURVES'!$A$9:$Z$9,0))-INDEX(terminal_curves,MATCH(L229,'TERMINAL CURVES'!$A$4:$A$313,0),MATCH(P$5,'TERMINAL CURVES'!$A$4:$N$4,0))*IF(F229=0,0,H229/F229))-(N$8)*((N$7-$N$5)-(INDEX(ship_curves,MATCH(L229,'SHIP CURVES'!$A$9:$A$316,0),MATCH(CONCATENATE(P$4,P$5,P$6,P$7),'SHIP CURVES'!$A$9:$Z$9,0))-INDEX(ship_curves,MATCH(L229,'SHIP CURVES'!$A$9:$A$316,0),MATCH(CONCATENATE(P$4,N$6,P$6,P$7),'SHIP CURVES'!$A$9:$Z$9,0)))-(INDEX(terminal_curves,MATCH(L229,'TERMINAL CURVES'!$A$4:$A$313,0),MATCH(P$5,'TERMINAL CURVES'!$A$4:$N$4,0))-INDEX(terminal_curves,MATCH(L229,'TERMINAL CURVES'!$A$4:$A$313,0),MATCH(N$6,'TERMINAL CURVES'!$A$4:$N$4,0)))*IF(F229=0,0,H229/F229)))*-F229</f>
        <v>0</v>
      </c>
      <c r="Q229" s="353" t="n">
        <f aca="false">SUM(N229:P229)</f>
        <v>0</v>
      </c>
      <c r="R229" s="357" t="n">
        <f aca="false">(-H229/((HLOOKUP(P$5,port_specs,2,0)/(365.25))*(L230-L229)))*(INDEX(fixed_capacity_charge,MATCH(L229,PORTS!$H$11:$H$317,0),MATCH(P$5,PORTS!$H$11:$N$11,0))+INDEX(variable_om_charge,MATCH(L229,PORTS!$H$318:$H$625,0),MATCH(P$5,PORTS!$H$318:$N$318,0)))</f>
        <v>-0</v>
      </c>
      <c r="S229" s="343" t="n">
        <f aca="false">+R229+Q229</f>
        <v>0</v>
      </c>
      <c r="T229" s="355" t="n">
        <f aca="false">+S229+M229</f>
        <v>0</v>
      </c>
      <c r="V229" s="346" t="n">
        <f aca="false">+DATE(YEAR(V228),MONTH(V228)+1,1)</f>
        <v>43132</v>
      </c>
      <c r="W229" s="327" t="n">
        <f aca="false">+Y229/(1-HLOOKUP(X$6,SHIPS,7,0)*INDEX(LADEN_VOYAGE_DAYS,MATCH(CONCATENATE(X$4,X$5),LADEN_VOYAGE_ROUTES,0),MATCH(X$6,LADEN_VOYAGE_SHIPS,0)))</f>
        <v>0</v>
      </c>
      <c r="X229" s="347" t="n">
        <f aca="false">+Y229-W229</f>
        <v>0</v>
      </c>
      <c r="Y229" s="348" t="n">
        <f aca="false">+IF(AND(X$8&lt;=V229,X$9&gt;=V229),+MIN($B229-SUMIF($H$17:X$17,Y$17,$H229:X229),((INDEX(ROUTE_PER_DAY_BY_SHIP,MATCH(CONCATENATE(X$4,X$5,X$7),ROUTE_PER_DAY_ROUTES,0),MATCH(X$6,ROUTE_PER_DAY_SHIPS,0))*(V230-V229))-(INDEX(ROUTE_PER_DAY_BY_SHIP,MATCH(CONCATENATE(X$4,X$5,X$7),ROUTE_PER_DAY_ROUTES,0),MATCH(X$6,ROUTE_PER_DAY_SHIPS,0))*(V230-V229))*HLOOKUP(X$6,SHIPS,7,0)*INDEX(LADEN_VOYAGE_DAYS,MATCH(CONCATENATE(X$4,X$5,X$7),LADEN_VOYAGE_ROUTES,0),MATCH(X$6,LADEN_VOYAGE_SHIPS,0)))),0)</f>
        <v>0</v>
      </c>
      <c r="Z229" s="349" t="n">
        <f aca="false">-(Y229)*HLOOKUP(X$5,TERMINAL_CHARGES,3,0)</f>
        <v>-0</v>
      </c>
      <c r="AA229" s="327" t="n">
        <f aca="false">+Y229+Z229</f>
        <v>0</v>
      </c>
      <c r="AB229" s="333"/>
      <c r="AC229" s="346" t="n">
        <f aca="false">+DATE(YEAR(AC228),MONTH(AC228)+1,1)</f>
        <v>43132</v>
      </c>
      <c r="AD229" s="343" t="n">
        <f aca="false">+AA229*(VLOOKUP(AC229,CURVECALC!$C$6:$J$312,4,0)+AE$5)</f>
        <v>0</v>
      </c>
      <c r="AE229" s="350" t="n">
        <f aca="false">-W229*INDEX(ship_curves,MATCH(AC229,'SHIP CURVES'!$A$9:$A$316,0),MATCH(CONCATENATE(AG$4,AG$5,AG$6,AG$7),'SHIP CURVES'!$A$9:$AZ$9,0))</f>
        <v>-0</v>
      </c>
      <c r="AF229" s="351" t="n">
        <f aca="false">-Y229*INDEX(port_processing_fee,MATCH(AC229,PORTS!$H$626:$H$933,0),MATCH(AG$5,PORTS!$H$626:$Z$626,0))</f>
        <v>-0</v>
      </c>
      <c r="AG229" s="352" t="n">
        <f aca="false">(((VLOOKUP(AC229,curvecalc,4,0))*IF(W229=0,0,AA229/W229)-INDEX(ship_curves,MATCH(AC229,'SHIP CURVES'!$A$9:$A$316,0),MATCH(CONCATENATE(AG$4,AG$5,AG$6,AG$7),'SHIP CURVES'!$A$9:$Z$9,0))-INDEX(terminal_curves,MATCH(AC229,'TERMINAL CURVES'!$A$4:$A$313,0),MATCH(AG$5,'TERMINAL CURVES'!$A$4:$N$4,0))*IF(W229=0,0,Y229/W229))-(AE$8)*((AE$7-$N$5)-(INDEX(ship_curves,MATCH(AC229,'SHIP CURVES'!$A$9:$A$316,0),MATCH(CONCATENATE(AG$4,AG$5,AG$6,AG$7),'SHIP CURVES'!$A$9:$Z$9,0))-INDEX(ship_curves,MATCH(AC229,'SHIP CURVES'!$A$9:$A$316,0),MATCH(CONCATENATE(AG$4,AE$6,AG$6,AG$7),'SHIP CURVES'!$A$9:$Z$9,0)))-(INDEX(terminal_curves,MATCH(AC229,'TERMINAL CURVES'!$A$4:$A$313,0),MATCH(AG$5,'TERMINAL CURVES'!$A$4:$N$4,0))-INDEX(terminal_curves,MATCH(AC229,'TERMINAL CURVES'!$A$4:$A$313,0),MATCH(AE$6,'TERMINAL CURVES'!$A$4:$N$4,0)))*IF(W229=0,0,Y229/W229)))*-W229</f>
        <v>0</v>
      </c>
      <c r="AH229" s="356" t="n">
        <f aca="false">SUM(AE229:AG229)</f>
        <v>0</v>
      </c>
      <c r="AI229" s="357" t="n">
        <f aca="false">(-Y229/((HLOOKUP(AG$5,port_specs,2,0)/(365.25))*(AC230-AC229)))*(INDEX(fixed_capacity_charge,MATCH(AC229,PORTS!$H$11:$H$317,0),MATCH(AG$5,PORTS!$H$11:$N$11,0))+INDEX(variable_om_charge,MATCH(AC229,PORTS!$H$318:$H$625,0),MATCH(AG$5,PORTS!$H$318:$N$318,0)))</f>
        <v>-0</v>
      </c>
      <c r="AJ229" s="343" t="n">
        <f aca="false">+AI229+AH229</f>
        <v>0</v>
      </c>
      <c r="AK229" s="355" t="n">
        <f aca="false">+AJ229+AD229</f>
        <v>0</v>
      </c>
      <c r="AM229" s="346" t="n">
        <f aca="false">+DATE(YEAR(AM228),MONTH(AM228)+1,1)</f>
        <v>43132</v>
      </c>
      <c r="AN229" s="327" t="n">
        <f aca="false">+AP229/(1-HLOOKUP(AO$6,SHIPS,7,0)*INDEX(LADEN_VOYAGE_DAYS,MATCH(CONCATENATE(AO$4,AO$5),LADEN_VOYAGE_ROUTES,0),MATCH(AO$6,LADEN_VOYAGE_SHIPS,0)))</f>
        <v>4873591.01180895</v>
      </c>
      <c r="AO229" s="347" t="n">
        <f aca="false">+AP229-AN229</f>
        <v>-51172.7056239937</v>
      </c>
      <c r="AP229" s="348" t="n">
        <f aca="false">+IF(AND(AO$8&lt;=AM229,AO$9&gt;=AM229),+MIN($B229-SUMIF($H$17:AO$17,AP$17,$H229:AO229),((INDEX(ROUTE_PER_DAY_BY_SHIP,MATCH(CONCATENATE(AO$4,AO$5,AO$7),ROUTE_PER_DAY_ROUTES,0),MATCH(AO$6,ROUTE_PER_DAY_SHIPS,0))*(AM230-AM229))-(INDEX(ROUTE_PER_DAY_BY_SHIP,MATCH(CONCATENATE(AO$4,AO$5,AO$7),ROUTE_PER_DAY_ROUTES,0),MATCH(AO$6,ROUTE_PER_DAY_SHIPS,0))*(AM230-AM229))*HLOOKUP(AO$6,SHIPS,7,0)*INDEX(LADEN_VOYAGE_DAYS,MATCH(CONCATENATE(AO$4,AO$5,AO$7),LADEN_VOYAGE_ROUTES,0),MATCH(AO$6,LADEN_VOYAGE_SHIPS,0)))),0)</f>
        <v>4822418.30618496</v>
      </c>
      <c r="AQ229" s="349" t="n">
        <f aca="false">-(AP229)*PORTS!$I$6</f>
        <v>-120560.457654624</v>
      </c>
      <c r="AR229" s="327" t="n">
        <f aca="false">+AP229+AQ229</f>
        <v>4701857.84853034</v>
      </c>
      <c r="AS229" s="333"/>
      <c r="AT229" s="346" t="n">
        <f aca="false">+DATE(YEAR(AT228),MONTH(AT228)+1,1)</f>
        <v>43132</v>
      </c>
      <c r="AU229" s="343" t="n">
        <f aca="false">+AR229*(VLOOKUP(AT229,CURVECALC!$C$6:$J$312,4,0)+AV$5)</f>
        <v>20382553.773379</v>
      </c>
      <c r="AV229" s="350" t="n">
        <f aca="false">-AN229*INDEX(ship_curves,MATCH(AT229,'SHIP CURVES'!$A$9:$A$316,0),MATCH(CONCATENATE(AX$4,AX$5,AX$6,AX$7),'SHIP CURVES'!$A$9:$AZ$9,0))</f>
        <v>-1671513.13236671</v>
      </c>
      <c r="AW229" s="351" t="n">
        <f aca="false">-AP229*INDEX(port_processing_fee,MATCH(AT229,PORTS!$H$626:$H$933,0),MATCH(AX$5,PORTS!$H$626:$Z$626,0))</f>
        <v>-159126.504958444</v>
      </c>
      <c r="AX229" s="352" t="n">
        <f aca="false">(((VLOOKUP(AT229,curvecalc,4,0))*IF(AN229=0,0,AR229/AN229)-INDEX(ship_curves,MATCH(AT229,'SHIP CURVES'!$A$9:$A$316,0),MATCH(CONCATENATE(AX$4,AX$5,AX$6,AX$7),'SHIP CURVES'!$A$9:$Z$9,0))-INDEX(terminal_curves,MATCH(AT229,'TERMINAL CURVES'!$A$4:$A$313,0),MATCH(AX$5,'TERMINAL CURVES'!$A$4:$N$4,0))*IF(AN229=0,0,AP229/AN229))-(AV$8)*((AV$7-$N$5)-(INDEX(ship_curves,MATCH(AT229,'SHIP CURVES'!$A$9:$A$316,0),MATCH(CONCATENATE(AX$4,AX$5,AX$6,AX$7),'SHIP CURVES'!$A$9:$Z$9,0))-INDEX(ship_curves,MATCH(AT229,'SHIP CURVES'!$A$9:$A$316,0),MATCH(CONCATENATE(AX$4,AV$6,AX$6,AX$7),'SHIP CURVES'!$A$9:$Z$9,0)))-(INDEX(terminal_curves,MATCH(AT229,'TERMINAL CURVES'!$A$4:$A$313,0),MATCH(AX$5,'TERMINAL CURVES'!$A$4:$N$4,0))-INDEX(terminal_curves,MATCH(AT229,'TERMINAL CURVES'!$A$4:$A$313,0),MATCH(AV$6,'TERMINAL CURVES'!$A$4:$N$4,0)))*IF(AN229=0,0,AP229/AN229)))*-AN229</f>
        <v>-17405123.6602318</v>
      </c>
      <c r="AY229" s="356" t="n">
        <f aca="false">SUM(AV229:AX229)</f>
        <v>-19235763.2975569</v>
      </c>
      <c r="AZ229" s="357" t="n">
        <f aca="false">(-AP229/((HLOOKUP(AX$5,port_specs,2,0)/(365.25))*(AT230-AT229)))*(INDEX(fixed_capacity_charge,MATCH(AT229,PORTS!$H$11:$H$317,0),MATCH(AX$5,PORTS!$H$11:$N$11,0))+INDEX(variable_om_charge,MATCH(AT229,PORTS!$H$318:$H$625,0),MATCH(AX$5,PORTS!$H$318:$N$318,0)))</f>
        <v>-1052753.31885146</v>
      </c>
      <c r="BA229" s="343" t="n">
        <f aca="false">+AZ229+AY229</f>
        <v>-20288516.6164084</v>
      </c>
      <c r="BB229" s="355" t="n">
        <f aca="false">+BA229+AU229</f>
        <v>94037.156970609</v>
      </c>
      <c r="BC229" s="99"/>
      <c r="BD229" s="357" t="n">
        <f aca="false">+PORTS!I223+PORTS!I531</f>
        <v>1052753.31885146</v>
      </c>
    </row>
    <row r="230" customFormat="false" ht="12.75" hidden="false" customHeight="false" outlineLevel="0" collapsed="false">
      <c r="A230" s="346" t="n">
        <f aca="false">+DATE(YEAR(A229),MONTH(A229)+1,1)</f>
        <v>43160</v>
      </c>
      <c r="B230" s="327" t="n">
        <f aca="false">+IF(AND($A230&gt;=$C$8,$A230&lt;=$C$9),1,0)*PORTS!$I$5/(365.25)*(A231-A230)</f>
        <v>5339105.98184763</v>
      </c>
      <c r="C230" s="328" t="n">
        <f aca="false">+B230-(SUMIF($F$17:$IV$17,$H$17,$F230:$IV230))</f>
        <v>0</v>
      </c>
      <c r="D230" s="0" t="n">
        <f aca="false">+YEAR(E230)</f>
        <v>2018</v>
      </c>
      <c r="E230" s="346" t="n">
        <f aca="false">+DATE(YEAR(E229),MONTH(E229)+1,1)</f>
        <v>43160</v>
      </c>
      <c r="F230" s="327" t="n">
        <f aca="false">+IF(AND(G$8&lt;=E230,G$9&gt;=E230),INDEX(ROUTE_PER_DAY_BY_SHIP,MATCH(CONCATENATE(G$4,G$5,G$7),ROUTE_PER_DAY_ROUTES,0),MATCH(G$6,ROUTE_PER_DAY_SHIPS,0))*(E231-E230),0)</f>
        <v>0</v>
      </c>
      <c r="G230" s="347" t="n">
        <f aca="false">-F230*HLOOKUP(G$6,SHIPS,7,0)*INDEX(LADEN_VOYAGE_DAYS,MATCH(CONCATENATE(G$4,G$5,G$7),LADEN_VOYAGE_ROUTES,0),MATCH(G$6,LADEN_VOYAGE_SHIPS,0))</f>
        <v>-0</v>
      </c>
      <c r="H230" s="348" t="n">
        <f aca="false">SUM(F230:G230)</f>
        <v>0</v>
      </c>
      <c r="I230" s="349" t="n">
        <f aca="false">-(H230)*HLOOKUP(G$5,TERMINAL_CHARGES,3,0)</f>
        <v>-0</v>
      </c>
      <c r="J230" s="327" t="n">
        <f aca="false">+H230+I230</f>
        <v>0</v>
      </c>
      <c r="K230" s="333"/>
      <c r="L230" s="346" t="n">
        <f aca="false">+DATE(YEAR(L229),MONTH(L229)+1,1)</f>
        <v>43160</v>
      </c>
      <c r="M230" s="334" t="n">
        <f aca="false">+J230*(VLOOKUP(L230,CURVECALC!$C$6:$J$312,4,0)+N$5)</f>
        <v>0</v>
      </c>
      <c r="N230" s="350" t="n">
        <f aca="false">-F230*INDEX(ship_curves,MATCH(L230,'SHIP CURVES'!$A$9:$A$316,0),MATCH(CONCATENATE(P$4,P$5,P$6,P$7),'SHIP CURVES'!$A$9:$AZ$9,0))</f>
        <v>-0</v>
      </c>
      <c r="O230" s="351" t="n">
        <f aca="false">-H230*INDEX(port_processing_fee,MATCH(L230,PORTS!$H$626:$H$933,0),MATCH(P$5,PORTS!$H$626:$Z$626,0))</f>
        <v>-0</v>
      </c>
      <c r="P230" s="352" t="n">
        <f aca="false">(((VLOOKUP(L230,curvecalc,4,0))*IF(F230=0,0,J230/F230)-INDEX(ship_curves,MATCH(L230,'SHIP CURVES'!$A$9:$A$316,0),MATCH(CONCATENATE(P$4,P$5,P$6,P$7),'SHIP CURVES'!$A$9:$Z$9,0))-INDEX(terminal_curves,MATCH(L230,'TERMINAL CURVES'!$A$4:$A$313,0),MATCH(P$5,'TERMINAL CURVES'!$A$4:$N$4,0))*IF(F230=0,0,H230/F230))-(N$8)*((N$7-$N$5)-(INDEX(ship_curves,MATCH(L230,'SHIP CURVES'!$A$9:$A$316,0),MATCH(CONCATENATE(P$4,P$5,P$6,P$7),'SHIP CURVES'!$A$9:$Z$9,0))-INDEX(ship_curves,MATCH(L230,'SHIP CURVES'!$A$9:$A$316,0),MATCH(CONCATENATE(P$4,N$6,P$6,P$7),'SHIP CURVES'!$A$9:$Z$9,0)))-(INDEX(terminal_curves,MATCH(L230,'TERMINAL CURVES'!$A$4:$A$313,0),MATCH(P$5,'TERMINAL CURVES'!$A$4:$N$4,0))-INDEX(terminal_curves,MATCH(L230,'TERMINAL CURVES'!$A$4:$A$313,0),MATCH(N$6,'TERMINAL CURVES'!$A$4:$N$4,0)))*IF(F230=0,0,H230/F230)))*-F230</f>
        <v>0</v>
      </c>
      <c r="Q230" s="353" t="n">
        <f aca="false">SUM(N230:P230)</f>
        <v>0</v>
      </c>
      <c r="R230" s="357" t="n">
        <f aca="false">(-H230/((HLOOKUP(P$5,port_specs,2,0)/(365.25))*(L231-L230)))*(INDEX(fixed_capacity_charge,MATCH(L230,PORTS!$H$11:$H$317,0),MATCH(P$5,PORTS!$H$11:$N$11,0))+INDEX(variable_om_charge,MATCH(L230,PORTS!$H$318:$H$625,0),MATCH(P$5,PORTS!$H$318:$N$318,0)))</f>
        <v>-0</v>
      </c>
      <c r="S230" s="343" t="n">
        <f aca="false">+R230+Q230</f>
        <v>0</v>
      </c>
      <c r="T230" s="355" t="n">
        <f aca="false">+S230+M230</f>
        <v>0</v>
      </c>
      <c r="V230" s="346" t="n">
        <f aca="false">+DATE(YEAR(V229),MONTH(V229)+1,1)</f>
        <v>43160</v>
      </c>
      <c r="W230" s="327" t="n">
        <f aca="false">+Y230/(1-HLOOKUP(X$6,SHIPS,7,0)*INDEX(LADEN_VOYAGE_DAYS,MATCH(CONCATENATE(X$4,X$5),LADEN_VOYAGE_ROUTES,0),MATCH(X$6,LADEN_VOYAGE_SHIPS,0)))</f>
        <v>0</v>
      </c>
      <c r="X230" s="347" t="n">
        <f aca="false">+Y230-W230</f>
        <v>0</v>
      </c>
      <c r="Y230" s="348" t="n">
        <f aca="false">+IF(AND(X$8&lt;=V230,X$9&gt;=V230),+MIN($B230-SUMIF($H$17:X$17,Y$17,$H230:X230),((INDEX(ROUTE_PER_DAY_BY_SHIP,MATCH(CONCATENATE(X$4,X$5,X$7),ROUTE_PER_DAY_ROUTES,0),MATCH(X$6,ROUTE_PER_DAY_SHIPS,0))*(V231-V230))-(INDEX(ROUTE_PER_DAY_BY_SHIP,MATCH(CONCATENATE(X$4,X$5,X$7),ROUTE_PER_DAY_ROUTES,0),MATCH(X$6,ROUTE_PER_DAY_SHIPS,0))*(V231-V230))*HLOOKUP(X$6,SHIPS,7,0)*INDEX(LADEN_VOYAGE_DAYS,MATCH(CONCATENATE(X$4,X$5,X$7),LADEN_VOYAGE_ROUTES,0),MATCH(X$6,LADEN_VOYAGE_SHIPS,0)))),0)</f>
        <v>0</v>
      </c>
      <c r="Z230" s="349" t="n">
        <f aca="false">-(Y230)*HLOOKUP(X$5,TERMINAL_CHARGES,3,0)</f>
        <v>-0</v>
      </c>
      <c r="AA230" s="327" t="n">
        <f aca="false">+Y230+Z230</f>
        <v>0</v>
      </c>
      <c r="AB230" s="333"/>
      <c r="AC230" s="346" t="n">
        <f aca="false">+DATE(YEAR(AC229),MONTH(AC229)+1,1)</f>
        <v>43160</v>
      </c>
      <c r="AD230" s="343" t="n">
        <f aca="false">+AA230*(VLOOKUP(AC230,CURVECALC!$C$6:$J$312,4,0)+AE$5)</f>
        <v>0</v>
      </c>
      <c r="AE230" s="350" t="n">
        <f aca="false">-W230*INDEX(ship_curves,MATCH(AC230,'SHIP CURVES'!$A$9:$A$316,0),MATCH(CONCATENATE(AG$4,AG$5,AG$6,AG$7),'SHIP CURVES'!$A$9:$AZ$9,0))</f>
        <v>-0</v>
      </c>
      <c r="AF230" s="351" t="n">
        <f aca="false">-Y230*INDEX(port_processing_fee,MATCH(AC230,PORTS!$H$626:$H$933,0),MATCH(AG$5,PORTS!$H$626:$Z$626,0))</f>
        <v>-0</v>
      </c>
      <c r="AG230" s="352" t="n">
        <f aca="false">(((VLOOKUP(AC230,curvecalc,4,0))*IF(W230=0,0,AA230/W230)-INDEX(ship_curves,MATCH(AC230,'SHIP CURVES'!$A$9:$A$316,0),MATCH(CONCATENATE(AG$4,AG$5,AG$6,AG$7),'SHIP CURVES'!$A$9:$Z$9,0))-INDEX(terminal_curves,MATCH(AC230,'TERMINAL CURVES'!$A$4:$A$313,0),MATCH(AG$5,'TERMINAL CURVES'!$A$4:$N$4,0))*IF(W230=0,0,Y230/W230))-(AE$8)*((AE$7-$N$5)-(INDEX(ship_curves,MATCH(AC230,'SHIP CURVES'!$A$9:$A$316,0),MATCH(CONCATENATE(AG$4,AG$5,AG$6,AG$7),'SHIP CURVES'!$A$9:$Z$9,0))-INDEX(ship_curves,MATCH(AC230,'SHIP CURVES'!$A$9:$A$316,0),MATCH(CONCATENATE(AG$4,AE$6,AG$6,AG$7),'SHIP CURVES'!$A$9:$Z$9,0)))-(INDEX(terminal_curves,MATCH(AC230,'TERMINAL CURVES'!$A$4:$A$313,0),MATCH(AG$5,'TERMINAL CURVES'!$A$4:$N$4,0))-INDEX(terminal_curves,MATCH(AC230,'TERMINAL CURVES'!$A$4:$A$313,0),MATCH(AE$6,'TERMINAL CURVES'!$A$4:$N$4,0)))*IF(W230=0,0,Y230/W230)))*-W230</f>
        <v>0</v>
      </c>
      <c r="AH230" s="356" t="n">
        <f aca="false">SUM(AE230:AG230)</f>
        <v>0</v>
      </c>
      <c r="AI230" s="357" t="n">
        <f aca="false">(-Y230/((HLOOKUP(AG$5,port_specs,2,0)/(365.25))*(AC231-AC230)))*(INDEX(fixed_capacity_charge,MATCH(AC230,PORTS!$H$11:$H$317,0),MATCH(AG$5,PORTS!$H$11:$N$11,0))+INDEX(variable_om_charge,MATCH(AC230,PORTS!$H$318:$H$625,0),MATCH(AG$5,PORTS!$H$318:$N$318,0)))</f>
        <v>-0</v>
      </c>
      <c r="AJ230" s="343" t="n">
        <f aca="false">+AI230+AH230</f>
        <v>0</v>
      </c>
      <c r="AK230" s="355" t="n">
        <f aca="false">+AJ230+AD230</f>
        <v>0</v>
      </c>
      <c r="AM230" s="346" t="n">
        <f aca="false">+DATE(YEAR(AM229),MONTH(AM229)+1,1)</f>
        <v>43160</v>
      </c>
      <c r="AN230" s="327" t="n">
        <f aca="false">+AP230/(1-HLOOKUP(AO$6,SHIPS,7,0)*INDEX(LADEN_VOYAGE_DAYS,MATCH(CONCATENATE(AO$4,AO$5),LADEN_VOYAGE_ROUTES,0),MATCH(AO$6,LADEN_VOYAGE_SHIPS,0)))</f>
        <v>5395761.47735991</v>
      </c>
      <c r="AO230" s="347" t="n">
        <f aca="false">+AP230-AN230</f>
        <v>-56655.4955122788</v>
      </c>
      <c r="AP230" s="348" t="n">
        <f aca="false">+IF(AND(AO$8&lt;=AM230,AO$9&gt;=AM230),+MIN($B230-SUMIF($H$17:AO$17,AP$17,$H230:AO230),((INDEX(ROUTE_PER_DAY_BY_SHIP,MATCH(CONCATENATE(AO$4,AO$5,AO$7),ROUTE_PER_DAY_ROUTES,0),MATCH(AO$6,ROUTE_PER_DAY_SHIPS,0))*(AM231-AM230))-(INDEX(ROUTE_PER_DAY_BY_SHIP,MATCH(CONCATENATE(AO$4,AO$5,AO$7),ROUTE_PER_DAY_ROUTES,0),MATCH(AO$6,ROUTE_PER_DAY_SHIPS,0))*(AM231-AM230))*HLOOKUP(AO$6,SHIPS,7,0)*INDEX(LADEN_VOYAGE_DAYS,MATCH(CONCATENATE(AO$4,AO$5,AO$7),LADEN_VOYAGE_ROUTES,0),MATCH(AO$6,LADEN_VOYAGE_SHIPS,0)))),0)</f>
        <v>5339105.98184763</v>
      </c>
      <c r="AQ230" s="349" t="n">
        <f aca="false">-(AP230)*PORTS!$I$6</f>
        <v>-133477.649546191</v>
      </c>
      <c r="AR230" s="327" t="n">
        <f aca="false">+AP230+AQ230</f>
        <v>5205628.33230144</v>
      </c>
      <c r="AS230" s="333"/>
      <c r="AT230" s="346" t="n">
        <f aca="false">+DATE(YEAR(AT229),MONTH(AT229)+1,1)</f>
        <v>43160</v>
      </c>
      <c r="AU230" s="343" t="n">
        <f aca="false">+AR230*(VLOOKUP(AT230,CURVECALC!$C$6:$J$312,4,0)+AV$5)</f>
        <v>22071864.1289581</v>
      </c>
      <c r="AV230" s="350" t="n">
        <f aca="false">-AN230*INDEX(ship_curves,MATCH(AT230,'SHIP CURVES'!$A$9:$A$316,0),MATCH(CONCATENATE(AX$4,AX$5,AX$6,AX$7),'SHIP CURVES'!$A$9:$AZ$9,0))</f>
        <v>-1851263.56699134</v>
      </c>
      <c r="AW230" s="351" t="n">
        <f aca="false">-AP230*INDEX(port_processing_fee,MATCH(AT230,PORTS!$H$626:$H$933,0),MATCH(AX$5,PORTS!$H$626:$Z$626,0))</f>
        <v>-176359.289777419</v>
      </c>
      <c r="AX230" s="352" t="n">
        <f aca="false">(((VLOOKUP(AT230,curvecalc,4,0))*IF(AN230=0,0,AR230/AN230)-INDEX(ship_curves,MATCH(AT230,'SHIP CURVES'!$A$9:$A$316,0),MATCH(CONCATENATE(AX$4,AX$5,AX$6,AX$7),'SHIP CURVES'!$A$9:$Z$9,0))-INDEX(terminal_curves,MATCH(AT230,'TERMINAL CURVES'!$A$4:$A$313,0),MATCH(AX$5,'TERMINAL CURVES'!$A$4:$N$4,0))*IF(AN230=0,0,AP230/AN230))-(AV$8)*((AV$7-$N$5)-(INDEX(ship_curves,MATCH(AT230,'SHIP CURVES'!$A$9:$A$316,0),MATCH(CONCATENATE(AX$4,AX$5,AX$6,AX$7),'SHIP CURVES'!$A$9:$Z$9,0))-INDEX(ship_curves,MATCH(AT230,'SHIP CURVES'!$A$9:$A$316,0),MATCH(CONCATENATE(AX$4,AV$6,AX$6,AX$7),'SHIP CURVES'!$A$9:$Z$9,0)))-(INDEX(terminal_curves,MATCH(AT230,'TERMINAL CURVES'!$A$4:$A$313,0),MATCH(AX$5,'TERMINAL CURVES'!$A$4:$N$4,0))-INDEX(terminal_curves,MATCH(AT230,'TERMINAL CURVES'!$A$4:$A$313,0),MATCH(AV$6,'TERMINAL CURVES'!$A$4:$N$4,0)))*IF(AN230=0,0,AP230/AN230)))*-AN230</f>
        <v>-18886784.1713294</v>
      </c>
      <c r="AY230" s="356" t="n">
        <f aca="false">SUM(AV230:AX230)</f>
        <v>-20914407.0280982</v>
      </c>
      <c r="AZ230" s="357" t="n">
        <f aca="false">(-AP230/((HLOOKUP(AX$5,port_specs,2,0)/(365.25))*(AT231-AT230)))*(INDEX(fixed_capacity_charge,MATCH(AT230,PORTS!$H$11:$H$317,0),MATCH(AX$5,PORTS!$H$11:$N$11,0))+INDEX(variable_om_charge,MATCH(AT230,PORTS!$H$318:$H$625,0),MATCH(AX$5,PORTS!$H$318:$N$318,0)))</f>
        <v>-1053344.5342139</v>
      </c>
      <c r="BA230" s="343" t="n">
        <f aca="false">+AZ230+AY230</f>
        <v>-21967751.5623121</v>
      </c>
      <c r="BB230" s="355" t="n">
        <f aca="false">+BA230+AU230</f>
        <v>104112.566646032</v>
      </c>
      <c r="BC230" s="99"/>
      <c r="BD230" s="357" t="n">
        <f aca="false">+PORTS!I224+PORTS!I532</f>
        <v>1053344.5342139</v>
      </c>
    </row>
    <row r="231" customFormat="false" ht="12.75" hidden="false" customHeight="false" outlineLevel="0" collapsed="false">
      <c r="A231" s="346" t="n">
        <f aca="false">+DATE(YEAR(A230),MONTH(A230)+1,1)</f>
        <v>43191</v>
      </c>
      <c r="B231" s="327" t="n">
        <f aca="false">+IF(AND($A231&gt;=$C$8,$A231&lt;=$C$9),1,0)*PORTS!$I$5/(365.25)*(A232-A231)</f>
        <v>5166876.75662674</v>
      </c>
      <c r="C231" s="328" t="n">
        <f aca="false">+B231-(SUMIF($F$17:$IV$17,$H$17,$F231:$IV231))</f>
        <v>0</v>
      </c>
      <c r="D231" s="0" t="n">
        <f aca="false">+YEAR(E231)</f>
        <v>2018</v>
      </c>
      <c r="E231" s="346" t="n">
        <f aca="false">+DATE(YEAR(E230),MONTH(E230)+1,1)</f>
        <v>43191</v>
      </c>
      <c r="F231" s="327" t="n">
        <f aca="false">+IF(AND(G$8&lt;=E231,G$9&gt;=E231),INDEX(ROUTE_PER_DAY_BY_SHIP,MATCH(CONCATENATE(G$4,G$5,G$7),ROUTE_PER_DAY_ROUTES,0),MATCH(G$6,ROUTE_PER_DAY_SHIPS,0))*(E232-E231),0)</f>
        <v>0</v>
      </c>
      <c r="G231" s="347" t="n">
        <f aca="false">-F231*HLOOKUP(G$6,SHIPS,7,0)*INDEX(LADEN_VOYAGE_DAYS,MATCH(CONCATENATE(G$4,G$5,G$7),LADEN_VOYAGE_ROUTES,0),MATCH(G$6,LADEN_VOYAGE_SHIPS,0))</f>
        <v>-0</v>
      </c>
      <c r="H231" s="348" t="n">
        <f aca="false">SUM(F231:G231)</f>
        <v>0</v>
      </c>
      <c r="I231" s="349" t="n">
        <f aca="false">-(H231)*HLOOKUP(G$5,TERMINAL_CHARGES,3,0)</f>
        <v>-0</v>
      </c>
      <c r="J231" s="327" t="n">
        <f aca="false">+H231+I231</f>
        <v>0</v>
      </c>
      <c r="K231" s="333"/>
      <c r="L231" s="346" t="n">
        <f aca="false">+DATE(YEAR(L230),MONTH(L230)+1,1)</f>
        <v>43191</v>
      </c>
      <c r="M231" s="334" t="n">
        <f aca="false">+J231*(VLOOKUP(L231,CURVECALC!$C$6:$J$312,4,0)+N$5)</f>
        <v>0</v>
      </c>
      <c r="N231" s="350" t="n">
        <f aca="false">-F231*INDEX(ship_curves,MATCH(L231,'SHIP CURVES'!$A$9:$A$316,0),MATCH(CONCATENATE(P$4,P$5,P$6,P$7),'SHIP CURVES'!$A$9:$AZ$9,0))</f>
        <v>-0</v>
      </c>
      <c r="O231" s="351" t="n">
        <f aca="false">-H231*INDEX(port_processing_fee,MATCH(L231,PORTS!$H$626:$H$933,0),MATCH(P$5,PORTS!$H$626:$Z$626,0))</f>
        <v>-0</v>
      </c>
      <c r="P231" s="352" t="n">
        <f aca="false">(((VLOOKUP(L231,curvecalc,4,0))*IF(F231=0,0,J231/F231)-INDEX(ship_curves,MATCH(L231,'SHIP CURVES'!$A$9:$A$316,0),MATCH(CONCATENATE(P$4,P$5,P$6,P$7),'SHIP CURVES'!$A$9:$Z$9,0))-INDEX(terminal_curves,MATCH(L231,'TERMINAL CURVES'!$A$4:$A$313,0),MATCH(P$5,'TERMINAL CURVES'!$A$4:$N$4,0))*IF(F231=0,0,H231/F231))-(N$8)*((N$7-$N$5)-(INDEX(ship_curves,MATCH(L231,'SHIP CURVES'!$A$9:$A$316,0),MATCH(CONCATENATE(P$4,P$5,P$6,P$7),'SHIP CURVES'!$A$9:$Z$9,0))-INDEX(ship_curves,MATCH(L231,'SHIP CURVES'!$A$9:$A$316,0),MATCH(CONCATENATE(P$4,N$6,P$6,P$7),'SHIP CURVES'!$A$9:$Z$9,0)))-(INDEX(terminal_curves,MATCH(L231,'TERMINAL CURVES'!$A$4:$A$313,0),MATCH(P$5,'TERMINAL CURVES'!$A$4:$N$4,0))-INDEX(terminal_curves,MATCH(L231,'TERMINAL CURVES'!$A$4:$A$313,0),MATCH(N$6,'TERMINAL CURVES'!$A$4:$N$4,0)))*IF(F231=0,0,H231/F231)))*-F231</f>
        <v>0</v>
      </c>
      <c r="Q231" s="353" t="n">
        <f aca="false">SUM(N231:P231)</f>
        <v>0</v>
      </c>
      <c r="R231" s="357" t="n">
        <f aca="false">(-H231/((HLOOKUP(P$5,port_specs,2,0)/(365.25))*(L232-L231)))*(INDEX(fixed_capacity_charge,MATCH(L231,PORTS!$H$11:$H$317,0),MATCH(P$5,PORTS!$H$11:$N$11,0))+INDEX(variable_om_charge,MATCH(L231,PORTS!$H$318:$H$625,0),MATCH(P$5,PORTS!$H$318:$N$318,0)))</f>
        <v>-0</v>
      </c>
      <c r="S231" s="343" t="n">
        <f aca="false">+R231+Q231</f>
        <v>0</v>
      </c>
      <c r="T231" s="355" t="n">
        <f aca="false">+S231+M231</f>
        <v>0</v>
      </c>
      <c r="V231" s="346" t="n">
        <f aca="false">+DATE(YEAR(V230),MONTH(V230)+1,1)</f>
        <v>43191</v>
      </c>
      <c r="W231" s="327" t="n">
        <f aca="false">+Y231/(1-HLOOKUP(X$6,SHIPS,7,0)*INDEX(LADEN_VOYAGE_DAYS,MATCH(CONCATENATE(X$4,X$5),LADEN_VOYAGE_ROUTES,0),MATCH(X$6,LADEN_VOYAGE_SHIPS,0)))</f>
        <v>0</v>
      </c>
      <c r="X231" s="347" t="n">
        <f aca="false">+Y231-W231</f>
        <v>0</v>
      </c>
      <c r="Y231" s="348" t="n">
        <f aca="false">+IF(AND(X$8&lt;=V231,X$9&gt;=V231),+MIN($B231-SUMIF($H$17:X$17,Y$17,$H231:X231),((INDEX(ROUTE_PER_DAY_BY_SHIP,MATCH(CONCATENATE(X$4,X$5,X$7),ROUTE_PER_DAY_ROUTES,0),MATCH(X$6,ROUTE_PER_DAY_SHIPS,0))*(V232-V231))-(INDEX(ROUTE_PER_DAY_BY_SHIP,MATCH(CONCATENATE(X$4,X$5,X$7),ROUTE_PER_DAY_ROUTES,0),MATCH(X$6,ROUTE_PER_DAY_SHIPS,0))*(V232-V231))*HLOOKUP(X$6,SHIPS,7,0)*INDEX(LADEN_VOYAGE_DAYS,MATCH(CONCATENATE(X$4,X$5,X$7),LADEN_VOYAGE_ROUTES,0),MATCH(X$6,LADEN_VOYAGE_SHIPS,0)))),0)</f>
        <v>0</v>
      </c>
      <c r="Z231" s="349" t="n">
        <f aca="false">-(Y231)*HLOOKUP(X$5,TERMINAL_CHARGES,3,0)</f>
        <v>-0</v>
      </c>
      <c r="AA231" s="327" t="n">
        <f aca="false">+Y231+Z231</f>
        <v>0</v>
      </c>
      <c r="AB231" s="333"/>
      <c r="AC231" s="346" t="n">
        <f aca="false">+DATE(YEAR(AC230),MONTH(AC230)+1,1)</f>
        <v>43191</v>
      </c>
      <c r="AD231" s="343" t="n">
        <f aca="false">+AA231*(VLOOKUP(AC231,CURVECALC!$C$6:$J$312,4,0)+AE$5)</f>
        <v>0</v>
      </c>
      <c r="AE231" s="350" t="n">
        <f aca="false">-W231*INDEX(ship_curves,MATCH(AC231,'SHIP CURVES'!$A$9:$A$316,0),MATCH(CONCATENATE(AG$4,AG$5,AG$6,AG$7),'SHIP CURVES'!$A$9:$AZ$9,0))</f>
        <v>-0</v>
      </c>
      <c r="AF231" s="351" t="n">
        <f aca="false">-Y231*INDEX(port_processing_fee,MATCH(AC231,PORTS!$H$626:$H$933,0),MATCH(AG$5,PORTS!$H$626:$Z$626,0))</f>
        <v>-0</v>
      </c>
      <c r="AG231" s="352" t="n">
        <f aca="false">(((VLOOKUP(AC231,curvecalc,4,0))*IF(W231=0,0,AA231/W231)-INDEX(ship_curves,MATCH(AC231,'SHIP CURVES'!$A$9:$A$316,0),MATCH(CONCATENATE(AG$4,AG$5,AG$6,AG$7),'SHIP CURVES'!$A$9:$Z$9,0))-INDEX(terminal_curves,MATCH(AC231,'TERMINAL CURVES'!$A$4:$A$313,0),MATCH(AG$5,'TERMINAL CURVES'!$A$4:$N$4,0))*IF(W231=0,0,Y231/W231))-(AE$8)*((AE$7-$N$5)-(INDEX(ship_curves,MATCH(AC231,'SHIP CURVES'!$A$9:$A$316,0),MATCH(CONCATENATE(AG$4,AG$5,AG$6,AG$7),'SHIP CURVES'!$A$9:$Z$9,0))-INDEX(ship_curves,MATCH(AC231,'SHIP CURVES'!$A$9:$A$316,0),MATCH(CONCATENATE(AG$4,AE$6,AG$6,AG$7),'SHIP CURVES'!$A$9:$Z$9,0)))-(INDEX(terminal_curves,MATCH(AC231,'TERMINAL CURVES'!$A$4:$A$313,0),MATCH(AG$5,'TERMINAL CURVES'!$A$4:$N$4,0))-INDEX(terminal_curves,MATCH(AC231,'TERMINAL CURVES'!$A$4:$A$313,0),MATCH(AE$6,'TERMINAL CURVES'!$A$4:$N$4,0)))*IF(W231=0,0,Y231/W231)))*-W231</f>
        <v>0</v>
      </c>
      <c r="AH231" s="356" t="n">
        <f aca="false">SUM(AE231:AG231)</f>
        <v>0</v>
      </c>
      <c r="AI231" s="357" t="n">
        <f aca="false">(-Y231/((HLOOKUP(AG$5,port_specs,2,0)/(365.25))*(AC232-AC231)))*(INDEX(fixed_capacity_charge,MATCH(AC231,PORTS!$H$11:$H$317,0),MATCH(AG$5,PORTS!$H$11:$N$11,0))+INDEX(variable_om_charge,MATCH(AC231,PORTS!$H$318:$H$625,0),MATCH(AG$5,PORTS!$H$318:$N$318,0)))</f>
        <v>-0</v>
      </c>
      <c r="AJ231" s="343" t="n">
        <f aca="false">+AI231+AH231</f>
        <v>0</v>
      </c>
      <c r="AK231" s="355" t="n">
        <f aca="false">+AJ231+AD231</f>
        <v>0</v>
      </c>
      <c r="AM231" s="346" t="n">
        <f aca="false">+DATE(YEAR(AM230),MONTH(AM230)+1,1)</f>
        <v>43191</v>
      </c>
      <c r="AN231" s="327" t="n">
        <f aca="false">+AP231/(1-HLOOKUP(AO$6,SHIPS,7,0)*INDEX(LADEN_VOYAGE_DAYS,MATCH(CONCATENATE(AO$4,AO$5),LADEN_VOYAGE_ROUTES,0),MATCH(AO$6,LADEN_VOYAGE_SHIPS,0)))</f>
        <v>5221704.65550959</v>
      </c>
      <c r="AO231" s="347" t="n">
        <f aca="false">+AP231-AN231</f>
        <v>-54827.8988828501</v>
      </c>
      <c r="AP231" s="348" t="n">
        <f aca="false">+IF(AND(AO$8&lt;=AM231,AO$9&gt;=AM231),+MIN($B231-SUMIF($H$17:AO$17,AP$17,$H231:AO231),((INDEX(ROUTE_PER_DAY_BY_SHIP,MATCH(CONCATENATE(AO$4,AO$5,AO$7),ROUTE_PER_DAY_ROUTES,0),MATCH(AO$6,ROUTE_PER_DAY_SHIPS,0))*(AM232-AM231))-(INDEX(ROUTE_PER_DAY_BY_SHIP,MATCH(CONCATENATE(AO$4,AO$5,AO$7),ROUTE_PER_DAY_ROUTES,0),MATCH(AO$6,ROUTE_PER_DAY_SHIPS,0))*(AM232-AM231))*HLOOKUP(AO$6,SHIPS,7,0)*INDEX(LADEN_VOYAGE_DAYS,MATCH(CONCATENATE(AO$4,AO$5,AO$7),LADEN_VOYAGE_ROUTES,0),MATCH(AO$6,LADEN_VOYAGE_SHIPS,0)))),0)</f>
        <v>5166876.75662674</v>
      </c>
      <c r="AQ231" s="349" t="n">
        <f aca="false">-(AP231)*PORTS!$I$6</f>
        <v>-129171.918915669</v>
      </c>
      <c r="AR231" s="327" t="n">
        <f aca="false">+AP231+AQ231</f>
        <v>5037704.83771107</v>
      </c>
      <c r="AS231" s="333"/>
      <c r="AT231" s="346" t="n">
        <f aca="false">+DATE(YEAR(AT230),MONTH(AT230)+1,1)</f>
        <v>43191</v>
      </c>
      <c r="AU231" s="343" t="n">
        <f aca="false">+AR231*(VLOOKUP(AT231,CURVECALC!$C$6:$J$312,4,0)+AV$5)</f>
        <v>20881286.5523124</v>
      </c>
      <c r="AV231" s="350" t="n">
        <f aca="false">-AN231*INDEX(ship_curves,MATCH(AT231,'SHIP CURVES'!$A$9:$A$316,0),MATCH(CONCATENATE(AX$4,AX$5,AX$6,AX$7),'SHIP CURVES'!$A$9:$AZ$9,0))</f>
        <v>-1792185.17741092</v>
      </c>
      <c r="AW231" s="351" t="n">
        <f aca="false">-AP231*INDEX(port_processing_fee,MATCH(AT231,PORTS!$H$626:$H$933,0),MATCH(AX$5,PORTS!$H$626:$Z$626,0))</f>
        <v>-170848.061971874</v>
      </c>
      <c r="AX231" s="352" t="n">
        <f aca="false">(((VLOOKUP(AT231,curvecalc,4,0))*IF(AN231=0,0,AR231/AN231)-INDEX(ship_curves,MATCH(AT231,'SHIP CURVES'!$A$9:$A$316,0),MATCH(CONCATENATE(AX$4,AX$5,AX$6,AX$7),'SHIP CURVES'!$A$9:$Z$9,0))-INDEX(terminal_curves,MATCH(AT231,'TERMINAL CURVES'!$A$4:$A$313,0),MATCH(AX$5,'TERMINAL CURVES'!$A$4:$N$4,0))*IF(AN231=0,0,AP231/AN231))-(AV$8)*((AV$7-$N$5)-(INDEX(ship_curves,MATCH(AT231,'SHIP CURVES'!$A$9:$A$316,0),MATCH(CONCATENATE(AX$4,AX$5,AX$6,AX$7),'SHIP CURVES'!$A$9:$Z$9,0))-INDEX(ship_curves,MATCH(AT231,'SHIP CURVES'!$A$9:$A$316,0),MATCH(CONCATENATE(AX$4,AV$6,AX$6,AX$7),'SHIP CURVES'!$A$9:$Z$9,0)))-(INDEX(terminal_curves,MATCH(AT231,'TERMINAL CURVES'!$A$4:$A$313,0),MATCH(AX$5,'TERMINAL CURVES'!$A$4:$N$4,0))-INDEX(terminal_curves,MATCH(AT231,'TERMINAL CURVES'!$A$4:$A$313,0),MATCH(AV$6,'TERMINAL CURVES'!$A$4:$N$4,0)))*IF(AN231=0,0,AP231/AN231)))*-AN231</f>
        <v>-17763562.8507497</v>
      </c>
      <c r="AY231" s="356" t="n">
        <f aca="false">SUM(AV231:AX231)</f>
        <v>-19726596.0901325</v>
      </c>
      <c r="AZ231" s="357" t="n">
        <f aca="false">(-AP231/((HLOOKUP(AX$5,port_specs,2,0)/(365.25))*(AT232-AT231)))*(INDEX(fixed_capacity_charge,MATCH(AT231,PORTS!$H$11:$H$317,0),MATCH(AX$5,PORTS!$H$11:$N$11,0))+INDEX(variable_om_charge,MATCH(AT231,PORTS!$H$318:$H$625,0),MATCH(AX$5,PORTS!$H$318:$N$318,0)))</f>
        <v>-1053936.36542568</v>
      </c>
      <c r="BA231" s="343" t="n">
        <f aca="false">+AZ231+AY231</f>
        <v>-20780532.4555582</v>
      </c>
      <c r="BB231" s="355" t="n">
        <f aca="false">+BA231+AU231</f>
        <v>100754.096754219</v>
      </c>
      <c r="BC231" s="99"/>
      <c r="BD231" s="357" t="n">
        <f aca="false">+PORTS!I225+PORTS!I533</f>
        <v>1053936.36542568</v>
      </c>
    </row>
    <row r="232" customFormat="false" ht="12.75" hidden="false" customHeight="false" outlineLevel="0" collapsed="false">
      <c r="A232" s="346" t="n">
        <f aca="false">+DATE(YEAR(A231),MONTH(A231)+1,1)</f>
        <v>43221</v>
      </c>
      <c r="B232" s="327" t="n">
        <f aca="false">+IF(AND($A232&gt;=$C$8,$A232&lt;=$C$9),1,0)*PORTS!$I$5/(365.25)*(A233-A232)</f>
        <v>5339105.98184763</v>
      </c>
      <c r="C232" s="328" t="n">
        <f aca="false">+B232-(SUMIF($F$17:$IV$17,$H$17,$F232:$IV232))</f>
        <v>0</v>
      </c>
      <c r="D232" s="0" t="n">
        <f aca="false">+YEAR(E232)</f>
        <v>2018</v>
      </c>
      <c r="E232" s="346" t="n">
        <f aca="false">+DATE(YEAR(E231),MONTH(E231)+1,1)</f>
        <v>43221</v>
      </c>
      <c r="F232" s="327" t="n">
        <f aca="false">+IF(AND(G$8&lt;=E232,G$9&gt;=E232),INDEX(ROUTE_PER_DAY_BY_SHIP,MATCH(CONCATENATE(G$4,G$5,G$7),ROUTE_PER_DAY_ROUTES,0),MATCH(G$6,ROUTE_PER_DAY_SHIPS,0))*(E233-E232),0)</f>
        <v>0</v>
      </c>
      <c r="G232" s="347" t="n">
        <f aca="false">-F232*HLOOKUP(G$6,SHIPS,7,0)*INDEX(LADEN_VOYAGE_DAYS,MATCH(CONCATENATE(G$4,G$5,G$7),LADEN_VOYAGE_ROUTES,0),MATCH(G$6,LADEN_VOYAGE_SHIPS,0))</f>
        <v>-0</v>
      </c>
      <c r="H232" s="348" t="n">
        <f aca="false">SUM(F232:G232)</f>
        <v>0</v>
      </c>
      <c r="I232" s="349" t="n">
        <f aca="false">-(H232)*HLOOKUP(G$5,TERMINAL_CHARGES,3,0)</f>
        <v>-0</v>
      </c>
      <c r="J232" s="327" t="n">
        <f aca="false">+H232+I232</f>
        <v>0</v>
      </c>
      <c r="K232" s="333"/>
      <c r="L232" s="346" t="n">
        <f aca="false">+DATE(YEAR(L231),MONTH(L231)+1,1)</f>
        <v>43221</v>
      </c>
      <c r="M232" s="334" t="n">
        <f aca="false">+J232*(VLOOKUP(L232,CURVECALC!$C$6:$J$312,4,0)+N$5)</f>
        <v>0</v>
      </c>
      <c r="N232" s="350" t="n">
        <f aca="false">-F232*INDEX(ship_curves,MATCH(L232,'SHIP CURVES'!$A$9:$A$316,0),MATCH(CONCATENATE(P$4,P$5,P$6,P$7),'SHIP CURVES'!$A$9:$AZ$9,0))</f>
        <v>-0</v>
      </c>
      <c r="O232" s="351" t="n">
        <f aca="false">-H232*INDEX(port_processing_fee,MATCH(L232,PORTS!$H$626:$H$933,0),MATCH(P$5,PORTS!$H$626:$Z$626,0))</f>
        <v>-0</v>
      </c>
      <c r="P232" s="352" t="n">
        <f aca="false">(((VLOOKUP(L232,curvecalc,4,0))*IF(F232=0,0,J232/F232)-INDEX(ship_curves,MATCH(L232,'SHIP CURVES'!$A$9:$A$316,0),MATCH(CONCATENATE(P$4,P$5,P$6,P$7),'SHIP CURVES'!$A$9:$Z$9,0))-INDEX(terminal_curves,MATCH(L232,'TERMINAL CURVES'!$A$4:$A$313,0),MATCH(P$5,'TERMINAL CURVES'!$A$4:$N$4,0))*IF(F232=0,0,H232/F232))-(N$8)*((N$7-$N$5)-(INDEX(ship_curves,MATCH(L232,'SHIP CURVES'!$A$9:$A$316,0),MATCH(CONCATENATE(P$4,P$5,P$6,P$7),'SHIP CURVES'!$A$9:$Z$9,0))-INDEX(ship_curves,MATCH(L232,'SHIP CURVES'!$A$9:$A$316,0),MATCH(CONCATENATE(P$4,N$6,P$6,P$7),'SHIP CURVES'!$A$9:$Z$9,0)))-(INDEX(terminal_curves,MATCH(L232,'TERMINAL CURVES'!$A$4:$A$313,0),MATCH(P$5,'TERMINAL CURVES'!$A$4:$N$4,0))-INDEX(terminal_curves,MATCH(L232,'TERMINAL CURVES'!$A$4:$A$313,0),MATCH(N$6,'TERMINAL CURVES'!$A$4:$N$4,0)))*IF(F232=0,0,H232/F232)))*-F232</f>
        <v>0</v>
      </c>
      <c r="Q232" s="353" t="n">
        <f aca="false">SUM(N232:P232)</f>
        <v>0</v>
      </c>
      <c r="R232" s="357" t="n">
        <f aca="false">(-H232/((HLOOKUP(P$5,port_specs,2,0)/(365.25))*(L233-L232)))*(INDEX(fixed_capacity_charge,MATCH(L232,PORTS!$H$11:$H$317,0),MATCH(P$5,PORTS!$H$11:$N$11,0))+INDEX(variable_om_charge,MATCH(L232,PORTS!$H$318:$H$625,0),MATCH(P$5,PORTS!$H$318:$N$318,0)))</f>
        <v>-0</v>
      </c>
      <c r="S232" s="343" t="n">
        <f aca="false">+R232+Q232</f>
        <v>0</v>
      </c>
      <c r="T232" s="355" t="n">
        <f aca="false">+S232+M232</f>
        <v>0</v>
      </c>
      <c r="V232" s="346" t="n">
        <f aca="false">+DATE(YEAR(V231),MONTH(V231)+1,1)</f>
        <v>43221</v>
      </c>
      <c r="W232" s="327" t="n">
        <f aca="false">+Y232/(1-HLOOKUP(X$6,SHIPS,7,0)*INDEX(LADEN_VOYAGE_DAYS,MATCH(CONCATENATE(X$4,X$5),LADEN_VOYAGE_ROUTES,0),MATCH(X$6,LADEN_VOYAGE_SHIPS,0)))</f>
        <v>0</v>
      </c>
      <c r="X232" s="347" t="n">
        <f aca="false">+Y232-W232</f>
        <v>0</v>
      </c>
      <c r="Y232" s="348" t="n">
        <f aca="false">+IF(AND(X$8&lt;=V232,X$9&gt;=V232),+MIN($B232-SUMIF($H$17:X$17,Y$17,$H232:X232),((INDEX(ROUTE_PER_DAY_BY_SHIP,MATCH(CONCATENATE(X$4,X$5,X$7),ROUTE_PER_DAY_ROUTES,0),MATCH(X$6,ROUTE_PER_DAY_SHIPS,0))*(V233-V232))-(INDEX(ROUTE_PER_DAY_BY_SHIP,MATCH(CONCATENATE(X$4,X$5,X$7),ROUTE_PER_DAY_ROUTES,0),MATCH(X$6,ROUTE_PER_DAY_SHIPS,0))*(V233-V232))*HLOOKUP(X$6,SHIPS,7,0)*INDEX(LADEN_VOYAGE_DAYS,MATCH(CONCATENATE(X$4,X$5,X$7),LADEN_VOYAGE_ROUTES,0),MATCH(X$6,LADEN_VOYAGE_SHIPS,0)))),0)</f>
        <v>0</v>
      </c>
      <c r="Z232" s="349" t="n">
        <f aca="false">-(Y232)*HLOOKUP(X$5,TERMINAL_CHARGES,3,0)</f>
        <v>-0</v>
      </c>
      <c r="AA232" s="327" t="n">
        <f aca="false">+Y232+Z232</f>
        <v>0</v>
      </c>
      <c r="AB232" s="333"/>
      <c r="AC232" s="346" t="n">
        <f aca="false">+DATE(YEAR(AC231),MONTH(AC231)+1,1)</f>
        <v>43221</v>
      </c>
      <c r="AD232" s="343" t="n">
        <f aca="false">+AA232*(VLOOKUP(AC232,CURVECALC!$C$6:$J$312,4,0)+AE$5)</f>
        <v>0</v>
      </c>
      <c r="AE232" s="350" t="n">
        <f aca="false">-W232*INDEX(ship_curves,MATCH(AC232,'SHIP CURVES'!$A$9:$A$316,0),MATCH(CONCATENATE(AG$4,AG$5,AG$6,AG$7),'SHIP CURVES'!$A$9:$AZ$9,0))</f>
        <v>-0</v>
      </c>
      <c r="AF232" s="351" t="n">
        <f aca="false">-Y232*INDEX(port_processing_fee,MATCH(AC232,PORTS!$H$626:$H$933,0),MATCH(AG$5,PORTS!$H$626:$Z$626,0))</f>
        <v>-0</v>
      </c>
      <c r="AG232" s="352" t="n">
        <f aca="false">(((VLOOKUP(AC232,curvecalc,4,0))*IF(W232=0,0,AA232/W232)-INDEX(ship_curves,MATCH(AC232,'SHIP CURVES'!$A$9:$A$316,0),MATCH(CONCATENATE(AG$4,AG$5,AG$6,AG$7),'SHIP CURVES'!$A$9:$Z$9,0))-INDEX(terminal_curves,MATCH(AC232,'TERMINAL CURVES'!$A$4:$A$313,0),MATCH(AG$5,'TERMINAL CURVES'!$A$4:$N$4,0))*IF(W232=0,0,Y232/W232))-(AE$8)*((AE$7-$N$5)-(INDEX(ship_curves,MATCH(AC232,'SHIP CURVES'!$A$9:$A$316,0),MATCH(CONCATENATE(AG$4,AG$5,AG$6,AG$7),'SHIP CURVES'!$A$9:$Z$9,0))-INDEX(ship_curves,MATCH(AC232,'SHIP CURVES'!$A$9:$A$316,0),MATCH(CONCATENATE(AG$4,AE$6,AG$6,AG$7),'SHIP CURVES'!$A$9:$Z$9,0)))-(INDEX(terminal_curves,MATCH(AC232,'TERMINAL CURVES'!$A$4:$A$313,0),MATCH(AG$5,'TERMINAL CURVES'!$A$4:$N$4,0))-INDEX(terminal_curves,MATCH(AC232,'TERMINAL CURVES'!$A$4:$A$313,0),MATCH(AE$6,'TERMINAL CURVES'!$A$4:$N$4,0)))*IF(W232=0,0,Y232/W232)))*-W232</f>
        <v>0</v>
      </c>
      <c r="AH232" s="356" t="n">
        <f aca="false">SUM(AE232:AG232)</f>
        <v>0</v>
      </c>
      <c r="AI232" s="357" t="n">
        <f aca="false">(-Y232/((HLOOKUP(AG$5,port_specs,2,0)/(365.25))*(AC233-AC232)))*(INDEX(fixed_capacity_charge,MATCH(AC232,PORTS!$H$11:$H$317,0),MATCH(AG$5,PORTS!$H$11:$N$11,0))+INDEX(variable_om_charge,MATCH(AC232,PORTS!$H$318:$H$625,0),MATCH(AG$5,PORTS!$H$318:$N$318,0)))</f>
        <v>-0</v>
      </c>
      <c r="AJ232" s="343" t="n">
        <f aca="false">+AI232+AH232</f>
        <v>0</v>
      </c>
      <c r="AK232" s="355" t="n">
        <f aca="false">+AJ232+AD232</f>
        <v>0</v>
      </c>
      <c r="AM232" s="346" t="n">
        <f aca="false">+DATE(YEAR(AM231),MONTH(AM231)+1,1)</f>
        <v>43221</v>
      </c>
      <c r="AN232" s="327" t="n">
        <f aca="false">+AP232/(1-HLOOKUP(AO$6,SHIPS,7,0)*INDEX(LADEN_VOYAGE_DAYS,MATCH(CONCATENATE(AO$4,AO$5),LADEN_VOYAGE_ROUTES,0),MATCH(AO$6,LADEN_VOYAGE_SHIPS,0)))</f>
        <v>5395761.47735991</v>
      </c>
      <c r="AO232" s="347" t="n">
        <f aca="false">+AP232-AN232</f>
        <v>-56655.4955122788</v>
      </c>
      <c r="AP232" s="348" t="n">
        <f aca="false">+IF(AND(AO$8&lt;=AM232,AO$9&gt;=AM232),+MIN($B232-SUMIF($H$17:AO$17,AP$17,$H232:AO232),((INDEX(ROUTE_PER_DAY_BY_SHIP,MATCH(CONCATENATE(AO$4,AO$5,AO$7),ROUTE_PER_DAY_ROUTES,0),MATCH(AO$6,ROUTE_PER_DAY_SHIPS,0))*(AM233-AM232))-(INDEX(ROUTE_PER_DAY_BY_SHIP,MATCH(CONCATENATE(AO$4,AO$5,AO$7),ROUTE_PER_DAY_ROUTES,0),MATCH(AO$6,ROUTE_PER_DAY_SHIPS,0))*(AM233-AM232))*HLOOKUP(AO$6,SHIPS,7,0)*INDEX(LADEN_VOYAGE_DAYS,MATCH(CONCATENATE(AO$4,AO$5,AO$7),LADEN_VOYAGE_ROUTES,0),MATCH(AO$6,LADEN_VOYAGE_SHIPS,0)))),0)</f>
        <v>5339105.98184763</v>
      </c>
      <c r="AQ232" s="349" t="n">
        <f aca="false">-(AP232)*PORTS!$I$6</f>
        <v>-133477.649546191</v>
      </c>
      <c r="AR232" s="327" t="n">
        <f aca="false">+AP232+AQ232</f>
        <v>5205628.33230144</v>
      </c>
      <c r="AS232" s="333"/>
      <c r="AT232" s="346" t="n">
        <f aca="false">+DATE(YEAR(AT231),MONTH(AT231)+1,1)</f>
        <v>43221</v>
      </c>
      <c r="AU232" s="343" t="n">
        <f aca="false">+AR232*(VLOOKUP(AT232,CURVECALC!$C$6:$J$312,4,0)+AV$5)</f>
        <v>21577329.4373895</v>
      </c>
      <c r="AV232" s="350" t="n">
        <f aca="false">-AN232*INDEX(ship_curves,MATCH(AT232,'SHIP CURVES'!$A$9:$A$316,0),MATCH(CONCATENATE(AX$4,AX$5,AX$6,AX$7),'SHIP CURVES'!$A$9:$AZ$9,0))</f>
        <v>-1852587.17698359</v>
      </c>
      <c r="AW232" s="351" t="n">
        <f aca="false">-AP232*INDEX(port_processing_fee,MATCH(AT232,PORTS!$H$626:$H$933,0),MATCH(AX$5,PORTS!$H$626:$Z$626,0))</f>
        <v>-176726.896326532</v>
      </c>
      <c r="AX232" s="352" t="n">
        <f aca="false">(((VLOOKUP(AT232,curvecalc,4,0))*IF(AN232=0,0,AR232/AN232)-INDEX(ship_curves,MATCH(AT232,'SHIP CURVES'!$A$9:$A$316,0),MATCH(CONCATENATE(AX$4,AX$5,AX$6,AX$7),'SHIP CURVES'!$A$9:$Z$9,0))-INDEX(terminal_curves,MATCH(AT232,'TERMINAL CURVES'!$A$4:$A$313,0),MATCH(AX$5,'TERMINAL CURVES'!$A$4:$N$4,0))*IF(AN232=0,0,AP232/AN232))-(AV$8)*((AV$7-$N$5)-(INDEX(ship_curves,MATCH(AT232,'SHIP CURVES'!$A$9:$A$316,0),MATCH(CONCATENATE(AX$4,AX$5,AX$6,AX$7),'SHIP CURVES'!$A$9:$Z$9,0))-INDEX(ship_curves,MATCH(AT232,'SHIP CURVES'!$A$9:$A$316,0),MATCH(CONCATENATE(AX$4,AV$6,AX$6,AX$7),'SHIP CURVES'!$A$9:$Z$9,0)))-(INDEX(terminal_curves,MATCH(AT232,'TERMINAL CURVES'!$A$4:$A$313,0),MATCH(AX$5,'TERMINAL CURVES'!$A$4:$N$4,0))-INDEX(terminal_curves,MATCH(AT232,'TERMINAL CURVES'!$A$4:$A$313,0),MATCH(AV$6,'TERMINAL CURVES'!$A$4:$N$4,0)))*IF(AN232=0,0,AP232/AN232)))*-AN232</f>
        <v>-18389373.984305</v>
      </c>
      <c r="AY232" s="356" t="n">
        <f aca="false">SUM(AV232:AX232)</f>
        <v>-20418688.0576152</v>
      </c>
      <c r="AZ232" s="357" t="n">
        <f aca="false">(-AP232/((HLOOKUP(AX$5,port_specs,2,0)/(365.25))*(AT233-AT232)))*(INDEX(fixed_capacity_charge,MATCH(AT232,PORTS!$H$11:$H$317,0),MATCH(AX$5,PORTS!$H$11:$N$11,0))+INDEX(variable_om_charge,MATCH(AT232,PORTS!$H$318:$H$625,0),MATCH(AX$5,PORTS!$H$318:$N$318,0)))</f>
        <v>-1054528.8131283</v>
      </c>
      <c r="BA232" s="343" t="n">
        <f aca="false">+AZ232+AY232</f>
        <v>-21473216.8707435</v>
      </c>
      <c r="BB232" s="355" t="n">
        <f aca="false">+BA232+AU232</f>
        <v>104112.566646025</v>
      </c>
      <c r="BC232" s="99"/>
      <c r="BD232" s="357" t="n">
        <f aca="false">+PORTS!I226+PORTS!I534</f>
        <v>1054528.8131283</v>
      </c>
    </row>
    <row r="233" customFormat="false" ht="12.75" hidden="false" customHeight="false" outlineLevel="0" collapsed="false">
      <c r="A233" s="346" t="n">
        <f aca="false">+DATE(YEAR(A232),MONTH(A232)+1,1)</f>
        <v>43252</v>
      </c>
      <c r="B233" s="327" t="n">
        <f aca="false">+IF(AND($A233&gt;=$C$8,$A233&lt;=$C$9),1,0)*PORTS!$I$5/(365.25)*(A234-A233)</f>
        <v>5166876.75662674</v>
      </c>
      <c r="C233" s="328" t="n">
        <f aca="false">+B233-(SUMIF($F$17:$IV$17,$H$17,$F233:$IV233))</f>
        <v>0</v>
      </c>
      <c r="D233" s="0" t="n">
        <f aca="false">+YEAR(E233)</f>
        <v>2018</v>
      </c>
      <c r="E233" s="346" t="n">
        <f aca="false">+DATE(YEAR(E232),MONTH(E232)+1,1)</f>
        <v>43252</v>
      </c>
      <c r="F233" s="327" t="n">
        <f aca="false">+IF(AND(G$8&lt;=E233,G$9&gt;=E233),INDEX(ROUTE_PER_DAY_BY_SHIP,MATCH(CONCATENATE(G$4,G$5,G$7),ROUTE_PER_DAY_ROUTES,0),MATCH(G$6,ROUTE_PER_DAY_SHIPS,0))*(E234-E233),0)</f>
        <v>0</v>
      </c>
      <c r="G233" s="347" t="n">
        <f aca="false">-F233*HLOOKUP(G$6,SHIPS,7,0)*INDEX(LADEN_VOYAGE_DAYS,MATCH(CONCATENATE(G$4,G$5,G$7),LADEN_VOYAGE_ROUTES,0),MATCH(G$6,LADEN_VOYAGE_SHIPS,0))</f>
        <v>-0</v>
      </c>
      <c r="H233" s="348" t="n">
        <f aca="false">SUM(F233:G233)</f>
        <v>0</v>
      </c>
      <c r="I233" s="349" t="n">
        <f aca="false">-(H233)*HLOOKUP(G$5,TERMINAL_CHARGES,3,0)</f>
        <v>-0</v>
      </c>
      <c r="J233" s="327" t="n">
        <f aca="false">+H233+I233</f>
        <v>0</v>
      </c>
      <c r="K233" s="333"/>
      <c r="L233" s="346" t="n">
        <f aca="false">+DATE(YEAR(L232),MONTH(L232)+1,1)</f>
        <v>43252</v>
      </c>
      <c r="M233" s="334" t="n">
        <f aca="false">+J233*(VLOOKUP(L233,CURVECALC!$C$6:$J$312,4,0)+N$5)</f>
        <v>0</v>
      </c>
      <c r="N233" s="350" t="n">
        <f aca="false">-F233*INDEX(ship_curves,MATCH(L233,'SHIP CURVES'!$A$9:$A$316,0),MATCH(CONCATENATE(P$4,P$5,P$6,P$7),'SHIP CURVES'!$A$9:$AZ$9,0))</f>
        <v>-0</v>
      </c>
      <c r="O233" s="351" t="n">
        <f aca="false">-H233*INDEX(port_processing_fee,MATCH(L233,PORTS!$H$626:$H$933,0),MATCH(P$5,PORTS!$H$626:$Z$626,0))</f>
        <v>-0</v>
      </c>
      <c r="P233" s="352" t="n">
        <f aca="false">(((VLOOKUP(L233,curvecalc,4,0))*IF(F233=0,0,J233/F233)-INDEX(ship_curves,MATCH(L233,'SHIP CURVES'!$A$9:$A$316,0),MATCH(CONCATENATE(P$4,P$5,P$6,P$7),'SHIP CURVES'!$A$9:$Z$9,0))-INDEX(terminal_curves,MATCH(L233,'TERMINAL CURVES'!$A$4:$A$313,0),MATCH(P$5,'TERMINAL CURVES'!$A$4:$N$4,0))*IF(F233=0,0,H233/F233))-(N$8)*((N$7-$N$5)-(INDEX(ship_curves,MATCH(L233,'SHIP CURVES'!$A$9:$A$316,0),MATCH(CONCATENATE(P$4,P$5,P$6,P$7),'SHIP CURVES'!$A$9:$Z$9,0))-INDEX(ship_curves,MATCH(L233,'SHIP CURVES'!$A$9:$A$316,0),MATCH(CONCATENATE(P$4,N$6,P$6,P$7),'SHIP CURVES'!$A$9:$Z$9,0)))-(INDEX(terminal_curves,MATCH(L233,'TERMINAL CURVES'!$A$4:$A$313,0),MATCH(P$5,'TERMINAL CURVES'!$A$4:$N$4,0))-INDEX(terminal_curves,MATCH(L233,'TERMINAL CURVES'!$A$4:$A$313,0),MATCH(N$6,'TERMINAL CURVES'!$A$4:$N$4,0)))*IF(F233=0,0,H233/F233)))*-F233</f>
        <v>0</v>
      </c>
      <c r="Q233" s="353" t="n">
        <f aca="false">SUM(N233:P233)</f>
        <v>0</v>
      </c>
      <c r="R233" s="357" t="n">
        <f aca="false">(-H233/((HLOOKUP(P$5,port_specs,2,0)/(365.25))*(L234-L233)))*(INDEX(fixed_capacity_charge,MATCH(L233,PORTS!$H$11:$H$317,0),MATCH(P$5,PORTS!$H$11:$N$11,0))+INDEX(variable_om_charge,MATCH(L233,PORTS!$H$318:$H$625,0),MATCH(P$5,PORTS!$H$318:$N$318,0)))</f>
        <v>-0</v>
      </c>
      <c r="S233" s="343" t="n">
        <f aca="false">+R233+Q233</f>
        <v>0</v>
      </c>
      <c r="T233" s="355" t="n">
        <f aca="false">+S233+M233</f>
        <v>0</v>
      </c>
      <c r="V233" s="346" t="n">
        <f aca="false">+DATE(YEAR(V232),MONTH(V232)+1,1)</f>
        <v>43252</v>
      </c>
      <c r="W233" s="327" t="n">
        <f aca="false">+Y233/(1-HLOOKUP(X$6,SHIPS,7,0)*INDEX(LADEN_VOYAGE_DAYS,MATCH(CONCATENATE(X$4,X$5),LADEN_VOYAGE_ROUTES,0),MATCH(X$6,LADEN_VOYAGE_SHIPS,0)))</f>
        <v>0</v>
      </c>
      <c r="X233" s="347" t="n">
        <f aca="false">+Y233-W233</f>
        <v>0</v>
      </c>
      <c r="Y233" s="348" t="n">
        <f aca="false">+IF(AND(X$8&lt;=V233,X$9&gt;=V233),+MIN($B233-SUMIF($H$17:X$17,Y$17,$H233:X233),((INDEX(ROUTE_PER_DAY_BY_SHIP,MATCH(CONCATENATE(X$4,X$5,X$7),ROUTE_PER_DAY_ROUTES,0),MATCH(X$6,ROUTE_PER_DAY_SHIPS,0))*(V234-V233))-(INDEX(ROUTE_PER_DAY_BY_SHIP,MATCH(CONCATENATE(X$4,X$5,X$7),ROUTE_PER_DAY_ROUTES,0),MATCH(X$6,ROUTE_PER_DAY_SHIPS,0))*(V234-V233))*HLOOKUP(X$6,SHIPS,7,0)*INDEX(LADEN_VOYAGE_DAYS,MATCH(CONCATENATE(X$4,X$5,X$7),LADEN_VOYAGE_ROUTES,0),MATCH(X$6,LADEN_VOYAGE_SHIPS,0)))),0)</f>
        <v>0</v>
      </c>
      <c r="Z233" s="349" t="n">
        <f aca="false">-(Y233)*HLOOKUP(X$5,TERMINAL_CHARGES,3,0)</f>
        <v>-0</v>
      </c>
      <c r="AA233" s="327" t="n">
        <f aca="false">+Y233+Z233</f>
        <v>0</v>
      </c>
      <c r="AB233" s="333"/>
      <c r="AC233" s="346" t="n">
        <f aca="false">+DATE(YEAR(AC232),MONTH(AC232)+1,1)</f>
        <v>43252</v>
      </c>
      <c r="AD233" s="343" t="n">
        <f aca="false">+AA233*(VLOOKUP(AC233,CURVECALC!$C$6:$J$312,4,0)+AE$5)</f>
        <v>0</v>
      </c>
      <c r="AE233" s="350" t="n">
        <f aca="false">-W233*INDEX(ship_curves,MATCH(AC233,'SHIP CURVES'!$A$9:$A$316,0),MATCH(CONCATENATE(AG$4,AG$5,AG$6,AG$7),'SHIP CURVES'!$A$9:$AZ$9,0))</f>
        <v>-0</v>
      </c>
      <c r="AF233" s="351" t="n">
        <f aca="false">-Y233*INDEX(port_processing_fee,MATCH(AC233,PORTS!$H$626:$H$933,0),MATCH(AG$5,PORTS!$H$626:$Z$626,0))</f>
        <v>-0</v>
      </c>
      <c r="AG233" s="352" t="n">
        <f aca="false">(((VLOOKUP(AC233,curvecalc,4,0))*IF(W233=0,0,AA233/W233)-INDEX(ship_curves,MATCH(AC233,'SHIP CURVES'!$A$9:$A$316,0),MATCH(CONCATENATE(AG$4,AG$5,AG$6,AG$7),'SHIP CURVES'!$A$9:$Z$9,0))-INDEX(terminal_curves,MATCH(AC233,'TERMINAL CURVES'!$A$4:$A$313,0),MATCH(AG$5,'TERMINAL CURVES'!$A$4:$N$4,0))*IF(W233=0,0,Y233/W233))-(AE$8)*((AE$7-$N$5)-(INDEX(ship_curves,MATCH(AC233,'SHIP CURVES'!$A$9:$A$316,0),MATCH(CONCATENATE(AG$4,AG$5,AG$6,AG$7),'SHIP CURVES'!$A$9:$Z$9,0))-INDEX(ship_curves,MATCH(AC233,'SHIP CURVES'!$A$9:$A$316,0),MATCH(CONCATENATE(AG$4,AE$6,AG$6,AG$7),'SHIP CURVES'!$A$9:$Z$9,0)))-(INDEX(terminal_curves,MATCH(AC233,'TERMINAL CURVES'!$A$4:$A$313,0),MATCH(AG$5,'TERMINAL CURVES'!$A$4:$N$4,0))-INDEX(terminal_curves,MATCH(AC233,'TERMINAL CURVES'!$A$4:$A$313,0),MATCH(AE$6,'TERMINAL CURVES'!$A$4:$N$4,0)))*IF(W233=0,0,Y233/W233)))*-W233</f>
        <v>0</v>
      </c>
      <c r="AH233" s="356" t="n">
        <f aca="false">SUM(AE233:AG233)</f>
        <v>0</v>
      </c>
      <c r="AI233" s="357" t="n">
        <f aca="false">(-Y233/((HLOOKUP(AG$5,port_specs,2,0)/(365.25))*(AC234-AC233)))*(INDEX(fixed_capacity_charge,MATCH(AC233,PORTS!$H$11:$H$317,0),MATCH(AG$5,PORTS!$H$11:$N$11,0))+INDEX(variable_om_charge,MATCH(AC233,PORTS!$H$318:$H$625,0),MATCH(AG$5,PORTS!$H$318:$N$318,0)))</f>
        <v>-0</v>
      </c>
      <c r="AJ233" s="343" t="n">
        <f aca="false">+AI233+AH233</f>
        <v>0</v>
      </c>
      <c r="AK233" s="355" t="n">
        <f aca="false">+AJ233+AD233</f>
        <v>0</v>
      </c>
      <c r="AM233" s="346" t="n">
        <f aca="false">+DATE(YEAR(AM232),MONTH(AM232)+1,1)</f>
        <v>43252</v>
      </c>
      <c r="AN233" s="327" t="n">
        <f aca="false">+AP233/(1-HLOOKUP(AO$6,SHIPS,7,0)*INDEX(LADEN_VOYAGE_DAYS,MATCH(CONCATENATE(AO$4,AO$5),LADEN_VOYAGE_ROUTES,0),MATCH(AO$6,LADEN_VOYAGE_SHIPS,0)))</f>
        <v>5221704.65550959</v>
      </c>
      <c r="AO233" s="347" t="n">
        <f aca="false">+AP233-AN233</f>
        <v>-54827.8988828501</v>
      </c>
      <c r="AP233" s="348" t="n">
        <f aca="false">+IF(AND(AO$8&lt;=AM233,AO$9&gt;=AM233),+MIN($B233-SUMIF($H$17:AO$17,AP$17,$H233:AO233),((INDEX(ROUTE_PER_DAY_BY_SHIP,MATCH(CONCATENATE(AO$4,AO$5,AO$7),ROUTE_PER_DAY_ROUTES,0),MATCH(AO$6,ROUTE_PER_DAY_SHIPS,0))*(AM234-AM233))-(INDEX(ROUTE_PER_DAY_BY_SHIP,MATCH(CONCATENATE(AO$4,AO$5,AO$7),ROUTE_PER_DAY_ROUTES,0),MATCH(AO$6,ROUTE_PER_DAY_SHIPS,0))*(AM234-AM233))*HLOOKUP(AO$6,SHIPS,7,0)*INDEX(LADEN_VOYAGE_DAYS,MATCH(CONCATENATE(AO$4,AO$5,AO$7),LADEN_VOYAGE_ROUTES,0),MATCH(AO$6,LADEN_VOYAGE_SHIPS,0)))),0)</f>
        <v>5166876.75662674</v>
      </c>
      <c r="AQ233" s="349" t="n">
        <f aca="false">-(AP233)*PORTS!$I$6</f>
        <v>-129171.918915669</v>
      </c>
      <c r="AR233" s="327" t="n">
        <f aca="false">+AP233+AQ233</f>
        <v>5037704.83771107</v>
      </c>
      <c r="AS233" s="333"/>
      <c r="AT233" s="346" t="n">
        <f aca="false">+DATE(YEAR(AT232),MONTH(AT232)+1,1)</f>
        <v>43252</v>
      </c>
      <c r="AU233" s="343" t="n">
        <f aca="false">+AR233*(VLOOKUP(AT233,CURVECALC!$C$6:$J$312,4,0)+AV$5)</f>
        <v>21107983.2700094</v>
      </c>
      <c r="AV233" s="350" t="n">
        <f aca="false">-AN233*INDEX(ship_curves,MATCH(AT233,'SHIP CURVES'!$A$9:$A$316,0),MATCH(CONCATENATE(AX$4,AX$5,AX$6,AX$7),'SHIP CURVES'!$A$9:$AZ$9,0))</f>
        <v>-1793468.75887519</v>
      </c>
      <c r="AW233" s="351" t="n">
        <f aca="false">-AP233*INDEX(port_processing_fee,MATCH(AT233,PORTS!$H$626:$H$933,0),MATCH(AX$5,PORTS!$H$626:$Z$626,0))</f>
        <v>-171204.180816327</v>
      </c>
      <c r="AX233" s="352" t="n">
        <f aca="false">(((VLOOKUP(AT233,curvecalc,4,0))*IF(AN233=0,0,AR233/AN233)-INDEX(ship_curves,MATCH(AT233,'SHIP CURVES'!$A$9:$A$316,0),MATCH(CONCATENATE(AX$4,AX$5,AX$6,AX$7),'SHIP CURVES'!$A$9:$Z$9,0))-INDEX(terminal_curves,MATCH(AT233,'TERMINAL CURVES'!$A$4:$A$313,0),MATCH(AX$5,'TERMINAL CURVES'!$A$4:$N$4,0))*IF(AN233=0,0,AP233/AN233))-(AV$8)*((AV$7-$N$5)-(INDEX(ship_curves,MATCH(AT233,'SHIP CURVES'!$A$9:$A$316,0),MATCH(CONCATENATE(AX$4,AX$5,AX$6,AX$7),'SHIP CURVES'!$A$9:$Z$9,0))-INDEX(ship_curves,MATCH(AT233,'SHIP CURVES'!$A$9:$A$316,0),MATCH(CONCATENATE(AX$4,AV$6,AX$6,AX$7),'SHIP CURVES'!$A$9:$Z$9,0)))-(INDEX(terminal_curves,MATCH(AT233,'TERMINAL CURVES'!$A$4:$A$313,0),MATCH(AX$5,'TERMINAL CURVES'!$A$4:$N$4,0))-INDEX(terminal_curves,MATCH(AT233,'TERMINAL CURVES'!$A$4:$A$313,0),MATCH(AV$6,'TERMINAL CURVES'!$A$4:$N$4,0)))*IF(AN233=0,0,AP233/AN233)))*-AN233</f>
        <v>-17987434.3555997</v>
      </c>
      <c r="AY233" s="356" t="n">
        <f aca="false">SUM(AV233:AX233)</f>
        <v>-19952107.2952912</v>
      </c>
      <c r="AZ233" s="357" t="n">
        <f aca="false">(-AP233/((HLOOKUP(AX$5,port_specs,2,0)/(365.25))*(AT234-AT233)))*(INDEX(fixed_capacity_charge,MATCH(AT233,PORTS!$H$11:$H$317,0),MATCH(AX$5,PORTS!$H$11:$N$11,0))+INDEX(variable_om_charge,MATCH(AT233,PORTS!$H$318:$H$625,0),MATCH(AX$5,PORTS!$H$318:$N$318,0)))</f>
        <v>-1055121.87796395</v>
      </c>
      <c r="BA233" s="343" t="n">
        <f aca="false">+AZ233+AY233</f>
        <v>-21007229.1732552</v>
      </c>
      <c r="BB233" s="355" t="n">
        <f aca="false">+BA233+AU233</f>
        <v>100754.096754219</v>
      </c>
      <c r="BC233" s="99"/>
      <c r="BD233" s="357" t="n">
        <f aca="false">+PORTS!I227+PORTS!I535</f>
        <v>1055121.87796395</v>
      </c>
    </row>
    <row r="234" customFormat="false" ht="12.75" hidden="false" customHeight="false" outlineLevel="0" collapsed="false">
      <c r="A234" s="346" t="n">
        <f aca="false">+DATE(YEAR(A233),MONTH(A233)+1,1)</f>
        <v>43282</v>
      </c>
      <c r="B234" s="327" t="n">
        <f aca="false">+IF(AND($A234&gt;=$C$8,$A234&lt;=$C$9),1,0)*PORTS!$I$5/(365.25)*(A235-A234)</f>
        <v>5339105.98184763</v>
      </c>
      <c r="C234" s="328" t="n">
        <f aca="false">+B234-(SUMIF($F$17:$IV$17,$H$17,$F234:$IV234))</f>
        <v>0</v>
      </c>
      <c r="D234" s="0" t="n">
        <f aca="false">+YEAR(E234)</f>
        <v>2018</v>
      </c>
      <c r="E234" s="346" t="n">
        <f aca="false">+DATE(YEAR(E233),MONTH(E233)+1,1)</f>
        <v>43282</v>
      </c>
      <c r="F234" s="327" t="n">
        <f aca="false">+IF(AND(G$8&lt;=E234,G$9&gt;=E234),INDEX(ROUTE_PER_DAY_BY_SHIP,MATCH(CONCATENATE(G$4,G$5,G$7),ROUTE_PER_DAY_ROUTES,0),MATCH(G$6,ROUTE_PER_DAY_SHIPS,0))*(E235-E234),0)</f>
        <v>0</v>
      </c>
      <c r="G234" s="347" t="n">
        <f aca="false">-F234*HLOOKUP(G$6,SHIPS,7,0)*INDEX(LADEN_VOYAGE_DAYS,MATCH(CONCATENATE(G$4,G$5,G$7),LADEN_VOYAGE_ROUTES,0),MATCH(G$6,LADEN_VOYAGE_SHIPS,0))</f>
        <v>-0</v>
      </c>
      <c r="H234" s="348" t="n">
        <f aca="false">SUM(F234:G234)</f>
        <v>0</v>
      </c>
      <c r="I234" s="349" t="n">
        <f aca="false">-(H234)*HLOOKUP(G$5,TERMINAL_CHARGES,3,0)</f>
        <v>-0</v>
      </c>
      <c r="J234" s="327" t="n">
        <f aca="false">+H234+I234</f>
        <v>0</v>
      </c>
      <c r="K234" s="333"/>
      <c r="L234" s="346" t="n">
        <f aca="false">+DATE(YEAR(L233),MONTH(L233)+1,1)</f>
        <v>43282</v>
      </c>
      <c r="M234" s="334" t="n">
        <f aca="false">+J234*(VLOOKUP(L234,CURVECALC!$C$6:$J$312,4,0)+N$5)</f>
        <v>0</v>
      </c>
      <c r="N234" s="350" t="n">
        <f aca="false">-F234*INDEX(ship_curves,MATCH(L234,'SHIP CURVES'!$A$9:$A$316,0),MATCH(CONCATENATE(P$4,P$5,P$6,P$7),'SHIP CURVES'!$A$9:$AZ$9,0))</f>
        <v>-0</v>
      </c>
      <c r="O234" s="351" t="n">
        <f aca="false">-H234*INDEX(port_processing_fee,MATCH(L234,PORTS!$H$626:$H$933,0),MATCH(P$5,PORTS!$H$626:$Z$626,0))</f>
        <v>-0</v>
      </c>
      <c r="P234" s="352" t="n">
        <f aca="false">(((VLOOKUP(L234,curvecalc,4,0))*IF(F234=0,0,J234/F234)-INDEX(ship_curves,MATCH(L234,'SHIP CURVES'!$A$9:$A$316,0),MATCH(CONCATENATE(P$4,P$5,P$6,P$7),'SHIP CURVES'!$A$9:$Z$9,0))-INDEX(terminal_curves,MATCH(L234,'TERMINAL CURVES'!$A$4:$A$313,0),MATCH(P$5,'TERMINAL CURVES'!$A$4:$N$4,0))*IF(F234=0,0,H234/F234))-(N$8)*((N$7-$N$5)-(INDEX(ship_curves,MATCH(L234,'SHIP CURVES'!$A$9:$A$316,0),MATCH(CONCATENATE(P$4,P$5,P$6,P$7),'SHIP CURVES'!$A$9:$Z$9,0))-INDEX(ship_curves,MATCH(L234,'SHIP CURVES'!$A$9:$A$316,0),MATCH(CONCATENATE(P$4,N$6,P$6,P$7),'SHIP CURVES'!$A$9:$Z$9,0)))-(INDEX(terminal_curves,MATCH(L234,'TERMINAL CURVES'!$A$4:$A$313,0),MATCH(P$5,'TERMINAL CURVES'!$A$4:$N$4,0))-INDEX(terminal_curves,MATCH(L234,'TERMINAL CURVES'!$A$4:$A$313,0),MATCH(N$6,'TERMINAL CURVES'!$A$4:$N$4,0)))*IF(F234=0,0,H234/F234)))*-F234</f>
        <v>0</v>
      </c>
      <c r="Q234" s="353" t="n">
        <f aca="false">SUM(N234:P234)</f>
        <v>0</v>
      </c>
      <c r="R234" s="357" t="n">
        <f aca="false">(-H234/((HLOOKUP(P$5,port_specs,2,0)/(365.25))*(L235-L234)))*(INDEX(fixed_capacity_charge,MATCH(L234,PORTS!$H$11:$H$317,0),MATCH(P$5,PORTS!$H$11:$N$11,0))+INDEX(variable_om_charge,MATCH(L234,PORTS!$H$318:$H$625,0),MATCH(P$5,PORTS!$H$318:$N$318,0)))</f>
        <v>-0</v>
      </c>
      <c r="S234" s="343" t="n">
        <f aca="false">+R234+Q234</f>
        <v>0</v>
      </c>
      <c r="T234" s="355" t="n">
        <f aca="false">+S234+M234</f>
        <v>0</v>
      </c>
      <c r="V234" s="346" t="n">
        <f aca="false">+DATE(YEAR(V233),MONTH(V233)+1,1)</f>
        <v>43282</v>
      </c>
      <c r="W234" s="327" t="n">
        <f aca="false">+Y234/(1-HLOOKUP(X$6,SHIPS,7,0)*INDEX(LADEN_VOYAGE_DAYS,MATCH(CONCATENATE(X$4,X$5),LADEN_VOYAGE_ROUTES,0),MATCH(X$6,LADEN_VOYAGE_SHIPS,0)))</f>
        <v>0</v>
      </c>
      <c r="X234" s="347" t="n">
        <f aca="false">+Y234-W234</f>
        <v>0</v>
      </c>
      <c r="Y234" s="348" t="n">
        <f aca="false">+IF(AND(X$8&lt;=V234,X$9&gt;=V234),+MIN($B234-SUMIF($H$17:X$17,Y$17,$H234:X234),((INDEX(ROUTE_PER_DAY_BY_SHIP,MATCH(CONCATENATE(X$4,X$5,X$7),ROUTE_PER_DAY_ROUTES,0),MATCH(X$6,ROUTE_PER_DAY_SHIPS,0))*(V235-V234))-(INDEX(ROUTE_PER_DAY_BY_SHIP,MATCH(CONCATENATE(X$4,X$5,X$7),ROUTE_PER_DAY_ROUTES,0),MATCH(X$6,ROUTE_PER_DAY_SHIPS,0))*(V235-V234))*HLOOKUP(X$6,SHIPS,7,0)*INDEX(LADEN_VOYAGE_DAYS,MATCH(CONCATENATE(X$4,X$5,X$7),LADEN_VOYAGE_ROUTES,0),MATCH(X$6,LADEN_VOYAGE_SHIPS,0)))),0)</f>
        <v>0</v>
      </c>
      <c r="Z234" s="349" t="n">
        <f aca="false">-(Y234)*HLOOKUP(X$5,TERMINAL_CHARGES,3,0)</f>
        <v>-0</v>
      </c>
      <c r="AA234" s="327" t="n">
        <f aca="false">+Y234+Z234</f>
        <v>0</v>
      </c>
      <c r="AB234" s="333"/>
      <c r="AC234" s="346" t="n">
        <f aca="false">+DATE(YEAR(AC233),MONTH(AC233)+1,1)</f>
        <v>43282</v>
      </c>
      <c r="AD234" s="343" t="n">
        <f aca="false">+AA234*(VLOOKUP(AC234,CURVECALC!$C$6:$J$312,4,0)+AE$5)</f>
        <v>0</v>
      </c>
      <c r="AE234" s="350" t="n">
        <f aca="false">-W234*INDEX(ship_curves,MATCH(AC234,'SHIP CURVES'!$A$9:$A$316,0),MATCH(CONCATENATE(AG$4,AG$5,AG$6,AG$7),'SHIP CURVES'!$A$9:$AZ$9,0))</f>
        <v>-0</v>
      </c>
      <c r="AF234" s="351" t="n">
        <f aca="false">-Y234*INDEX(port_processing_fee,MATCH(AC234,PORTS!$H$626:$H$933,0),MATCH(AG$5,PORTS!$H$626:$Z$626,0))</f>
        <v>-0</v>
      </c>
      <c r="AG234" s="352" t="n">
        <f aca="false">(((VLOOKUP(AC234,curvecalc,4,0))*IF(W234=0,0,AA234/W234)-INDEX(ship_curves,MATCH(AC234,'SHIP CURVES'!$A$9:$A$316,0),MATCH(CONCATENATE(AG$4,AG$5,AG$6,AG$7),'SHIP CURVES'!$A$9:$Z$9,0))-INDEX(terminal_curves,MATCH(AC234,'TERMINAL CURVES'!$A$4:$A$313,0),MATCH(AG$5,'TERMINAL CURVES'!$A$4:$N$4,0))*IF(W234=0,0,Y234/W234))-(AE$8)*((AE$7-$N$5)-(INDEX(ship_curves,MATCH(AC234,'SHIP CURVES'!$A$9:$A$316,0),MATCH(CONCATENATE(AG$4,AG$5,AG$6,AG$7),'SHIP CURVES'!$A$9:$Z$9,0))-INDEX(ship_curves,MATCH(AC234,'SHIP CURVES'!$A$9:$A$316,0),MATCH(CONCATENATE(AG$4,AE$6,AG$6,AG$7),'SHIP CURVES'!$A$9:$Z$9,0)))-(INDEX(terminal_curves,MATCH(AC234,'TERMINAL CURVES'!$A$4:$A$313,0),MATCH(AG$5,'TERMINAL CURVES'!$A$4:$N$4,0))-INDEX(terminal_curves,MATCH(AC234,'TERMINAL CURVES'!$A$4:$A$313,0),MATCH(AE$6,'TERMINAL CURVES'!$A$4:$N$4,0)))*IF(W234=0,0,Y234/W234)))*-W234</f>
        <v>0</v>
      </c>
      <c r="AH234" s="356" t="n">
        <f aca="false">SUM(AE234:AG234)</f>
        <v>0</v>
      </c>
      <c r="AI234" s="357" t="n">
        <f aca="false">(-Y234/((HLOOKUP(AG$5,port_specs,2,0)/(365.25))*(AC235-AC234)))*(INDEX(fixed_capacity_charge,MATCH(AC234,PORTS!$H$11:$H$317,0),MATCH(AG$5,PORTS!$H$11:$N$11,0))+INDEX(variable_om_charge,MATCH(AC234,PORTS!$H$318:$H$625,0),MATCH(AG$5,PORTS!$H$318:$N$318,0)))</f>
        <v>-0</v>
      </c>
      <c r="AJ234" s="343" t="n">
        <f aca="false">+AI234+AH234</f>
        <v>0</v>
      </c>
      <c r="AK234" s="355" t="n">
        <f aca="false">+AJ234+AD234</f>
        <v>0</v>
      </c>
      <c r="AM234" s="346" t="n">
        <f aca="false">+DATE(YEAR(AM233),MONTH(AM233)+1,1)</f>
        <v>43282</v>
      </c>
      <c r="AN234" s="327" t="n">
        <f aca="false">+AP234/(1-HLOOKUP(AO$6,SHIPS,7,0)*INDEX(LADEN_VOYAGE_DAYS,MATCH(CONCATENATE(AO$4,AO$5),LADEN_VOYAGE_ROUTES,0),MATCH(AO$6,LADEN_VOYAGE_SHIPS,0)))</f>
        <v>5395761.47735991</v>
      </c>
      <c r="AO234" s="347" t="n">
        <f aca="false">+AP234-AN234</f>
        <v>-56655.4955122788</v>
      </c>
      <c r="AP234" s="348" t="n">
        <f aca="false">+IF(AND(AO$8&lt;=AM234,AO$9&gt;=AM234),+MIN($B234-SUMIF($H$17:AO$17,AP$17,$H234:AO234),((INDEX(ROUTE_PER_DAY_BY_SHIP,MATCH(CONCATENATE(AO$4,AO$5,AO$7),ROUTE_PER_DAY_ROUTES,0),MATCH(AO$6,ROUTE_PER_DAY_SHIPS,0))*(AM235-AM234))-(INDEX(ROUTE_PER_DAY_BY_SHIP,MATCH(CONCATENATE(AO$4,AO$5,AO$7),ROUTE_PER_DAY_ROUTES,0),MATCH(AO$6,ROUTE_PER_DAY_SHIPS,0))*(AM235-AM234))*HLOOKUP(AO$6,SHIPS,7,0)*INDEX(LADEN_VOYAGE_DAYS,MATCH(CONCATENATE(AO$4,AO$5,AO$7),LADEN_VOYAGE_ROUTES,0),MATCH(AO$6,LADEN_VOYAGE_SHIPS,0)))),0)</f>
        <v>5339105.98184763</v>
      </c>
      <c r="AQ234" s="349" t="n">
        <f aca="false">-(AP234)*PORTS!$I$6</f>
        <v>-133477.649546191</v>
      </c>
      <c r="AR234" s="327" t="n">
        <f aca="false">+AP234+AQ234</f>
        <v>5205628.33230144</v>
      </c>
      <c r="AS234" s="333"/>
      <c r="AT234" s="346" t="n">
        <f aca="false">+DATE(YEAR(AT233),MONTH(AT233)+1,1)</f>
        <v>43282</v>
      </c>
      <c r="AU234" s="343" t="n">
        <f aca="false">+AR234*(VLOOKUP(AT234,CURVECALC!$C$6:$J$312,4,0)+AV$5)</f>
        <v>21811582.712343</v>
      </c>
      <c r="AV234" s="350" t="n">
        <f aca="false">-AN234*INDEX(ship_curves,MATCH(AT234,'SHIP CURVES'!$A$9:$A$316,0),MATCH(CONCATENATE(AX$4,AX$5,AX$6,AX$7),'SHIP CURVES'!$A$9:$AZ$9,0))</f>
        <v>-1853916.30776232</v>
      </c>
      <c r="AW234" s="351" t="n">
        <f aca="false">-AP234*INDEX(port_processing_fee,MATCH(AT234,PORTS!$H$626:$H$933,0),MATCH(AX$5,PORTS!$H$626:$Z$626,0))</f>
        <v>-177095.2691215</v>
      </c>
      <c r="AX234" s="352" t="n">
        <f aca="false">(((VLOOKUP(AT234,curvecalc,4,0))*IF(AN234=0,0,AR234/AN234)-INDEX(ship_curves,MATCH(AT234,'SHIP CURVES'!$A$9:$A$316,0),MATCH(CONCATENATE(AX$4,AX$5,AX$6,AX$7),'SHIP CURVES'!$A$9:$Z$9,0))-INDEX(terminal_curves,MATCH(AT234,'TERMINAL CURVES'!$A$4:$A$313,0),MATCH(AX$5,'TERMINAL CURVES'!$A$4:$N$4,0))*IF(AN234=0,0,AP234/AN234))-(AV$8)*((AV$7-$N$5)-(INDEX(ship_curves,MATCH(AT234,'SHIP CURVES'!$A$9:$A$316,0),MATCH(CONCATENATE(AX$4,AX$5,AX$6,AX$7),'SHIP CURVES'!$A$9:$Z$9,0))-INDEX(ship_curves,MATCH(AT234,'SHIP CURVES'!$A$9:$A$316,0),MATCH(CONCATENATE(AX$4,AV$6,AX$6,AX$7),'SHIP CURVES'!$A$9:$Z$9,0)))-(INDEX(terminal_curves,MATCH(AT234,'TERMINAL CURVES'!$A$4:$A$313,0),MATCH(AX$5,'TERMINAL CURVES'!$A$4:$N$4,0))-INDEX(terminal_curves,MATCH(AT234,'TERMINAL CURVES'!$A$4:$A$313,0),MATCH(AV$6,'TERMINAL CURVES'!$A$4:$N$4,0)))*IF(AN234=0,0,AP234/AN234)))*-AN234</f>
        <v>-18620743.0082377</v>
      </c>
      <c r="AY234" s="356" t="n">
        <f aca="false">SUM(AV234:AX234)</f>
        <v>-20651754.5851216</v>
      </c>
      <c r="AZ234" s="357" t="n">
        <f aca="false">(-AP234/((HLOOKUP(AX$5,port_specs,2,0)/(365.25))*(AT235-AT234)))*(INDEX(fixed_capacity_charge,MATCH(AT234,PORTS!$H$11:$H$317,0),MATCH(AX$5,PORTS!$H$11:$N$11,0))+INDEX(variable_om_charge,MATCH(AT234,PORTS!$H$318:$H$625,0),MATCH(AX$5,PORTS!$H$318:$N$318,0)))</f>
        <v>-1055715.56057547</v>
      </c>
      <c r="BA234" s="343" t="n">
        <f aca="false">+AZ234+AY234</f>
        <v>-21707470.145697</v>
      </c>
      <c r="BB234" s="355" t="n">
        <f aca="false">+BA234+AU234</f>
        <v>104112.566646025</v>
      </c>
      <c r="BC234" s="99"/>
      <c r="BD234" s="357" t="n">
        <f aca="false">+PORTS!I228+PORTS!I536</f>
        <v>1055715.56057547</v>
      </c>
    </row>
    <row r="235" customFormat="false" ht="12.75" hidden="false" customHeight="false" outlineLevel="0" collapsed="false">
      <c r="A235" s="346" t="n">
        <f aca="false">+DATE(YEAR(A234),MONTH(A234)+1,1)</f>
        <v>43313</v>
      </c>
      <c r="B235" s="327" t="n">
        <f aca="false">+IF(AND($A235&gt;=$C$8,$A235&lt;=$C$9),1,0)*PORTS!$I$5/(365.25)*(A236-A235)</f>
        <v>5339105.98184763</v>
      </c>
      <c r="C235" s="328" t="n">
        <f aca="false">+B235-(SUMIF($F$17:$IV$17,$H$17,$F235:$IV235))</f>
        <v>0</v>
      </c>
      <c r="D235" s="0" t="n">
        <f aca="false">+YEAR(E235)</f>
        <v>2018</v>
      </c>
      <c r="E235" s="346" t="n">
        <f aca="false">+DATE(YEAR(E234),MONTH(E234)+1,1)</f>
        <v>43313</v>
      </c>
      <c r="F235" s="327" t="n">
        <f aca="false">+IF(AND(G$8&lt;=E235,G$9&gt;=E235),INDEX(ROUTE_PER_DAY_BY_SHIP,MATCH(CONCATENATE(G$4,G$5,G$7),ROUTE_PER_DAY_ROUTES,0),MATCH(G$6,ROUTE_PER_DAY_SHIPS,0))*(E236-E235),0)</f>
        <v>0</v>
      </c>
      <c r="G235" s="347" t="n">
        <f aca="false">-F235*HLOOKUP(G$6,SHIPS,7,0)*INDEX(LADEN_VOYAGE_DAYS,MATCH(CONCATENATE(G$4,G$5,G$7),LADEN_VOYAGE_ROUTES,0),MATCH(G$6,LADEN_VOYAGE_SHIPS,0))</f>
        <v>-0</v>
      </c>
      <c r="H235" s="348" t="n">
        <f aca="false">SUM(F235:G235)</f>
        <v>0</v>
      </c>
      <c r="I235" s="349" t="n">
        <f aca="false">-(H235)*HLOOKUP(G$5,TERMINAL_CHARGES,3,0)</f>
        <v>-0</v>
      </c>
      <c r="J235" s="327" t="n">
        <f aca="false">+H235+I235</f>
        <v>0</v>
      </c>
      <c r="K235" s="333"/>
      <c r="L235" s="346" t="n">
        <f aca="false">+DATE(YEAR(L234),MONTH(L234)+1,1)</f>
        <v>43313</v>
      </c>
      <c r="M235" s="334" t="n">
        <f aca="false">+J235*(VLOOKUP(L235,CURVECALC!$C$6:$J$312,4,0)+N$5)</f>
        <v>0</v>
      </c>
      <c r="N235" s="350" t="n">
        <f aca="false">-F235*INDEX(ship_curves,MATCH(L235,'SHIP CURVES'!$A$9:$A$316,0),MATCH(CONCATENATE(P$4,P$5,P$6,P$7),'SHIP CURVES'!$A$9:$AZ$9,0))</f>
        <v>-0</v>
      </c>
      <c r="O235" s="351" t="n">
        <f aca="false">-H235*INDEX(port_processing_fee,MATCH(L235,PORTS!$H$626:$H$933,0),MATCH(P$5,PORTS!$H$626:$Z$626,0))</f>
        <v>-0</v>
      </c>
      <c r="P235" s="352" t="n">
        <f aca="false">(((VLOOKUP(L235,curvecalc,4,0))*IF(F235=0,0,J235/F235)-INDEX(ship_curves,MATCH(L235,'SHIP CURVES'!$A$9:$A$316,0),MATCH(CONCATENATE(P$4,P$5,P$6,P$7),'SHIP CURVES'!$A$9:$Z$9,0))-INDEX(terminal_curves,MATCH(L235,'TERMINAL CURVES'!$A$4:$A$313,0),MATCH(P$5,'TERMINAL CURVES'!$A$4:$N$4,0))*IF(F235=0,0,H235/F235))-(N$8)*((N$7-$N$5)-(INDEX(ship_curves,MATCH(L235,'SHIP CURVES'!$A$9:$A$316,0),MATCH(CONCATENATE(P$4,P$5,P$6,P$7),'SHIP CURVES'!$A$9:$Z$9,0))-INDEX(ship_curves,MATCH(L235,'SHIP CURVES'!$A$9:$A$316,0),MATCH(CONCATENATE(P$4,N$6,P$6,P$7),'SHIP CURVES'!$A$9:$Z$9,0)))-(INDEX(terminal_curves,MATCH(L235,'TERMINAL CURVES'!$A$4:$A$313,0),MATCH(P$5,'TERMINAL CURVES'!$A$4:$N$4,0))-INDEX(terminal_curves,MATCH(L235,'TERMINAL CURVES'!$A$4:$A$313,0),MATCH(N$6,'TERMINAL CURVES'!$A$4:$N$4,0)))*IF(F235=0,0,H235/F235)))*-F235</f>
        <v>0</v>
      </c>
      <c r="Q235" s="353" t="n">
        <f aca="false">SUM(N235:P235)</f>
        <v>0</v>
      </c>
      <c r="R235" s="357" t="n">
        <f aca="false">(-H235/((HLOOKUP(P$5,port_specs,2,0)/(365.25))*(L236-L235)))*(INDEX(fixed_capacity_charge,MATCH(L235,PORTS!$H$11:$H$317,0),MATCH(P$5,PORTS!$H$11:$N$11,0))+INDEX(variable_om_charge,MATCH(L235,PORTS!$H$318:$H$625,0),MATCH(P$5,PORTS!$H$318:$N$318,0)))</f>
        <v>-0</v>
      </c>
      <c r="S235" s="343" t="n">
        <f aca="false">+R235+Q235</f>
        <v>0</v>
      </c>
      <c r="T235" s="355" t="n">
        <f aca="false">+S235+M235</f>
        <v>0</v>
      </c>
      <c r="V235" s="346" t="n">
        <f aca="false">+DATE(YEAR(V234),MONTH(V234)+1,1)</f>
        <v>43313</v>
      </c>
      <c r="W235" s="327" t="n">
        <f aca="false">+Y235/(1-HLOOKUP(X$6,SHIPS,7,0)*INDEX(LADEN_VOYAGE_DAYS,MATCH(CONCATENATE(X$4,X$5),LADEN_VOYAGE_ROUTES,0),MATCH(X$6,LADEN_VOYAGE_SHIPS,0)))</f>
        <v>0</v>
      </c>
      <c r="X235" s="347" t="n">
        <f aca="false">+Y235-W235</f>
        <v>0</v>
      </c>
      <c r="Y235" s="348" t="n">
        <f aca="false">+IF(AND(X$8&lt;=V235,X$9&gt;=V235),+MIN($B235-SUMIF($H$17:X$17,Y$17,$H235:X235),((INDEX(ROUTE_PER_DAY_BY_SHIP,MATCH(CONCATENATE(X$4,X$5,X$7),ROUTE_PER_DAY_ROUTES,0),MATCH(X$6,ROUTE_PER_DAY_SHIPS,0))*(V236-V235))-(INDEX(ROUTE_PER_DAY_BY_SHIP,MATCH(CONCATENATE(X$4,X$5,X$7),ROUTE_PER_DAY_ROUTES,0),MATCH(X$6,ROUTE_PER_DAY_SHIPS,0))*(V236-V235))*HLOOKUP(X$6,SHIPS,7,0)*INDEX(LADEN_VOYAGE_DAYS,MATCH(CONCATENATE(X$4,X$5,X$7),LADEN_VOYAGE_ROUTES,0),MATCH(X$6,LADEN_VOYAGE_SHIPS,0)))),0)</f>
        <v>0</v>
      </c>
      <c r="Z235" s="349" t="n">
        <f aca="false">-(Y235)*HLOOKUP(X$5,TERMINAL_CHARGES,3,0)</f>
        <v>-0</v>
      </c>
      <c r="AA235" s="327" t="n">
        <f aca="false">+Y235+Z235</f>
        <v>0</v>
      </c>
      <c r="AB235" s="333"/>
      <c r="AC235" s="346" t="n">
        <f aca="false">+DATE(YEAR(AC234),MONTH(AC234)+1,1)</f>
        <v>43313</v>
      </c>
      <c r="AD235" s="343" t="n">
        <f aca="false">+AA235*(VLOOKUP(AC235,CURVECALC!$C$6:$J$312,4,0)+AE$5)</f>
        <v>0</v>
      </c>
      <c r="AE235" s="350" t="n">
        <f aca="false">-W235*INDEX(ship_curves,MATCH(AC235,'SHIP CURVES'!$A$9:$A$316,0),MATCH(CONCATENATE(AG$4,AG$5,AG$6,AG$7),'SHIP CURVES'!$A$9:$AZ$9,0))</f>
        <v>-0</v>
      </c>
      <c r="AF235" s="351" t="n">
        <f aca="false">-Y235*INDEX(port_processing_fee,MATCH(AC235,PORTS!$H$626:$H$933,0),MATCH(AG$5,PORTS!$H$626:$Z$626,0))</f>
        <v>-0</v>
      </c>
      <c r="AG235" s="352" t="n">
        <f aca="false">(((VLOOKUP(AC235,curvecalc,4,0))*IF(W235=0,0,AA235/W235)-INDEX(ship_curves,MATCH(AC235,'SHIP CURVES'!$A$9:$A$316,0),MATCH(CONCATENATE(AG$4,AG$5,AG$6,AG$7),'SHIP CURVES'!$A$9:$Z$9,0))-INDEX(terminal_curves,MATCH(AC235,'TERMINAL CURVES'!$A$4:$A$313,0),MATCH(AG$5,'TERMINAL CURVES'!$A$4:$N$4,0))*IF(W235=0,0,Y235/W235))-(AE$8)*((AE$7-$N$5)-(INDEX(ship_curves,MATCH(AC235,'SHIP CURVES'!$A$9:$A$316,0),MATCH(CONCATENATE(AG$4,AG$5,AG$6,AG$7),'SHIP CURVES'!$A$9:$Z$9,0))-INDEX(ship_curves,MATCH(AC235,'SHIP CURVES'!$A$9:$A$316,0),MATCH(CONCATENATE(AG$4,AE$6,AG$6,AG$7),'SHIP CURVES'!$A$9:$Z$9,0)))-(INDEX(terminal_curves,MATCH(AC235,'TERMINAL CURVES'!$A$4:$A$313,0),MATCH(AG$5,'TERMINAL CURVES'!$A$4:$N$4,0))-INDEX(terminal_curves,MATCH(AC235,'TERMINAL CURVES'!$A$4:$A$313,0),MATCH(AE$6,'TERMINAL CURVES'!$A$4:$N$4,0)))*IF(W235=0,0,Y235/W235)))*-W235</f>
        <v>0</v>
      </c>
      <c r="AH235" s="356" t="n">
        <f aca="false">SUM(AE235:AG235)</f>
        <v>0</v>
      </c>
      <c r="AI235" s="357" t="n">
        <f aca="false">(-Y235/((HLOOKUP(AG$5,port_specs,2,0)/(365.25))*(AC236-AC235)))*(INDEX(fixed_capacity_charge,MATCH(AC235,PORTS!$H$11:$H$317,0),MATCH(AG$5,PORTS!$H$11:$N$11,0))+INDEX(variable_om_charge,MATCH(AC235,PORTS!$H$318:$H$625,0),MATCH(AG$5,PORTS!$H$318:$N$318,0)))</f>
        <v>-0</v>
      </c>
      <c r="AJ235" s="343" t="n">
        <f aca="false">+AI235+AH235</f>
        <v>0</v>
      </c>
      <c r="AK235" s="355" t="n">
        <f aca="false">+AJ235+AD235</f>
        <v>0</v>
      </c>
      <c r="AM235" s="346" t="n">
        <f aca="false">+DATE(YEAR(AM234),MONTH(AM234)+1,1)</f>
        <v>43313</v>
      </c>
      <c r="AN235" s="327" t="n">
        <f aca="false">+AP235/(1-HLOOKUP(AO$6,SHIPS,7,0)*INDEX(LADEN_VOYAGE_DAYS,MATCH(CONCATENATE(AO$4,AO$5),LADEN_VOYAGE_ROUTES,0),MATCH(AO$6,LADEN_VOYAGE_SHIPS,0)))</f>
        <v>5395761.47735991</v>
      </c>
      <c r="AO235" s="347" t="n">
        <f aca="false">+AP235-AN235</f>
        <v>-56655.4955122788</v>
      </c>
      <c r="AP235" s="348" t="n">
        <f aca="false">+IF(AND(AO$8&lt;=AM235,AO$9&gt;=AM235),+MIN($B235-SUMIF($H$17:AO$17,AP$17,$H235:AO235),((INDEX(ROUTE_PER_DAY_BY_SHIP,MATCH(CONCATENATE(AO$4,AO$5,AO$7),ROUTE_PER_DAY_ROUTES,0),MATCH(AO$6,ROUTE_PER_DAY_SHIPS,0))*(AM236-AM235))-(INDEX(ROUTE_PER_DAY_BY_SHIP,MATCH(CONCATENATE(AO$4,AO$5,AO$7),ROUTE_PER_DAY_ROUTES,0),MATCH(AO$6,ROUTE_PER_DAY_SHIPS,0))*(AM236-AM235))*HLOOKUP(AO$6,SHIPS,7,0)*INDEX(LADEN_VOYAGE_DAYS,MATCH(CONCATENATE(AO$4,AO$5,AO$7),LADEN_VOYAGE_ROUTES,0),MATCH(AO$6,LADEN_VOYAGE_SHIPS,0)))),0)</f>
        <v>5339105.98184763</v>
      </c>
      <c r="AQ235" s="349" t="n">
        <f aca="false">-(AP235)*PORTS!$I$6</f>
        <v>-133477.649546191</v>
      </c>
      <c r="AR235" s="327" t="n">
        <f aca="false">+AP235+AQ235</f>
        <v>5205628.33230144</v>
      </c>
      <c r="AS235" s="333"/>
      <c r="AT235" s="346" t="n">
        <f aca="false">+DATE(YEAR(AT234),MONTH(AT234)+1,1)</f>
        <v>43313</v>
      </c>
      <c r="AU235" s="343" t="n">
        <f aca="false">+AR235*(VLOOKUP(AT235,CURVECALC!$C$6:$J$312,4,0)+AV$5)</f>
        <v>22123920.4122811</v>
      </c>
      <c r="AV235" s="350" t="n">
        <f aca="false">-AN235*INDEX(ship_curves,MATCH(AT235,'SHIP CURVES'!$A$9:$A$316,0),MATCH(CONCATENATE(AX$4,AX$5,AX$6,AX$7),'SHIP CURVES'!$A$9:$AZ$9,0))</f>
        <v>-1854582.95063887</v>
      </c>
      <c r="AW235" s="351" t="n">
        <f aca="false">-AP235*INDEX(port_processing_fee,MATCH(AT235,PORTS!$H$626:$H$933,0),MATCH(AX$5,PORTS!$H$626:$Z$626,0))</f>
        <v>-177279.743360169</v>
      </c>
      <c r="AX235" s="352" t="n">
        <f aca="false">(((VLOOKUP(AT235,curvecalc,4,0))*IF(AN235=0,0,AR235/AN235)-INDEX(ship_curves,MATCH(AT235,'SHIP CURVES'!$A$9:$A$316,0),MATCH(CONCATENATE(AX$4,AX$5,AX$6,AX$7),'SHIP CURVES'!$A$9:$Z$9,0))-INDEX(terminal_curves,MATCH(AT235,'TERMINAL CURVES'!$A$4:$A$313,0),MATCH(AX$5,'TERMINAL CURVES'!$A$4:$N$4,0))*IF(AN235=0,0,AP235/AN235))-(AV$8)*((AV$7-$N$5)-(INDEX(ship_curves,MATCH(AT235,'SHIP CURVES'!$A$9:$A$316,0),MATCH(CONCATENATE(AX$4,AX$5,AX$6,AX$7),'SHIP CURVES'!$A$9:$Z$9,0))-INDEX(ship_curves,MATCH(AT235,'SHIP CURVES'!$A$9:$A$316,0),MATCH(CONCATENATE(AX$4,AV$6,AX$6,AX$7),'SHIP CURVES'!$A$9:$Z$9,0)))-(INDEX(terminal_curves,MATCH(AT235,'TERMINAL CURVES'!$A$4:$A$313,0),MATCH(AX$5,'TERMINAL CURVES'!$A$4:$N$4,0))-INDEX(terminal_curves,MATCH(AT235,'TERMINAL CURVES'!$A$4:$A$313,0),MATCH(AV$6,'TERMINAL CURVES'!$A$4:$N$4,0)))*IF(AN235=0,0,AP235/AN235)))*-AN235</f>
        <v>-18931635.2900297</v>
      </c>
      <c r="AY235" s="356" t="n">
        <f aca="false">SUM(AV235:AX235)</f>
        <v>-20963497.9840287</v>
      </c>
      <c r="AZ235" s="357" t="n">
        <f aca="false">(-AP235/((HLOOKUP(AX$5,port_specs,2,0)/(365.25))*(AT236-AT235)))*(INDEX(fixed_capacity_charge,MATCH(AT235,PORTS!$H$11:$H$317,0),MATCH(AX$5,PORTS!$H$11:$N$11,0))+INDEX(variable_om_charge,MATCH(AT235,PORTS!$H$318:$H$625,0),MATCH(AX$5,PORTS!$H$318:$N$318,0)))</f>
        <v>-1056309.86160637</v>
      </c>
      <c r="BA235" s="343" t="n">
        <f aca="false">+AZ235+AY235</f>
        <v>-22019807.8456351</v>
      </c>
      <c r="BB235" s="355" t="n">
        <f aca="false">+BA235+AU235</f>
        <v>104112.566646025</v>
      </c>
      <c r="BC235" s="99"/>
      <c r="BD235" s="357" t="n">
        <f aca="false">+PORTS!I229+PORTS!I537</f>
        <v>1056309.86160637</v>
      </c>
    </row>
    <row r="236" customFormat="false" ht="12.75" hidden="false" customHeight="false" outlineLevel="0" collapsed="false">
      <c r="A236" s="346" t="n">
        <f aca="false">+DATE(YEAR(A235),MONTH(A235)+1,1)</f>
        <v>43344</v>
      </c>
      <c r="B236" s="327" t="n">
        <f aca="false">+IF(AND($A236&gt;=$C$8,$A236&lt;=$C$9),1,0)*PORTS!$I$5/(365.25)*(A237-A236)</f>
        <v>5166876.75662674</v>
      </c>
      <c r="C236" s="328" t="n">
        <f aca="false">+B236-(SUMIF($F$17:$IV$17,$H$17,$F236:$IV236))</f>
        <v>0</v>
      </c>
      <c r="D236" s="0" t="n">
        <f aca="false">+YEAR(E236)</f>
        <v>2018</v>
      </c>
      <c r="E236" s="346" t="n">
        <f aca="false">+DATE(YEAR(E235),MONTH(E235)+1,1)</f>
        <v>43344</v>
      </c>
      <c r="F236" s="327" t="n">
        <f aca="false">+IF(AND(G$8&lt;=E236,G$9&gt;=E236),INDEX(ROUTE_PER_DAY_BY_SHIP,MATCH(CONCATENATE(G$4,G$5,G$7),ROUTE_PER_DAY_ROUTES,0),MATCH(G$6,ROUTE_PER_DAY_SHIPS,0))*(E237-E236),0)</f>
        <v>0</v>
      </c>
      <c r="G236" s="347" t="n">
        <f aca="false">-F236*HLOOKUP(G$6,SHIPS,7,0)*INDEX(LADEN_VOYAGE_DAYS,MATCH(CONCATENATE(G$4,G$5,G$7),LADEN_VOYAGE_ROUTES,0),MATCH(G$6,LADEN_VOYAGE_SHIPS,0))</f>
        <v>-0</v>
      </c>
      <c r="H236" s="348" t="n">
        <f aca="false">SUM(F236:G236)</f>
        <v>0</v>
      </c>
      <c r="I236" s="349" t="n">
        <f aca="false">-(H236)*HLOOKUP(G$5,TERMINAL_CHARGES,3,0)</f>
        <v>-0</v>
      </c>
      <c r="J236" s="327" t="n">
        <f aca="false">+H236+I236</f>
        <v>0</v>
      </c>
      <c r="K236" s="333"/>
      <c r="L236" s="346" t="n">
        <f aca="false">+DATE(YEAR(L235),MONTH(L235)+1,1)</f>
        <v>43344</v>
      </c>
      <c r="M236" s="334" t="n">
        <f aca="false">+J236*(VLOOKUP(L236,CURVECALC!$C$6:$J$312,4,0)+N$5)</f>
        <v>0</v>
      </c>
      <c r="N236" s="350" t="n">
        <f aca="false">-F236*INDEX(ship_curves,MATCH(L236,'SHIP CURVES'!$A$9:$A$316,0),MATCH(CONCATENATE(P$4,P$5,P$6,P$7),'SHIP CURVES'!$A$9:$AZ$9,0))</f>
        <v>-0</v>
      </c>
      <c r="O236" s="351" t="n">
        <f aca="false">-H236*INDEX(port_processing_fee,MATCH(L236,PORTS!$H$626:$H$933,0),MATCH(P$5,PORTS!$H$626:$Z$626,0))</f>
        <v>-0</v>
      </c>
      <c r="P236" s="352" t="n">
        <f aca="false">(((VLOOKUP(L236,curvecalc,4,0))*IF(F236=0,0,J236/F236)-INDEX(ship_curves,MATCH(L236,'SHIP CURVES'!$A$9:$A$316,0),MATCH(CONCATENATE(P$4,P$5,P$6,P$7),'SHIP CURVES'!$A$9:$Z$9,0))-INDEX(terminal_curves,MATCH(L236,'TERMINAL CURVES'!$A$4:$A$313,0),MATCH(P$5,'TERMINAL CURVES'!$A$4:$N$4,0))*IF(F236=0,0,H236/F236))-(N$8)*((N$7-$N$5)-(INDEX(ship_curves,MATCH(L236,'SHIP CURVES'!$A$9:$A$316,0),MATCH(CONCATENATE(P$4,P$5,P$6,P$7),'SHIP CURVES'!$A$9:$Z$9,0))-INDEX(ship_curves,MATCH(L236,'SHIP CURVES'!$A$9:$A$316,0),MATCH(CONCATENATE(P$4,N$6,P$6,P$7),'SHIP CURVES'!$A$9:$Z$9,0)))-(INDEX(terminal_curves,MATCH(L236,'TERMINAL CURVES'!$A$4:$A$313,0),MATCH(P$5,'TERMINAL CURVES'!$A$4:$N$4,0))-INDEX(terminal_curves,MATCH(L236,'TERMINAL CURVES'!$A$4:$A$313,0),MATCH(N$6,'TERMINAL CURVES'!$A$4:$N$4,0)))*IF(F236=0,0,H236/F236)))*-F236</f>
        <v>0</v>
      </c>
      <c r="Q236" s="353" t="n">
        <f aca="false">SUM(N236:P236)</f>
        <v>0</v>
      </c>
      <c r="R236" s="357" t="n">
        <f aca="false">(-H236/((HLOOKUP(P$5,port_specs,2,0)/(365.25))*(L237-L236)))*(INDEX(fixed_capacity_charge,MATCH(L236,PORTS!$H$11:$H$317,0),MATCH(P$5,PORTS!$H$11:$N$11,0))+INDEX(variable_om_charge,MATCH(L236,PORTS!$H$318:$H$625,0),MATCH(P$5,PORTS!$H$318:$N$318,0)))</f>
        <v>-0</v>
      </c>
      <c r="S236" s="343" t="n">
        <f aca="false">+R236+Q236</f>
        <v>0</v>
      </c>
      <c r="T236" s="355" t="n">
        <f aca="false">+S236+M236</f>
        <v>0</v>
      </c>
      <c r="V236" s="346" t="n">
        <f aca="false">+DATE(YEAR(V235),MONTH(V235)+1,1)</f>
        <v>43344</v>
      </c>
      <c r="W236" s="327" t="n">
        <f aca="false">+Y236/(1-HLOOKUP(X$6,SHIPS,7,0)*INDEX(LADEN_VOYAGE_DAYS,MATCH(CONCATENATE(X$4,X$5),LADEN_VOYAGE_ROUTES,0),MATCH(X$6,LADEN_VOYAGE_SHIPS,0)))</f>
        <v>0</v>
      </c>
      <c r="X236" s="347" t="n">
        <f aca="false">+Y236-W236</f>
        <v>0</v>
      </c>
      <c r="Y236" s="348" t="n">
        <f aca="false">+IF(AND(X$8&lt;=V236,X$9&gt;=V236),+MIN($B236-SUMIF($H$17:X$17,Y$17,$H236:X236),((INDEX(ROUTE_PER_DAY_BY_SHIP,MATCH(CONCATENATE(X$4,X$5,X$7),ROUTE_PER_DAY_ROUTES,0),MATCH(X$6,ROUTE_PER_DAY_SHIPS,0))*(V237-V236))-(INDEX(ROUTE_PER_DAY_BY_SHIP,MATCH(CONCATENATE(X$4,X$5,X$7),ROUTE_PER_DAY_ROUTES,0),MATCH(X$6,ROUTE_PER_DAY_SHIPS,0))*(V237-V236))*HLOOKUP(X$6,SHIPS,7,0)*INDEX(LADEN_VOYAGE_DAYS,MATCH(CONCATENATE(X$4,X$5,X$7),LADEN_VOYAGE_ROUTES,0),MATCH(X$6,LADEN_VOYAGE_SHIPS,0)))),0)</f>
        <v>0</v>
      </c>
      <c r="Z236" s="349" t="n">
        <f aca="false">-(Y236)*HLOOKUP(X$5,TERMINAL_CHARGES,3,0)</f>
        <v>-0</v>
      </c>
      <c r="AA236" s="327" t="n">
        <f aca="false">+Y236+Z236</f>
        <v>0</v>
      </c>
      <c r="AB236" s="333"/>
      <c r="AC236" s="346" t="n">
        <f aca="false">+DATE(YEAR(AC235),MONTH(AC235)+1,1)</f>
        <v>43344</v>
      </c>
      <c r="AD236" s="343" t="n">
        <f aca="false">+AA236*(VLOOKUP(AC236,CURVECALC!$C$6:$J$312,4,0)+AE$5)</f>
        <v>0</v>
      </c>
      <c r="AE236" s="350" t="n">
        <f aca="false">-W236*INDEX(ship_curves,MATCH(AC236,'SHIP CURVES'!$A$9:$A$316,0),MATCH(CONCATENATE(AG$4,AG$5,AG$6,AG$7),'SHIP CURVES'!$A$9:$AZ$9,0))</f>
        <v>-0</v>
      </c>
      <c r="AF236" s="351" t="n">
        <f aca="false">-Y236*INDEX(port_processing_fee,MATCH(AC236,PORTS!$H$626:$H$933,0),MATCH(AG$5,PORTS!$H$626:$Z$626,0))</f>
        <v>-0</v>
      </c>
      <c r="AG236" s="352" t="n">
        <f aca="false">(((VLOOKUP(AC236,curvecalc,4,0))*IF(W236=0,0,AA236/W236)-INDEX(ship_curves,MATCH(AC236,'SHIP CURVES'!$A$9:$A$316,0),MATCH(CONCATENATE(AG$4,AG$5,AG$6,AG$7),'SHIP CURVES'!$A$9:$Z$9,0))-INDEX(terminal_curves,MATCH(AC236,'TERMINAL CURVES'!$A$4:$A$313,0),MATCH(AG$5,'TERMINAL CURVES'!$A$4:$N$4,0))*IF(W236=0,0,Y236/W236))-(AE$8)*((AE$7-$N$5)-(INDEX(ship_curves,MATCH(AC236,'SHIP CURVES'!$A$9:$A$316,0),MATCH(CONCATENATE(AG$4,AG$5,AG$6,AG$7),'SHIP CURVES'!$A$9:$Z$9,0))-INDEX(ship_curves,MATCH(AC236,'SHIP CURVES'!$A$9:$A$316,0),MATCH(CONCATENATE(AG$4,AE$6,AG$6,AG$7),'SHIP CURVES'!$A$9:$Z$9,0)))-(INDEX(terminal_curves,MATCH(AC236,'TERMINAL CURVES'!$A$4:$A$313,0),MATCH(AG$5,'TERMINAL CURVES'!$A$4:$N$4,0))-INDEX(terminal_curves,MATCH(AC236,'TERMINAL CURVES'!$A$4:$A$313,0),MATCH(AE$6,'TERMINAL CURVES'!$A$4:$N$4,0)))*IF(W236=0,0,Y236/W236)))*-W236</f>
        <v>0</v>
      </c>
      <c r="AH236" s="356" t="n">
        <f aca="false">SUM(AE236:AG236)</f>
        <v>0</v>
      </c>
      <c r="AI236" s="357" t="n">
        <f aca="false">(-Y236/((HLOOKUP(AG$5,port_specs,2,0)/(365.25))*(AC237-AC236)))*(INDEX(fixed_capacity_charge,MATCH(AC236,PORTS!$H$11:$H$317,0),MATCH(AG$5,PORTS!$H$11:$N$11,0))+INDEX(variable_om_charge,MATCH(AC236,PORTS!$H$318:$H$625,0),MATCH(AG$5,PORTS!$H$318:$N$318,0)))</f>
        <v>-0</v>
      </c>
      <c r="AJ236" s="343" t="n">
        <f aca="false">+AI236+AH236</f>
        <v>0</v>
      </c>
      <c r="AK236" s="355" t="n">
        <f aca="false">+AJ236+AD236</f>
        <v>0</v>
      </c>
      <c r="AM236" s="346" t="n">
        <f aca="false">+DATE(YEAR(AM235),MONTH(AM235)+1,1)</f>
        <v>43344</v>
      </c>
      <c r="AN236" s="327" t="n">
        <f aca="false">+AP236/(1-HLOOKUP(AO$6,SHIPS,7,0)*INDEX(LADEN_VOYAGE_DAYS,MATCH(CONCATENATE(AO$4,AO$5),LADEN_VOYAGE_ROUTES,0),MATCH(AO$6,LADEN_VOYAGE_SHIPS,0)))</f>
        <v>5221704.65550959</v>
      </c>
      <c r="AO236" s="347" t="n">
        <f aca="false">+AP236-AN236</f>
        <v>-54827.8988828501</v>
      </c>
      <c r="AP236" s="348" t="n">
        <f aca="false">+IF(AND(AO$8&lt;=AM236,AO$9&gt;=AM236),+MIN($B236-SUMIF($H$17:AO$17,AP$17,$H236:AO236),((INDEX(ROUTE_PER_DAY_BY_SHIP,MATCH(CONCATENATE(AO$4,AO$5,AO$7),ROUTE_PER_DAY_ROUTES,0),MATCH(AO$6,ROUTE_PER_DAY_SHIPS,0))*(AM237-AM236))-(INDEX(ROUTE_PER_DAY_BY_SHIP,MATCH(CONCATENATE(AO$4,AO$5,AO$7),ROUTE_PER_DAY_ROUTES,0),MATCH(AO$6,ROUTE_PER_DAY_SHIPS,0))*(AM237-AM236))*HLOOKUP(AO$6,SHIPS,7,0)*INDEX(LADEN_VOYAGE_DAYS,MATCH(CONCATENATE(AO$4,AO$5,AO$7),LADEN_VOYAGE_ROUTES,0),MATCH(AO$6,LADEN_VOYAGE_SHIPS,0)))),0)</f>
        <v>5166876.75662674</v>
      </c>
      <c r="AQ236" s="349" t="n">
        <f aca="false">-(AP236)*PORTS!$I$6</f>
        <v>-129171.918915669</v>
      </c>
      <c r="AR236" s="327" t="n">
        <f aca="false">+AP236+AQ236</f>
        <v>5037704.83771107</v>
      </c>
      <c r="AS236" s="333"/>
      <c r="AT236" s="346" t="n">
        <f aca="false">+DATE(YEAR(AT235),MONTH(AT235)+1,1)</f>
        <v>43344</v>
      </c>
      <c r="AU236" s="343" t="n">
        <f aca="false">+AR236*(VLOOKUP(AT236,CURVECALC!$C$6:$J$312,4,0)+AV$5)</f>
        <v>21284302.9393293</v>
      </c>
      <c r="AV236" s="350" t="n">
        <f aca="false">-AN236*INDEX(ship_curves,MATCH(AT236,'SHIP CURVES'!$A$9:$A$316,0),MATCH(CONCATENATE(AX$4,AX$5,AX$6,AX$7),'SHIP CURVES'!$A$9:$AZ$9,0))</f>
        <v>-1795404.17647234</v>
      </c>
      <c r="AW236" s="351" t="n">
        <f aca="false">-AP236*INDEX(port_processing_fee,MATCH(AT236,PORTS!$H$626:$H$933,0),MATCH(AX$5,PORTS!$H$626:$Z$626,0))</f>
        <v>-171739.751380163</v>
      </c>
      <c r="AX236" s="352" t="n">
        <f aca="false">(((VLOOKUP(AT236,curvecalc,4,0))*IF(AN236=0,0,AR236/AN236)-INDEX(ship_curves,MATCH(AT236,'SHIP CURVES'!$A$9:$A$316,0),MATCH(CONCATENATE(AX$4,AX$5,AX$6,AX$7),'SHIP CURVES'!$A$9:$Z$9,0))-INDEX(terminal_curves,MATCH(AT236,'TERMINAL CURVES'!$A$4:$A$313,0),MATCH(AX$5,'TERMINAL CURVES'!$A$4:$N$4,0))*IF(AN236=0,0,AP236/AN236))-(AV$8)*((AV$7-$N$5)-(INDEX(ship_curves,MATCH(AT236,'SHIP CURVES'!$A$9:$A$316,0),MATCH(CONCATENATE(AX$4,AX$5,AX$6,AX$7),'SHIP CURVES'!$A$9:$Z$9,0))-INDEX(ship_curves,MATCH(AT236,'SHIP CURVES'!$A$9:$A$316,0),MATCH(CONCATENATE(AX$4,AV$6,AX$6,AX$7),'SHIP CURVES'!$A$9:$Z$9,0)))-(INDEX(terminal_curves,MATCH(AT236,'TERMINAL CURVES'!$A$4:$A$313,0),MATCH(AX$5,'TERMINAL CURVES'!$A$4:$N$4,0))-INDEX(terminal_curves,MATCH(AT236,'TERMINAL CURVES'!$A$4:$A$313,0),MATCH(AV$6,'TERMINAL CURVES'!$A$4:$N$4,0)))*IF(AN236=0,0,AP236/AN236)))*-AN236</f>
        <v>-18159500.1330217</v>
      </c>
      <c r="AY236" s="356" t="n">
        <f aca="false">SUM(AV236:AX236)</f>
        <v>-20126644.0608742</v>
      </c>
      <c r="AZ236" s="357" t="n">
        <f aca="false">(-AP236/((HLOOKUP(AX$5,port_specs,2,0)/(365.25))*(AT237-AT236)))*(INDEX(fixed_capacity_charge,MATCH(AT236,PORTS!$H$11:$H$317,0),MATCH(AX$5,PORTS!$H$11:$N$11,0))+INDEX(variable_om_charge,MATCH(AT236,PORTS!$H$318:$H$625,0),MATCH(AX$5,PORTS!$H$318:$N$318,0)))</f>
        <v>-1056904.78170085</v>
      </c>
      <c r="BA236" s="343" t="n">
        <f aca="false">+AZ236+AY236</f>
        <v>-21183548.8425751</v>
      </c>
      <c r="BB236" s="355" t="n">
        <f aca="false">+BA236+AU236</f>
        <v>100754.096754223</v>
      </c>
      <c r="BC236" s="99"/>
      <c r="BD236" s="357" t="n">
        <f aca="false">+PORTS!I230+PORTS!I538</f>
        <v>1056904.78170085</v>
      </c>
    </row>
    <row r="237" customFormat="false" ht="12.75" hidden="false" customHeight="false" outlineLevel="0" collapsed="false">
      <c r="A237" s="346" t="n">
        <f aca="false">+DATE(YEAR(A236),MONTH(A236)+1,1)</f>
        <v>43374</v>
      </c>
      <c r="B237" s="327" t="n">
        <f aca="false">+IF(AND($A237&gt;=$C$8,$A237&lt;=$C$9),1,0)*PORTS!$I$5/(365.25)*(A238-A237)</f>
        <v>5339105.98184763</v>
      </c>
      <c r="C237" s="328" t="n">
        <f aca="false">+B237-(SUMIF($F$17:$IV$17,$H$17,$F237:$IV237))</f>
        <v>0</v>
      </c>
      <c r="D237" s="0" t="n">
        <f aca="false">+YEAR(E237)</f>
        <v>2018</v>
      </c>
      <c r="E237" s="346" t="n">
        <f aca="false">+DATE(YEAR(E236),MONTH(E236)+1,1)</f>
        <v>43374</v>
      </c>
      <c r="F237" s="327" t="n">
        <f aca="false">+IF(AND(G$8&lt;=E237,G$9&gt;=E237),INDEX(ROUTE_PER_DAY_BY_SHIP,MATCH(CONCATENATE(G$4,G$5,G$7),ROUTE_PER_DAY_ROUTES,0),MATCH(G$6,ROUTE_PER_DAY_SHIPS,0))*(E238-E237),0)</f>
        <v>0</v>
      </c>
      <c r="G237" s="347" t="n">
        <f aca="false">-F237*HLOOKUP(G$6,SHIPS,7,0)*INDEX(LADEN_VOYAGE_DAYS,MATCH(CONCATENATE(G$4,G$5,G$7),LADEN_VOYAGE_ROUTES,0),MATCH(G$6,LADEN_VOYAGE_SHIPS,0))</f>
        <v>-0</v>
      </c>
      <c r="H237" s="348" t="n">
        <f aca="false">SUM(F237:G237)</f>
        <v>0</v>
      </c>
      <c r="I237" s="349" t="n">
        <f aca="false">-(H237)*HLOOKUP(G$5,TERMINAL_CHARGES,3,0)</f>
        <v>-0</v>
      </c>
      <c r="J237" s="327" t="n">
        <f aca="false">+H237+I237</f>
        <v>0</v>
      </c>
      <c r="K237" s="333"/>
      <c r="L237" s="346" t="n">
        <f aca="false">+DATE(YEAR(L236),MONTH(L236)+1,1)</f>
        <v>43374</v>
      </c>
      <c r="M237" s="334" t="n">
        <f aca="false">+J237*(VLOOKUP(L237,CURVECALC!$C$6:$J$312,4,0)+N$5)</f>
        <v>0</v>
      </c>
      <c r="N237" s="350" t="n">
        <f aca="false">-F237*INDEX(ship_curves,MATCH(L237,'SHIP CURVES'!$A$9:$A$316,0),MATCH(CONCATENATE(P$4,P$5,P$6,P$7),'SHIP CURVES'!$A$9:$AZ$9,0))</f>
        <v>-0</v>
      </c>
      <c r="O237" s="351" t="n">
        <f aca="false">-H237*INDEX(port_processing_fee,MATCH(L237,PORTS!$H$626:$H$933,0),MATCH(P$5,PORTS!$H$626:$Z$626,0))</f>
        <v>-0</v>
      </c>
      <c r="P237" s="352" t="n">
        <f aca="false">(((VLOOKUP(L237,curvecalc,4,0))*IF(F237=0,0,J237/F237)-INDEX(ship_curves,MATCH(L237,'SHIP CURVES'!$A$9:$A$316,0),MATCH(CONCATENATE(P$4,P$5,P$6,P$7),'SHIP CURVES'!$A$9:$Z$9,0))-INDEX(terminal_curves,MATCH(L237,'TERMINAL CURVES'!$A$4:$A$313,0),MATCH(P$5,'TERMINAL CURVES'!$A$4:$N$4,0))*IF(F237=0,0,H237/F237))-(N$8)*((N$7-$N$5)-(INDEX(ship_curves,MATCH(L237,'SHIP CURVES'!$A$9:$A$316,0),MATCH(CONCATENATE(P$4,P$5,P$6,P$7),'SHIP CURVES'!$A$9:$Z$9,0))-INDEX(ship_curves,MATCH(L237,'SHIP CURVES'!$A$9:$A$316,0),MATCH(CONCATENATE(P$4,N$6,P$6,P$7),'SHIP CURVES'!$A$9:$Z$9,0)))-(INDEX(terminal_curves,MATCH(L237,'TERMINAL CURVES'!$A$4:$A$313,0),MATCH(P$5,'TERMINAL CURVES'!$A$4:$N$4,0))-INDEX(terminal_curves,MATCH(L237,'TERMINAL CURVES'!$A$4:$A$313,0),MATCH(N$6,'TERMINAL CURVES'!$A$4:$N$4,0)))*IF(F237=0,0,H237/F237)))*-F237</f>
        <v>0</v>
      </c>
      <c r="Q237" s="353" t="n">
        <f aca="false">SUM(N237:P237)</f>
        <v>0</v>
      </c>
      <c r="R237" s="357" t="n">
        <f aca="false">(-H237/((HLOOKUP(P$5,port_specs,2,0)/(365.25))*(L238-L237)))*(INDEX(fixed_capacity_charge,MATCH(L237,PORTS!$H$11:$H$317,0),MATCH(P$5,PORTS!$H$11:$N$11,0))+INDEX(variable_om_charge,MATCH(L237,PORTS!$H$318:$H$625,0),MATCH(P$5,PORTS!$H$318:$N$318,0)))</f>
        <v>-0</v>
      </c>
      <c r="S237" s="343" t="n">
        <f aca="false">+R237+Q237</f>
        <v>0</v>
      </c>
      <c r="T237" s="355" t="n">
        <f aca="false">+S237+M237</f>
        <v>0</v>
      </c>
      <c r="V237" s="346" t="n">
        <f aca="false">+DATE(YEAR(V236),MONTH(V236)+1,1)</f>
        <v>43374</v>
      </c>
      <c r="W237" s="327" t="n">
        <f aca="false">+Y237/(1-HLOOKUP(X$6,SHIPS,7,0)*INDEX(LADEN_VOYAGE_DAYS,MATCH(CONCATENATE(X$4,X$5),LADEN_VOYAGE_ROUTES,0),MATCH(X$6,LADEN_VOYAGE_SHIPS,0)))</f>
        <v>0</v>
      </c>
      <c r="X237" s="347" t="n">
        <f aca="false">+Y237-W237</f>
        <v>0</v>
      </c>
      <c r="Y237" s="348" t="n">
        <f aca="false">+IF(AND(X$8&lt;=V237,X$9&gt;=V237),+MIN($B237-SUMIF($H$17:X$17,Y$17,$H237:X237),((INDEX(ROUTE_PER_DAY_BY_SHIP,MATCH(CONCATENATE(X$4,X$5,X$7),ROUTE_PER_DAY_ROUTES,0),MATCH(X$6,ROUTE_PER_DAY_SHIPS,0))*(V238-V237))-(INDEX(ROUTE_PER_DAY_BY_SHIP,MATCH(CONCATENATE(X$4,X$5,X$7),ROUTE_PER_DAY_ROUTES,0),MATCH(X$6,ROUTE_PER_DAY_SHIPS,0))*(V238-V237))*HLOOKUP(X$6,SHIPS,7,0)*INDEX(LADEN_VOYAGE_DAYS,MATCH(CONCATENATE(X$4,X$5,X$7),LADEN_VOYAGE_ROUTES,0),MATCH(X$6,LADEN_VOYAGE_SHIPS,0)))),0)</f>
        <v>0</v>
      </c>
      <c r="Z237" s="349" t="n">
        <f aca="false">-(Y237)*HLOOKUP(X$5,TERMINAL_CHARGES,3,0)</f>
        <v>-0</v>
      </c>
      <c r="AA237" s="327" t="n">
        <f aca="false">+Y237+Z237</f>
        <v>0</v>
      </c>
      <c r="AB237" s="333"/>
      <c r="AC237" s="346" t="n">
        <f aca="false">+DATE(YEAR(AC236),MONTH(AC236)+1,1)</f>
        <v>43374</v>
      </c>
      <c r="AD237" s="343" t="n">
        <f aca="false">+AA237*(VLOOKUP(AC237,CURVECALC!$C$6:$J$312,4,0)+AE$5)</f>
        <v>0</v>
      </c>
      <c r="AE237" s="350" t="n">
        <f aca="false">-W237*INDEX(ship_curves,MATCH(AC237,'SHIP CURVES'!$A$9:$A$316,0),MATCH(CONCATENATE(AG$4,AG$5,AG$6,AG$7),'SHIP CURVES'!$A$9:$AZ$9,0))</f>
        <v>-0</v>
      </c>
      <c r="AF237" s="351" t="n">
        <f aca="false">-Y237*INDEX(port_processing_fee,MATCH(AC237,PORTS!$H$626:$H$933,0),MATCH(AG$5,PORTS!$H$626:$Z$626,0))</f>
        <v>-0</v>
      </c>
      <c r="AG237" s="352" t="n">
        <f aca="false">(((VLOOKUP(AC237,curvecalc,4,0))*IF(W237=0,0,AA237/W237)-INDEX(ship_curves,MATCH(AC237,'SHIP CURVES'!$A$9:$A$316,0),MATCH(CONCATENATE(AG$4,AG$5,AG$6,AG$7),'SHIP CURVES'!$A$9:$Z$9,0))-INDEX(terminal_curves,MATCH(AC237,'TERMINAL CURVES'!$A$4:$A$313,0),MATCH(AG$5,'TERMINAL CURVES'!$A$4:$N$4,0))*IF(W237=0,0,Y237/W237))-(AE$8)*((AE$7-$N$5)-(INDEX(ship_curves,MATCH(AC237,'SHIP CURVES'!$A$9:$A$316,0),MATCH(CONCATENATE(AG$4,AG$5,AG$6,AG$7),'SHIP CURVES'!$A$9:$Z$9,0))-INDEX(ship_curves,MATCH(AC237,'SHIP CURVES'!$A$9:$A$316,0),MATCH(CONCATENATE(AG$4,AE$6,AG$6,AG$7),'SHIP CURVES'!$A$9:$Z$9,0)))-(INDEX(terminal_curves,MATCH(AC237,'TERMINAL CURVES'!$A$4:$A$313,0),MATCH(AG$5,'TERMINAL CURVES'!$A$4:$N$4,0))-INDEX(terminal_curves,MATCH(AC237,'TERMINAL CURVES'!$A$4:$A$313,0),MATCH(AE$6,'TERMINAL CURVES'!$A$4:$N$4,0)))*IF(W237=0,0,Y237/W237)))*-W237</f>
        <v>0</v>
      </c>
      <c r="AH237" s="356" t="n">
        <f aca="false">SUM(AE237:AG237)</f>
        <v>0</v>
      </c>
      <c r="AI237" s="357" t="n">
        <f aca="false">(-Y237/((HLOOKUP(AG$5,port_specs,2,0)/(365.25))*(AC238-AC237)))*(INDEX(fixed_capacity_charge,MATCH(AC237,PORTS!$H$11:$H$317,0),MATCH(AG$5,PORTS!$H$11:$N$11,0))+INDEX(variable_om_charge,MATCH(AC237,PORTS!$H$318:$H$625,0),MATCH(AG$5,PORTS!$H$318:$N$318,0)))</f>
        <v>-0</v>
      </c>
      <c r="AJ237" s="343" t="n">
        <f aca="false">+AI237+AH237</f>
        <v>0</v>
      </c>
      <c r="AK237" s="355" t="n">
        <f aca="false">+AJ237+AD237</f>
        <v>0</v>
      </c>
      <c r="AM237" s="346" t="n">
        <f aca="false">+DATE(YEAR(AM236),MONTH(AM236)+1,1)</f>
        <v>43374</v>
      </c>
      <c r="AN237" s="327" t="n">
        <f aca="false">+AP237/(1-HLOOKUP(AO$6,SHIPS,7,0)*INDEX(LADEN_VOYAGE_DAYS,MATCH(CONCATENATE(AO$4,AO$5),LADEN_VOYAGE_ROUTES,0),MATCH(AO$6,LADEN_VOYAGE_SHIPS,0)))</f>
        <v>5395761.47735991</v>
      </c>
      <c r="AO237" s="347" t="n">
        <f aca="false">+AP237-AN237</f>
        <v>-56655.4955122788</v>
      </c>
      <c r="AP237" s="348" t="n">
        <f aca="false">+IF(AND(AO$8&lt;=AM237,AO$9&gt;=AM237),+MIN($B237-SUMIF($H$17:AO$17,AP$17,$H237:AO237),((INDEX(ROUTE_PER_DAY_BY_SHIP,MATCH(CONCATENATE(AO$4,AO$5,AO$7),ROUTE_PER_DAY_ROUTES,0),MATCH(AO$6,ROUTE_PER_DAY_SHIPS,0))*(AM238-AM237))-(INDEX(ROUTE_PER_DAY_BY_SHIP,MATCH(CONCATENATE(AO$4,AO$5,AO$7),ROUTE_PER_DAY_ROUTES,0),MATCH(AO$6,ROUTE_PER_DAY_SHIPS,0))*(AM238-AM237))*HLOOKUP(AO$6,SHIPS,7,0)*INDEX(LADEN_VOYAGE_DAYS,MATCH(CONCATENATE(AO$4,AO$5,AO$7),LADEN_VOYAGE_ROUTES,0),MATCH(AO$6,LADEN_VOYAGE_SHIPS,0)))),0)</f>
        <v>5339105.98184763</v>
      </c>
      <c r="AQ237" s="349" t="n">
        <f aca="false">-(AP237)*PORTS!$I$6</f>
        <v>-133477.649546191</v>
      </c>
      <c r="AR237" s="327" t="n">
        <f aca="false">+AP237+AQ237</f>
        <v>5205628.33230144</v>
      </c>
      <c r="AS237" s="333"/>
      <c r="AT237" s="346" t="n">
        <f aca="false">+DATE(YEAR(AT236),MONTH(AT236)+1,1)</f>
        <v>43374</v>
      </c>
      <c r="AU237" s="343" t="n">
        <f aca="false">+AR237*(VLOOKUP(AT237,CURVECALC!$C$6:$J$312,4,0)+AV$5)</f>
        <v>22019807.8456351</v>
      </c>
      <c r="AV237" s="350" t="n">
        <f aca="false">-AN237*INDEX(ship_curves,MATCH(AT237,'SHIP CURVES'!$A$9:$A$316,0),MATCH(CONCATENATE(AX$4,AX$5,AX$6,AX$7),'SHIP CURVES'!$A$9:$AZ$9,0))</f>
        <v>-1855920.40580338</v>
      </c>
      <c r="AW237" s="351" t="n">
        <f aca="false">-AP237*INDEX(port_processing_fee,MATCH(AT237,PORTS!$H$626:$H$933,0),MATCH(AX$5,PORTS!$H$626:$Z$626,0))</f>
        <v>-177649.268519668</v>
      </c>
      <c r="AX237" s="352" t="n">
        <f aca="false">(((VLOOKUP(AT237,curvecalc,4,0))*IF(AN237=0,0,AR237/AN237)-INDEX(ship_curves,MATCH(AT237,'SHIP CURVES'!$A$9:$A$316,0),MATCH(CONCATENATE(AX$4,AX$5,AX$6,AX$7),'SHIP CURVES'!$A$9:$Z$9,0))-INDEX(terminal_curves,MATCH(AT237,'TERMINAL CURVES'!$A$4:$A$313,0),MATCH(AX$5,'TERMINAL CURVES'!$A$4:$N$4,0))*IF(AN237=0,0,AP237/AN237))-(AV$8)*((AV$7-$N$5)-(INDEX(ship_curves,MATCH(AT237,'SHIP CURVES'!$A$9:$A$316,0),MATCH(CONCATENATE(AX$4,AX$5,AX$6,AX$7),'SHIP CURVES'!$A$9:$Z$9,0))-INDEX(ship_curves,MATCH(AT237,'SHIP CURVES'!$A$9:$A$316,0),MATCH(CONCATENATE(AX$4,AV$6,AX$6,AX$7),'SHIP CURVES'!$A$9:$Z$9,0)))-(INDEX(terminal_curves,MATCH(AT237,'TERMINAL CURVES'!$A$4:$A$313,0),MATCH(AX$5,'TERMINAL CURVES'!$A$4:$N$4,0))-INDEX(terminal_curves,MATCH(AT237,'TERMINAL CURVES'!$A$4:$A$313,0),MATCH(AV$6,'TERMINAL CURVES'!$A$4:$N$4,0)))*IF(AN237=0,0,AP237/AN237)))*-AN237</f>
        <v>-18824625.2831623</v>
      </c>
      <c r="AY237" s="356" t="n">
        <f aca="false">SUM(AV237:AX237)</f>
        <v>-20858194.9574853</v>
      </c>
      <c r="AZ237" s="357" t="n">
        <f aca="false">(-AP237/((HLOOKUP(AX$5,port_specs,2,0)/(365.25))*(AT238-AT237)))*(INDEX(fixed_capacity_charge,MATCH(AT237,PORTS!$H$11:$H$317,0),MATCH(AX$5,PORTS!$H$11:$N$11,0))+INDEX(variable_om_charge,MATCH(AT237,PORTS!$H$318:$H$625,0),MATCH(AX$5,PORTS!$H$318:$N$318,0)))</f>
        <v>-1057500.32150375</v>
      </c>
      <c r="BA237" s="343" t="n">
        <f aca="false">+AZ237+AY237</f>
        <v>-21915695.2789891</v>
      </c>
      <c r="BB237" s="355" t="n">
        <f aca="false">+BA237+AU237</f>
        <v>104112.566646028</v>
      </c>
      <c r="BC237" s="99"/>
      <c r="BD237" s="357" t="n">
        <f aca="false">+PORTS!I231+PORTS!I539</f>
        <v>1057500.32150375</v>
      </c>
    </row>
    <row r="238" customFormat="false" ht="12.75" hidden="false" customHeight="false" outlineLevel="0" collapsed="false">
      <c r="A238" s="346" t="n">
        <f aca="false">+DATE(YEAR(A237),MONTH(A237)+1,1)</f>
        <v>43405</v>
      </c>
      <c r="B238" s="327" t="n">
        <f aca="false">+IF(AND($A238&gt;=$C$8,$A238&lt;=$C$9),1,0)*PORTS!$I$5/(365.25)*(A239-A238)</f>
        <v>5166876.75662674</v>
      </c>
      <c r="C238" s="328" t="n">
        <f aca="false">+B238-(SUMIF($F$17:$IV$17,$H$17,$F238:$IV238))</f>
        <v>0</v>
      </c>
      <c r="D238" s="0" t="n">
        <f aca="false">+YEAR(E238)</f>
        <v>2018</v>
      </c>
      <c r="E238" s="346" t="n">
        <f aca="false">+DATE(YEAR(E237),MONTH(E237)+1,1)</f>
        <v>43405</v>
      </c>
      <c r="F238" s="327" t="n">
        <f aca="false">+IF(AND(G$8&lt;=E238,G$9&gt;=E238),INDEX(ROUTE_PER_DAY_BY_SHIP,MATCH(CONCATENATE(G$4,G$5,G$7),ROUTE_PER_DAY_ROUTES,0),MATCH(G$6,ROUTE_PER_DAY_SHIPS,0))*(E239-E238),0)</f>
        <v>0</v>
      </c>
      <c r="G238" s="347" t="n">
        <f aca="false">-F238*HLOOKUP(G$6,SHIPS,7,0)*INDEX(LADEN_VOYAGE_DAYS,MATCH(CONCATENATE(G$4,G$5,G$7),LADEN_VOYAGE_ROUTES,0),MATCH(G$6,LADEN_VOYAGE_SHIPS,0))</f>
        <v>-0</v>
      </c>
      <c r="H238" s="348" t="n">
        <f aca="false">SUM(F238:G238)</f>
        <v>0</v>
      </c>
      <c r="I238" s="349" t="n">
        <f aca="false">-(H238)*HLOOKUP(G$5,TERMINAL_CHARGES,3,0)</f>
        <v>-0</v>
      </c>
      <c r="J238" s="327" t="n">
        <f aca="false">+H238+I238</f>
        <v>0</v>
      </c>
      <c r="K238" s="333"/>
      <c r="L238" s="346" t="n">
        <f aca="false">+DATE(YEAR(L237),MONTH(L237)+1,1)</f>
        <v>43405</v>
      </c>
      <c r="M238" s="334" t="n">
        <f aca="false">+J238*(VLOOKUP(L238,CURVECALC!$C$6:$J$312,4,0)+N$5)</f>
        <v>0</v>
      </c>
      <c r="N238" s="350" t="n">
        <f aca="false">-F238*INDEX(ship_curves,MATCH(L238,'SHIP CURVES'!$A$9:$A$316,0),MATCH(CONCATENATE(P$4,P$5,P$6,P$7),'SHIP CURVES'!$A$9:$AZ$9,0))</f>
        <v>-0</v>
      </c>
      <c r="O238" s="351" t="n">
        <f aca="false">-H238*INDEX(port_processing_fee,MATCH(L238,PORTS!$H$626:$H$933,0),MATCH(P$5,PORTS!$H$626:$Z$626,0))</f>
        <v>-0</v>
      </c>
      <c r="P238" s="352" t="n">
        <f aca="false">(((VLOOKUP(L238,curvecalc,4,0))*IF(F238=0,0,J238/F238)-INDEX(ship_curves,MATCH(L238,'SHIP CURVES'!$A$9:$A$316,0),MATCH(CONCATENATE(P$4,P$5,P$6,P$7),'SHIP CURVES'!$A$9:$Z$9,0))-INDEX(terminal_curves,MATCH(L238,'TERMINAL CURVES'!$A$4:$A$313,0),MATCH(P$5,'TERMINAL CURVES'!$A$4:$N$4,0))*IF(F238=0,0,H238/F238))-(N$8)*((N$7-$N$5)-(INDEX(ship_curves,MATCH(L238,'SHIP CURVES'!$A$9:$A$316,0),MATCH(CONCATENATE(P$4,P$5,P$6,P$7),'SHIP CURVES'!$A$9:$Z$9,0))-INDEX(ship_curves,MATCH(L238,'SHIP CURVES'!$A$9:$A$316,0),MATCH(CONCATENATE(P$4,N$6,P$6,P$7),'SHIP CURVES'!$A$9:$Z$9,0)))-(INDEX(terminal_curves,MATCH(L238,'TERMINAL CURVES'!$A$4:$A$313,0),MATCH(P$5,'TERMINAL CURVES'!$A$4:$N$4,0))-INDEX(terminal_curves,MATCH(L238,'TERMINAL CURVES'!$A$4:$A$313,0),MATCH(N$6,'TERMINAL CURVES'!$A$4:$N$4,0)))*IF(F238=0,0,H238/F238)))*-F238</f>
        <v>0</v>
      </c>
      <c r="Q238" s="353" t="n">
        <f aca="false">SUM(N238:P238)</f>
        <v>0</v>
      </c>
      <c r="R238" s="357" t="n">
        <f aca="false">(-H238/((HLOOKUP(P$5,port_specs,2,0)/(365.25))*(L239-L238)))*(INDEX(fixed_capacity_charge,MATCH(L238,PORTS!$H$11:$H$317,0),MATCH(P$5,PORTS!$H$11:$N$11,0))+INDEX(variable_om_charge,MATCH(L238,PORTS!$H$318:$H$625,0),MATCH(P$5,PORTS!$H$318:$N$318,0)))</f>
        <v>-0</v>
      </c>
      <c r="S238" s="343" t="n">
        <f aca="false">+R238+Q238</f>
        <v>0</v>
      </c>
      <c r="T238" s="355" t="n">
        <f aca="false">+S238+M238</f>
        <v>0</v>
      </c>
      <c r="V238" s="346" t="n">
        <f aca="false">+DATE(YEAR(V237),MONTH(V237)+1,1)</f>
        <v>43405</v>
      </c>
      <c r="W238" s="327" t="n">
        <f aca="false">+Y238/(1-HLOOKUP(X$6,SHIPS,7,0)*INDEX(LADEN_VOYAGE_DAYS,MATCH(CONCATENATE(X$4,X$5),LADEN_VOYAGE_ROUTES,0),MATCH(X$6,LADEN_VOYAGE_SHIPS,0)))</f>
        <v>0</v>
      </c>
      <c r="X238" s="347" t="n">
        <f aca="false">+Y238-W238</f>
        <v>0</v>
      </c>
      <c r="Y238" s="348" t="n">
        <f aca="false">+IF(AND(X$8&lt;=V238,X$9&gt;=V238),+MIN($B238-SUMIF($H$17:X$17,Y$17,$H238:X238),((INDEX(ROUTE_PER_DAY_BY_SHIP,MATCH(CONCATENATE(X$4,X$5,X$7),ROUTE_PER_DAY_ROUTES,0),MATCH(X$6,ROUTE_PER_DAY_SHIPS,0))*(V239-V238))-(INDEX(ROUTE_PER_DAY_BY_SHIP,MATCH(CONCATENATE(X$4,X$5,X$7),ROUTE_PER_DAY_ROUTES,0),MATCH(X$6,ROUTE_PER_DAY_SHIPS,0))*(V239-V238))*HLOOKUP(X$6,SHIPS,7,0)*INDEX(LADEN_VOYAGE_DAYS,MATCH(CONCATENATE(X$4,X$5,X$7),LADEN_VOYAGE_ROUTES,0),MATCH(X$6,LADEN_VOYAGE_SHIPS,0)))),0)</f>
        <v>0</v>
      </c>
      <c r="Z238" s="349" t="n">
        <f aca="false">-(Y238)*HLOOKUP(X$5,TERMINAL_CHARGES,3,0)</f>
        <v>-0</v>
      </c>
      <c r="AA238" s="327" t="n">
        <f aca="false">+Y238+Z238</f>
        <v>0</v>
      </c>
      <c r="AB238" s="333"/>
      <c r="AC238" s="346" t="n">
        <f aca="false">+DATE(YEAR(AC237),MONTH(AC237)+1,1)</f>
        <v>43405</v>
      </c>
      <c r="AD238" s="343" t="n">
        <f aca="false">+AA238*(VLOOKUP(AC238,CURVECALC!$C$6:$J$312,4,0)+AE$5)</f>
        <v>0</v>
      </c>
      <c r="AE238" s="350" t="n">
        <f aca="false">-W238*INDEX(ship_curves,MATCH(AC238,'SHIP CURVES'!$A$9:$A$316,0),MATCH(CONCATENATE(AG$4,AG$5,AG$6,AG$7),'SHIP CURVES'!$A$9:$AZ$9,0))</f>
        <v>-0</v>
      </c>
      <c r="AF238" s="351" t="n">
        <f aca="false">-Y238*INDEX(port_processing_fee,MATCH(AC238,PORTS!$H$626:$H$933,0),MATCH(AG$5,PORTS!$H$626:$Z$626,0))</f>
        <v>-0</v>
      </c>
      <c r="AG238" s="352" t="n">
        <f aca="false">(((VLOOKUP(AC238,curvecalc,4,0))*IF(W238=0,0,AA238/W238)-INDEX(ship_curves,MATCH(AC238,'SHIP CURVES'!$A$9:$A$316,0),MATCH(CONCATENATE(AG$4,AG$5,AG$6,AG$7),'SHIP CURVES'!$A$9:$Z$9,0))-INDEX(terminal_curves,MATCH(AC238,'TERMINAL CURVES'!$A$4:$A$313,0),MATCH(AG$5,'TERMINAL CURVES'!$A$4:$N$4,0))*IF(W238=0,0,Y238/W238))-(AE$8)*((AE$7-$N$5)-(INDEX(ship_curves,MATCH(AC238,'SHIP CURVES'!$A$9:$A$316,0),MATCH(CONCATENATE(AG$4,AG$5,AG$6,AG$7),'SHIP CURVES'!$A$9:$Z$9,0))-INDEX(ship_curves,MATCH(AC238,'SHIP CURVES'!$A$9:$A$316,0),MATCH(CONCATENATE(AG$4,AE$6,AG$6,AG$7),'SHIP CURVES'!$A$9:$Z$9,0)))-(INDEX(terminal_curves,MATCH(AC238,'TERMINAL CURVES'!$A$4:$A$313,0),MATCH(AG$5,'TERMINAL CURVES'!$A$4:$N$4,0))-INDEX(terminal_curves,MATCH(AC238,'TERMINAL CURVES'!$A$4:$A$313,0),MATCH(AE$6,'TERMINAL CURVES'!$A$4:$N$4,0)))*IF(W238=0,0,Y238/W238)))*-W238</f>
        <v>0</v>
      </c>
      <c r="AH238" s="356" t="n">
        <f aca="false">SUM(AE238:AG238)</f>
        <v>0</v>
      </c>
      <c r="AI238" s="357" t="n">
        <f aca="false">(-Y238/((HLOOKUP(AG$5,port_specs,2,0)/(365.25))*(AC239-AC238)))*(INDEX(fixed_capacity_charge,MATCH(AC238,PORTS!$H$11:$H$317,0),MATCH(AG$5,PORTS!$H$11:$N$11,0))+INDEX(variable_om_charge,MATCH(AC238,PORTS!$H$318:$H$625,0),MATCH(AG$5,PORTS!$H$318:$N$318,0)))</f>
        <v>-0</v>
      </c>
      <c r="AJ238" s="343" t="n">
        <f aca="false">+AI238+AH238</f>
        <v>0</v>
      </c>
      <c r="AK238" s="355" t="n">
        <f aca="false">+AJ238+AD238</f>
        <v>0</v>
      </c>
      <c r="AM238" s="346" t="n">
        <f aca="false">+DATE(YEAR(AM237),MONTH(AM237)+1,1)</f>
        <v>43405</v>
      </c>
      <c r="AN238" s="327" t="n">
        <f aca="false">+AP238/(1-HLOOKUP(AO$6,SHIPS,7,0)*INDEX(LADEN_VOYAGE_DAYS,MATCH(CONCATENATE(AO$4,AO$5),LADEN_VOYAGE_ROUTES,0),MATCH(AO$6,LADEN_VOYAGE_SHIPS,0)))</f>
        <v>5221704.65550959</v>
      </c>
      <c r="AO238" s="347" t="n">
        <f aca="false">+AP238-AN238</f>
        <v>-54827.8988828501</v>
      </c>
      <c r="AP238" s="348" t="n">
        <f aca="false">+IF(AND(AO$8&lt;=AM238,AO$9&gt;=AM238),+MIN($B238-SUMIF($H$17:AO$17,AP$17,$H238:AO238),((INDEX(ROUTE_PER_DAY_BY_SHIP,MATCH(CONCATENATE(AO$4,AO$5,AO$7),ROUTE_PER_DAY_ROUTES,0),MATCH(AO$6,ROUTE_PER_DAY_SHIPS,0))*(AM239-AM238))-(INDEX(ROUTE_PER_DAY_BY_SHIP,MATCH(CONCATENATE(AO$4,AO$5,AO$7),ROUTE_PER_DAY_ROUTES,0),MATCH(AO$6,ROUTE_PER_DAY_SHIPS,0))*(AM239-AM238))*HLOOKUP(AO$6,SHIPS,7,0)*INDEX(LADEN_VOYAGE_DAYS,MATCH(CONCATENATE(AO$4,AO$5,AO$7),LADEN_VOYAGE_ROUTES,0),MATCH(AO$6,LADEN_VOYAGE_SHIPS,0)))),0)</f>
        <v>5166876.75662674</v>
      </c>
      <c r="AQ238" s="349" t="n">
        <f aca="false">-(AP238)*PORTS!$I$6</f>
        <v>-129171.918915669</v>
      </c>
      <c r="AR238" s="327" t="n">
        <f aca="false">+AP238+AQ238</f>
        <v>5037704.83771107</v>
      </c>
      <c r="AS238" s="333"/>
      <c r="AT238" s="346" t="n">
        <f aca="false">+DATE(YEAR(AT237),MONTH(AT237)+1,1)</f>
        <v>43405</v>
      </c>
      <c r="AU238" s="343" t="n">
        <f aca="false">+AR238*(VLOOKUP(AT238,CURVECALC!$C$6:$J$312,4,0)+AV$5)</f>
        <v>21480773.428</v>
      </c>
      <c r="AV238" s="350" t="n">
        <f aca="false">-AN238*INDEX(ship_curves,MATCH(AT238,'SHIP CURVES'!$A$9:$A$316,0),MATCH(CONCATENATE(AX$4,AX$5,AX$6,AX$7),'SHIP CURVES'!$A$9:$AZ$9,0))</f>
        <v>-1796701.18440405</v>
      </c>
      <c r="AW238" s="351" t="n">
        <f aca="false">-AP238*INDEX(port_processing_fee,MATCH(AT238,PORTS!$H$626:$H$933,0),MATCH(AX$5,PORTS!$H$626:$Z$626,0))</f>
        <v>-172097.728878429</v>
      </c>
      <c r="AX238" s="352" t="n">
        <f aca="false">(((VLOOKUP(AT238,curvecalc,4,0))*IF(AN238=0,0,AR238/AN238)-INDEX(ship_curves,MATCH(AT238,'SHIP CURVES'!$A$9:$A$316,0),MATCH(CONCATENATE(AX$4,AX$5,AX$6,AX$7),'SHIP CURVES'!$A$9:$Z$9,0))-INDEX(terminal_curves,MATCH(AT238,'TERMINAL CURVES'!$A$4:$A$313,0),MATCH(AX$5,'TERMINAL CURVES'!$A$4:$N$4,0))*IF(AN238=0,0,AP238/AN238))-(AV$8)*((AV$7-$N$5)-(INDEX(ship_curves,MATCH(AT238,'SHIP CURVES'!$A$9:$A$316,0),MATCH(CONCATENATE(AX$4,AX$5,AX$6,AX$7),'SHIP CURVES'!$A$9:$Z$9,0))-INDEX(ship_curves,MATCH(AT238,'SHIP CURVES'!$A$9:$A$316,0),MATCH(CONCATENATE(AX$4,AV$6,AX$6,AX$7),'SHIP CURVES'!$A$9:$Z$9,0)))-(INDEX(terminal_curves,MATCH(AT238,'TERMINAL CURVES'!$A$4:$A$313,0),MATCH(AX$5,'TERMINAL CURVES'!$A$4:$N$4,0))-INDEX(terminal_curves,MATCH(AT238,'TERMINAL CURVES'!$A$4:$A$313,0),MATCH(AV$6,'TERMINAL CURVES'!$A$4:$N$4,0)))*IF(AN238=0,0,AP238/AN238)))*-AN238</f>
        <v>-18353123.9363027</v>
      </c>
      <c r="AY238" s="356" t="n">
        <f aca="false">SUM(AV238:AX238)</f>
        <v>-20321922.8495852</v>
      </c>
      <c r="AZ238" s="357" t="n">
        <f aca="false">(-AP238/((HLOOKUP(AX$5,port_specs,2,0)/(365.25))*(AT239-AT238)))*(INDEX(fixed_capacity_charge,MATCH(AT238,PORTS!$H$11:$H$317,0),MATCH(AX$5,PORTS!$H$11:$N$11,0))+INDEX(variable_om_charge,MATCH(AT238,PORTS!$H$318:$H$625,0),MATCH(AX$5,PORTS!$H$318:$N$318,0)))</f>
        <v>-1058096.48166062</v>
      </c>
      <c r="BA238" s="343" t="n">
        <f aca="false">+AZ238+AY238</f>
        <v>-21380019.3312458</v>
      </c>
      <c r="BB238" s="355" t="n">
        <f aca="false">+BA238+AU238</f>
        <v>100754.096754219</v>
      </c>
      <c r="BC238" s="99"/>
      <c r="BD238" s="357" t="n">
        <f aca="false">+PORTS!I232+PORTS!I540</f>
        <v>1058096.48166062</v>
      </c>
    </row>
    <row r="239" customFormat="false" ht="12.75" hidden="false" customHeight="false" outlineLevel="0" collapsed="false">
      <c r="A239" s="346" t="n">
        <f aca="false">+DATE(YEAR(A238),MONTH(A238)+1,1)</f>
        <v>43435</v>
      </c>
      <c r="B239" s="327" t="n">
        <f aca="false">+IF(AND($A239&gt;=$C$8,$A239&lt;=$C$9),1,0)*PORTS!$I$5/(365.25)*(A240-A239)</f>
        <v>5339105.98184763</v>
      </c>
      <c r="C239" s="328" t="n">
        <f aca="false">+B239-(SUMIF($F$17:$IV$17,$H$17,$F239:$IV239))</f>
        <v>0</v>
      </c>
      <c r="D239" s="0" t="n">
        <f aca="false">+YEAR(E239)</f>
        <v>2018</v>
      </c>
      <c r="E239" s="346" t="n">
        <f aca="false">+DATE(YEAR(E238),MONTH(E238)+1,1)</f>
        <v>43435</v>
      </c>
      <c r="F239" s="327" t="n">
        <f aca="false">+IF(AND(G$8&lt;=E239,G$9&gt;=E239),INDEX(ROUTE_PER_DAY_BY_SHIP,MATCH(CONCATENATE(G$4,G$5,G$7),ROUTE_PER_DAY_ROUTES,0),MATCH(G$6,ROUTE_PER_DAY_SHIPS,0))*(E240-E239),0)</f>
        <v>0</v>
      </c>
      <c r="G239" s="347" t="n">
        <f aca="false">-F239*HLOOKUP(G$6,SHIPS,7,0)*INDEX(LADEN_VOYAGE_DAYS,MATCH(CONCATENATE(G$4,G$5,G$7),LADEN_VOYAGE_ROUTES,0),MATCH(G$6,LADEN_VOYAGE_SHIPS,0))</f>
        <v>-0</v>
      </c>
      <c r="H239" s="348" t="n">
        <f aca="false">SUM(F239:G239)</f>
        <v>0</v>
      </c>
      <c r="I239" s="349" t="n">
        <f aca="false">-(H239)*HLOOKUP(G$5,TERMINAL_CHARGES,3,0)</f>
        <v>-0</v>
      </c>
      <c r="J239" s="327" t="n">
        <f aca="false">+H239+I239</f>
        <v>0</v>
      </c>
      <c r="K239" s="333"/>
      <c r="L239" s="346" t="n">
        <f aca="false">+DATE(YEAR(L238),MONTH(L238)+1,1)</f>
        <v>43435</v>
      </c>
      <c r="M239" s="334" t="n">
        <f aca="false">+J239*(VLOOKUP(L239,CURVECALC!$C$6:$J$312,4,0)+N$5)</f>
        <v>0</v>
      </c>
      <c r="N239" s="350" t="n">
        <f aca="false">-F239*INDEX(ship_curves,MATCH(L239,'SHIP CURVES'!$A$9:$A$316,0),MATCH(CONCATENATE(P$4,P$5,P$6,P$7),'SHIP CURVES'!$A$9:$AZ$9,0))</f>
        <v>-0</v>
      </c>
      <c r="O239" s="351" t="n">
        <f aca="false">-H239*INDEX(port_processing_fee,MATCH(L239,PORTS!$H$626:$H$933,0),MATCH(P$5,PORTS!$H$626:$Z$626,0))</f>
        <v>-0</v>
      </c>
      <c r="P239" s="352" t="n">
        <f aca="false">(((VLOOKUP(L239,curvecalc,4,0))*IF(F239=0,0,J239/F239)-INDEX(ship_curves,MATCH(L239,'SHIP CURVES'!$A$9:$A$316,0),MATCH(CONCATENATE(P$4,P$5,P$6,P$7),'SHIP CURVES'!$A$9:$Z$9,0))-INDEX(terminal_curves,MATCH(L239,'TERMINAL CURVES'!$A$4:$A$313,0),MATCH(P$5,'TERMINAL CURVES'!$A$4:$N$4,0))*IF(F239=0,0,H239/F239))-(N$8)*((N$7-$N$5)-(INDEX(ship_curves,MATCH(L239,'SHIP CURVES'!$A$9:$A$316,0),MATCH(CONCATENATE(P$4,P$5,P$6,P$7),'SHIP CURVES'!$A$9:$Z$9,0))-INDEX(ship_curves,MATCH(L239,'SHIP CURVES'!$A$9:$A$316,0),MATCH(CONCATENATE(P$4,N$6,P$6,P$7),'SHIP CURVES'!$A$9:$Z$9,0)))-(INDEX(terminal_curves,MATCH(L239,'TERMINAL CURVES'!$A$4:$A$313,0),MATCH(P$5,'TERMINAL CURVES'!$A$4:$N$4,0))-INDEX(terminal_curves,MATCH(L239,'TERMINAL CURVES'!$A$4:$A$313,0),MATCH(N$6,'TERMINAL CURVES'!$A$4:$N$4,0)))*IF(F239=0,0,H239/F239)))*-F239</f>
        <v>0</v>
      </c>
      <c r="Q239" s="353" t="n">
        <f aca="false">SUM(N239:P239)</f>
        <v>0</v>
      </c>
      <c r="R239" s="357" t="n">
        <f aca="false">(-H239/((HLOOKUP(P$5,port_specs,2,0)/(365.25))*(L240-L239)))*(INDEX(fixed_capacity_charge,MATCH(L239,PORTS!$H$11:$H$317,0),MATCH(P$5,PORTS!$H$11:$N$11,0))+INDEX(variable_om_charge,MATCH(L239,PORTS!$H$318:$H$625,0),MATCH(P$5,PORTS!$H$318:$N$318,0)))</f>
        <v>-0</v>
      </c>
      <c r="S239" s="343" t="n">
        <f aca="false">+R239+Q239</f>
        <v>0</v>
      </c>
      <c r="T239" s="355" t="n">
        <f aca="false">+S239+M239</f>
        <v>0</v>
      </c>
      <c r="V239" s="346" t="n">
        <f aca="false">+DATE(YEAR(V238),MONTH(V238)+1,1)</f>
        <v>43435</v>
      </c>
      <c r="W239" s="327" t="n">
        <f aca="false">+Y239/(1-HLOOKUP(X$6,SHIPS,7,0)*INDEX(LADEN_VOYAGE_DAYS,MATCH(CONCATENATE(X$4,X$5),LADEN_VOYAGE_ROUTES,0),MATCH(X$6,LADEN_VOYAGE_SHIPS,0)))</f>
        <v>0</v>
      </c>
      <c r="X239" s="347" t="n">
        <f aca="false">+Y239-W239</f>
        <v>0</v>
      </c>
      <c r="Y239" s="348" t="n">
        <f aca="false">+IF(AND(X$8&lt;=V239,X$9&gt;=V239),+MIN($B239-SUMIF($H$17:X$17,Y$17,$H239:X239),((INDEX(ROUTE_PER_DAY_BY_SHIP,MATCH(CONCATENATE(X$4,X$5,X$7),ROUTE_PER_DAY_ROUTES,0),MATCH(X$6,ROUTE_PER_DAY_SHIPS,0))*(V240-V239))-(INDEX(ROUTE_PER_DAY_BY_SHIP,MATCH(CONCATENATE(X$4,X$5,X$7),ROUTE_PER_DAY_ROUTES,0),MATCH(X$6,ROUTE_PER_DAY_SHIPS,0))*(V240-V239))*HLOOKUP(X$6,SHIPS,7,0)*INDEX(LADEN_VOYAGE_DAYS,MATCH(CONCATENATE(X$4,X$5,X$7),LADEN_VOYAGE_ROUTES,0),MATCH(X$6,LADEN_VOYAGE_SHIPS,0)))),0)</f>
        <v>0</v>
      </c>
      <c r="Z239" s="349" t="n">
        <f aca="false">-(Y239)*HLOOKUP(X$5,TERMINAL_CHARGES,3,0)</f>
        <v>-0</v>
      </c>
      <c r="AA239" s="327" t="n">
        <f aca="false">+Y239+Z239</f>
        <v>0</v>
      </c>
      <c r="AB239" s="333"/>
      <c r="AC239" s="346" t="n">
        <f aca="false">+DATE(YEAR(AC238),MONTH(AC238)+1,1)</f>
        <v>43435</v>
      </c>
      <c r="AD239" s="343" t="n">
        <f aca="false">+AA239*(VLOOKUP(AC239,CURVECALC!$C$6:$J$312,4,0)+AE$5)</f>
        <v>0</v>
      </c>
      <c r="AE239" s="350" t="n">
        <f aca="false">-W239*INDEX(ship_curves,MATCH(AC239,'SHIP CURVES'!$A$9:$A$316,0),MATCH(CONCATENATE(AG$4,AG$5,AG$6,AG$7),'SHIP CURVES'!$A$9:$AZ$9,0))</f>
        <v>-0</v>
      </c>
      <c r="AF239" s="351" t="n">
        <f aca="false">-Y239*INDEX(port_processing_fee,MATCH(AC239,PORTS!$H$626:$H$933,0),MATCH(AG$5,PORTS!$H$626:$Z$626,0))</f>
        <v>-0</v>
      </c>
      <c r="AG239" s="352" t="n">
        <f aca="false">(((VLOOKUP(AC239,curvecalc,4,0))*IF(W239=0,0,AA239/W239)-INDEX(ship_curves,MATCH(AC239,'SHIP CURVES'!$A$9:$A$316,0),MATCH(CONCATENATE(AG$4,AG$5,AG$6,AG$7),'SHIP CURVES'!$A$9:$Z$9,0))-INDEX(terminal_curves,MATCH(AC239,'TERMINAL CURVES'!$A$4:$A$313,0),MATCH(AG$5,'TERMINAL CURVES'!$A$4:$N$4,0))*IF(W239=0,0,Y239/W239))-(AE$8)*((AE$7-$N$5)-(INDEX(ship_curves,MATCH(AC239,'SHIP CURVES'!$A$9:$A$316,0),MATCH(CONCATENATE(AG$4,AG$5,AG$6,AG$7),'SHIP CURVES'!$A$9:$Z$9,0))-INDEX(ship_curves,MATCH(AC239,'SHIP CURVES'!$A$9:$A$316,0),MATCH(CONCATENATE(AG$4,AE$6,AG$6,AG$7),'SHIP CURVES'!$A$9:$Z$9,0)))-(INDEX(terminal_curves,MATCH(AC239,'TERMINAL CURVES'!$A$4:$A$313,0),MATCH(AG$5,'TERMINAL CURVES'!$A$4:$N$4,0))-INDEX(terminal_curves,MATCH(AC239,'TERMINAL CURVES'!$A$4:$A$313,0),MATCH(AE$6,'TERMINAL CURVES'!$A$4:$N$4,0)))*IF(W239=0,0,Y239/W239)))*-W239</f>
        <v>0</v>
      </c>
      <c r="AH239" s="356" t="n">
        <f aca="false">SUM(AE239:AG239)</f>
        <v>0</v>
      </c>
      <c r="AI239" s="357" t="n">
        <f aca="false">(-Y239/((HLOOKUP(AG$5,port_specs,2,0)/(365.25))*(AC240-AC239)))*(INDEX(fixed_capacity_charge,MATCH(AC239,PORTS!$H$11:$H$317,0),MATCH(AG$5,PORTS!$H$11:$N$11,0))+INDEX(variable_om_charge,MATCH(AC239,PORTS!$H$318:$H$625,0),MATCH(AG$5,PORTS!$H$318:$N$318,0)))</f>
        <v>-0</v>
      </c>
      <c r="AJ239" s="343" t="n">
        <f aca="false">+AI239+AH239</f>
        <v>0</v>
      </c>
      <c r="AK239" s="355" t="n">
        <f aca="false">+AJ239+AD239</f>
        <v>0</v>
      </c>
      <c r="AM239" s="346" t="n">
        <f aca="false">+DATE(YEAR(AM238),MONTH(AM238)+1,1)</f>
        <v>43435</v>
      </c>
      <c r="AN239" s="327" t="n">
        <f aca="false">+AP239/(1-HLOOKUP(AO$6,SHIPS,7,0)*INDEX(LADEN_VOYAGE_DAYS,MATCH(CONCATENATE(AO$4,AO$5),LADEN_VOYAGE_ROUTES,0),MATCH(AO$6,LADEN_VOYAGE_SHIPS,0)))</f>
        <v>5395761.47735991</v>
      </c>
      <c r="AO239" s="347" t="n">
        <f aca="false">+AP239-AN239</f>
        <v>-56655.4955122788</v>
      </c>
      <c r="AP239" s="348" t="n">
        <f aca="false">+IF(AND(AO$8&lt;=AM239,AO$9&gt;=AM239),+MIN($B239-SUMIF($H$17:AO$17,AP$17,$H239:AO239),((INDEX(ROUTE_PER_DAY_BY_SHIP,MATCH(CONCATENATE(AO$4,AO$5,AO$7),ROUTE_PER_DAY_ROUTES,0),MATCH(AO$6,ROUTE_PER_DAY_SHIPS,0))*(AM240-AM239))-(INDEX(ROUTE_PER_DAY_BY_SHIP,MATCH(CONCATENATE(AO$4,AO$5,AO$7),ROUTE_PER_DAY_ROUTES,0),MATCH(AO$6,ROUTE_PER_DAY_SHIPS,0))*(AM240-AM239))*HLOOKUP(AO$6,SHIPS,7,0)*INDEX(LADEN_VOYAGE_DAYS,MATCH(CONCATENATE(AO$4,AO$5,AO$7),LADEN_VOYAGE_ROUTES,0),MATCH(AO$6,LADEN_VOYAGE_SHIPS,0)))),0)</f>
        <v>5339105.98184763</v>
      </c>
      <c r="AQ239" s="349" t="n">
        <f aca="false">-(AP239)*PORTS!$I$6</f>
        <v>-133477.649546191</v>
      </c>
      <c r="AR239" s="327" t="n">
        <f aca="false">+AP239+AQ239</f>
        <v>5205628.33230144</v>
      </c>
      <c r="AS239" s="333"/>
      <c r="AT239" s="346" t="n">
        <f aca="false">+DATE(YEAR(AT238),MONTH(AT238)+1,1)</f>
        <v>43435</v>
      </c>
      <c r="AU239" s="343" t="n">
        <f aca="false">+AR239*(VLOOKUP(AT239,CURVECALC!$C$6:$J$312,4,0)+AV$5)</f>
        <v>22509136.9088714</v>
      </c>
      <c r="AV239" s="350" t="n">
        <f aca="false">-AN239*INDEX(ship_curves,MATCH(AT239,'SHIP CURVES'!$A$9:$A$316,0),MATCH(CONCATENATE(AX$4,AX$5,AX$6,AX$7),'SHIP CURVES'!$A$9:$AZ$9,0))</f>
        <v>-1857263.43950266</v>
      </c>
      <c r="AW239" s="351" t="n">
        <f aca="false">-AP239*INDEX(port_processing_fee,MATCH(AT239,PORTS!$H$626:$H$933,0),MATCH(AX$5,PORTS!$H$626:$Z$626,0))</f>
        <v>-178019.563924211</v>
      </c>
      <c r="AX239" s="352" t="n">
        <f aca="false">(((VLOOKUP(AT239,curvecalc,4,0))*IF(AN239=0,0,AR239/AN239)-INDEX(ship_curves,MATCH(AT239,'SHIP CURVES'!$A$9:$A$316,0),MATCH(CONCATENATE(AX$4,AX$5,AX$6,AX$7),'SHIP CURVES'!$A$9:$Z$9,0))-INDEX(terminal_curves,MATCH(AT239,'TERMINAL CURVES'!$A$4:$A$313,0),MATCH(AX$5,'TERMINAL CURVES'!$A$4:$N$4,0))*IF(AN239=0,0,AP239/AN239))-(AV$8)*((AV$7-$N$5)-(INDEX(ship_curves,MATCH(AT239,'SHIP CURVES'!$A$9:$A$316,0),MATCH(CONCATENATE(AX$4,AX$5,AX$6,AX$7),'SHIP CURVES'!$A$9:$Z$9,0))-INDEX(ship_curves,MATCH(AT239,'SHIP CURVES'!$A$9:$A$316,0),MATCH(CONCATENATE(AX$4,AV$6,AX$6,AX$7),'SHIP CURVES'!$A$9:$Z$9,0)))-(INDEX(terminal_curves,MATCH(AT239,'TERMINAL CURVES'!$A$4:$A$313,0),MATCH(AX$5,'TERMINAL CURVES'!$A$4:$N$4,0))-INDEX(terminal_curves,MATCH(AT239,'TERMINAL CURVES'!$A$4:$A$313,0),MATCH(AV$6,'TERMINAL CURVES'!$A$4:$N$4,0)))*IF(AN239=0,0,AP239/AN239)))*-AN239</f>
        <v>-19311048.0759809</v>
      </c>
      <c r="AY239" s="356" t="n">
        <f aca="false">SUM(AV239:AX239)</f>
        <v>-21346331.0794077</v>
      </c>
      <c r="AZ239" s="357" t="n">
        <f aca="false">(-AP239/((HLOOKUP(AX$5,port_specs,2,0)/(365.25))*(AT240-AT239)))*(INDEX(fixed_capacity_charge,MATCH(AT239,PORTS!$H$11:$H$317,0),MATCH(AX$5,PORTS!$H$11:$N$11,0))+INDEX(variable_om_charge,MATCH(AT239,PORTS!$H$318:$H$625,0),MATCH(AX$5,PORTS!$H$318:$N$318,0)))</f>
        <v>-1058693.26281766</v>
      </c>
      <c r="BA239" s="343" t="n">
        <f aca="false">+AZ239+AY239</f>
        <v>-22405024.3422254</v>
      </c>
      <c r="BB239" s="355" t="n">
        <f aca="false">+BA239+AU239</f>
        <v>104112.566646032</v>
      </c>
      <c r="BC239" s="99"/>
      <c r="BD239" s="357" t="n">
        <f aca="false">+PORTS!I233+PORTS!I541</f>
        <v>1058693.26281766</v>
      </c>
    </row>
    <row r="240" customFormat="false" ht="12.75" hidden="false" customHeight="false" outlineLevel="0" collapsed="false">
      <c r="A240" s="346" t="n">
        <f aca="false">+DATE(YEAR(A239),MONTH(A239)+1,1)</f>
        <v>43466</v>
      </c>
      <c r="B240" s="327" t="n">
        <f aca="false">+IF(AND($A240&gt;=$C$8,$A240&lt;=$C$9),1,0)*PORTS!$I$5/(365.25)*(A241-A240)</f>
        <v>5339105.98184763</v>
      </c>
      <c r="C240" s="328" t="n">
        <f aca="false">+B240-(SUMIF($F$17:$IV$17,$H$17,$F240:$IV240))</f>
        <v>0</v>
      </c>
      <c r="D240" s="0" t="n">
        <f aca="false">+YEAR(E240)</f>
        <v>2019</v>
      </c>
      <c r="E240" s="346" t="n">
        <f aca="false">+DATE(YEAR(E239),MONTH(E239)+1,1)</f>
        <v>43466</v>
      </c>
      <c r="F240" s="327" t="n">
        <f aca="false">+IF(AND(G$8&lt;=E240,G$9&gt;=E240),INDEX(ROUTE_PER_DAY_BY_SHIP,MATCH(CONCATENATE(G$4,G$5,G$7),ROUTE_PER_DAY_ROUTES,0),MATCH(G$6,ROUTE_PER_DAY_SHIPS,0))*(E241-E240),0)</f>
        <v>0</v>
      </c>
      <c r="G240" s="347" t="n">
        <f aca="false">-F240*HLOOKUP(G$6,SHIPS,7,0)*INDEX(LADEN_VOYAGE_DAYS,MATCH(CONCATENATE(G$4,G$5,G$7),LADEN_VOYAGE_ROUTES,0),MATCH(G$6,LADEN_VOYAGE_SHIPS,0))</f>
        <v>-0</v>
      </c>
      <c r="H240" s="348" t="n">
        <f aca="false">SUM(F240:G240)</f>
        <v>0</v>
      </c>
      <c r="I240" s="349" t="n">
        <f aca="false">-(H240)*HLOOKUP(G$5,TERMINAL_CHARGES,3,0)</f>
        <v>-0</v>
      </c>
      <c r="J240" s="327" t="n">
        <f aca="false">+H240+I240</f>
        <v>0</v>
      </c>
      <c r="K240" s="333"/>
      <c r="L240" s="346" t="n">
        <f aca="false">+DATE(YEAR(L239),MONTH(L239)+1,1)</f>
        <v>43466</v>
      </c>
      <c r="M240" s="334" t="n">
        <f aca="false">+J240*(VLOOKUP(L240,CURVECALC!$C$6:$J$312,4,0)+N$5)</f>
        <v>0</v>
      </c>
      <c r="N240" s="350" t="n">
        <f aca="false">-F240*INDEX(ship_curves,MATCH(L240,'SHIP CURVES'!$A$9:$A$316,0),MATCH(CONCATENATE(P$4,P$5,P$6,P$7),'SHIP CURVES'!$A$9:$AZ$9,0))</f>
        <v>-0</v>
      </c>
      <c r="O240" s="351" t="n">
        <f aca="false">-H240*INDEX(port_processing_fee,MATCH(L240,PORTS!$H$626:$H$933,0),MATCH(P$5,PORTS!$H$626:$Z$626,0))</f>
        <v>-0</v>
      </c>
      <c r="P240" s="352" t="n">
        <f aca="false">(((VLOOKUP(L240,curvecalc,4,0))*IF(F240=0,0,J240/F240)-INDEX(ship_curves,MATCH(L240,'SHIP CURVES'!$A$9:$A$316,0),MATCH(CONCATENATE(P$4,P$5,P$6,P$7),'SHIP CURVES'!$A$9:$Z$9,0))-INDEX(terminal_curves,MATCH(L240,'TERMINAL CURVES'!$A$4:$A$313,0),MATCH(P$5,'TERMINAL CURVES'!$A$4:$N$4,0))*IF(F240=0,0,H240/F240))-(N$8)*((N$7-$N$5)-(INDEX(ship_curves,MATCH(L240,'SHIP CURVES'!$A$9:$A$316,0),MATCH(CONCATENATE(P$4,P$5,P$6,P$7),'SHIP CURVES'!$A$9:$Z$9,0))-INDEX(ship_curves,MATCH(L240,'SHIP CURVES'!$A$9:$A$316,0),MATCH(CONCATENATE(P$4,N$6,P$6,P$7),'SHIP CURVES'!$A$9:$Z$9,0)))-(INDEX(terminal_curves,MATCH(L240,'TERMINAL CURVES'!$A$4:$A$313,0),MATCH(P$5,'TERMINAL CURVES'!$A$4:$N$4,0))-INDEX(terminal_curves,MATCH(L240,'TERMINAL CURVES'!$A$4:$A$313,0),MATCH(N$6,'TERMINAL CURVES'!$A$4:$N$4,0)))*IF(F240=0,0,H240/F240)))*-F240</f>
        <v>0</v>
      </c>
      <c r="Q240" s="353" t="n">
        <f aca="false">SUM(N240:P240)</f>
        <v>0</v>
      </c>
      <c r="R240" s="357" t="n">
        <f aca="false">(-H240/((HLOOKUP(P$5,port_specs,2,0)/(365.25))*(L241-L240)))*(INDEX(fixed_capacity_charge,MATCH(L240,PORTS!$H$11:$H$317,0),MATCH(P$5,PORTS!$H$11:$N$11,0))+INDEX(variable_om_charge,MATCH(L240,PORTS!$H$318:$H$625,0),MATCH(P$5,PORTS!$H$318:$N$318,0)))</f>
        <v>-0</v>
      </c>
      <c r="S240" s="343" t="n">
        <f aca="false">+R240+Q240</f>
        <v>0</v>
      </c>
      <c r="T240" s="355" t="n">
        <f aca="false">+S240+M240</f>
        <v>0</v>
      </c>
      <c r="V240" s="346" t="n">
        <f aca="false">+DATE(YEAR(V239),MONTH(V239)+1,1)</f>
        <v>43466</v>
      </c>
      <c r="W240" s="327" t="n">
        <f aca="false">+Y240/(1-HLOOKUP(X$6,SHIPS,7,0)*INDEX(LADEN_VOYAGE_DAYS,MATCH(CONCATENATE(X$4,X$5),LADEN_VOYAGE_ROUTES,0),MATCH(X$6,LADEN_VOYAGE_SHIPS,0)))</f>
        <v>0</v>
      </c>
      <c r="X240" s="347" t="n">
        <f aca="false">+Y240-W240</f>
        <v>0</v>
      </c>
      <c r="Y240" s="348" t="n">
        <f aca="false">+IF(AND(X$8&lt;=V240,X$9&gt;=V240),+MIN($B240-SUMIF($H$17:X$17,Y$17,$H240:X240),((INDEX(ROUTE_PER_DAY_BY_SHIP,MATCH(CONCATENATE(X$4,X$5,X$7),ROUTE_PER_DAY_ROUTES,0),MATCH(X$6,ROUTE_PER_DAY_SHIPS,0))*(V241-V240))-(INDEX(ROUTE_PER_DAY_BY_SHIP,MATCH(CONCATENATE(X$4,X$5,X$7),ROUTE_PER_DAY_ROUTES,0),MATCH(X$6,ROUTE_PER_DAY_SHIPS,0))*(V241-V240))*HLOOKUP(X$6,SHIPS,7,0)*INDEX(LADEN_VOYAGE_DAYS,MATCH(CONCATENATE(X$4,X$5,X$7),LADEN_VOYAGE_ROUTES,0),MATCH(X$6,LADEN_VOYAGE_SHIPS,0)))),0)</f>
        <v>0</v>
      </c>
      <c r="Z240" s="349" t="n">
        <f aca="false">-(Y240)*HLOOKUP(X$5,TERMINAL_CHARGES,3,0)</f>
        <v>-0</v>
      </c>
      <c r="AA240" s="327" t="n">
        <f aca="false">+Y240+Z240</f>
        <v>0</v>
      </c>
      <c r="AB240" s="333"/>
      <c r="AC240" s="346" t="n">
        <f aca="false">+DATE(YEAR(AC239),MONTH(AC239)+1,1)</f>
        <v>43466</v>
      </c>
      <c r="AD240" s="343" t="n">
        <f aca="false">+AA240*(VLOOKUP(AC240,CURVECALC!$C$6:$J$312,4,0)+AE$5)</f>
        <v>0</v>
      </c>
      <c r="AE240" s="350" t="n">
        <f aca="false">-W240*INDEX(ship_curves,MATCH(AC240,'SHIP CURVES'!$A$9:$A$316,0),MATCH(CONCATENATE(AG$4,AG$5,AG$6,AG$7),'SHIP CURVES'!$A$9:$AZ$9,0))</f>
        <v>-0</v>
      </c>
      <c r="AF240" s="351" t="n">
        <f aca="false">-Y240*INDEX(port_processing_fee,MATCH(AC240,PORTS!$H$626:$H$933,0),MATCH(AG$5,PORTS!$H$626:$Z$626,0))</f>
        <v>-0</v>
      </c>
      <c r="AG240" s="352" t="n">
        <f aca="false">(((VLOOKUP(AC240,curvecalc,4,0))*IF(W240=0,0,AA240/W240)-INDEX(ship_curves,MATCH(AC240,'SHIP CURVES'!$A$9:$A$316,0),MATCH(CONCATENATE(AG$4,AG$5,AG$6,AG$7),'SHIP CURVES'!$A$9:$Z$9,0))-INDEX(terminal_curves,MATCH(AC240,'TERMINAL CURVES'!$A$4:$A$313,0),MATCH(AG$5,'TERMINAL CURVES'!$A$4:$N$4,0))*IF(W240=0,0,Y240/W240))-(AE$8)*((AE$7-$N$5)-(INDEX(ship_curves,MATCH(AC240,'SHIP CURVES'!$A$9:$A$316,0),MATCH(CONCATENATE(AG$4,AG$5,AG$6,AG$7),'SHIP CURVES'!$A$9:$Z$9,0))-INDEX(ship_curves,MATCH(AC240,'SHIP CURVES'!$A$9:$A$316,0),MATCH(CONCATENATE(AG$4,AE$6,AG$6,AG$7),'SHIP CURVES'!$A$9:$Z$9,0)))-(INDEX(terminal_curves,MATCH(AC240,'TERMINAL CURVES'!$A$4:$A$313,0),MATCH(AG$5,'TERMINAL CURVES'!$A$4:$N$4,0))-INDEX(terminal_curves,MATCH(AC240,'TERMINAL CURVES'!$A$4:$A$313,0),MATCH(AE$6,'TERMINAL CURVES'!$A$4:$N$4,0)))*IF(W240=0,0,Y240/W240)))*-W240</f>
        <v>0</v>
      </c>
      <c r="AH240" s="356" t="n">
        <f aca="false">SUM(AE240:AG240)</f>
        <v>0</v>
      </c>
      <c r="AI240" s="357" t="n">
        <f aca="false">(-Y240/((HLOOKUP(AG$5,port_specs,2,0)/(365.25))*(AC241-AC240)))*(INDEX(fixed_capacity_charge,MATCH(AC240,PORTS!$H$11:$H$317,0),MATCH(AG$5,PORTS!$H$11:$N$11,0))+INDEX(variable_om_charge,MATCH(AC240,PORTS!$H$318:$H$625,0),MATCH(AG$5,PORTS!$H$318:$N$318,0)))</f>
        <v>-0</v>
      </c>
      <c r="AJ240" s="343" t="n">
        <f aca="false">+AI240+AH240</f>
        <v>0</v>
      </c>
      <c r="AK240" s="355" t="n">
        <f aca="false">+AJ240+AD240</f>
        <v>0</v>
      </c>
      <c r="AM240" s="346" t="n">
        <f aca="false">+DATE(YEAR(AM239),MONTH(AM239)+1,1)</f>
        <v>43466</v>
      </c>
      <c r="AN240" s="327" t="n">
        <f aca="false">+AP240/(1-HLOOKUP(AO$6,SHIPS,7,0)*INDEX(LADEN_VOYAGE_DAYS,MATCH(CONCATENATE(AO$4,AO$5),LADEN_VOYAGE_ROUTES,0),MATCH(AO$6,LADEN_VOYAGE_SHIPS,0)))</f>
        <v>5395761.47735991</v>
      </c>
      <c r="AO240" s="347" t="n">
        <f aca="false">+AP240-AN240</f>
        <v>-56655.4955122788</v>
      </c>
      <c r="AP240" s="348" t="n">
        <f aca="false">+IF(AND(AO$8&lt;=AM240,AO$9&gt;=AM240),+MIN($B240-SUMIF($H$17:AO$17,AP$17,$H240:AO240),((INDEX(ROUTE_PER_DAY_BY_SHIP,MATCH(CONCATENATE(AO$4,AO$5,AO$7),ROUTE_PER_DAY_ROUTES,0),MATCH(AO$6,ROUTE_PER_DAY_SHIPS,0))*(AM241-AM240))-(INDEX(ROUTE_PER_DAY_BY_SHIP,MATCH(CONCATENATE(AO$4,AO$5,AO$7),ROUTE_PER_DAY_ROUTES,0),MATCH(AO$6,ROUTE_PER_DAY_SHIPS,0))*(AM241-AM240))*HLOOKUP(AO$6,SHIPS,7,0)*INDEX(LADEN_VOYAGE_DAYS,MATCH(CONCATENATE(AO$4,AO$5,AO$7),LADEN_VOYAGE_ROUTES,0),MATCH(AO$6,LADEN_VOYAGE_SHIPS,0)))),0)</f>
        <v>5339105.98184763</v>
      </c>
      <c r="AQ240" s="349" t="n">
        <f aca="false">-(AP240)*PORTS!$I$6</f>
        <v>-133477.649546191</v>
      </c>
      <c r="AR240" s="327" t="n">
        <f aca="false">+AP240+AQ240</f>
        <v>5205628.33230144</v>
      </c>
      <c r="AS240" s="333"/>
      <c r="AT240" s="346" t="n">
        <f aca="false">+DATE(YEAR(AT239),MONTH(AT239)+1,1)</f>
        <v>43466</v>
      </c>
      <c r="AU240" s="343" t="n">
        <f aca="false">+AR240*(VLOOKUP(AT240,CURVECALC!$C$6:$J$312,4,0)+AV$5)</f>
        <v>23565879.4603286</v>
      </c>
      <c r="AV240" s="350" t="n">
        <f aca="false">-AN240*INDEX(ship_curves,MATCH(AT240,'SHIP CURVES'!$A$9:$A$316,0),MATCH(CONCATENATE(AX$4,AX$5,AX$6,AX$7),'SHIP CURVES'!$A$9:$AZ$9,0))</f>
        <v>-1857937.05557034</v>
      </c>
      <c r="AW240" s="351" t="n">
        <f aca="false">-AP240*INDEX(port_processing_fee,MATCH(AT240,PORTS!$H$626:$H$933,0),MATCH(AX$5,PORTS!$H$626:$Z$626,0))</f>
        <v>-178205.000969965</v>
      </c>
      <c r="AX240" s="352" t="n">
        <f aca="false">(((VLOOKUP(AT240,curvecalc,4,0))*IF(AN240=0,0,AR240/AN240)-INDEX(ship_curves,MATCH(AT240,'SHIP CURVES'!$A$9:$A$316,0),MATCH(CONCATENATE(AX$4,AX$5,AX$6,AX$7),'SHIP CURVES'!$A$9:$Z$9,0))-INDEX(terminal_curves,MATCH(AT240,'TERMINAL CURVES'!$A$4:$A$313,0),MATCH(AX$5,'TERMINAL CURVES'!$A$4:$N$4,0))*IF(AN240=0,0,AP240/AN240))-(AV$8)*((AV$7-$N$5)-(INDEX(ship_curves,MATCH(AT240,'SHIP CURVES'!$A$9:$A$316,0),MATCH(CONCATENATE(AX$4,AX$5,AX$6,AX$7),'SHIP CURVES'!$A$9:$Z$9,0))-INDEX(ship_curves,MATCH(AT240,'SHIP CURVES'!$A$9:$A$316,0),MATCH(CONCATENATE(AX$4,AV$6,AX$6,AX$7),'SHIP CURVES'!$A$9:$Z$9,0)))-(INDEX(terminal_curves,MATCH(AT240,'TERMINAL CURVES'!$A$4:$A$313,0),MATCH(AX$5,'TERMINAL CURVES'!$A$4:$N$4,0))-INDEX(terminal_curves,MATCH(AT240,'TERMINAL CURVES'!$A$4:$A$313,0),MATCH(AV$6,'TERMINAL CURVES'!$A$4:$N$4,0)))*IF(AN240=0,0,AP240/AN240)))*-AN240</f>
        <v>-20366334.1715206</v>
      </c>
      <c r="AY240" s="356" t="n">
        <f aca="false">SUM(AV240:AX240)</f>
        <v>-22402476.2280609</v>
      </c>
      <c r="AZ240" s="357" t="n">
        <f aca="false">(-AP240/((HLOOKUP(AX$5,port_specs,2,0)/(365.25))*(AT241-AT240)))*(INDEX(fixed_capacity_charge,MATCH(AT240,PORTS!$H$11:$H$317,0),MATCH(AX$5,PORTS!$H$11:$N$11,0))+INDEX(variable_om_charge,MATCH(AT240,PORTS!$H$318:$H$625,0),MATCH(AX$5,PORTS!$H$318:$N$318,0)))</f>
        <v>-1059290.66562173</v>
      </c>
      <c r="BA240" s="343" t="n">
        <f aca="false">+AZ240+AY240</f>
        <v>-23461766.8936826</v>
      </c>
      <c r="BB240" s="355" t="n">
        <f aca="false">+BA240+AU240</f>
        <v>104112.566646028</v>
      </c>
      <c r="BC240" s="99"/>
      <c r="BD240" s="357" t="n">
        <f aca="false">+PORTS!I234+PORTS!I542</f>
        <v>1059290.66562173</v>
      </c>
    </row>
    <row r="241" customFormat="false" ht="12.75" hidden="false" customHeight="false" outlineLevel="0" collapsed="false">
      <c r="A241" s="346" t="n">
        <f aca="false">+DATE(YEAR(A240),MONTH(A240)+1,1)</f>
        <v>43497</v>
      </c>
      <c r="B241" s="327" t="n">
        <f aca="false">+IF(AND($A241&gt;=$C$8,$A241&lt;=$C$9),1,0)*PORTS!$I$5/(365.25)*(A242-A241)</f>
        <v>4822418.30618496</v>
      </c>
      <c r="C241" s="328" t="n">
        <f aca="false">+B241-(SUMIF($F$17:$IV$17,$H$17,$F241:$IV241))</f>
        <v>0</v>
      </c>
      <c r="D241" s="0" t="n">
        <f aca="false">+YEAR(E241)</f>
        <v>2019</v>
      </c>
      <c r="E241" s="346" t="n">
        <f aca="false">+DATE(YEAR(E240),MONTH(E240)+1,1)</f>
        <v>43497</v>
      </c>
      <c r="F241" s="327" t="n">
        <f aca="false">+IF(AND(G$8&lt;=E241,G$9&gt;=E241),INDEX(ROUTE_PER_DAY_BY_SHIP,MATCH(CONCATENATE(G$4,G$5,G$7),ROUTE_PER_DAY_ROUTES,0),MATCH(G$6,ROUTE_PER_DAY_SHIPS,0))*(E242-E241),0)</f>
        <v>0</v>
      </c>
      <c r="G241" s="347" t="n">
        <f aca="false">-F241*HLOOKUP(G$6,SHIPS,7,0)*INDEX(LADEN_VOYAGE_DAYS,MATCH(CONCATENATE(G$4,G$5,G$7),LADEN_VOYAGE_ROUTES,0),MATCH(G$6,LADEN_VOYAGE_SHIPS,0))</f>
        <v>-0</v>
      </c>
      <c r="H241" s="348" t="n">
        <f aca="false">SUM(F241:G241)</f>
        <v>0</v>
      </c>
      <c r="I241" s="349" t="n">
        <f aca="false">-(H241)*HLOOKUP(G$5,TERMINAL_CHARGES,3,0)</f>
        <v>-0</v>
      </c>
      <c r="J241" s="327" t="n">
        <f aca="false">+H241+I241</f>
        <v>0</v>
      </c>
      <c r="K241" s="333"/>
      <c r="L241" s="346" t="n">
        <f aca="false">+DATE(YEAR(L240),MONTH(L240)+1,1)</f>
        <v>43497</v>
      </c>
      <c r="M241" s="334" t="n">
        <f aca="false">+J241*(VLOOKUP(L241,CURVECALC!$C$6:$J$312,4,0)+N$5)</f>
        <v>0</v>
      </c>
      <c r="N241" s="350" t="n">
        <f aca="false">-F241*INDEX(ship_curves,MATCH(L241,'SHIP CURVES'!$A$9:$A$316,0),MATCH(CONCATENATE(P$4,P$5,P$6,P$7),'SHIP CURVES'!$A$9:$AZ$9,0))</f>
        <v>-0</v>
      </c>
      <c r="O241" s="351" t="n">
        <f aca="false">-H241*INDEX(port_processing_fee,MATCH(L241,PORTS!$H$626:$H$933,0),MATCH(P$5,PORTS!$H$626:$Z$626,0))</f>
        <v>-0</v>
      </c>
      <c r="P241" s="352" t="n">
        <f aca="false">(((VLOOKUP(L241,curvecalc,4,0))*IF(F241=0,0,J241/F241)-INDEX(ship_curves,MATCH(L241,'SHIP CURVES'!$A$9:$A$316,0),MATCH(CONCATENATE(P$4,P$5,P$6,P$7),'SHIP CURVES'!$A$9:$Z$9,0))-INDEX(terminal_curves,MATCH(L241,'TERMINAL CURVES'!$A$4:$A$313,0),MATCH(P$5,'TERMINAL CURVES'!$A$4:$N$4,0))*IF(F241=0,0,H241/F241))-(N$8)*((N$7-$N$5)-(INDEX(ship_curves,MATCH(L241,'SHIP CURVES'!$A$9:$A$316,0),MATCH(CONCATENATE(P$4,P$5,P$6,P$7),'SHIP CURVES'!$A$9:$Z$9,0))-INDEX(ship_curves,MATCH(L241,'SHIP CURVES'!$A$9:$A$316,0),MATCH(CONCATENATE(P$4,N$6,P$6,P$7),'SHIP CURVES'!$A$9:$Z$9,0)))-(INDEX(terminal_curves,MATCH(L241,'TERMINAL CURVES'!$A$4:$A$313,0),MATCH(P$5,'TERMINAL CURVES'!$A$4:$N$4,0))-INDEX(terminal_curves,MATCH(L241,'TERMINAL CURVES'!$A$4:$A$313,0),MATCH(N$6,'TERMINAL CURVES'!$A$4:$N$4,0)))*IF(F241=0,0,H241/F241)))*-F241</f>
        <v>0</v>
      </c>
      <c r="Q241" s="353" t="n">
        <f aca="false">SUM(N241:P241)</f>
        <v>0</v>
      </c>
      <c r="R241" s="357" t="n">
        <f aca="false">(-H241/((HLOOKUP(P$5,port_specs,2,0)/(365.25))*(L242-L241)))*(INDEX(fixed_capacity_charge,MATCH(L241,PORTS!$H$11:$H$317,0),MATCH(P$5,PORTS!$H$11:$N$11,0))+INDEX(variable_om_charge,MATCH(L241,PORTS!$H$318:$H$625,0),MATCH(P$5,PORTS!$H$318:$N$318,0)))</f>
        <v>-0</v>
      </c>
      <c r="S241" s="343" t="n">
        <f aca="false">+R241+Q241</f>
        <v>0</v>
      </c>
      <c r="T241" s="355" t="n">
        <f aca="false">+S241+M241</f>
        <v>0</v>
      </c>
      <c r="V241" s="346" t="n">
        <f aca="false">+DATE(YEAR(V240),MONTH(V240)+1,1)</f>
        <v>43497</v>
      </c>
      <c r="W241" s="327" t="n">
        <f aca="false">+Y241/(1-HLOOKUP(X$6,SHIPS,7,0)*INDEX(LADEN_VOYAGE_DAYS,MATCH(CONCATENATE(X$4,X$5),LADEN_VOYAGE_ROUTES,0),MATCH(X$6,LADEN_VOYAGE_SHIPS,0)))</f>
        <v>0</v>
      </c>
      <c r="X241" s="347" t="n">
        <f aca="false">+Y241-W241</f>
        <v>0</v>
      </c>
      <c r="Y241" s="348" t="n">
        <f aca="false">+IF(AND(X$8&lt;=V241,X$9&gt;=V241),+MIN($B241-SUMIF($H$17:X$17,Y$17,$H241:X241),((INDEX(ROUTE_PER_DAY_BY_SHIP,MATCH(CONCATENATE(X$4,X$5,X$7),ROUTE_PER_DAY_ROUTES,0),MATCH(X$6,ROUTE_PER_DAY_SHIPS,0))*(V242-V241))-(INDEX(ROUTE_PER_DAY_BY_SHIP,MATCH(CONCATENATE(X$4,X$5,X$7),ROUTE_PER_DAY_ROUTES,0),MATCH(X$6,ROUTE_PER_DAY_SHIPS,0))*(V242-V241))*HLOOKUP(X$6,SHIPS,7,0)*INDEX(LADEN_VOYAGE_DAYS,MATCH(CONCATENATE(X$4,X$5,X$7),LADEN_VOYAGE_ROUTES,0),MATCH(X$6,LADEN_VOYAGE_SHIPS,0)))),0)</f>
        <v>0</v>
      </c>
      <c r="Z241" s="349" t="n">
        <f aca="false">-(Y241)*HLOOKUP(X$5,TERMINAL_CHARGES,3,0)</f>
        <v>-0</v>
      </c>
      <c r="AA241" s="327" t="n">
        <f aca="false">+Y241+Z241</f>
        <v>0</v>
      </c>
      <c r="AB241" s="333"/>
      <c r="AC241" s="346" t="n">
        <f aca="false">+DATE(YEAR(AC240),MONTH(AC240)+1,1)</f>
        <v>43497</v>
      </c>
      <c r="AD241" s="343" t="n">
        <f aca="false">+AA241*(VLOOKUP(AC241,CURVECALC!$C$6:$J$312,4,0)+AE$5)</f>
        <v>0</v>
      </c>
      <c r="AE241" s="350" t="n">
        <f aca="false">-W241*INDEX(ship_curves,MATCH(AC241,'SHIP CURVES'!$A$9:$A$316,0),MATCH(CONCATENATE(AG$4,AG$5,AG$6,AG$7),'SHIP CURVES'!$A$9:$AZ$9,0))</f>
        <v>-0</v>
      </c>
      <c r="AF241" s="351" t="n">
        <f aca="false">-Y241*INDEX(port_processing_fee,MATCH(AC241,PORTS!$H$626:$H$933,0),MATCH(AG$5,PORTS!$H$626:$Z$626,0))</f>
        <v>-0</v>
      </c>
      <c r="AG241" s="352" t="n">
        <f aca="false">(((VLOOKUP(AC241,curvecalc,4,0))*IF(W241=0,0,AA241/W241)-INDEX(ship_curves,MATCH(AC241,'SHIP CURVES'!$A$9:$A$316,0),MATCH(CONCATENATE(AG$4,AG$5,AG$6,AG$7),'SHIP CURVES'!$A$9:$Z$9,0))-INDEX(terminal_curves,MATCH(AC241,'TERMINAL CURVES'!$A$4:$A$313,0),MATCH(AG$5,'TERMINAL CURVES'!$A$4:$N$4,0))*IF(W241=0,0,Y241/W241))-(AE$8)*((AE$7-$N$5)-(INDEX(ship_curves,MATCH(AC241,'SHIP CURVES'!$A$9:$A$316,0),MATCH(CONCATENATE(AG$4,AG$5,AG$6,AG$7),'SHIP CURVES'!$A$9:$Z$9,0))-INDEX(ship_curves,MATCH(AC241,'SHIP CURVES'!$A$9:$A$316,0),MATCH(CONCATENATE(AG$4,AE$6,AG$6,AG$7),'SHIP CURVES'!$A$9:$Z$9,0)))-(INDEX(terminal_curves,MATCH(AC241,'TERMINAL CURVES'!$A$4:$A$313,0),MATCH(AG$5,'TERMINAL CURVES'!$A$4:$N$4,0))-INDEX(terminal_curves,MATCH(AC241,'TERMINAL CURVES'!$A$4:$A$313,0),MATCH(AE$6,'TERMINAL CURVES'!$A$4:$N$4,0)))*IF(W241=0,0,Y241/W241)))*-W241</f>
        <v>0</v>
      </c>
      <c r="AH241" s="356" t="n">
        <f aca="false">SUM(AE241:AG241)</f>
        <v>0</v>
      </c>
      <c r="AI241" s="357" t="n">
        <f aca="false">(-Y241/((HLOOKUP(AG$5,port_specs,2,0)/(365.25))*(AC242-AC241)))*(INDEX(fixed_capacity_charge,MATCH(AC241,PORTS!$H$11:$H$317,0),MATCH(AG$5,PORTS!$H$11:$N$11,0))+INDEX(variable_om_charge,MATCH(AC241,PORTS!$H$318:$H$625,0),MATCH(AG$5,PORTS!$H$318:$N$318,0)))</f>
        <v>-0</v>
      </c>
      <c r="AJ241" s="343" t="n">
        <f aca="false">+AI241+AH241</f>
        <v>0</v>
      </c>
      <c r="AK241" s="355" t="n">
        <f aca="false">+AJ241+AD241</f>
        <v>0</v>
      </c>
      <c r="AM241" s="346" t="n">
        <f aca="false">+DATE(YEAR(AM240),MONTH(AM240)+1,1)</f>
        <v>43497</v>
      </c>
      <c r="AN241" s="327" t="n">
        <f aca="false">+AP241/(1-HLOOKUP(AO$6,SHIPS,7,0)*INDEX(LADEN_VOYAGE_DAYS,MATCH(CONCATENATE(AO$4,AO$5),LADEN_VOYAGE_ROUTES,0),MATCH(AO$6,LADEN_VOYAGE_SHIPS,0)))</f>
        <v>4873591.01180895</v>
      </c>
      <c r="AO241" s="347" t="n">
        <f aca="false">+AP241-AN241</f>
        <v>-51172.7056239937</v>
      </c>
      <c r="AP241" s="348" t="n">
        <f aca="false">+IF(AND(AO$8&lt;=AM241,AO$9&gt;=AM241),+MIN($B241-SUMIF($H$17:AO$17,AP$17,$H241:AO241),((INDEX(ROUTE_PER_DAY_BY_SHIP,MATCH(CONCATENATE(AO$4,AO$5,AO$7),ROUTE_PER_DAY_ROUTES,0),MATCH(AO$6,ROUTE_PER_DAY_SHIPS,0))*(AM242-AM241))-(INDEX(ROUTE_PER_DAY_BY_SHIP,MATCH(CONCATENATE(AO$4,AO$5,AO$7),ROUTE_PER_DAY_ROUTES,0),MATCH(AO$6,ROUTE_PER_DAY_SHIPS,0))*(AM242-AM241))*HLOOKUP(AO$6,SHIPS,7,0)*INDEX(LADEN_VOYAGE_DAYS,MATCH(CONCATENATE(AO$4,AO$5,AO$7),LADEN_VOYAGE_ROUTES,0),MATCH(AO$6,LADEN_VOYAGE_SHIPS,0)))),0)</f>
        <v>4822418.30618496</v>
      </c>
      <c r="AQ241" s="349" t="n">
        <f aca="false">-(AP241)*PORTS!$I$6</f>
        <v>-120560.457654624</v>
      </c>
      <c r="AR241" s="327" t="n">
        <f aca="false">+AP241+AQ241</f>
        <v>4701857.84853034</v>
      </c>
      <c r="AS241" s="333"/>
      <c r="AT241" s="346" t="n">
        <f aca="false">+DATE(YEAR(AT240),MONTH(AT240)+1,1)</f>
        <v>43497</v>
      </c>
      <c r="AU241" s="343" t="n">
        <f aca="false">+AR241*(VLOOKUP(AT241,CURVECALC!$C$6:$J$312,4,0)+AV$5)</f>
        <v>20974987.8622938</v>
      </c>
      <c r="AV241" s="350" t="n">
        <f aca="false">-AN241*INDEX(ship_curves,MATCH(AT241,'SHIP CURVES'!$A$9:$A$316,0),MATCH(CONCATENATE(AX$4,AX$5,AX$6,AX$7),'SHIP CURVES'!$A$9:$AZ$9,0))</f>
        <v>-1678746.39032694</v>
      </c>
      <c r="AW241" s="351" t="n">
        <f aca="false">-AP241*INDEX(port_processing_fee,MATCH(AT241,PORTS!$H$626:$H$933,0),MATCH(AX$5,PORTS!$H$626:$Z$626,0))</f>
        <v>-161127.021710343</v>
      </c>
      <c r="AX241" s="352" t="n">
        <f aca="false">(((VLOOKUP(AT241,curvecalc,4,0))*IF(AN241=0,0,AR241/AN241)-INDEX(ship_curves,MATCH(AT241,'SHIP CURVES'!$A$9:$A$316,0),MATCH(CONCATENATE(AX$4,AX$5,AX$6,AX$7),'SHIP CURVES'!$A$9:$Z$9,0))-INDEX(terminal_curves,MATCH(AT241,'TERMINAL CURVES'!$A$4:$A$313,0),MATCH(AX$5,'TERMINAL CURVES'!$A$4:$N$4,0))*IF(AN241=0,0,AP241/AN241))-(AV$8)*((AV$7-$N$5)-(INDEX(ship_curves,MATCH(AT241,'SHIP CURVES'!$A$9:$A$316,0),MATCH(CONCATENATE(AX$4,AX$5,AX$6,AX$7),'SHIP CURVES'!$A$9:$Z$9,0))-INDEX(ship_curves,MATCH(AT241,'SHIP CURVES'!$A$9:$A$316,0),MATCH(CONCATENATE(AX$4,AV$6,AX$6,AX$7),'SHIP CURVES'!$A$9:$Z$9,0)))-(INDEX(terminal_curves,MATCH(AT241,'TERMINAL CURVES'!$A$4:$A$313,0),MATCH(AX$5,'TERMINAL CURVES'!$A$4:$N$4,0))-INDEX(terminal_curves,MATCH(AT241,'TERMINAL CURVES'!$A$4:$A$313,0),MATCH(AV$6,'TERMINAL CURVES'!$A$4:$N$4,0)))*IF(AN241=0,0,AP241/AN241)))*-AN241</f>
        <v>-17981188.6025656</v>
      </c>
      <c r="AY241" s="356" t="n">
        <f aca="false">SUM(AV241:AX241)</f>
        <v>-19821062.0146028</v>
      </c>
      <c r="AZ241" s="357" t="n">
        <f aca="false">(-AP241/((HLOOKUP(AX$5,port_specs,2,0)/(365.25))*(AT242-AT241)))*(INDEX(fixed_capacity_charge,MATCH(AT241,PORTS!$H$11:$H$317,0),MATCH(AX$5,PORTS!$H$11:$N$11,0))+INDEX(variable_om_charge,MATCH(AT241,PORTS!$H$318:$H$625,0),MATCH(AX$5,PORTS!$H$318:$N$318,0)))</f>
        <v>-1059888.69072039</v>
      </c>
      <c r="BA241" s="343" t="n">
        <f aca="false">+AZ241+AY241</f>
        <v>-20880950.7053232</v>
      </c>
      <c r="BB241" s="355" t="n">
        <f aca="false">+BA241+AU241</f>
        <v>94037.1569706053</v>
      </c>
      <c r="BC241" s="99"/>
      <c r="BD241" s="357" t="n">
        <f aca="false">+PORTS!I235+PORTS!I543</f>
        <v>1059888.69072039</v>
      </c>
    </row>
    <row r="242" customFormat="false" ht="12.75" hidden="false" customHeight="false" outlineLevel="0" collapsed="false">
      <c r="A242" s="346" t="n">
        <f aca="false">+DATE(YEAR(A241),MONTH(A241)+1,1)</f>
        <v>43525</v>
      </c>
      <c r="B242" s="327" t="n">
        <f aca="false">+IF(AND($A242&gt;=$C$8,$A242&lt;=$C$9),1,0)*PORTS!$I$5/(365.25)*(A243-A242)</f>
        <v>5339105.98184763</v>
      </c>
      <c r="C242" s="328" t="n">
        <f aca="false">+B242-(SUMIF($F$17:$IV$17,$H$17,$F242:$IV242))</f>
        <v>0</v>
      </c>
      <c r="D242" s="0" t="n">
        <f aca="false">+YEAR(E242)</f>
        <v>2019</v>
      </c>
      <c r="E242" s="346" t="n">
        <f aca="false">+DATE(YEAR(E241),MONTH(E241)+1,1)</f>
        <v>43525</v>
      </c>
      <c r="F242" s="327" t="n">
        <f aca="false">+IF(AND(G$8&lt;=E242,G$9&gt;=E242),INDEX(ROUTE_PER_DAY_BY_SHIP,MATCH(CONCATENATE(G$4,G$5,G$7),ROUTE_PER_DAY_ROUTES,0),MATCH(G$6,ROUTE_PER_DAY_SHIPS,0))*(E243-E242),0)</f>
        <v>0</v>
      </c>
      <c r="G242" s="347" t="n">
        <f aca="false">-F242*HLOOKUP(G$6,SHIPS,7,0)*INDEX(LADEN_VOYAGE_DAYS,MATCH(CONCATENATE(G$4,G$5,G$7),LADEN_VOYAGE_ROUTES,0),MATCH(G$6,LADEN_VOYAGE_SHIPS,0))</f>
        <v>-0</v>
      </c>
      <c r="H242" s="348" t="n">
        <f aca="false">SUM(F242:G242)</f>
        <v>0</v>
      </c>
      <c r="I242" s="349" t="n">
        <f aca="false">-(H242)*HLOOKUP(G$5,TERMINAL_CHARGES,3,0)</f>
        <v>-0</v>
      </c>
      <c r="J242" s="327" t="n">
        <f aca="false">+H242+I242</f>
        <v>0</v>
      </c>
      <c r="K242" s="333"/>
      <c r="L242" s="346" t="n">
        <f aca="false">+DATE(YEAR(L241),MONTH(L241)+1,1)</f>
        <v>43525</v>
      </c>
      <c r="M242" s="334" t="n">
        <f aca="false">+J242*(VLOOKUP(L242,CURVECALC!$C$6:$J$312,4,0)+N$5)</f>
        <v>0</v>
      </c>
      <c r="N242" s="350" t="n">
        <f aca="false">-F242*INDEX(ship_curves,MATCH(L242,'SHIP CURVES'!$A$9:$A$316,0),MATCH(CONCATENATE(P$4,P$5,P$6,P$7),'SHIP CURVES'!$A$9:$AZ$9,0))</f>
        <v>-0</v>
      </c>
      <c r="O242" s="351" t="n">
        <f aca="false">-H242*INDEX(port_processing_fee,MATCH(L242,PORTS!$H$626:$H$933,0),MATCH(P$5,PORTS!$H$626:$Z$626,0))</f>
        <v>-0</v>
      </c>
      <c r="P242" s="352" t="n">
        <f aca="false">(((VLOOKUP(L242,curvecalc,4,0))*IF(F242=0,0,J242/F242)-INDEX(ship_curves,MATCH(L242,'SHIP CURVES'!$A$9:$A$316,0),MATCH(CONCATENATE(P$4,P$5,P$6,P$7),'SHIP CURVES'!$A$9:$Z$9,0))-INDEX(terminal_curves,MATCH(L242,'TERMINAL CURVES'!$A$4:$A$313,0),MATCH(P$5,'TERMINAL CURVES'!$A$4:$N$4,0))*IF(F242=0,0,H242/F242))-(N$8)*((N$7-$N$5)-(INDEX(ship_curves,MATCH(L242,'SHIP CURVES'!$A$9:$A$316,0),MATCH(CONCATENATE(P$4,P$5,P$6,P$7),'SHIP CURVES'!$A$9:$Z$9,0))-INDEX(ship_curves,MATCH(L242,'SHIP CURVES'!$A$9:$A$316,0),MATCH(CONCATENATE(P$4,N$6,P$6,P$7),'SHIP CURVES'!$A$9:$Z$9,0)))-(INDEX(terminal_curves,MATCH(L242,'TERMINAL CURVES'!$A$4:$A$313,0),MATCH(P$5,'TERMINAL CURVES'!$A$4:$N$4,0))-INDEX(terminal_curves,MATCH(L242,'TERMINAL CURVES'!$A$4:$A$313,0),MATCH(N$6,'TERMINAL CURVES'!$A$4:$N$4,0)))*IF(F242=0,0,H242/F242)))*-F242</f>
        <v>0</v>
      </c>
      <c r="Q242" s="353" t="n">
        <f aca="false">SUM(N242:P242)</f>
        <v>0</v>
      </c>
      <c r="R242" s="357" t="n">
        <f aca="false">(-H242/((HLOOKUP(P$5,port_specs,2,0)/(365.25))*(L243-L242)))*(INDEX(fixed_capacity_charge,MATCH(L242,PORTS!$H$11:$H$317,0),MATCH(P$5,PORTS!$H$11:$N$11,0))+INDEX(variable_om_charge,MATCH(L242,PORTS!$H$318:$H$625,0),MATCH(P$5,PORTS!$H$318:$N$318,0)))</f>
        <v>-0</v>
      </c>
      <c r="S242" s="343" t="n">
        <f aca="false">+R242+Q242</f>
        <v>0</v>
      </c>
      <c r="T242" s="355" t="n">
        <f aca="false">+S242+M242</f>
        <v>0</v>
      </c>
      <c r="V242" s="346" t="n">
        <f aca="false">+DATE(YEAR(V241),MONTH(V241)+1,1)</f>
        <v>43525</v>
      </c>
      <c r="W242" s="327" t="n">
        <f aca="false">+Y242/(1-HLOOKUP(X$6,SHIPS,7,0)*INDEX(LADEN_VOYAGE_DAYS,MATCH(CONCATENATE(X$4,X$5),LADEN_VOYAGE_ROUTES,0),MATCH(X$6,LADEN_VOYAGE_SHIPS,0)))</f>
        <v>0</v>
      </c>
      <c r="X242" s="347" t="n">
        <f aca="false">+Y242-W242</f>
        <v>0</v>
      </c>
      <c r="Y242" s="348" t="n">
        <f aca="false">+IF(AND(X$8&lt;=V242,X$9&gt;=V242),+MIN($B242-SUMIF($H$17:X$17,Y$17,$H242:X242),((INDEX(ROUTE_PER_DAY_BY_SHIP,MATCH(CONCATENATE(X$4,X$5,X$7),ROUTE_PER_DAY_ROUTES,0),MATCH(X$6,ROUTE_PER_DAY_SHIPS,0))*(V243-V242))-(INDEX(ROUTE_PER_DAY_BY_SHIP,MATCH(CONCATENATE(X$4,X$5,X$7),ROUTE_PER_DAY_ROUTES,0),MATCH(X$6,ROUTE_PER_DAY_SHIPS,0))*(V243-V242))*HLOOKUP(X$6,SHIPS,7,0)*INDEX(LADEN_VOYAGE_DAYS,MATCH(CONCATENATE(X$4,X$5,X$7),LADEN_VOYAGE_ROUTES,0),MATCH(X$6,LADEN_VOYAGE_SHIPS,0)))),0)</f>
        <v>0</v>
      </c>
      <c r="Z242" s="349" t="n">
        <f aca="false">-(Y242)*HLOOKUP(X$5,TERMINAL_CHARGES,3,0)</f>
        <v>-0</v>
      </c>
      <c r="AA242" s="327" t="n">
        <f aca="false">+Y242+Z242</f>
        <v>0</v>
      </c>
      <c r="AB242" s="333"/>
      <c r="AC242" s="346" t="n">
        <f aca="false">+DATE(YEAR(AC241),MONTH(AC241)+1,1)</f>
        <v>43525</v>
      </c>
      <c r="AD242" s="343" t="n">
        <f aca="false">+AA242*(VLOOKUP(AC242,CURVECALC!$C$6:$J$312,4,0)+AE$5)</f>
        <v>0</v>
      </c>
      <c r="AE242" s="350" t="n">
        <f aca="false">-W242*INDEX(ship_curves,MATCH(AC242,'SHIP CURVES'!$A$9:$A$316,0),MATCH(CONCATENATE(AG$4,AG$5,AG$6,AG$7),'SHIP CURVES'!$A$9:$AZ$9,0))</f>
        <v>-0</v>
      </c>
      <c r="AF242" s="351" t="n">
        <f aca="false">-Y242*INDEX(port_processing_fee,MATCH(AC242,PORTS!$H$626:$H$933,0),MATCH(AG$5,PORTS!$H$626:$Z$626,0))</f>
        <v>-0</v>
      </c>
      <c r="AG242" s="352" t="n">
        <f aca="false">(((VLOOKUP(AC242,curvecalc,4,0))*IF(W242=0,0,AA242/W242)-INDEX(ship_curves,MATCH(AC242,'SHIP CURVES'!$A$9:$A$316,0),MATCH(CONCATENATE(AG$4,AG$5,AG$6,AG$7),'SHIP CURVES'!$A$9:$Z$9,0))-INDEX(terminal_curves,MATCH(AC242,'TERMINAL CURVES'!$A$4:$A$313,0),MATCH(AG$5,'TERMINAL CURVES'!$A$4:$N$4,0))*IF(W242=0,0,Y242/W242))-(AE$8)*((AE$7-$N$5)-(INDEX(ship_curves,MATCH(AC242,'SHIP CURVES'!$A$9:$A$316,0),MATCH(CONCATENATE(AG$4,AG$5,AG$6,AG$7),'SHIP CURVES'!$A$9:$Z$9,0))-INDEX(ship_curves,MATCH(AC242,'SHIP CURVES'!$A$9:$A$316,0),MATCH(CONCATENATE(AG$4,AE$6,AG$6,AG$7),'SHIP CURVES'!$A$9:$Z$9,0)))-(INDEX(terminal_curves,MATCH(AC242,'TERMINAL CURVES'!$A$4:$A$313,0),MATCH(AG$5,'TERMINAL CURVES'!$A$4:$N$4,0))-INDEX(terminal_curves,MATCH(AC242,'TERMINAL CURVES'!$A$4:$A$313,0),MATCH(AE$6,'TERMINAL CURVES'!$A$4:$N$4,0)))*IF(W242=0,0,Y242/W242)))*-W242</f>
        <v>0</v>
      </c>
      <c r="AH242" s="356" t="n">
        <f aca="false">SUM(AE242:AG242)</f>
        <v>0</v>
      </c>
      <c r="AI242" s="357" t="n">
        <f aca="false">(-Y242/((HLOOKUP(AG$5,port_specs,2,0)/(365.25))*(AC243-AC242)))*(INDEX(fixed_capacity_charge,MATCH(AC242,PORTS!$H$11:$H$317,0),MATCH(AG$5,PORTS!$H$11:$N$11,0))+INDEX(variable_om_charge,MATCH(AC242,PORTS!$H$318:$H$625,0),MATCH(AG$5,PORTS!$H$318:$N$318,0)))</f>
        <v>-0</v>
      </c>
      <c r="AJ242" s="343" t="n">
        <f aca="false">+AI242+AH242</f>
        <v>0</v>
      </c>
      <c r="AK242" s="355" t="n">
        <f aca="false">+AJ242+AD242</f>
        <v>0</v>
      </c>
      <c r="AM242" s="346" t="n">
        <f aca="false">+DATE(YEAR(AM241),MONTH(AM241)+1,1)</f>
        <v>43525</v>
      </c>
      <c r="AN242" s="327" t="n">
        <f aca="false">+AP242/(1-HLOOKUP(AO$6,SHIPS,7,0)*INDEX(LADEN_VOYAGE_DAYS,MATCH(CONCATENATE(AO$4,AO$5),LADEN_VOYAGE_ROUTES,0),MATCH(AO$6,LADEN_VOYAGE_SHIPS,0)))</f>
        <v>5395761.47735991</v>
      </c>
      <c r="AO242" s="347" t="n">
        <f aca="false">+AP242-AN242</f>
        <v>-56655.4955122788</v>
      </c>
      <c r="AP242" s="348" t="n">
        <f aca="false">+IF(AND(AO$8&lt;=AM242,AO$9&gt;=AM242),+MIN($B242-SUMIF($H$17:AO$17,AP$17,$H242:AO242),((INDEX(ROUTE_PER_DAY_BY_SHIP,MATCH(CONCATENATE(AO$4,AO$5,AO$7),ROUTE_PER_DAY_ROUTES,0),MATCH(AO$6,ROUTE_PER_DAY_SHIPS,0))*(AM243-AM242))-(INDEX(ROUTE_PER_DAY_BY_SHIP,MATCH(CONCATENATE(AO$4,AO$5,AO$7),ROUTE_PER_DAY_ROUTES,0),MATCH(AO$6,ROUTE_PER_DAY_SHIPS,0))*(AM243-AM242))*HLOOKUP(AO$6,SHIPS,7,0)*INDEX(LADEN_VOYAGE_DAYS,MATCH(CONCATENATE(AO$4,AO$5,AO$7),LADEN_VOYAGE_ROUTES,0),MATCH(AO$6,LADEN_VOYAGE_SHIPS,0)))),0)</f>
        <v>5339105.98184763</v>
      </c>
      <c r="AQ242" s="349" t="n">
        <f aca="false">-(AP242)*PORTS!$I$6</f>
        <v>-133477.649546191</v>
      </c>
      <c r="AR242" s="327" t="n">
        <f aca="false">+AP242+AQ242</f>
        <v>5205628.33230144</v>
      </c>
      <c r="AS242" s="333"/>
      <c r="AT242" s="346" t="n">
        <f aca="false">+DATE(YEAR(AT241),MONTH(AT241)+1,1)</f>
        <v>43525</v>
      </c>
      <c r="AU242" s="343" t="n">
        <f aca="false">+AR242*(VLOOKUP(AT242,CURVECALC!$C$6:$J$312,4,0)+AV$5)</f>
        <v>22743390.183825</v>
      </c>
      <c r="AV242" s="350" t="n">
        <f aca="false">-AN242*INDEX(ship_curves,MATCH(AT242,'SHIP CURVES'!$A$9:$A$316,0),MATCH(CONCATENATE(AX$4,AX$5,AX$6,AX$7),'SHIP CURVES'!$A$9:$AZ$9,0))</f>
        <v>-1859288.5007298</v>
      </c>
      <c r="AW242" s="351" t="n">
        <f aca="false">-AP242*INDEX(port_processing_fee,MATCH(AT242,PORTS!$H$626:$H$933,0),MATCH(AX$5,PORTS!$H$626:$Z$626,0))</f>
        <v>-178576.454753454</v>
      </c>
      <c r="AX242" s="352" t="n">
        <f aca="false">(((VLOOKUP(AT242,curvecalc,4,0))*IF(AN242=0,0,AR242/AN242)-INDEX(ship_curves,MATCH(AT242,'SHIP CURVES'!$A$9:$A$316,0),MATCH(CONCATENATE(AX$4,AX$5,AX$6,AX$7),'SHIP CURVES'!$A$9:$Z$9,0))-INDEX(terminal_curves,MATCH(AT242,'TERMINAL CURVES'!$A$4:$A$313,0),MATCH(AX$5,'TERMINAL CURVES'!$A$4:$N$4,0))*IF(AN242=0,0,AP242/AN242))-(AV$8)*((AV$7-$N$5)-(INDEX(ship_curves,MATCH(AT242,'SHIP CURVES'!$A$9:$A$316,0),MATCH(CONCATENATE(AX$4,AX$5,AX$6,AX$7),'SHIP CURVES'!$A$9:$Z$9,0))-INDEX(ship_curves,MATCH(AT242,'SHIP CURVES'!$A$9:$A$316,0),MATCH(CONCATENATE(AX$4,AV$6,AX$6,AX$7),'SHIP CURVES'!$A$9:$Z$9,0)))-(INDEX(terminal_curves,MATCH(AT242,'TERMINAL CURVES'!$A$4:$A$313,0),MATCH(AX$5,'TERMINAL CURVES'!$A$4:$N$4,0))-INDEX(terminal_curves,MATCH(AT242,'TERMINAL CURVES'!$A$4:$A$313,0),MATCH(AV$6,'TERMINAL CURVES'!$A$4:$N$4,0)))*IF(AN242=0,0,AP242/AN242)))*-AN242</f>
        <v>-19540925.3229339</v>
      </c>
      <c r="AY242" s="356" t="n">
        <f aca="false">SUM(AV242:AX242)</f>
        <v>-21578790.2784171</v>
      </c>
      <c r="AZ242" s="357" t="n">
        <f aca="false">(-AP242/((HLOOKUP(AX$5,port_specs,2,0)/(365.25))*(AT243-AT242)))*(INDEX(fixed_capacity_charge,MATCH(AT242,PORTS!$H$11:$H$317,0),MATCH(AX$5,PORTS!$H$11:$N$11,0))+INDEX(variable_om_charge,MATCH(AT242,PORTS!$H$318:$H$625,0),MATCH(AX$5,PORTS!$H$318:$N$318,0)))</f>
        <v>-1060487.33876186</v>
      </c>
      <c r="BA242" s="343" t="n">
        <f aca="false">+AZ242+AY242</f>
        <v>-22639277.617179</v>
      </c>
      <c r="BB242" s="355" t="n">
        <f aca="false">+BA242+AU242</f>
        <v>104112.566646025</v>
      </c>
      <c r="BC242" s="99"/>
      <c r="BD242" s="357" t="n">
        <f aca="false">+PORTS!I236+PORTS!I544</f>
        <v>1060487.33876186</v>
      </c>
    </row>
    <row r="243" customFormat="false" ht="12.75" hidden="false" customHeight="false" outlineLevel="0" collapsed="false">
      <c r="A243" s="346" t="n">
        <f aca="false">+DATE(YEAR(A242),MONTH(A242)+1,1)</f>
        <v>43556</v>
      </c>
      <c r="B243" s="327" t="n">
        <f aca="false">+IF(AND($A243&gt;=$C$8,$A243&lt;=$C$9),1,0)*PORTS!$I$5/(365.25)*(A244-A243)</f>
        <v>0</v>
      </c>
      <c r="C243" s="328" t="n">
        <f aca="false">+B243-(SUMIF($F$17:$IV$17,$H$17,$F243:$IV243))</f>
        <v>0</v>
      </c>
      <c r="D243" s="0" t="n">
        <f aca="false">+YEAR(E243)</f>
        <v>2019</v>
      </c>
      <c r="E243" s="346" t="n">
        <f aca="false">+DATE(YEAR(E242),MONTH(E242)+1,1)</f>
        <v>43556</v>
      </c>
      <c r="F243" s="327" t="n">
        <f aca="false">+IF(AND(G$8&lt;=E243,G$9&gt;=E243),INDEX(ROUTE_PER_DAY_BY_SHIP,MATCH(CONCATENATE(G$4,G$5,G$7),ROUTE_PER_DAY_ROUTES,0),MATCH(G$6,ROUTE_PER_DAY_SHIPS,0))*(E244-E243),0)</f>
        <v>0</v>
      </c>
      <c r="G243" s="347" t="n">
        <f aca="false">-F243*HLOOKUP(G$6,SHIPS,7,0)*INDEX(LADEN_VOYAGE_DAYS,MATCH(CONCATENATE(G$4,G$5,G$7),LADEN_VOYAGE_ROUTES,0),MATCH(G$6,LADEN_VOYAGE_SHIPS,0))</f>
        <v>-0</v>
      </c>
      <c r="H243" s="348" t="n">
        <f aca="false">SUM(F243:G243)</f>
        <v>0</v>
      </c>
      <c r="I243" s="349" t="n">
        <f aca="false">-(H243)*HLOOKUP(G$5,TERMINAL_CHARGES,3,0)</f>
        <v>-0</v>
      </c>
      <c r="J243" s="327" t="n">
        <f aca="false">+H243+I243</f>
        <v>0</v>
      </c>
      <c r="K243" s="333"/>
      <c r="L243" s="346" t="n">
        <f aca="false">+DATE(YEAR(L242),MONTH(L242)+1,1)</f>
        <v>43556</v>
      </c>
      <c r="M243" s="334" t="n">
        <f aca="false">+J243*(VLOOKUP(L243,CURVECALC!$C$6:$J$312,4,0)+N$5)</f>
        <v>0</v>
      </c>
      <c r="N243" s="350" t="n">
        <f aca="false">-F243*INDEX(ship_curves,MATCH(L243,'SHIP CURVES'!$A$9:$A$316,0),MATCH(CONCATENATE(P$4,P$5,P$6,P$7),'SHIP CURVES'!$A$9:$AZ$9,0))</f>
        <v>-0</v>
      </c>
      <c r="O243" s="351" t="n">
        <f aca="false">-H243*INDEX(port_processing_fee,MATCH(L243,PORTS!$H$626:$H$933,0),MATCH(P$5,PORTS!$H$626:$Z$626,0))</f>
        <v>-0</v>
      </c>
      <c r="P243" s="352" t="n">
        <f aca="false">(((VLOOKUP(L243,curvecalc,4,0))*IF(F243=0,0,J243/F243)-INDEX(ship_curves,MATCH(L243,'SHIP CURVES'!$A$9:$A$316,0),MATCH(CONCATENATE(P$4,P$5,P$6,P$7),'SHIP CURVES'!$A$9:$Z$9,0))-INDEX(terminal_curves,MATCH(L243,'TERMINAL CURVES'!$A$4:$A$313,0),MATCH(P$5,'TERMINAL CURVES'!$A$4:$N$4,0))*IF(F243=0,0,H243/F243))-(N$8)*((N$7-$N$5)-(INDEX(ship_curves,MATCH(L243,'SHIP CURVES'!$A$9:$A$316,0),MATCH(CONCATENATE(P$4,P$5,P$6,P$7),'SHIP CURVES'!$A$9:$Z$9,0))-INDEX(ship_curves,MATCH(L243,'SHIP CURVES'!$A$9:$A$316,0),MATCH(CONCATENATE(P$4,N$6,P$6,P$7),'SHIP CURVES'!$A$9:$Z$9,0)))-(INDEX(terminal_curves,MATCH(L243,'TERMINAL CURVES'!$A$4:$A$313,0),MATCH(P$5,'TERMINAL CURVES'!$A$4:$N$4,0))-INDEX(terminal_curves,MATCH(L243,'TERMINAL CURVES'!$A$4:$A$313,0),MATCH(N$6,'TERMINAL CURVES'!$A$4:$N$4,0)))*IF(F243=0,0,H243/F243)))*-F243</f>
        <v>0</v>
      </c>
      <c r="Q243" s="353" t="n">
        <f aca="false">SUM(N243:P243)</f>
        <v>0</v>
      </c>
      <c r="R243" s="357" t="n">
        <f aca="false">(-H243/((HLOOKUP(P$5,port_specs,2,0)/(365.25))*(L244-L243)))*(INDEX(fixed_capacity_charge,MATCH(L243,PORTS!$H$11:$H$317,0),MATCH(P$5,PORTS!$H$11:$N$11,0))+INDEX(variable_om_charge,MATCH(L243,PORTS!$H$318:$H$625,0),MATCH(P$5,PORTS!$H$318:$N$318,0)))</f>
        <v>-0</v>
      </c>
      <c r="S243" s="343" t="n">
        <f aca="false">+R243+Q243</f>
        <v>0</v>
      </c>
      <c r="T243" s="355" t="n">
        <f aca="false">+S243+M243</f>
        <v>0</v>
      </c>
      <c r="V243" s="346" t="n">
        <f aca="false">+DATE(YEAR(V242),MONTH(V242)+1,1)</f>
        <v>43556</v>
      </c>
      <c r="W243" s="327" t="n">
        <f aca="false">+Y243/(1-HLOOKUP(X$6,SHIPS,7,0)*INDEX(LADEN_VOYAGE_DAYS,MATCH(CONCATENATE(X$4,X$5),LADEN_VOYAGE_ROUTES,0),MATCH(X$6,LADEN_VOYAGE_SHIPS,0)))</f>
        <v>0</v>
      </c>
      <c r="X243" s="347" t="n">
        <f aca="false">+Y243-W243</f>
        <v>0</v>
      </c>
      <c r="Y243" s="348" t="n">
        <f aca="false">+IF(AND(X$8&lt;=V243,X$9&gt;=V243),+MIN($B243-SUMIF($H$17:X$17,Y$17,$H243:X243),((INDEX(ROUTE_PER_DAY_BY_SHIP,MATCH(CONCATENATE(X$4,X$5,X$7),ROUTE_PER_DAY_ROUTES,0),MATCH(X$6,ROUTE_PER_DAY_SHIPS,0))*(V244-V243))-(INDEX(ROUTE_PER_DAY_BY_SHIP,MATCH(CONCATENATE(X$4,X$5,X$7),ROUTE_PER_DAY_ROUTES,0),MATCH(X$6,ROUTE_PER_DAY_SHIPS,0))*(V244-V243))*HLOOKUP(X$6,SHIPS,7,0)*INDEX(LADEN_VOYAGE_DAYS,MATCH(CONCATENATE(X$4,X$5,X$7),LADEN_VOYAGE_ROUTES,0),MATCH(X$6,LADEN_VOYAGE_SHIPS,0)))),0)</f>
        <v>0</v>
      </c>
      <c r="Z243" s="349" t="n">
        <f aca="false">-(Y243)*HLOOKUP(X$5,TERMINAL_CHARGES,3,0)</f>
        <v>-0</v>
      </c>
      <c r="AA243" s="327" t="n">
        <f aca="false">+Y243+Z243</f>
        <v>0</v>
      </c>
      <c r="AB243" s="333"/>
      <c r="AC243" s="346" t="n">
        <f aca="false">+DATE(YEAR(AC242),MONTH(AC242)+1,1)</f>
        <v>43556</v>
      </c>
      <c r="AD243" s="343" t="n">
        <f aca="false">+AA243*(VLOOKUP(AC243,CURVECALC!$C$6:$J$312,4,0)+AE$5)</f>
        <v>0</v>
      </c>
      <c r="AE243" s="350" t="n">
        <f aca="false">-W243*INDEX(ship_curves,MATCH(AC243,'SHIP CURVES'!$A$9:$A$316,0),MATCH(CONCATENATE(AG$4,AG$5,AG$6,AG$7),'SHIP CURVES'!$A$9:$AZ$9,0))</f>
        <v>-0</v>
      </c>
      <c r="AF243" s="351" t="n">
        <f aca="false">-Y243*INDEX(port_processing_fee,MATCH(AC243,PORTS!$H$626:$H$933,0),MATCH(AG$5,PORTS!$H$626:$Z$626,0))</f>
        <v>-0</v>
      </c>
      <c r="AG243" s="352" t="n">
        <f aca="false">(((VLOOKUP(AC243,curvecalc,4,0))*IF(W243=0,0,AA243/W243)-INDEX(ship_curves,MATCH(AC243,'SHIP CURVES'!$A$9:$A$316,0),MATCH(CONCATENATE(AG$4,AG$5,AG$6,AG$7),'SHIP CURVES'!$A$9:$Z$9,0))-INDEX(terminal_curves,MATCH(AC243,'TERMINAL CURVES'!$A$4:$A$313,0),MATCH(AG$5,'TERMINAL CURVES'!$A$4:$N$4,0))*IF(W243=0,0,Y243/W243))-(AE$8)*((AE$7-$N$5)-(INDEX(ship_curves,MATCH(AC243,'SHIP CURVES'!$A$9:$A$316,0),MATCH(CONCATENATE(AG$4,AG$5,AG$6,AG$7),'SHIP CURVES'!$A$9:$Z$9,0))-INDEX(ship_curves,MATCH(AC243,'SHIP CURVES'!$A$9:$A$316,0),MATCH(CONCATENATE(AG$4,AE$6,AG$6,AG$7),'SHIP CURVES'!$A$9:$Z$9,0)))-(INDEX(terminal_curves,MATCH(AC243,'TERMINAL CURVES'!$A$4:$A$313,0),MATCH(AG$5,'TERMINAL CURVES'!$A$4:$N$4,0))-INDEX(terminal_curves,MATCH(AC243,'TERMINAL CURVES'!$A$4:$A$313,0),MATCH(AE$6,'TERMINAL CURVES'!$A$4:$N$4,0)))*IF(W243=0,0,Y243/W243)))*-W243</f>
        <v>0</v>
      </c>
      <c r="AH243" s="356" t="n">
        <f aca="false">SUM(AE243:AG243)</f>
        <v>0</v>
      </c>
      <c r="AI243" s="357" t="n">
        <f aca="false">(-Y243/((HLOOKUP(AG$5,port_specs,2,0)/(365.25))*(AC244-AC243)))*(INDEX(fixed_capacity_charge,MATCH(AC243,PORTS!$H$11:$H$317,0),MATCH(AG$5,PORTS!$H$11:$N$11,0))+INDEX(variable_om_charge,MATCH(AC243,PORTS!$H$318:$H$625,0),MATCH(AG$5,PORTS!$H$318:$N$318,0)))</f>
        <v>-0</v>
      </c>
      <c r="AJ243" s="343" t="n">
        <f aca="false">+AI243+AH243</f>
        <v>0</v>
      </c>
      <c r="AK243" s="355" t="n">
        <f aca="false">+AJ243+AD243</f>
        <v>0</v>
      </c>
      <c r="AM243" s="346" t="n">
        <f aca="false">+DATE(YEAR(AM242),MONTH(AM242)+1,1)</f>
        <v>43556</v>
      </c>
      <c r="AN243" s="327" t="n">
        <f aca="false">+AP243/(1-HLOOKUP(AO$6,SHIPS,7,0)*INDEX(LADEN_VOYAGE_DAYS,MATCH(CONCATENATE(AO$4,AO$5),LADEN_VOYAGE_ROUTES,0),MATCH(AO$6,LADEN_VOYAGE_SHIPS,0)))</f>
        <v>0</v>
      </c>
      <c r="AO243" s="347" t="n">
        <f aca="false">+AP243-AN243</f>
        <v>0</v>
      </c>
      <c r="AP243" s="348" t="n">
        <f aca="false">+IF(AND(AO$8&lt;=AM243,AO$9&gt;=AM243),+MIN($B243-SUMIF($H$17:AO$17,AP$17,$H243:AO243),((INDEX(ROUTE_PER_DAY_BY_SHIP,MATCH(CONCATENATE(AO$4,AO$5,AO$7),ROUTE_PER_DAY_ROUTES,0),MATCH(AO$6,ROUTE_PER_DAY_SHIPS,0))*(AM244-AM243))-(INDEX(ROUTE_PER_DAY_BY_SHIP,MATCH(CONCATENATE(AO$4,AO$5,AO$7),ROUTE_PER_DAY_ROUTES,0),MATCH(AO$6,ROUTE_PER_DAY_SHIPS,0))*(AM244-AM243))*HLOOKUP(AO$6,SHIPS,7,0)*INDEX(LADEN_VOYAGE_DAYS,MATCH(CONCATENATE(AO$4,AO$5,AO$7),LADEN_VOYAGE_ROUTES,0),MATCH(AO$6,LADEN_VOYAGE_SHIPS,0)))),0)</f>
        <v>0</v>
      </c>
      <c r="AQ243" s="349" t="n">
        <f aca="false">-(AP243)*PORTS!$I$6</f>
        <v>-0</v>
      </c>
      <c r="AR243" s="327" t="n">
        <f aca="false">+AP243+AQ243</f>
        <v>0</v>
      </c>
      <c r="AS243" s="333"/>
      <c r="AT243" s="346" t="n">
        <f aca="false">+DATE(YEAR(AT242),MONTH(AT242)+1,1)</f>
        <v>43556</v>
      </c>
      <c r="AU243" s="343" t="n">
        <f aca="false">+AR243*(VLOOKUP(AT243,CURVECALC!$C$6:$J$312,4,0)+AV$5)</f>
        <v>0</v>
      </c>
      <c r="AV243" s="350" t="n">
        <f aca="false">-AN243*INDEX(ship_curves,MATCH(AT243,'SHIP CURVES'!$A$9:$A$316,0),MATCH(CONCATENATE(AX$4,AX$5,AX$6,AX$7),'SHIP CURVES'!$A$9:$AZ$9,0))</f>
        <v>-0</v>
      </c>
      <c r="AW243" s="351" t="n">
        <f aca="false">-AP243*INDEX(port_processing_fee,MATCH(AT243,PORTS!$H$626:$H$933,0),MATCH(AX$5,PORTS!$H$626:$Z$626,0))</f>
        <v>-0</v>
      </c>
      <c r="AX243" s="352" t="n">
        <f aca="false">(((VLOOKUP(AT243,curvecalc,4,0))*IF(AN243=0,0,AR243/AN243)-INDEX(ship_curves,MATCH(AT243,'SHIP CURVES'!$A$9:$A$316,0),MATCH(CONCATENATE(AX$4,AX$5,AX$6,AX$7),'SHIP CURVES'!$A$9:$Z$9,0))-INDEX(terminal_curves,MATCH(AT243,'TERMINAL CURVES'!$A$4:$A$313,0),MATCH(AX$5,'TERMINAL CURVES'!$A$4:$N$4,0))*IF(AN243=0,0,AP243/AN243))-(AV$8)*((AV$7-$N$5)-(INDEX(ship_curves,MATCH(AT243,'SHIP CURVES'!$A$9:$A$316,0),MATCH(CONCATENATE(AX$4,AX$5,AX$6,AX$7),'SHIP CURVES'!$A$9:$Z$9,0))-INDEX(ship_curves,MATCH(AT243,'SHIP CURVES'!$A$9:$A$316,0),MATCH(CONCATENATE(AX$4,AV$6,AX$6,AX$7),'SHIP CURVES'!$A$9:$Z$9,0)))-(INDEX(terminal_curves,MATCH(AT243,'TERMINAL CURVES'!$A$4:$A$313,0),MATCH(AX$5,'TERMINAL CURVES'!$A$4:$N$4,0))-INDEX(terminal_curves,MATCH(AT243,'TERMINAL CURVES'!$A$4:$A$313,0),MATCH(AV$6,'TERMINAL CURVES'!$A$4:$N$4,0)))*IF(AN243=0,0,AP243/AN243)))*-AN243</f>
        <v>0</v>
      </c>
      <c r="AY243" s="356" t="n">
        <f aca="false">SUM(AV243:AX243)</f>
        <v>0</v>
      </c>
      <c r="AZ243" s="357" t="n">
        <f aca="false">(-AP243/((HLOOKUP(AX$5,port_specs,2,0)/(365.25))*(AT244-AT243)))*(INDEX(fixed_capacity_charge,MATCH(AT243,PORTS!$H$11:$H$317,0),MATCH(AX$5,PORTS!$H$11:$N$11,0))+INDEX(variable_om_charge,MATCH(AT243,PORTS!$H$318:$H$625,0),MATCH(AX$5,PORTS!$H$318:$N$318,0)))</f>
        <v>-0</v>
      </c>
      <c r="BA243" s="343" t="n">
        <f aca="false">+AZ243+AY243</f>
        <v>0</v>
      </c>
      <c r="BB243" s="355" t="n">
        <f aca="false">+BA243+AU243</f>
        <v>0</v>
      </c>
      <c r="BC243" s="99"/>
      <c r="BD243" s="357" t="n">
        <f aca="false">+PORTS!I237+PORTS!I545</f>
        <v>0</v>
      </c>
    </row>
    <row r="244" customFormat="false" ht="12.75" hidden="false" customHeight="false" outlineLevel="0" collapsed="false">
      <c r="A244" s="346" t="n">
        <f aca="false">+DATE(YEAR(A243),MONTH(A243)+1,1)</f>
        <v>43586</v>
      </c>
      <c r="B244" s="327" t="n">
        <f aca="false">+IF(AND($A244&gt;=$C$8,$A244&lt;=$C$9),1,0)*PORTS!$I$5/(365.25)*(A245-A244)</f>
        <v>0</v>
      </c>
      <c r="C244" s="328" t="n">
        <f aca="false">+B244-(SUMIF($F$17:$IV$17,$H$17,$F244:$IV244))</f>
        <v>0</v>
      </c>
      <c r="D244" s="0" t="n">
        <f aca="false">+YEAR(E244)</f>
        <v>2019</v>
      </c>
      <c r="E244" s="346" t="n">
        <f aca="false">+DATE(YEAR(E243),MONTH(E243)+1,1)</f>
        <v>43586</v>
      </c>
      <c r="F244" s="327" t="n">
        <f aca="false">+IF(AND(G$8&lt;=E244,G$9&gt;=E244),INDEX(ROUTE_PER_DAY_BY_SHIP,MATCH(CONCATENATE(G$4,G$5,G$7),ROUTE_PER_DAY_ROUTES,0),MATCH(G$6,ROUTE_PER_DAY_SHIPS,0))*(E245-E244),0)</f>
        <v>0</v>
      </c>
      <c r="G244" s="347" t="n">
        <f aca="false">-F244*HLOOKUP(G$6,SHIPS,7,0)*INDEX(LADEN_VOYAGE_DAYS,MATCH(CONCATENATE(G$4,G$5,G$7),LADEN_VOYAGE_ROUTES,0),MATCH(G$6,LADEN_VOYAGE_SHIPS,0))</f>
        <v>-0</v>
      </c>
      <c r="H244" s="348" t="n">
        <f aca="false">SUM(F244:G244)</f>
        <v>0</v>
      </c>
      <c r="I244" s="349" t="n">
        <f aca="false">-(H244)*HLOOKUP(G$5,TERMINAL_CHARGES,3,0)</f>
        <v>-0</v>
      </c>
      <c r="J244" s="327" t="n">
        <f aca="false">+H244+I244</f>
        <v>0</v>
      </c>
      <c r="K244" s="333"/>
      <c r="L244" s="346" t="n">
        <f aca="false">+DATE(YEAR(L243),MONTH(L243)+1,1)</f>
        <v>43586</v>
      </c>
      <c r="M244" s="334" t="n">
        <f aca="false">+J244*(VLOOKUP(L244,CURVECALC!$C$6:$J$312,4,0)+N$5)</f>
        <v>0</v>
      </c>
      <c r="N244" s="350" t="n">
        <f aca="false">-F244*INDEX(ship_curves,MATCH(L244,'SHIP CURVES'!$A$9:$A$316,0),MATCH(CONCATENATE(P$4,P$5,P$6,P$7),'SHIP CURVES'!$A$9:$AZ$9,0))</f>
        <v>-0</v>
      </c>
      <c r="O244" s="351" t="n">
        <f aca="false">-H244*INDEX(port_processing_fee,MATCH(L244,PORTS!$H$626:$H$933,0),MATCH(P$5,PORTS!$H$626:$Z$626,0))</f>
        <v>-0</v>
      </c>
      <c r="P244" s="352" t="n">
        <f aca="false">(((VLOOKUP(L244,curvecalc,4,0))*IF(F244=0,0,J244/F244)-INDEX(ship_curves,MATCH(L244,'SHIP CURVES'!$A$9:$A$316,0),MATCH(CONCATENATE(P$4,P$5,P$6,P$7),'SHIP CURVES'!$A$9:$Z$9,0))-INDEX(terminal_curves,MATCH(L244,'TERMINAL CURVES'!$A$4:$A$313,0),MATCH(P$5,'TERMINAL CURVES'!$A$4:$N$4,0))*IF(F244=0,0,H244/F244))-(N$8)*((N$7-$N$5)-(INDEX(ship_curves,MATCH(L244,'SHIP CURVES'!$A$9:$A$316,0),MATCH(CONCATENATE(P$4,P$5,P$6,P$7),'SHIP CURVES'!$A$9:$Z$9,0))-INDEX(ship_curves,MATCH(L244,'SHIP CURVES'!$A$9:$A$316,0),MATCH(CONCATENATE(P$4,N$6,P$6,P$7),'SHIP CURVES'!$A$9:$Z$9,0)))-(INDEX(terminal_curves,MATCH(L244,'TERMINAL CURVES'!$A$4:$A$313,0),MATCH(P$5,'TERMINAL CURVES'!$A$4:$N$4,0))-INDEX(terminal_curves,MATCH(L244,'TERMINAL CURVES'!$A$4:$A$313,0),MATCH(N$6,'TERMINAL CURVES'!$A$4:$N$4,0)))*IF(F244=0,0,H244/F244)))*-F244</f>
        <v>0</v>
      </c>
      <c r="Q244" s="353" t="n">
        <f aca="false">SUM(N244:P244)</f>
        <v>0</v>
      </c>
      <c r="R244" s="357" t="n">
        <f aca="false">(-H244/((HLOOKUP(P$5,port_specs,2,0)/(365.25))*(L245-L244)))*(INDEX(fixed_capacity_charge,MATCH(L244,PORTS!$H$11:$H$317,0),MATCH(P$5,PORTS!$H$11:$N$11,0))+INDEX(variable_om_charge,MATCH(L244,PORTS!$H$318:$H$625,0),MATCH(P$5,PORTS!$H$318:$N$318,0)))</f>
        <v>-0</v>
      </c>
      <c r="S244" s="343" t="n">
        <f aca="false">+R244+Q244</f>
        <v>0</v>
      </c>
      <c r="T244" s="355" t="n">
        <f aca="false">+S244+M244</f>
        <v>0</v>
      </c>
      <c r="V244" s="346" t="n">
        <f aca="false">+DATE(YEAR(V243),MONTH(V243)+1,1)</f>
        <v>43586</v>
      </c>
      <c r="W244" s="327" t="n">
        <f aca="false">+Y244/(1-HLOOKUP(X$6,SHIPS,7,0)*INDEX(LADEN_VOYAGE_DAYS,MATCH(CONCATENATE(X$4,X$5),LADEN_VOYAGE_ROUTES,0),MATCH(X$6,LADEN_VOYAGE_SHIPS,0)))</f>
        <v>0</v>
      </c>
      <c r="X244" s="347" t="n">
        <f aca="false">+Y244-W244</f>
        <v>0</v>
      </c>
      <c r="Y244" s="348" t="n">
        <f aca="false">+IF(AND(X$8&lt;=V244,X$9&gt;=V244),+MIN($B244-SUMIF($H$17:X$17,Y$17,$H244:X244),((INDEX(ROUTE_PER_DAY_BY_SHIP,MATCH(CONCATENATE(X$4,X$5,X$7),ROUTE_PER_DAY_ROUTES,0),MATCH(X$6,ROUTE_PER_DAY_SHIPS,0))*(V245-V244))-(INDEX(ROUTE_PER_DAY_BY_SHIP,MATCH(CONCATENATE(X$4,X$5,X$7),ROUTE_PER_DAY_ROUTES,0),MATCH(X$6,ROUTE_PER_DAY_SHIPS,0))*(V245-V244))*HLOOKUP(X$6,SHIPS,7,0)*INDEX(LADEN_VOYAGE_DAYS,MATCH(CONCATENATE(X$4,X$5,X$7),LADEN_VOYAGE_ROUTES,0),MATCH(X$6,LADEN_VOYAGE_SHIPS,0)))),0)</f>
        <v>0</v>
      </c>
      <c r="Z244" s="349" t="n">
        <f aca="false">-(Y244)*HLOOKUP(X$5,TERMINAL_CHARGES,3,0)</f>
        <v>-0</v>
      </c>
      <c r="AA244" s="327" t="n">
        <f aca="false">+Y244+Z244</f>
        <v>0</v>
      </c>
      <c r="AB244" s="333"/>
      <c r="AC244" s="346" t="n">
        <f aca="false">+DATE(YEAR(AC243),MONTH(AC243)+1,1)</f>
        <v>43586</v>
      </c>
      <c r="AD244" s="343" t="n">
        <f aca="false">+AA244*(VLOOKUP(AC244,CURVECALC!$C$6:$J$312,4,0)+AE$5)</f>
        <v>0</v>
      </c>
      <c r="AE244" s="350" t="n">
        <f aca="false">-W244*INDEX(ship_curves,MATCH(AC244,'SHIP CURVES'!$A$9:$A$316,0),MATCH(CONCATENATE(AG$4,AG$5,AG$6,AG$7),'SHIP CURVES'!$A$9:$AZ$9,0))</f>
        <v>-0</v>
      </c>
      <c r="AF244" s="351" t="n">
        <f aca="false">-Y244*INDEX(port_processing_fee,MATCH(AC244,PORTS!$H$626:$H$933,0),MATCH(AG$5,PORTS!$H$626:$Z$626,0))</f>
        <v>-0</v>
      </c>
      <c r="AG244" s="352" t="n">
        <f aca="false">(((VLOOKUP(AC244,curvecalc,4,0))*IF(W244=0,0,AA244/W244)-INDEX(ship_curves,MATCH(AC244,'SHIP CURVES'!$A$9:$A$316,0),MATCH(CONCATENATE(AG$4,AG$5,AG$6,AG$7),'SHIP CURVES'!$A$9:$Z$9,0))-INDEX(terminal_curves,MATCH(AC244,'TERMINAL CURVES'!$A$4:$A$313,0),MATCH(AG$5,'TERMINAL CURVES'!$A$4:$N$4,0))*IF(W244=0,0,Y244/W244))-(AE$8)*((AE$7-$N$5)-(INDEX(ship_curves,MATCH(AC244,'SHIP CURVES'!$A$9:$A$316,0),MATCH(CONCATENATE(AG$4,AG$5,AG$6,AG$7),'SHIP CURVES'!$A$9:$Z$9,0))-INDEX(ship_curves,MATCH(AC244,'SHIP CURVES'!$A$9:$A$316,0),MATCH(CONCATENATE(AG$4,AE$6,AG$6,AG$7),'SHIP CURVES'!$A$9:$Z$9,0)))-(INDEX(terminal_curves,MATCH(AC244,'TERMINAL CURVES'!$A$4:$A$313,0),MATCH(AG$5,'TERMINAL CURVES'!$A$4:$N$4,0))-INDEX(terminal_curves,MATCH(AC244,'TERMINAL CURVES'!$A$4:$A$313,0),MATCH(AE$6,'TERMINAL CURVES'!$A$4:$N$4,0)))*IF(W244=0,0,Y244/W244)))*-W244</f>
        <v>0</v>
      </c>
      <c r="AH244" s="356" t="n">
        <f aca="false">SUM(AE244:AG244)</f>
        <v>0</v>
      </c>
      <c r="AI244" s="357" t="n">
        <f aca="false">(-Y244/((HLOOKUP(AG$5,port_specs,2,0)/(365.25))*(AC245-AC244)))*(INDEX(fixed_capacity_charge,MATCH(AC244,PORTS!$H$11:$H$317,0),MATCH(AG$5,PORTS!$H$11:$N$11,0))+INDEX(variable_om_charge,MATCH(AC244,PORTS!$H$318:$H$625,0),MATCH(AG$5,PORTS!$H$318:$N$318,0)))</f>
        <v>-0</v>
      </c>
      <c r="AJ244" s="343" t="n">
        <f aca="false">+AI244+AH244</f>
        <v>0</v>
      </c>
      <c r="AK244" s="355" t="n">
        <f aca="false">+AJ244+AD244</f>
        <v>0</v>
      </c>
      <c r="AM244" s="346" t="n">
        <f aca="false">+DATE(YEAR(AM243),MONTH(AM243)+1,1)</f>
        <v>43586</v>
      </c>
      <c r="AN244" s="327" t="n">
        <f aca="false">+AP244/(1-HLOOKUP(AO$6,SHIPS,7,0)*INDEX(LADEN_VOYAGE_DAYS,MATCH(CONCATENATE(AO$4,AO$5),LADEN_VOYAGE_ROUTES,0),MATCH(AO$6,LADEN_VOYAGE_SHIPS,0)))</f>
        <v>0</v>
      </c>
      <c r="AO244" s="347" t="n">
        <f aca="false">+AP244-AN244</f>
        <v>0</v>
      </c>
      <c r="AP244" s="348" t="n">
        <f aca="false">+IF(AND(AO$8&lt;=AM244,AO$9&gt;=AM244),+MIN($B244-SUMIF($H$17:AO$17,AP$17,$H244:AO244),((INDEX(ROUTE_PER_DAY_BY_SHIP,MATCH(CONCATENATE(AO$4,AO$5,AO$7),ROUTE_PER_DAY_ROUTES,0),MATCH(AO$6,ROUTE_PER_DAY_SHIPS,0))*(AM245-AM244))-(INDEX(ROUTE_PER_DAY_BY_SHIP,MATCH(CONCATENATE(AO$4,AO$5,AO$7),ROUTE_PER_DAY_ROUTES,0),MATCH(AO$6,ROUTE_PER_DAY_SHIPS,0))*(AM245-AM244))*HLOOKUP(AO$6,SHIPS,7,0)*INDEX(LADEN_VOYAGE_DAYS,MATCH(CONCATENATE(AO$4,AO$5,AO$7),LADEN_VOYAGE_ROUTES,0),MATCH(AO$6,LADEN_VOYAGE_SHIPS,0)))),0)</f>
        <v>0</v>
      </c>
      <c r="AQ244" s="349" t="n">
        <f aca="false">-(AP244)*PORTS!$I$6</f>
        <v>-0</v>
      </c>
      <c r="AR244" s="327" t="n">
        <f aca="false">+AP244+AQ244</f>
        <v>0</v>
      </c>
      <c r="AS244" s="333"/>
      <c r="AT244" s="346" t="n">
        <f aca="false">+DATE(YEAR(AT243),MONTH(AT243)+1,1)</f>
        <v>43586</v>
      </c>
      <c r="AU244" s="343" t="n">
        <f aca="false">+AR244*(VLOOKUP(AT244,CURVECALC!$C$6:$J$312,4,0)+AV$5)</f>
        <v>0</v>
      </c>
      <c r="AV244" s="350" t="n">
        <f aca="false">-AN244*INDEX(ship_curves,MATCH(AT244,'SHIP CURVES'!$A$9:$A$316,0),MATCH(CONCATENATE(AX$4,AX$5,AX$6,AX$7),'SHIP CURVES'!$A$9:$AZ$9,0))</f>
        <v>-0</v>
      </c>
      <c r="AW244" s="351" t="n">
        <f aca="false">-AP244*INDEX(port_processing_fee,MATCH(AT244,PORTS!$H$626:$H$933,0),MATCH(AX$5,PORTS!$H$626:$Z$626,0))</f>
        <v>-0</v>
      </c>
      <c r="AX244" s="352" t="n">
        <f aca="false">(((VLOOKUP(AT244,curvecalc,4,0))*IF(AN244=0,0,AR244/AN244)-INDEX(ship_curves,MATCH(AT244,'SHIP CURVES'!$A$9:$A$316,0),MATCH(CONCATENATE(AX$4,AX$5,AX$6,AX$7),'SHIP CURVES'!$A$9:$Z$9,0))-INDEX(terminal_curves,MATCH(AT244,'TERMINAL CURVES'!$A$4:$A$313,0),MATCH(AX$5,'TERMINAL CURVES'!$A$4:$N$4,0))*IF(AN244=0,0,AP244/AN244))-(AV$8)*((AV$7-$N$5)-(INDEX(ship_curves,MATCH(AT244,'SHIP CURVES'!$A$9:$A$316,0),MATCH(CONCATENATE(AX$4,AX$5,AX$6,AX$7),'SHIP CURVES'!$A$9:$Z$9,0))-INDEX(ship_curves,MATCH(AT244,'SHIP CURVES'!$A$9:$A$316,0),MATCH(CONCATENATE(AX$4,AV$6,AX$6,AX$7),'SHIP CURVES'!$A$9:$Z$9,0)))-(INDEX(terminal_curves,MATCH(AT244,'TERMINAL CURVES'!$A$4:$A$313,0),MATCH(AX$5,'TERMINAL CURVES'!$A$4:$N$4,0))-INDEX(terminal_curves,MATCH(AT244,'TERMINAL CURVES'!$A$4:$A$313,0),MATCH(AV$6,'TERMINAL CURVES'!$A$4:$N$4,0)))*IF(AN244=0,0,AP244/AN244)))*-AN244</f>
        <v>0</v>
      </c>
      <c r="AY244" s="356" t="n">
        <f aca="false">SUM(AV244:AX244)</f>
        <v>0</v>
      </c>
      <c r="AZ244" s="357" t="n">
        <f aca="false">(-AP244/((HLOOKUP(AX$5,port_specs,2,0)/(365.25))*(AT245-AT244)))*(INDEX(fixed_capacity_charge,MATCH(AT244,PORTS!$H$11:$H$317,0),MATCH(AX$5,PORTS!$H$11:$N$11,0))+INDEX(variable_om_charge,MATCH(AT244,PORTS!$H$318:$H$625,0),MATCH(AX$5,PORTS!$H$318:$N$318,0)))</f>
        <v>-0</v>
      </c>
      <c r="BA244" s="343" t="n">
        <f aca="false">+AZ244+AY244</f>
        <v>0</v>
      </c>
      <c r="BB244" s="355" t="n">
        <f aca="false">+BA244+AU244</f>
        <v>0</v>
      </c>
      <c r="BC244" s="99"/>
      <c r="BD244" s="357" t="n">
        <f aca="false">+PORTS!I238+PORTS!I546</f>
        <v>0</v>
      </c>
    </row>
    <row r="245" customFormat="false" ht="12.75" hidden="false" customHeight="false" outlineLevel="0" collapsed="false">
      <c r="A245" s="346" t="n">
        <f aca="false">+DATE(YEAR(A244),MONTH(A244)+1,1)</f>
        <v>43617</v>
      </c>
      <c r="B245" s="327" t="n">
        <f aca="false">+IF(AND($A245&gt;=$C$8,$A245&lt;=$C$9),1,0)*PORTS!$I$5/(365.25)*(A246-A245)</f>
        <v>0</v>
      </c>
      <c r="C245" s="328" t="n">
        <f aca="false">+B245-(SUMIF($F$17:$IV$17,$H$17,$F245:$IV245))</f>
        <v>0</v>
      </c>
      <c r="D245" s="0" t="n">
        <f aca="false">+YEAR(E245)</f>
        <v>2019</v>
      </c>
      <c r="E245" s="346" t="n">
        <f aca="false">+DATE(YEAR(E244),MONTH(E244)+1,1)</f>
        <v>43617</v>
      </c>
      <c r="F245" s="327" t="n">
        <f aca="false">+IF(AND(G$8&lt;=E245,G$9&gt;=E245),INDEX(ROUTE_PER_DAY_BY_SHIP,MATCH(CONCATENATE(G$4,G$5,G$7),ROUTE_PER_DAY_ROUTES,0),MATCH(G$6,ROUTE_PER_DAY_SHIPS,0))*(E246-E245),0)</f>
        <v>0</v>
      </c>
      <c r="G245" s="347" t="n">
        <f aca="false">-F245*HLOOKUP(G$6,SHIPS,7,0)*INDEX(LADEN_VOYAGE_DAYS,MATCH(CONCATENATE(G$4,G$5,G$7),LADEN_VOYAGE_ROUTES,0),MATCH(G$6,LADEN_VOYAGE_SHIPS,0))</f>
        <v>-0</v>
      </c>
      <c r="H245" s="348" t="n">
        <f aca="false">SUM(F245:G245)</f>
        <v>0</v>
      </c>
      <c r="I245" s="349" t="n">
        <f aca="false">-(H245)*HLOOKUP(G$5,TERMINAL_CHARGES,3,0)</f>
        <v>-0</v>
      </c>
      <c r="J245" s="327" t="n">
        <f aca="false">+H245+I245</f>
        <v>0</v>
      </c>
      <c r="K245" s="333"/>
      <c r="L245" s="346" t="n">
        <f aca="false">+DATE(YEAR(L244),MONTH(L244)+1,1)</f>
        <v>43617</v>
      </c>
      <c r="M245" s="334" t="n">
        <f aca="false">+J245*(VLOOKUP(L245,CURVECALC!$C$6:$J$312,4,0)+N$5)</f>
        <v>0</v>
      </c>
      <c r="N245" s="350" t="n">
        <f aca="false">-F245*INDEX(ship_curves,MATCH(L245,'SHIP CURVES'!$A$9:$A$316,0),MATCH(CONCATENATE(P$4,P$5,P$6,P$7),'SHIP CURVES'!$A$9:$AZ$9,0))</f>
        <v>-0</v>
      </c>
      <c r="O245" s="351" t="n">
        <f aca="false">-H245*INDEX(port_processing_fee,MATCH(L245,PORTS!$H$626:$H$933,0),MATCH(P$5,PORTS!$H$626:$Z$626,0))</f>
        <v>-0</v>
      </c>
      <c r="P245" s="352" t="n">
        <f aca="false">(((VLOOKUP(L245,curvecalc,4,0))*IF(F245=0,0,J245/F245)-INDEX(ship_curves,MATCH(L245,'SHIP CURVES'!$A$9:$A$316,0),MATCH(CONCATENATE(P$4,P$5,P$6,P$7),'SHIP CURVES'!$A$9:$Z$9,0))-INDEX(terminal_curves,MATCH(L245,'TERMINAL CURVES'!$A$4:$A$313,0),MATCH(P$5,'TERMINAL CURVES'!$A$4:$N$4,0))*IF(F245=0,0,H245/F245))-(N$8)*((N$7-$N$5)-(INDEX(ship_curves,MATCH(L245,'SHIP CURVES'!$A$9:$A$316,0),MATCH(CONCATENATE(P$4,P$5,P$6,P$7),'SHIP CURVES'!$A$9:$Z$9,0))-INDEX(ship_curves,MATCH(L245,'SHIP CURVES'!$A$9:$A$316,0),MATCH(CONCATENATE(P$4,N$6,P$6,P$7),'SHIP CURVES'!$A$9:$Z$9,0)))-(INDEX(terminal_curves,MATCH(L245,'TERMINAL CURVES'!$A$4:$A$313,0),MATCH(P$5,'TERMINAL CURVES'!$A$4:$N$4,0))-INDEX(terminal_curves,MATCH(L245,'TERMINAL CURVES'!$A$4:$A$313,0),MATCH(N$6,'TERMINAL CURVES'!$A$4:$N$4,0)))*IF(F245=0,0,H245/F245)))*-F245</f>
        <v>0</v>
      </c>
      <c r="Q245" s="353" t="n">
        <f aca="false">SUM(N245:P245)</f>
        <v>0</v>
      </c>
      <c r="R245" s="357" t="n">
        <f aca="false">(-H245/((HLOOKUP(P$5,port_specs,2,0)/(365.25))*(L246-L245)))*(INDEX(fixed_capacity_charge,MATCH(L245,PORTS!$H$11:$H$317,0),MATCH(P$5,PORTS!$H$11:$N$11,0))+INDEX(variable_om_charge,MATCH(L245,PORTS!$H$318:$H$625,0),MATCH(P$5,PORTS!$H$318:$N$318,0)))</f>
        <v>-0</v>
      </c>
      <c r="S245" s="343" t="n">
        <f aca="false">+R245+Q245</f>
        <v>0</v>
      </c>
      <c r="T245" s="355" t="n">
        <f aca="false">+S245+M245</f>
        <v>0</v>
      </c>
      <c r="V245" s="346" t="n">
        <f aca="false">+DATE(YEAR(V244),MONTH(V244)+1,1)</f>
        <v>43617</v>
      </c>
      <c r="W245" s="327" t="n">
        <f aca="false">+Y245/(1-HLOOKUP(X$6,SHIPS,7,0)*INDEX(LADEN_VOYAGE_DAYS,MATCH(CONCATENATE(X$4,X$5),LADEN_VOYAGE_ROUTES,0),MATCH(X$6,LADEN_VOYAGE_SHIPS,0)))</f>
        <v>0</v>
      </c>
      <c r="X245" s="347" t="n">
        <f aca="false">+Y245-W245</f>
        <v>0</v>
      </c>
      <c r="Y245" s="348" t="n">
        <f aca="false">+IF(AND(X$8&lt;=V245,X$9&gt;=V245),+MIN($B245-SUMIF($H$17:X$17,Y$17,$H245:X245),((INDEX(ROUTE_PER_DAY_BY_SHIP,MATCH(CONCATENATE(X$4,X$5,X$7),ROUTE_PER_DAY_ROUTES,0),MATCH(X$6,ROUTE_PER_DAY_SHIPS,0))*(V246-V245))-(INDEX(ROUTE_PER_DAY_BY_SHIP,MATCH(CONCATENATE(X$4,X$5,X$7),ROUTE_PER_DAY_ROUTES,0),MATCH(X$6,ROUTE_PER_DAY_SHIPS,0))*(V246-V245))*HLOOKUP(X$6,SHIPS,7,0)*INDEX(LADEN_VOYAGE_DAYS,MATCH(CONCATENATE(X$4,X$5,X$7),LADEN_VOYAGE_ROUTES,0),MATCH(X$6,LADEN_VOYAGE_SHIPS,0)))),0)</f>
        <v>0</v>
      </c>
      <c r="Z245" s="349" t="n">
        <f aca="false">-(Y245)*HLOOKUP(X$5,TERMINAL_CHARGES,3,0)</f>
        <v>-0</v>
      </c>
      <c r="AA245" s="327" t="n">
        <f aca="false">+Y245+Z245</f>
        <v>0</v>
      </c>
      <c r="AB245" s="333"/>
      <c r="AC245" s="346" t="n">
        <f aca="false">+DATE(YEAR(AC244),MONTH(AC244)+1,1)</f>
        <v>43617</v>
      </c>
      <c r="AD245" s="343" t="n">
        <f aca="false">+AA245*(VLOOKUP(AC245,CURVECALC!$C$6:$J$312,4,0)+AE$5)</f>
        <v>0</v>
      </c>
      <c r="AE245" s="350" t="n">
        <f aca="false">-W245*INDEX(ship_curves,MATCH(AC245,'SHIP CURVES'!$A$9:$A$316,0),MATCH(CONCATENATE(AG$4,AG$5,AG$6,AG$7),'SHIP CURVES'!$A$9:$AZ$9,0))</f>
        <v>-0</v>
      </c>
      <c r="AF245" s="351" t="n">
        <f aca="false">-Y245*INDEX(port_processing_fee,MATCH(AC245,PORTS!$H$626:$H$933,0),MATCH(AG$5,PORTS!$H$626:$Z$626,0))</f>
        <v>-0</v>
      </c>
      <c r="AG245" s="352" t="n">
        <f aca="false">(((VLOOKUP(AC245,curvecalc,4,0))*IF(W245=0,0,AA245/W245)-INDEX(ship_curves,MATCH(AC245,'SHIP CURVES'!$A$9:$A$316,0),MATCH(CONCATENATE(AG$4,AG$5,AG$6,AG$7),'SHIP CURVES'!$A$9:$Z$9,0))-INDEX(terminal_curves,MATCH(AC245,'TERMINAL CURVES'!$A$4:$A$313,0),MATCH(AG$5,'TERMINAL CURVES'!$A$4:$N$4,0))*IF(W245=0,0,Y245/W245))-(AE$8)*((AE$7-$N$5)-(INDEX(ship_curves,MATCH(AC245,'SHIP CURVES'!$A$9:$A$316,0),MATCH(CONCATENATE(AG$4,AG$5,AG$6,AG$7),'SHIP CURVES'!$A$9:$Z$9,0))-INDEX(ship_curves,MATCH(AC245,'SHIP CURVES'!$A$9:$A$316,0),MATCH(CONCATENATE(AG$4,AE$6,AG$6,AG$7),'SHIP CURVES'!$A$9:$Z$9,0)))-(INDEX(terminal_curves,MATCH(AC245,'TERMINAL CURVES'!$A$4:$A$313,0),MATCH(AG$5,'TERMINAL CURVES'!$A$4:$N$4,0))-INDEX(terminal_curves,MATCH(AC245,'TERMINAL CURVES'!$A$4:$A$313,0),MATCH(AE$6,'TERMINAL CURVES'!$A$4:$N$4,0)))*IF(W245=0,0,Y245/W245)))*-W245</f>
        <v>0</v>
      </c>
      <c r="AH245" s="356" t="n">
        <f aca="false">SUM(AE245:AG245)</f>
        <v>0</v>
      </c>
      <c r="AI245" s="357" t="n">
        <f aca="false">(-Y245/((HLOOKUP(AG$5,port_specs,2,0)/(365.25))*(AC246-AC245)))*(INDEX(fixed_capacity_charge,MATCH(AC245,PORTS!$H$11:$H$317,0),MATCH(AG$5,PORTS!$H$11:$N$11,0))+INDEX(variable_om_charge,MATCH(AC245,PORTS!$H$318:$H$625,0),MATCH(AG$5,PORTS!$H$318:$N$318,0)))</f>
        <v>-0</v>
      </c>
      <c r="AJ245" s="343" t="n">
        <f aca="false">+AI245+AH245</f>
        <v>0</v>
      </c>
      <c r="AK245" s="355" t="n">
        <f aca="false">+AJ245+AD245</f>
        <v>0</v>
      </c>
      <c r="AM245" s="346" t="n">
        <f aca="false">+DATE(YEAR(AM244),MONTH(AM244)+1,1)</f>
        <v>43617</v>
      </c>
      <c r="AN245" s="327" t="n">
        <f aca="false">+AP245/(1-HLOOKUP(AO$6,SHIPS,7,0)*INDEX(LADEN_VOYAGE_DAYS,MATCH(CONCATENATE(AO$4,AO$5),LADEN_VOYAGE_ROUTES,0),MATCH(AO$6,LADEN_VOYAGE_SHIPS,0)))</f>
        <v>0</v>
      </c>
      <c r="AO245" s="347" t="n">
        <f aca="false">+AP245-AN245</f>
        <v>0</v>
      </c>
      <c r="AP245" s="348" t="n">
        <f aca="false">+IF(AND(AO$8&lt;=AM245,AO$9&gt;=AM245),+MIN($B245-SUMIF($H$17:AO$17,AP$17,$H245:AO245),((INDEX(ROUTE_PER_DAY_BY_SHIP,MATCH(CONCATENATE(AO$4,AO$5,AO$7),ROUTE_PER_DAY_ROUTES,0),MATCH(AO$6,ROUTE_PER_DAY_SHIPS,0))*(AM246-AM245))-(INDEX(ROUTE_PER_DAY_BY_SHIP,MATCH(CONCATENATE(AO$4,AO$5,AO$7),ROUTE_PER_DAY_ROUTES,0),MATCH(AO$6,ROUTE_PER_DAY_SHIPS,0))*(AM246-AM245))*HLOOKUP(AO$6,SHIPS,7,0)*INDEX(LADEN_VOYAGE_DAYS,MATCH(CONCATENATE(AO$4,AO$5,AO$7),LADEN_VOYAGE_ROUTES,0),MATCH(AO$6,LADEN_VOYAGE_SHIPS,0)))),0)</f>
        <v>0</v>
      </c>
      <c r="AQ245" s="349" t="n">
        <f aca="false">-(AP245)*PORTS!$I$6</f>
        <v>-0</v>
      </c>
      <c r="AR245" s="327" t="n">
        <f aca="false">+AP245+AQ245</f>
        <v>0</v>
      </c>
      <c r="AS245" s="333"/>
      <c r="AT245" s="346" t="n">
        <f aca="false">+DATE(YEAR(AT244),MONTH(AT244)+1,1)</f>
        <v>43617</v>
      </c>
      <c r="AU245" s="343" t="n">
        <f aca="false">+AR245*(VLOOKUP(AT245,CURVECALC!$C$6:$J$312,4,0)+AV$5)</f>
        <v>0</v>
      </c>
      <c r="AV245" s="350" t="n">
        <f aca="false">-AN245*INDEX(ship_curves,MATCH(AT245,'SHIP CURVES'!$A$9:$A$316,0),MATCH(CONCATENATE(AX$4,AX$5,AX$6,AX$7),'SHIP CURVES'!$A$9:$AZ$9,0))</f>
        <v>-0</v>
      </c>
      <c r="AW245" s="351" t="n">
        <f aca="false">-AP245*INDEX(port_processing_fee,MATCH(AT245,PORTS!$H$626:$H$933,0),MATCH(AX$5,PORTS!$H$626:$Z$626,0))</f>
        <v>-0</v>
      </c>
      <c r="AX245" s="352" t="n">
        <f aca="false">(((VLOOKUP(AT245,curvecalc,4,0))*IF(AN245=0,0,AR245/AN245)-INDEX(ship_curves,MATCH(AT245,'SHIP CURVES'!$A$9:$A$316,0),MATCH(CONCATENATE(AX$4,AX$5,AX$6,AX$7),'SHIP CURVES'!$A$9:$Z$9,0))-INDEX(terminal_curves,MATCH(AT245,'TERMINAL CURVES'!$A$4:$A$313,0),MATCH(AX$5,'TERMINAL CURVES'!$A$4:$N$4,0))*IF(AN245=0,0,AP245/AN245))-(AV$8)*((AV$7-$N$5)-(INDEX(ship_curves,MATCH(AT245,'SHIP CURVES'!$A$9:$A$316,0),MATCH(CONCATENATE(AX$4,AX$5,AX$6,AX$7),'SHIP CURVES'!$A$9:$Z$9,0))-INDEX(ship_curves,MATCH(AT245,'SHIP CURVES'!$A$9:$A$316,0),MATCH(CONCATENATE(AX$4,AV$6,AX$6,AX$7),'SHIP CURVES'!$A$9:$Z$9,0)))-(INDEX(terminal_curves,MATCH(AT245,'TERMINAL CURVES'!$A$4:$A$313,0),MATCH(AX$5,'TERMINAL CURVES'!$A$4:$N$4,0))-INDEX(terminal_curves,MATCH(AT245,'TERMINAL CURVES'!$A$4:$A$313,0),MATCH(AV$6,'TERMINAL CURVES'!$A$4:$N$4,0)))*IF(AN245=0,0,AP245/AN245)))*-AN245</f>
        <v>0</v>
      </c>
      <c r="AY245" s="356" t="n">
        <f aca="false">SUM(AV245:AX245)</f>
        <v>0</v>
      </c>
      <c r="AZ245" s="357" t="n">
        <f aca="false">(-AP245/((HLOOKUP(AX$5,port_specs,2,0)/(365.25))*(AT246-AT245)))*(INDEX(fixed_capacity_charge,MATCH(AT245,PORTS!$H$11:$H$317,0),MATCH(AX$5,PORTS!$H$11:$N$11,0))+INDEX(variable_om_charge,MATCH(AT245,PORTS!$H$318:$H$625,0),MATCH(AX$5,PORTS!$H$318:$N$318,0)))</f>
        <v>-0</v>
      </c>
      <c r="BA245" s="343" t="n">
        <f aca="false">+AZ245+AY245</f>
        <v>0</v>
      </c>
      <c r="BB245" s="355" t="n">
        <f aca="false">+BA245+AU245</f>
        <v>0</v>
      </c>
      <c r="BC245" s="99"/>
      <c r="BD245" s="357" t="n">
        <f aca="false">+PORTS!I239+PORTS!I547</f>
        <v>0</v>
      </c>
    </row>
    <row r="246" customFormat="false" ht="12.75" hidden="false" customHeight="false" outlineLevel="0" collapsed="false">
      <c r="A246" s="346" t="n">
        <f aca="false">+DATE(YEAR(A245),MONTH(A245)+1,1)</f>
        <v>43647</v>
      </c>
      <c r="B246" s="327" t="n">
        <f aca="false">+IF(AND($A246&gt;=$C$8,$A246&lt;=$C$9),1,0)*PORTS!$I$5/(365.25)*(A247-A246)</f>
        <v>0</v>
      </c>
      <c r="C246" s="328" t="n">
        <f aca="false">+B246-(SUMIF($F$17:$IV$17,$H$17,$F246:$IV246))</f>
        <v>0</v>
      </c>
      <c r="D246" s="0" t="n">
        <f aca="false">+YEAR(E246)</f>
        <v>2019</v>
      </c>
      <c r="E246" s="346" t="n">
        <f aca="false">+DATE(YEAR(E245),MONTH(E245)+1,1)</f>
        <v>43647</v>
      </c>
      <c r="F246" s="327" t="n">
        <f aca="false">+IF(AND(G$8&lt;=E246,G$9&gt;=E246),INDEX(ROUTE_PER_DAY_BY_SHIP,MATCH(CONCATENATE(G$4,G$5,G$7),ROUTE_PER_DAY_ROUTES,0),MATCH(G$6,ROUTE_PER_DAY_SHIPS,0))*(E247-E246),0)</f>
        <v>0</v>
      </c>
      <c r="G246" s="347" t="n">
        <f aca="false">-F246*HLOOKUP(G$6,SHIPS,7,0)*INDEX(LADEN_VOYAGE_DAYS,MATCH(CONCATENATE(G$4,G$5,G$7),LADEN_VOYAGE_ROUTES,0),MATCH(G$6,LADEN_VOYAGE_SHIPS,0))</f>
        <v>-0</v>
      </c>
      <c r="H246" s="348" t="n">
        <f aca="false">SUM(F246:G246)</f>
        <v>0</v>
      </c>
      <c r="I246" s="349" t="n">
        <f aca="false">-(H246)*HLOOKUP(G$5,TERMINAL_CHARGES,3,0)</f>
        <v>-0</v>
      </c>
      <c r="J246" s="327" t="n">
        <f aca="false">+H246+I246</f>
        <v>0</v>
      </c>
      <c r="K246" s="333"/>
      <c r="L246" s="346" t="n">
        <f aca="false">+DATE(YEAR(L245),MONTH(L245)+1,1)</f>
        <v>43647</v>
      </c>
      <c r="M246" s="334" t="n">
        <f aca="false">+J246*(VLOOKUP(L246,CURVECALC!$C$6:$J$312,4,0)+N$5)</f>
        <v>0</v>
      </c>
      <c r="N246" s="350" t="n">
        <f aca="false">-F246*INDEX(ship_curves,MATCH(L246,'SHIP CURVES'!$A$9:$A$316,0),MATCH(CONCATENATE(P$4,P$5,P$6,P$7),'SHIP CURVES'!$A$9:$AZ$9,0))</f>
        <v>-0</v>
      </c>
      <c r="O246" s="351" t="n">
        <f aca="false">-H246*INDEX(port_processing_fee,MATCH(L246,PORTS!$H$626:$H$933,0),MATCH(P$5,PORTS!$H$626:$Z$626,0))</f>
        <v>-0</v>
      </c>
      <c r="P246" s="352" t="n">
        <f aca="false">(((VLOOKUP(L246,curvecalc,4,0))*IF(F246=0,0,J246/F246)-INDEX(ship_curves,MATCH(L246,'SHIP CURVES'!$A$9:$A$316,0),MATCH(CONCATENATE(P$4,P$5,P$6,P$7),'SHIP CURVES'!$A$9:$Z$9,0))-INDEX(terminal_curves,MATCH(L246,'TERMINAL CURVES'!$A$4:$A$313,0),MATCH(P$5,'TERMINAL CURVES'!$A$4:$N$4,0))*IF(F246=0,0,H246/F246))-(N$8)*((N$7-$N$5)-(INDEX(ship_curves,MATCH(L246,'SHIP CURVES'!$A$9:$A$316,0),MATCH(CONCATENATE(P$4,P$5,P$6,P$7),'SHIP CURVES'!$A$9:$Z$9,0))-INDEX(ship_curves,MATCH(L246,'SHIP CURVES'!$A$9:$A$316,0),MATCH(CONCATENATE(P$4,N$6,P$6,P$7),'SHIP CURVES'!$A$9:$Z$9,0)))-(INDEX(terminal_curves,MATCH(L246,'TERMINAL CURVES'!$A$4:$A$313,0),MATCH(P$5,'TERMINAL CURVES'!$A$4:$N$4,0))-INDEX(terminal_curves,MATCH(L246,'TERMINAL CURVES'!$A$4:$A$313,0),MATCH(N$6,'TERMINAL CURVES'!$A$4:$N$4,0)))*IF(F246=0,0,H246/F246)))*-F246</f>
        <v>0</v>
      </c>
      <c r="Q246" s="353" t="n">
        <f aca="false">SUM(N246:P246)</f>
        <v>0</v>
      </c>
      <c r="R246" s="357" t="n">
        <f aca="false">(-H246/((HLOOKUP(P$5,port_specs,2,0)/(365.25))*(L247-L246)))*(INDEX(fixed_capacity_charge,MATCH(L246,PORTS!$H$11:$H$317,0),MATCH(P$5,PORTS!$H$11:$N$11,0))+INDEX(variable_om_charge,MATCH(L246,PORTS!$H$318:$H$625,0),MATCH(P$5,PORTS!$H$318:$N$318,0)))</f>
        <v>-0</v>
      </c>
      <c r="S246" s="343" t="n">
        <f aca="false">+R246+Q246</f>
        <v>0</v>
      </c>
      <c r="T246" s="355" t="n">
        <f aca="false">+S246+M246</f>
        <v>0</v>
      </c>
      <c r="V246" s="346" t="n">
        <f aca="false">+DATE(YEAR(V245),MONTH(V245)+1,1)</f>
        <v>43647</v>
      </c>
      <c r="W246" s="327" t="n">
        <f aca="false">+Y246/(1-HLOOKUP(X$6,SHIPS,7,0)*INDEX(LADEN_VOYAGE_DAYS,MATCH(CONCATENATE(X$4,X$5),LADEN_VOYAGE_ROUTES,0),MATCH(X$6,LADEN_VOYAGE_SHIPS,0)))</f>
        <v>0</v>
      </c>
      <c r="X246" s="347" t="n">
        <f aca="false">+Y246-W246</f>
        <v>0</v>
      </c>
      <c r="Y246" s="348" t="n">
        <f aca="false">+IF(AND(X$8&lt;=V246,X$9&gt;=V246),+MIN($B246-SUMIF($H$17:X$17,Y$17,$H246:X246),((INDEX(ROUTE_PER_DAY_BY_SHIP,MATCH(CONCATENATE(X$4,X$5,X$7),ROUTE_PER_DAY_ROUTES,0),MATCH(X$6,ROUTE_PER_DAY_SHIPS,0))*(V247-V246))-(INDEX(ROUTE_PER_DAY_BY_SHIP,MATCH(CONCATENATE(X$4,X$5,X$7),ROUTE_PER_DAY_ROUTES,0),MATCH(X$6,ROUTE_PER_DAY_SHIPS,0))*(V247-V246))*HLOOKUP(X$6,SHIPS,7,0)*INDEX(LADEN_VOYAGE_DAYS,MATCH(CONCATENATE(X$4,X$5,X$7),LADEN_VOYAGE_ROUTES,0),MATCH(X$6,LADEN_VOYAGE_SHIPS,0)))),0)</f>
        <v>0</v>
      </c>
      <c r="Z246" s="349" t="n">
        <f aca="false">-(Y246)*HLOOKUP(X$5,TERMINAL_CHARGES,3,0)</f>
        <v>-0</v>
      </c>
      <c r="AA246" s="327" t="n">
        <f aca="false">+Y246+Z246</f>
        <v>0</v>
      </c>
      <c r="AB246" s="333"/>
      <c r="AC246" s="346" t="n">
        <f aca="false">+DATE(YEAR(AC245),MONTH(AC245)+1,1)</f>
        <v>43647</v>
      </c>
      <c r="AD246" s="343" t="n">
        <f aca="false">+AA246*(VLOOKUP(AC246,CURVECALC!$C$6:$J$312,4,0)+AE$5)</f>
        <v>0</v>
      </c>
      <c r="AE246" s="350" t="n">
        <f aca="false">-W246*INDEX(ship_curves,MATCH(AC246,'SHIP CURVES'!$A$9:$A$316,0),MATCH(CONCATENATE(AG$4,AG$5,AG$6,AG$7),'SHIP CURVES'!$A$9:$AZ$9,0))</f>
        <v>-0</v>
      </c>
      <c r="AF246" s="351" t="n">
        <f aca="false">-Y246*INDEX(port_processing_fee,MATCH(AC246,PORTS!$H$626:$H$933,0),MATCH(AG$5,PORTS!$H$626:$Z$626,0))</f>
        <v>-0</v>
      </c>
      <c r="AG246" s="352" t="n">
        <f aca="false">(((VLOOKUP(AC246,curvecalc,4,0))*IF(W246=0,0,AA246/W246)-INDEX(ship_curves,MATCH(AC246,'SHIP CURVES'!$A$9:$A$316,0),MATCH(CONCATENATE(AG$4,AG$5,AG$6,AG$7),'SHIP CURVES'!$A$9:$Z$9,0))-INDEX(terminal_curves,MATCH(AC246,'TERMINAL CURVES'!$A$4:$A$313,0),MATCH(AG$5,'TERMINAL CURVES'!$A$4:$N$4,0))*IF(W246=0,0,Y246/W246))-(AE$8)*((AE$7-$N$5)-(INDEX(ship_curves,MATCH(AC246,'SHIP CURVES'!$A$9:$A$316,0),MATCH(CONCATENATE(AG$4,AG$5,AG$6,AG$7),'SHIP CURVES'!$A$9:$Z$9,0))-INDEX(ship_curves,MATCH(AC246,'SHIP CURVES'!$A$9:$A$316,0),MATCH(CONCATENATE(AG$4,AE$6,AG$6,AG$7),'SHIP CURVES'!$A$9:$Z$9,0)))-(INDEX(terminal_curves,MATCH(AC246,'TERMINAL CURVES'!$A$4:$A$313,0),MATCH(AG$5,'TERMINAL CURVES'!$A$4:$N$4,0))-INDEX(terminal_curves,MATCH(AC246,'TERMINAL CURVES'!$A$4:$A$313,0),MATCH(AE$6,'TERMINAL CURVES'!$A$4:$N$4,0)))*IF(W246=0,0,Y246/W246)))*-W246</f>
        <v>0</v>
      </c>
      <c r="AH246" s="356" t="n">
        <f aca="false">SUM(AE246:AG246)</f>
        <v>0</v>
      </c>
      <c r="AI246" s="357" t="n">
        <f aca="false">(-Y246/((HLOOKUP(AG$5,port_specs,2,0)/(365.25))*(AC247-AC246)))*(INDEX(fixed_capacity_charge,MATCH(AC246,PORTS!$H$11:$H$317,0),MATCH(AG$5,PORTS!$H$11:$N$11,0))+INDEX(variable_om_charge,MATCH(AC246,PORTS!$H$318:$H$625,0),MATCH(AG$5,PORTS!$H$318:$N$318,0)))</f>
        <v>-0</v>
      </c>
      <c r="AJ246" s="343" t="n">
        <f aca="false">+AI246+AH246</f>
        <v>0</v>
      </c>
      <c r="AK246" s="355" t="n">
        <f aca="false">+AJ246+AD246</f>
        <v>0</v>
      </c>
      <c r="AM246" s="346" t="n">
        <f aca="false">+DATE(YEAR(AM245),MONTH(AM245)+1,1)</f>
        <v>43647</v>
      </c>
      <c r="AN246" s="327" t="n">
        <f aca="false">+AP246/(1-HLOOKUP(AO$6,SHIPS,7,0)*INDEX(LADEN_VOYAGE_DAYS,MATCH(CONCATENATE(AO$4,AO$5),LADEN_VOYAGE_ROUTES,0),MATCH(AO$6,LADEN_VOYAGE_SHIPS,0)))</f>
        <v>0</v>
      </c>
      <c r="AO246" s="347" t="n">
        <f aca="false">+AP246-AN246</f>
        <v>0</v>
      </c>
      <c r="AP246" s="348" t="n">
        <f aca="false">+IF(AND(AO$8&lt;=AM246,AO$9&gt;=AM246),+MIN($B246-SUMIF($H$17:AO$17,AP$17,$H246:AO246),((INDEX(ROUTE_PER_DAY_BY_SHIP,MATCH(CONCATENATE(AO$4,AO$5,AO$7),ROUTE_PER_DAY_ROUTES,0),MATCH(AO$6,ROUTE_PER_DAY_SHIPS,0))*(AM247-AM246))-(INDEX(ROUTE_PER_DAY_BY_SHIP,MATCH(CONCATENATE(AO$4,AO$5,AO$7),ROUTE_PER_DAY_ROUTES,0),MATCH(AO$6,ROUTE_PER_DAY_SHIPS,0))*(AM247-AM246))*HLOOKUP(AO$6,SHIPS,7,0)*INDEX(LADEN_VOYAGE_DAYS,MATCH(CONCATENATE(AO$4,AO$5,AO$7),LADEN_VOYAGE_ROUTES,0),MATCH(AO$6,LADEN_VOYAGE_SHIPS,0)))),0)</f>
        <v>0</v>
      </c>
      <c r="AQ246" s="349" t="n">
        <f aca="false">-(AP246)*PORTS!$I$6</f>
        <v>-0</v>
      </c>
      <c r="AR246" s="327" t="n">
        <f aca="false">+AP246+AQ246</f>
        <v>0</v>
      </c>
      <c r="AS246" s="333"/>
      <c r="AT246" s="346" t="n">
        <f aca="false">+DATE(YEAR(AT245),MONTH(AT245)+1,1)</f>
        <v>43647</v>
      </c>
      <c r="AU246" s="343" t="n">
        <f aca="false">+AR246*(VLOOKUP(AT246,CURVECALC!$C$6:$J$312,4,0)+AV$5)</f>
        <v>0</v>
      </c>
      <c r="AV246" s="350" t="n">
        <f aca="false">-AN246*INDEX(ship_curves,MATCH(AT246,'SHIP CURVES'!$A$9:$A$316,0),MATCH(CONCATENATE(AX$4,AX$5,AX$6,AX$7),'SHIP CURVES'!$A$9:$AZ$9,0))</f>
        <v>-0</v>
      </c>
      <c r="AW246" s="351" t="n">
        <f aca="false">-AP246*INDEX(port_processing_fee,MATCH(AT246,PORTS!$H$626:$H$933,0),MATCH(AX$5,PORTS!$H$626:$Z$626,0))</f>
        <v>-0</v>
      </c>
      <c r="AX246" s="352" t="n">
        <f aca="false">(((VLOOKUP(AT246,curvecalc,4,0))*IF(AN246=0,0,AR246/AN246)-INDEX(ship_curves,MATCH(AT246,'SHIP CURVES'!$A$9:$A$316,0),MATCH(CONCATENATE(AX$4,AX$5,AX$6,AX$7),'SHIP CURVES'!$A$9:$Z$9,0))-INDEX(terminal_curves,MATCH(AT246,'TERMINAL CURVES'!$A$4:$A$313,0),MATCH(AX$5,'TERMINAL CURVES'!$A$4:$N$4,0))*IF(AN246=0,0,AP246/AN246))-(AV$8)*((AV$7-$N$5)-(INDEX(ship_curves,MATCH(AT246,'SHIP CURVES'!$A$9:$A$316,0),MATCH(CONCATENATE(AX$4,AX$5,AX$6,AX$7),'SHIP CURVES'!$A$9:$Z$9,0))-INDEX(ship_curves,MATCH(AT246,'SHIP CURVES'!$A$9:$A$316,0),MATCH(CONCATENATE(AX$4,AV$6,AX$6,AX$7),'SHIP CURVES'!$A$9:$Z$9,0)))-(INDEX(terminal_curves,MATCH(AT246,'TERMINAL CURVES'!$A$4:$A$313,0),MATCH(AX$5,'TERMINAL CURVES'!$A$4:$N$4,0))-INDEX(terminal_curves,MATCH(AT246,'TERMINAL CURVES'!$A$4:$A$313,0),MATCH(AV$6,'TERMINAL CURVES'!$A$4:$N$4,0)))*IF(AN246=0,0,AP246/AN246)))*-AN246</f>
        <v>0</v>
      </c>
      <c r="AY246" s="356" t="n">
        <f aca="false">SUM(AV246:AX246)</f>
        <v>0</v>
      </c>
      <c r="AZ246" s="357" t="n">
        <f aca="false">(-AP246/((HLOOKUP(AX$5,port_specs,2,0)/(365.25))*(AT247-AT246)))*(INDEX(fixed_capacity_charge,MATCH(AT246,PORTS!$H$11:$H$317,0),MATCH(AX$5,PORTS!$H$11:$N$11,0))+INDEX(variable_om_charge,MATCH(AT246,PORTS!$H$318:$H$625,0),MATCH(AX$5,PORTS!$H$318:$N$318,0)))</f>
        <v>-0</v>
      </c>
      <c r="BA246" s="343" t="n">
        <f aca="false">+AZ246+AY246</f>
        <v>0</v>
      </c>
      <c r="BB246" s="355" t="n">
        <f aca="false">+BA246+AU246</f>
        <v>0</v>
      </c>
      <c r="BC246" s="99"/>
      <c r="BD246" s="357" t="n">
        <f aca="false">+PORTS!I240+PORTS!I548</f>
        <v>0</v>
      </c>
    </row>
    <row r="247" customFormat="false" ht="12.75" hidden="false" customHeight="false" outlineLevel="0" collapsed="false">
      <c r="A247" s="346" t="n">
        <f aca="false">+DATE(YEAR(A246),MONTH(A246)+1,1)</f>
        <v>43678</v>
      </c>
      <c r="B247" s="327" t="n">
        <f aca="false">+IF(AND($A247&gt;=$C$8,$A247&lt;=$C$9),1,0)*PORTS!$I$5/(365.25)*(A248-A247)</f>
        <v>0</v>
      </c>
      <c r="C247" s="328" t="n">
        <f aca="false">+B247-(SUMIF($F$17:$IV$17,$H$17,$F247:$IV247))</f>
        <v>0</v>
      </c>
      <c r="D247" s="0" t="n">
        <f aca="false">+YEAR(E247)</f>
        <v>2019</v>
      </c>
      <c r="E247" s="346" t="n">
        <f aca="false">+DATE(YEAR(E246),MONTH(E246)+1,1)</f>
        <v>43678</v>
      </c>
      <c r="F247" s="327" t="n">
        <f aca="false">+IF(AND(G$8&lt;=E247,G$9&gt;=E247),INDEX(ROUTE_PER_DAY_BY_SHIP,MATCH(CONCATENATE(G$4,G$5,G$7),ROUTE_PER_DAY_ROUTES,0),MATCH(G$6,ROUTE_PER_DAY_SHIPS,0))*(E248-E247),0)</f>
        <v>0</v>
      </c>
      <c r="G247" s="347" t="n">
        <f aca="false">-F247*HLOOKUP(G$6,SHIPS,7,0)*INDEX(LADEN_VOYAGE_DAYS,MATCH(CONCATENATE(G$4,G$5,G$7),LADEN_VOYAGE_ROUTES,0),MATCH(G$6,LADEN_VOYAGE_SHIPS,0))</f>
        <v>-0</v>
      </c>
      <c r="H247" s="348" t="n">
        <f aca="false">SUM(F247:G247)</f>
        <v>0</v>
      </c>
      <c r="I247" s="349" t="n">
        <f aca="false">-(H247)*HLOOKUP(G$5,TERMINAL_CHARGES,3,0)</f>
        <v>-0</v>
      </c>
      <c r="J247" s="327" t="n">
        <f aca="false">+H247+I247</f>
        <v>0</v>
      </c>
      <c r="K247" s="333"/>
      <c r="L247" s="346" t="n">
        <f aca="false">+DATE(YEAR(L246),MONTH(L246)+1,1)</f>
        <v>43678</v>
      </c>
      <c r="M247" s="334" t="n">
        <f aca="false">+J247*(VLOOKUP(L247,CURVECALC!$C$6:$J$312,4,0)+N$5)</f>
        <v>0</v>
      </c>
      <c r="N247" s="350" t="n">
        <f aca="false">-F247*INDEX(ship_curves,MATCH(L247,'SHIP CURVES'!$A$9:$A$316,0),MATCH(CONCATENATE(P$4,P$5,P$6,P$7),'SHIP CURVES'!$A$9:$AZ$9,0))</f>
        <v>-0</v>
      </c>
      <c r="O247" s="351" t="n">
        <f aca="false">-H247*INDEX(port_processing_fee,MATCH(L247,PORTS!$H$626:$H$933,0),MATCH(P$5,PORTS!$H$626:$Z$626,0))</f>
        <v>-0</v>
      </c>
      <c r="P247" s="352" t="n">
        <f aca="false">(((VLOOKUP(L247,curvecalc,4,0))*IF(F247=0,0,J247/F247)-INDEX(ship_curves,MATCH(L247,'SHIP CURVES'!$A$9:$A$316,0),MATCH(CONCATENATE(P$4,P$5,P$6,P$7),'SHIP CURVES'!$A$9:$Z$9,0))-INDEX(terminal_curves,MATCH(L247,'TERMINAL CURVES'!$A$4:$A$313,0),MATCH(P$5,'TERMINAL CURVES'!$A$4:$N$4,0))*IF(F247=0,0,H247/F247))-(N$8)*((N$7-$N$5)-(INDEX(ship_curves,MATCH(L247,'SHIP CURVES'!$A$9:$A$316,0),MATCH(CONCATENATE(P$4,P$5,P$6,P$7),'SHIP CURVES'!$A$9:$Z$9,0))-INDEX(ship_curves,MATCH(L247,'SHIP CURVES'!$A$9:$A$316,0),MATCH(CONCATENATE(P$4,N$6,P$6,P$7),'SHIP CURVES'!$A$9:$Z$9,0)))-(INDEX(terminal_curves,MATCH(L247,'TERMINAL CURVES'!$A$4:$A$313,0),MATCH(P$5,'TERMINAL CURVES'!$A$4:$N$4,0))-INDEX(terminal_curves,MATCH(L247,'TERMINAL CURVES'!$A$4:$A$313,0),MATCH(N$6,'TERMINAL CURVES'!$A$4:$N$4,0)))*IF(F247=0,0,H247/F247)))*-F247</f>
        <v>0</v>
      </c>
      <c r="Q247" s="353" t="n">
        <f aca="false">SUM(N247:P247)</f>
        <v>0</v>
      </c>
      <c r="R247" s="357" t="n">
        <f aca="false">(-H247/((HLOOKUP(P$5,port_specs,2,0)/(365.25))*(L248-L247)))*(INDEX(fixed_capacity_charge,MATCH(L247,PORTS!$H$11:$H$317,0),MATCH(P$5,PORTS!$H$11:$N$11,0))+INDEX(variable_om_charge,MATCH(L247,PORTS!$H$318:$H$625,0),MATCH(P$5,PORTS!$H$318:$N$318,0)))</f>
        <v>-0</v>
      </c>
      <c r="S247" s="343" t="n">
        <f aca="false">+R247+Q247</f>
        <v>0</v>
      </c>
      <c r="T247" s="355" t="n">
        <f aca="false">+S247+M247</f>
        <v>0</v>
      </c>
      <c r="V247" s="346" t="n">
        <f aca="false">+DATE(YEAR(V246),MONTH(V246)+1,1)</f>
        <v>43678</v>
      </c>
      <c r="W247" s="327" t="n">
        <f aca="false">+Y247/(1-HLOOKUP(X$6,SHIPS,7,0)*INDEX(LADEN_VOYAGE_DAYS,MATCH(CONCATENATE(X$4,X$5),LADEN_VOYAGE_ROUTES,0),MATCH(X$6,LADEN_VOYAGE_SHIPS,0)))</f>
        <v>0</v>
      </c>
      <c r="X247" s="347" t="n">
        <f aca="false">+Y247-W247</f>
        <v>0</v>
      </c>
      <c r="Y247" s="348" t="n">
        <f aca="false">+IF(AND(X$8&lt;=V247,X$9&gt;=V247),+MIN($B247-SUMIF($H$17:X$17,Y$17,$H247:X247),((INDEX(ROUTE_PER_DAY_BY_SHIP,MATCH(CONCATENATE(X$4,X$5,X$7),ROUTE_PER_DAY_ROUTES,0),MATCH(X$6,ROUTE_PER_DAY_SHIPS,0))*(V248-V247))-(INDEX(ROUTE_PER_DAY_BY_SHIP,MATCH(CONCATENATE(X$4,X$5,X$7),ROUTE_PER_DAY_ROUTES,0),MATCH(X$6,ROUTE_PER_DAY_SHIPS,0))*(V248-V247))*HLOOKUP(X$6,SHIPS,7,0)*INDEX(LADEN_VOYAGE_DAYS,MATCH(CONCATENATE(X$4,X$5,X$7),LADEN_VOYAGE_ROUTES,0),MATCH(X$6,LADEN_VOYAGE_SHIPS,0)))),0)</f>
        <v>0</v>
      </c>
      <c r="Z247" s="349" t="n">
        <f aca="false">-(Y247)*HLOOKUP(X$5,TERMINAL_CHARGES,3,0)</f>
        <v>-0</v>
      </c>
      <c r="AA247" s="327" t="n">
        <f aca="false">+Y247+Z247</f>
        <v>0</v>
      </c>
      <c r="AB247" s="333"/>
      <c r="AC247" s="346" t="n">
        <f aca="false">+DATE(YEAR(AC246),MONTH(AC246)+1,1)</f>
        <v>43678</v>
      </c>
      <c r="AD247" s="343" t="n">
        <f aca="false">+AA247*(VLOOKUP(AC247,CURVECALC!$C$6:$J$312,4,0)+AE$5)</f>
        <v>0</v>
      </c>
      <c r="AE247" s="350" t="n">
        <f aca="false">-W247*INDEX(ship_curves,MATCH(AC247,'SHIP CURVES'!$A$9:$A$316,0),MATCH(CONCATENATE(AG$4,AG$5,AG$6,AG$7),'SHIP CURVES'!$A$9:$AZ$9,0))</f>
        <v>-0</v>
      </c>
      <c r="AF247" s="351" t="n">
        <f aca="false">-Y247*INDEX(port_processing_fee,MATCH(AC247,PORTS!$H$626:$H$933,0),MATCH(AG$5,PORTS!$H$626:$Z$626,0))</f>
        <v>-0</v>
      </c>
      <c r="AG247" s="352" t="n">
        <f aca="false">(((VLOOKUP(AC247,curvecalc,4,0))*IF(W247=0,0,AA247/W247)-INDEX(ship_curves,MATCH(AC247,'SHIP CURVES'!$A$9:$A$316,0),MATCH(CONCATENATE(AG$4,AG$5,AG$6,AG$7),'SHIP CURVES'!$A$9:$Z$9,0))-INDEX(terminal_curves,MATCH(AC247,'TERMINAL CURVES'!$A$4:$A$313,0),MATCH(AG$5,'TERMINAL CURVES'!$A$4:$N$4,0))*IF(W247=0,0,Y247/W247))-(AE$8)*((AE$7-$N$5)-(INDEX(ship_curves,MATCH(AC247,'SHIP CURVES'!$A$9:$A$316,0),MATCH(CONCATENATE(AG$4,AG$5,AG$6,AG$7),'SHIP CURVES'!$A$9:$Z$9,0))-INDEX(ship_curves,MATCH(AC247,'SHIP CURVES'!$A$9:$A$316,0),MATCH(CONCATENATE(AG$4,AE$6,AG$6,AG$7),'SHIP CURVES'!$A$9:$Z$9,0)))-(INDEX(terminal_curves,MATCH(AC247,'TERMINAL CURVES'!$A$4:$A$313,0),MATCH(AG$5,'TERMINAL CURVES'!$A$4:$N$4,0))-INDEX(terminal_curves,MATCH(AC247,'TERMINAL CURVES'!$A$4:$A$313,0),MATCH(AE$6,'TERMINAL CURVES'!$A$4:$N$4,0)))*IF(W247=0,0,Y247/W247)))*-W247</f>
        <v>0</v>
      </c>
      <c r="AH247" s="356" t="n">
        <f aca="false">SUM(AE247:AG247)</f>
        <v>0</v>
      </c>
      <c r="AI247" s="357" t="n">
        <f aca="false">(-Y247/((HLOOKUP(AG$5,port_specs,2,0)/(365.25))*(AC248-AC247)))*(INDEX(fixed_capacity_charge,MATCH(AC247,PORTS!$H$11:$H$317,0),MATCH(AG$5,PORTS!$H$11:$N$11,0))+INDEX(variable_om_charge,MATCH(AC247,PORTS!$H$318:$H$625,0),MATCH(AG$5,PORTS!$H$318:$N$318,0)))</f>
        <v>-0</v>
      </c>
      <c r="AJ247" s="343" t="n">
        <f aca="false">+AI247+AH247</f>
        <v>0</v>
      </c>
      <c r="AK247" s="355" t="n">
        <f aca="false">+AJ247+AD247</f>
        <v>0</v>
      </c>
      <c r="AM247" s="346" t="n">
        <f aca="false">+DATE(YEAR(AM246),MONTH(AM246)+1,1)</f>
        <v>43678</v>
      </c>
      <c r="AN247" s="327" t="n">
        <f aca="false">+AP247/(1-HLOOKUP(AO$6,SHIPS,7,0)*INDEX(LADEN_VOYAGE_DAYS,MATCH(CONCATENATE(AO$4,AO$5),LADEN_VOYAGE_ROUTES,0),MATCH(AO$6,LADEN_VOYAGE_SHIPS,0)))</f>
        <v>0</v>
      </c>
      <c r="AO247" s="347" t="n">
        <f aca="false">+AP247-AN247</f>
        <v>0</v>
      </c>
      <c r="AP247" s="348" t="n">
        <f aca="false">+IF(AND(AO$8&lt;=AM247,AO$9&gt;=AM247),+MIN($B247-SUMIF($H$17:AO$17,AP$17,$H247:AO247),((INDEX(ROUTE_PER_DAY_BY_SHIP,MATCH(CONCATENATE(AO$4,AO$5,AO$7),ROUTE_PER_DAY_ROUTES,0),MATCH(AO$6,ROUTE_PER_DAY_SHIPS,0))*(AM248-AM247))-(INDEX(ROUTE_PER_DAY_BY_SHIP,MATCH(CONCATENATE(AO$4,AO$5,AO$7),ROUTE_PER_DAY_ROUTES,0),MATCH(AO$6,ROUTE_PER_DAY_SHIPS,0))*(AM248-AM247))*HLOOKUP(AO$6,SHIPS,7,0)*INDEX(LADEN_VOYAGE_DAYS,MATCH(CONCATENATE(AO$4,AO$5,AO$7),LADEN_VOYAGE_ROUTES,0),MATCH(AO$6,LADEN_VOYAGE_SHIPS,0)))),0)</f>
        <v>0</v>
      </c>
      <c r="AQ247" s="349" t="n">
        <f aca="false">-(AP247)*PORTS!$I$6</f>
        <v>-0</v>
      </c>
      <c r="AR247" s="327" t="n">
        <f aca="false">+AP247+AQ247</f>
        <v>0</v>
      </c>
      <c r="AS247" s="333"/>
      <c r="AT247" s="346" t="n">
        <f aca="false">+DATE(YEAR(AT246),MONTH(AT246)+1,1)</f>
        <v>43678</v>
      </c>
      <c r="AU247" s="343" t="n">
        <f aca="false">+AR247*(VLOOKUP(AT247,CURVECALC!$C$6:$J$312,4,0)+AV$5)</f>
        <v>0</v>
      </c>
      <c r="AV247" s="350" t="n">
        <f aca="false">-AN247*INDEX(ship_curves,MATCH(AT247,'SHIP CURVES'!$A$9:$A$316,0),MATCH(CONCATENATE(AX$4,AX$5,AX$6,AX$7),'SHIP CURVES'!$A$9:$AZ$9,0))</f>
        <v>-0</v>
      </c>
      <c r="AW247" s="351" t="n">
        <f aca="false">-AP247*INDEX(port_processing_fee,MATCH(AT247,PORTS!$H$626:$H$933,0),MATCH(AX$5,PORTS!$H$626:$Z$626,0))</f>
        <v>-0</v>
      </c>
      <c r="AX247" s="352" t="n">
        <f aca="false">(((VLOOKUP(AT247,curvecalc,4,0))*IF(AN247=0,0,AR247/AN247)-INDEX(ship_curves,MATCH(AT247,'SHIP CURVES'!$A$9:$A$316,0),MATCH(CONCATENATE(AX$4,AX$5,AX$6,AX$7),'SHIP CURVES'!$A$9:$Z$9,0))-INDEX(terminal_curves,MATCH(AT247,'TERMINAL CURVES'!$A$4:$A$313,0),MATCH(AX$5,'TERMINAL CURVES'!$A$4:$N$4,0))*IF(AN247=0,0,AP247/AN247))-(AV$8)*((AV$7-$N$5)-(INDEX(ship_curves,MATCH(AT247,'SHIP CURVES'!$A$9:$A$316,0),MATCH(CONCATENATE(AX$4,AX$5,AX$6,AX$7),'SHIP CURVES'!$A$9:$Z$9,0))-INDEX(ship_curves,MATCH(AT247,'SHIP CURVES'!$A$9:$A$316,0),MATCH(CONCATENATE(AX$4,AV$6,AX$6,AX$7),'SHIP CURVES'!$A$9:$Z$9,0)))-(INDEX(terminal_curves,MATCH(AT247,'TERMINAL CURVES'!$A$4:$A$313,0),MATCH(AX$5,'TERMINAL CURVES'!$A$4:$N$4,0))-INDEX(terminal_curves,MATCH(AT247,'TERMINAL CURVES'!$A$4:$A$313,0),MATCH(AV$6,'TERMINAL CURVES'!$A$4:$N$4,0)))*IF(AN247=0,0,AP247/AN247)))*-AN247</f>
        <v>0</v>
      </c>
      <c r="AY247" s="356" t="n">
        <f aca="false">SUM(AV247:AX247)</f>
        <v>0</v>
      </c>
      <c r="AZ247" s="357" t="n">
        <f aca="false">(-AP247/((HLOOKUP(AX$5,port_specs,2,0)/(365.25))*(AT248-AT247)))*(INDEX(fixed_capacity_charge,MATCH(AT247,PORTS!$H$11:$H$317,0),MATCH(AX$5,PORTS!$H$11:$N$11,0))+INDEX(variable_om_charge,MATCH(AT247,PORTS!$H$318:$H$625,0),MATCH(AX$5,PORTS!$H$318:$N$318,0)))</f>
        <v>-0</v>
      </c>
      <c r="BA247" s="343" t="n">
        <f aca="false">+AZ247+AY247</f>
        <v>0</v>
      </c>
      <c r="BB247" s="355" t="n">
        <f aca="false">+BA247+AU247</f>
        <v>0</v>
      </c>
      <c r="BC247" s="99"/>
      <c r="BD247" s="357" t="n">
        <f aca="false">+PORTS!I241+PORTS!I549</f>
        <v>0</v>
      </c>
    </row>
    <row r="248" customFormat="false" ht="12.75" hidden="false" customHeight="false" outlineLevel="0" collapsed="false">
      <c r="A248" s="346" t="n">
        <f aca="false">+DATE(YEAR(A247),MONTH(A247)+1,1)</f>
        <v>43709</v>
      </c>
      <c r="B248" s="327" t="n">
        <f aca="false">+IF(AND($A248&gt;=$C$8,$A248&lt;=$C$9),1,0)*PORTS!$I$5/(365.25)*(A249-A248)</f>
        <v>0</v>
      </c>
      <c r="C248" s="328" t="n">
        <f aca="false">+B248-(SUMIF($F$17:$IV$17,$H$17,$F248:$IV248))</f>
        <v>0</v>
      </c>
      <c r="D248" s="0" t="n">
        <f aca="false">+YEAR(E248)</f>
        <v>2019</v>
      </c>
      <c r="E248" s="346" t="n">
        <f aca="false">+DATE(YEAR(E247),MONTH(E247)+1,1)</f>
        <v>43709</v>
      </c>
      <c r="F248" s="327" t="n">
        <f aca="false">+IF(AND(G$8&lt;=E248,G$9&gt;=E248),INDEX(ROUTE_PER_DAY_BY_SHIP,MATCH(CONCATENATE(G$4,G$5,G$7),ROUTE_PER_DAY_ROUTES,0),MATCH(G$6,ROUTE_PER_DAY_SHIPS,0))*(E249-E248),0)</f>
        <v>0</v>
      </c>
      <c r="G248" s="347" t="n">
        <f aca="false">-F248*HLOOKUP(G$6,SHIPS,7,0)*INDEX(LADEN_VOYAGE_DAYS,MATCH(CONCATENATE(G$4,G$5,G$7),LADEN_VOYAGE_ROUTES,0),MATCH(G$6,LADEN_VOYAGE_SHIPS,0))</f>
        <v>-0</v>
      </c>
      <c r="H248" s="348" t="n">
        <f aca="false">SUM(F248:G248)</f>
        <v>0</v>
      </c>
      <c r="I248" s="349" t="n">
        <f aca="false">-(H248)*HLOOKUP(G$5,TERMINAL_CHARGES,3,0)</f>
        <v>-0</v>
      </c>
      <c r="J248" s="327" t="n">
        <f aca="false">+H248+I248</f>
        <v>0</v>
      </c>
      <c r="K248" s="333"/>
      <c r="L248" s="346" t="n">
        <f aca="false">+DATE(YEAR(L247),MONTH(L247)+1,1)</f>
        <v>43709</v>
      </c>
      <c r="M248" s="334" t="n">
        <f aca="false">+J248*(VLOOKUP(L248,CURVECALC!$C$6:$J$312,4,0)+N$5)</f>
        <v>0</v>
      </c>
      <c r="N248" s="350" t="n">
        <f aca="false">-F248*INDEX(ship_curves,MATCH(L248,'SHIP CURVES'!$A$9:$A$316,0),MATCH(CONCATENATE(P$4,P$5,P$6,P$7),'SHIP CURVES'!$A$9:$AZ$9,0))</f>
        <v>-0</v>
      </c>
      <c r="O248" s="351" t="n">
        <f aca="false">-H248*INDEX(port_processing_fee,MATCH(L248,PORTS!$H$626:$H$933,0),MATCH(P$5,PORTS!$H$626:$Z$626,0))</f>
        <v>-0</v>
      </c>
      <c r="P248" s="352" t="n">
        <f aca="false">(((VLOOKUP(L248,curvecalc,4,0))*IF(F248=0,0,J248/F248)-INDEX(ship_curves,MATCH(L248,'SHIP CURVES'!$A$9:$A$316,0),MATCH(CONCATENATE(P$4,P$5,P$6,P$7),'SHIP CURVES'!$A$9:$Z$9,0))-INDEX(terminal_curves,MATCH(L248,'TERMINAL CURVES'!$A$4:$A$313,0),MATCH(P$5,'TERMINAL CURVES'!$A$4:$N$4,0))*IF(F248=0,0,H248/F248))-(N$8)*((N$7-$N$5)-(INDEX(ship_curves,MATCH(L248,'SHIP CURVES'!$A$9:$A$316,0),MATCH(CONCATENATE(P$4,P$5,P$6,P$7),'SHIP CURVES'!$A$9:$Z$9,0))-INDEX(ship_curves,MATCH(L248,'SHIP CURVES'!$A$9:$A$316,0),MATCH(CONCATENATE(P$4,N$6,P$6,P$7),'SHIP CURVES'!$A$9:$Z$9,0)))-(INDEX(terminal_curves,MATCH(L248,'TERMINAL CURVES'!$A$4:$A$313,0),MATCH(P$5,'TERMINAL CURVES'!$A$4:$N$4,0))-INDEX(terminal_curves,MATCH(L248,'TERMINAL CURVES'!$A$4:$A$313,0),MATCH(N$6,'TERMINAL CURVES'!$A$4:$N$4,0)))*IF(F248=0,0,H248/F248)))*-F248</f>
        <v>0</v>
      </c>
      <c r="Q248" s="353" t="n">
        <f aca="false">SUM(N248:P248)</f>
        <v>0</v>
      </c>
      <c r="R248" s="357" t="n">
        <f aca="false">(-H248/((HLOOKUP(P$5,port_specs,2,0)/(365.25))*(L249-L248)))*(INDEX(fixed_capacity_charge,MATCH(L248,PORTS!$H$11:$H$317,0),MATCH(P$5,PORTS!$H$11:$N$11,0))+INDEX(variable_om_charge,MATCH(L248,PORTS!$H$318:$H$625,0),MATCH(P$5,PORTS!$H$318:$N$318,0)))</f>
        <v>-0</v>
      </c>
      <c r="S248" s="343" t="n">
        <f aca="false">+R248+Q248</f>
        <v>0</v>
      </c>
      <c r="T248" s="355" t="n">
        <f aca="false">+S248+M248</f>
        <v>0</v>
      </c>
      <c r="V248" s="346" t="n">
        <f aca="false">+DATE(YEAR(V247),MONTH(V247)+1,1)</f>
        <v>43709</v>
      </c>
      <c r="W248" s="327" t="n">
        <f aca="false">+Y248/(1-HLOOKUP(X$6,SHIPS,7,0)*INDEX(LADEN_VOYAGE_DAYS,MATCH(CONCATENATE(X$4,X$5),LADEN_VOYAGE_ROUTES,0),MATCH(X$6,LADEN_VOYAGE_SHIPS,0)))</f>
        <v>0</v>
      </c>
      <c r="X248" s="347" t="n">
        <f aca="false">+Y248-W248</f>
        <v>0</v>
      </c>
      <c r="Y248" s="348" t="n">
        <f aca="false">+IF(AND(X$8&lt;=V248,X$9&gt;=V248),+MIN($B248-SUMIF($H$17:X$17,Y$17,$H248:X248),((INDEX(ROUTE_PER_DAY_BY_SHIP,MATCH(CONCATENATE(X$4,X$5,X$7),ROUTE_PER_DAY_ROUTES,0),MATCH(X$6,ROUTE_PER_DAY_SHIPS,0))*(V249-V248))-(INDEX(ROUTE_PER_DAY_BY_SHIP,MATCH(CONCATENATE(X$4,X$5,X$7),ROUTE_PER_DAY_ROUTES,0),MATCH(X$6,ROUTE_PER_DAY_SHIPS,0))*(V249-V248))*HLOOKUP(X$6,SHIPS,7,0)*INDEX(LADEN_VOYAGE_DAYS,MATCH(CONCATENATE(X$4,X$5,X$7),LADEN_VOYAGE_ROUTES,0),MATCH(X$6,LADEN_VOYAGE_SHIPS,0)))),0)</f>
        <v>0</v>
      </c>
      <c r="Z248" s="349" t="n">
        <f aca="false">-(Y248)*HLOOKUP(X$5,TERMINAL_CHARGES,3,0)</f>
        <v>-0</v>
      </c>
      <c r="AA248" s="327" t="n">
        <f aca="false">+Y248+Z248</f>
        <v>0</v>
      </c>
      <c r="AB248" s="333"/>
      <c r="AC248" s="346" t="n">
        <f aca="false">+DATE(YEAR(AC247),MONTH(AC247)+1,1)</f>
        <v>43709</v>
      </c>
      <c r="AD248" s="343" t="n">
        <f aca="false">+AA248*(VLOOKUP(AC248,CURVECALC!$C$6:$J$312,4,0)+AE$5)</f>
        <v>0</v>
      </c>
      <c r="AE248" s="350" t="n">
        <f aca="false">-W248*INDEX(ship_curves,MATCH(AC248,'SHIP CURVES'!$A$9:$A$316,0),MATCH(CONCATENATE(AG$4,AG$5,AG$6,AG$7),'SHIP CURVES'!$A$9:$AZ$9,0))</f>
        <v>-0</v>
      </c>
      <c r="AF248" s="351" t="n">
        <f aca="false">-Y248*INDEX(port_processing_fee,MATCH(AC248,PORTS!$H$626:$H$933,0),MATCH(AG$5,PORTS!$H$626:$Z$626,0))</f>
        <v>-0</v>
      </c>
      <c r="AG248" s="352" t="n">
        <f aca="false">(((VLOOKUP(AC248,curvecalc,4,0))*IF(W248=0,0,AA248/W248)-INDEX(ship_curves,MATCH(AC248,'SHIP CURVES'!$A$9:$A$316,0),MATCH(CONCATENATE(AG$4,AG$5,AG$6,AG$7),'SHIP CURVES'!$A$9:$Z$9,0))-INDEX(terminal_curves,MATCH(AC248,'TERMINAL CURVES'!$A$4:$A$313,0),MATCH(AG$5,'TERMINAL CURVES'!$A$4:$N$4,0))*IF(W248=0,0,Y248/W248))-(AE$8)*((AE$7-$N$5)-(INDEX(ship_curves,MATCH(AC248,'SHIP CURVES'!$A$9:$A$316,0),MATCH(CONCATENATE(AG$4,AG$5,AG$6,AG$7),'SHIP CURVES'!$A$9:$Z$9,0))-INDEX(ship_curves,MATCH(AC248,'SHIP CURVES'!$A$9:$A$316,0),MATCH(CONCATENATE(AG$4,AE$6,AG$6,AG$7),'SHIP CURVES'!$A$9:$Z$9,0)))-(INDEX(terminal_curves,MATCH(AC248,'TERMINAL CURVES'!$A$4:$A$313,0),MATCH(AG$5,'TERMINAL CURVES'!$A$4:$N$4,0))-INDEX(terminal_curves,MATCH(AC248,'TERMINAL CURVES'!$A$4:$A$313,0),MATCH(AE$6,'TERMINAL CURVES'!$A$4:$N$4,0)))*IF(W248=0,0,Y248/W248)))*-W248</f>
        <v>0</v>
      </c>
      <c r="AH248" s="356" t="n">
        <f aca="false">SUM(AE248:AG248)</f>
        <v>0</v>
      </c>
      <c r="AI248" s="357" t="n">
        <f aca="false">(-Y248/((HLOOKUP(AG$5,port_specs,2,0)/(365.25))*(AC249-AC248)))*(INDEX(fixed_capacity_charge,MATCH(AC248,PORTS!$H$11:$H$317,0),MATCH(AG$5,PORTS!$H$11:$N$11,0))+INDEX(variable_om_charge,MATCH(AC248,PORTS!$H$318:$H$625,0),MATCH(AG$5,PORTS!$H$318:$N$318,0)))</f>
        <v>-0</v>
      </c>
      <c r="AJ248" s="343" t="n">
        <f aca="false">+AI248+AH248</f>
        <v>0</v>
      </c>
      <c r="AK248" s="355" t="n">
        <f aca="false">+AJ248+AD248</f>
        <v>0</v>
      </c>
      <c r="AM248" s="346" t="n">
        <f aca="false">+DATE(YEAR(AM247),MONTH(AM247)+1,1)</f>
        <v>43709</v>
      </c>
      <c r="AN248" s="327" t="n">
        <f aca="false">+AP248/(1-HLOOKUP(AO$6,SHIPS,7,0)*INDEX(LADEN_VOYAGE_DAYS,MATCH(CONCATENATE(AO$4,AO$5),LADEN_VOYAGE_ROUTES,0),MATCH(AO$6,LADEN_VOYAGE_SHIPS,0)))</f>
        <v>0</v>
      </c>
      <c r="AO248" s="347" t="n">
        <f aca="false">+AP248-AN248</f>
        <v>0</v>
      </c>
      <c r="AP248" s="348" t="n">
        <f aca="false">+IF(AND(AO$8&lt;=AM248,AO$9&gt;=AM248),+MIN($B248-SUMIF($H$17:AO$17,AP$17,$H248:AO248),((INDEX(ROUTE_PER_DAY_BY_SHIP,MATCH(CONCATENATE(AO$4,AO$5,AO$7),ROUTE_PER_DAY_ROUTES,0),MATCH(AO$6,ROUTE_PER_DAY_SHIPS,0))*(AM249-AM248))-(INDEX(ROUTE_PER_DAY_BY_SHIP,MATCH(CONCATENATE(AO$4,AO$5,AO$7),ROUTE_PER_DAY_ROUTES,0),MATCH(AO$6,ROUTE_PER_DAY_SHIPS,0))*(AM249-AM248))*HLOOKUP(AO$6,SHIPS,7,0)*INDEX(LADEN_VOYAGE_DAYS,MATCH(CONCATENATE(AO$4,AO$5,AO$7),LADEN_VOYAGE_ROUTES,0),MATCH(AO$6,LADEN_VOYAGE_SHIPS,0)))),0)</f>
        <v>0</v>
      </c>
      <c r="AQ248" s="349" t="n">
        <f aca="false">-(AP248)*PORTS!$I$6</f>
        <v>-0</v>
      </c>
      <c r="AR248" s="327" t="n">
        <f aca="false">+AP248+AQ248</f>
        <v>0</v>
      </c>
      <c r="AS248" s="333"/>
      <c r="AT248" s="346" t="n">
        <f aca="false">+DATE(YEAR(AT247),MONTH(AT247)+1,1)</f>
        <v>43709</v>
      </c>
      <c r="AU248" s="343" t="n">
        <f aca="false">+AR248*(VLOOKUP(AT248,CURVECALC!$C$6:$J$312,4,0)+AV$5)</f>
        <v>0</v>
      </c>
      <c r="AV248" s="350" t="n">
        <f aca="false">-AN248*INDEX(ship_curves,MATCH(AT248,'SHIP CURVES'!$A$9:$A$316,0),MATCH(CONCATENATE(AX$4,AX$5,AX$6,AX$7),'SHIP CURVES'!$A$9:$AZ$9,0))</f>
        <v>-0</v>
      </c>
      <c r="AW248" s="351" t="n">
        <f aca="false">-AP248*INDEX(port_processing_fee,MATCH(AT248,PORTS!$H$626:$H$933,0),MATCH(AX$5,PORTS!$H$626:$Z$626,0))</f>
        <v>-0</v>
      </c>
      <c r="AX248" s="352" t="n">
        <f aca="false">(((VLOOKUP(AT248,curvecalc,4,0))*IF(AN248=0,0,AR248/AN248)-INDEX(ship_curves,MATCH(AT248,'SHIP CURVES'!$A$9:$A$316,0),MATCH(CONCATENATE(AX$4,AX$5,AX$6,AX$7),'SHIP CURVES'!$A$9:$Z$9,0))-INDEX(terminal_curves,MATCH(AT248,'TERMINAL CURVES'!$A$4:$A$313,0),MATCH(AX$5,'TERMINAL CURVES'!$A$4:$N$4,0))*IF(AN248=0,0,AP248/AN248))-(AV$8)*((AV$7-$N$5)-(INDEX(ship_curves,MATCH(AT248,'SHIP CURVES'!$A$9:$A$316,0),MATCH(CONCATENATE(AX$4,AX$5,AX$6,AX$7),'SHIP CURVES'!$A$9:$Z$9,0))-INDEX(ship_curves,MATCH(AT248,'SHIP CURVES'!$A$9:$A$316,0),MATCH(CONCATENATE(AX$4,AV$6,AX$6,AX$7),'SHIP CURVES'!$A$9:$Z$9,0)))-(INDEX(terminal_curves,MATCH(AT248,'TERMINAL CURVES'!$A$4:$A$313,0),MATCH(AX$5,'TERMINAL CURVES'!$A$4:$N$4,0))-INDEX(terminal_curves,MATCH(AT248,'TERMINAL CURVES'!$A$4:$A$313,0),MATCH(AV$6,'TERMINAL CURVES'!$A$4:$N$4,0)))*IF(AN248=0,0,AP248/AN248)))*-AN248</f>
        <v>0</v>
      </c>
      <c r="AY248" s="356" t="n">
        <f aca="false">SUM(AV248:AX248)</f>
        <v>0</v>
      </c>
      <c r="AZ248" s="357" t="n">
        <f aca="false">(-AP248/((HLOOKUP(AX$5,port_specs,2,0)/(365.25))*(AT249-AT248)))*(INDEX(fixed_capacity_charge,MATCH(AT248,PORTS!$H$11:$H$317,0),MATCH(AX$5,PORTS!$H$11:$N$11,0))+INDEX(variable_om_charge,MATCH(AT248,PORTS!$H$318:$H$625,0),MATCH(AX$5,PORTS!$H$318:$N$318,0)))</f>
        <v>-0</v>
      </c>
      <c r="BA248" s="343" t="n">
        <f aca="false">+AZ248+AY248</f>
        <v>0</v>
      </c>
      <c r="BB248" s="355" t="n">
        <f aca="false">+BA248+AU248</f>
        <v>0</v>
      </c>
      <c r="BC248" s="99"/>
      <c r="BD248" s="357" t="n">
        <f aca="false">+PORTS!I242+PORTS!I550</f>
        <v>0</v>
      </c>
    </row>
    <row r="249" customFormat="false" ht="12.75" hidden="false" customHeight="false" outlineLevel="0" collapsed="false">
      <c r="A249" s="346" t="n">
        <f aca="false">+DATE(YEAR(A248),MONTH(A248)+1,1)</f>
        <v>43739</v>
      </c>
      <c r="B249" s="327" t="n">
        <f aca="false">+IF(AND($A249&gt;=$C$8,$A249&lt;=$C$9),1,0)*PORTS!$I$5/(365.25)*(A250-A249)</f>
        <v>0</v>
      </c>
      <c r="C249" s="328" t="n">
        <f aca="false">+B249-(SUMIF($F$17:$IV$17,$H$17,$F249:$IV249))</f>
        <v>0</v>
      </c>
      <c r="D249" s="0" t="n">
        <f aca="false">+YEAR(E249)</f>
        <v>2019</v>
      </c>
      <c r="E249" s="346" t="n">
        <f aca="false">+DATE(YEAR(E248),MONTH(E248)+1,1)</f>
        <v>43739</v>
      </c>
      <c r="F249" s="327" t="n">
        <f aca="false">+IF(AND(G$8&lt;=E249,G$9&gt;=E249),INDEX(ROUTE_PER_DAY_BY_SHIP,MATCH(CONCATENATE(G$4,G$5,G$7),ROUTE_PER_DAY_ROUTES,0),MATCH(G$6,ROUTE_PER_DAY_SHIPS,0))*(E250-E249),0)</f>
        <v>0</v>
      </c>
      <c r="G249" s="347" t="n">
        <f aca="false">-F249*HLOOKUP(G$6,SHIPS,7,0)*INDEX(LADEN_VOYAGE_DAYS,MATCH(CONCATENATE(G$4,G$5,G$7),LADEN_VOYAGE_ROUTES,0),MATCH(G$6,LADEN_VOYAGE_SHIPS,0))</f>
        <v>-0</v>
      </c>
      <c r="H249" s="348" t="n">
        <f aca="false">SUM(F249:G249)</f>
        <v>0</v>
      </c>
      <c r="I249" s="349" t="n">
        <f aca="false">-(H249)*HLOOKUP(G$5,TERMINAL_CHARGES,3,0)</f>
        <v>-0</v>
      </c>
      <c r="J249" s="327" t="n">
        <f aca="false">+H249+I249</f>
        <v>0</v>
      </c>
      <c r="K249" s="333"/>
      <c r="L249" s="346" t="n">
        <f aca="false">+DATE(YEAR(L248),MONTH(L248)+1,1)</f>
        <v>43739</v>
      </c>
      <c r="M249" s="334" t="n">
        <f aca="false">+J249*(VLOOKUP(L249,CURVECALC!$C$6:$J$312,4,0)+N$5)</f>
        <v>0</v>
      </c>
      <c r="N249" s="350" t="n">
        <f aca="false">-F249*INDEX(ship_curves,MATCH(L249,'SHIP CURVES'!$A$9:$A$316,0),MATCH(CONCATENATE(P$4,P$5,P$6,P$7),'SHIP CURVES'!$A$9:$AZ$9,0))</f>
        <v>-0</v>
      </c>
      <c r="O249" s="351" t="n">
        <f aca="false">-H249*INDEX(port_processing_fee,MATCH(L249,PORTS!$H$626:$H$933,0),MATCH(P$5,PORTS!$H$626:$Z$626,0))</f>
        <v>-0</v>
      </c>
      <c r="P249" s="352" t="n">
        <f aca="false">(((VLOOKUP(L249,curvecalc,4,0))*IF(F249=0,0,J249/F249)-INDEX(ship_curves,MATCH(L249,'SHIP CURVES'!$A$9:$A$316,0),MATCH(CONCATENATE(P$4,P$5,P$6,P$7),'SHIP CURVES'!$A$9:$Z$9,0))-INDEX(terminal_curves,MATCH(L249,'TERMINAL CURVES'!$A$4:$A$313,0),MATCH(P$5,'TERMINAL CURVES'!$A$4:$N$4,0))*IF(F249=0,0,H249/F249))-(N$8)*((N$7-$N$5)-(INDEX(ship_curves,MATCH(L249,'SHIP CURVES'!$A$9:$A$316,0),MATCH(CONCATENATE(P$4,P$5,P$6,P$7),'SHIP CURVES'!$A$9:$Z$9,0))-INDEX(ship_curves,MATCH(L249,'SHIP CURVES'!$A$9:$A$316,0),MATCH(CONCATENATE(P$4,N$6,P$6,P$7),'SHIP CURVES'!$A$9:$Z$9,0)))-(INDEX(terminal_curves,MATCH(L249,'TERMINAL CURVES'!$A$4:$A$313,0),MATCH(P$5,'TERMINAL CURVES'!$A$4:$N$4,0))-INDEX(terminal_curves,MATCH(L249,'TERMINAL CURVES'!$A$4:$A$313,0),MATCH(N$6,'TERMINAL CURVES'!$A$4:$N$4,0)))*IF(F249=0,0,H249/F249)))*-F249</f>
        <v>0</v>
      </c>
      <c r="Q249" s="353" t="n">
        <f aca="false">SUM(N249:P249)</f>
        <v>0</v>
      </c>
      <c r="R249" s="357" t="n">
        <f aca="false">(-H249/((HLOOKUP(P$5,port_specs,2,0)/(365.25))*(L250-L249)))*(INDEX(fixed_capacity_charge,MATCH(L249,PORTS!$H$11:$H$317,0),MATCH(P$5,PORTS!$H$11:$N$11,0))+INDEX(variable_om_charge,MATCH(L249,PORTS!$H$318:$H$625,0),MATCH(P$5,PORTS!$H$318:$N$318,0)))</f>
        <v>-0</v>
      </c>
      <c r="S249" s="343" t="n">
        <f aca="false">+R249+Q249</f>
        <v>0</v>
      </c>
      <c r="T249" s="355" t="n">
        <f aca="false">+S249+M249</f>
        <v>0</v>
      </c>
      <c r="V249" s="346" t="n">
        <f aca="false">+DATE(YEAR(V248),MONTH(V248)+1,1)</f>
        <v>43739</v>
      </c>
      <c r="W249" s="327" t="n">
        <f aca="false">+Y249/(1-HLOOKUP(X$6,SHIPS,7,0)*INDEX(LADEN_VOYAGE_DAYS,MATCH(CONCATENATE(X$4,X$5),LADEN_VOYAGE_ROUTES,0),MATCH(X$6,LADEN_VOYAGE_SHIPS,0)))</f>
        <v>0</v>
      </c>
      <c r="X249" s="347" t="n">
        <f aca="false">+Y249-W249</f>
        <v>0</v>
      </c>
      <c r="Y249" s="348" t="n">
        <f aca="false">+IF(AND(X$8&lt;=V249,X$9&gt;=V249),+MIN($B249-SUMIF($H$17:X$17,Y$17,$H249:X249),((INDEX(ROUTE_PER_DAY_BY_SHIP,MATCH(CONCATENATE(X$4,X$5,X$7),ROUTE_PER_DAY_ROUTES,0),MATCH(X$6,ROUTE_PER_DAY_SHIPS,0))*(V250-V249))-(INDEX(ROUTE_PER_DAY_BY_SHIP,MATCH(CONCATENATE(X$4,X$5,X$7),ROUTE_PER_DAY_ROUTES,0),MATCH(X$6,ROUTE_PER_DAY_SHIPS,0))*(V250-V249))*HLOOKUP(X$6,SHIPS,7,0)*INDEX(LADEN_VOYAGE_DAYS,MATCH(CONCATENATE(X$4,X$5,X$7),LADEN_VOYAGE_ROUTES,0),MATCH(X$6,LADEN_VOYAGE_SHIPS,0)))),0)</f>
        <v>0</v>
      </c>
      <c r="Z249" s="349" t="n">
        <f aca="false">-(Y249)*HLOOKUP(X$5,TERMINAL_CHARGES,3,0)</f>
        <v>-0</v>
      </c>
      <c r="AA249" s="327" t="n">
        <f aca="false">+Y249+Z249</f>
        <v>0</v>
      </c>
      <c r="AB249" s="333"/>
      <c r="AC249" s="346" t="n">
        <f aca="false">+DATE(YEAR(AC248),MONTH(AC248)+1,1)</f>
        <v>43739</v>
      </c>
      <c r="AD249" s="343" t="n">
        <f aca="false">+AA249*(VLOOKUP(AC249,CURVECALC!$C$6:$J$312,4,0)+AE$5)</f>
        <v>0</v>
      </c>
      <c r="AE249" s="350" t="n">
        <f aca="false">-W249*INDEX(ship_curves,MATCH(AC249,'SHIP CURVES'!$A$9:$A$316,0),MATCH(CONCATENATE(AG$4,AG$5,AG$6,AG$7),'SHIP CURVES'!$A$9:$AZ$9,0))</f>
        <v>-0</v>
      </c>
      <c r="AF249" s="351" t="n">
        <f aca="false">-Y249*INDEX(port_processing_fee,MATCH(AC249,PORTS!$H$626:$H$933,0),MATCH(AG$5,PORTS!$H$626:$Z$626,0))</f>
        <v>-0</v>
      </c>
      <c r="AG249" s="352" t="n">
        <f aca="false">(((VLOOKUP(AC249,curvecalc,4,0))*IF(W249=0,0,AA249/W249)-INDEX(ship_curves,MATCH(AC249,'SHIP CURVES'!$A$9:$A$316,0),MATCH(CONCATENATE(AG$4,AG$5,AG$6,AG$7),'SHIP CURVES'!$A$9:$Z$9,0))-INDEX(terminal_curves,MATCH(AC249,'TERMINAL CURVES'!$A$4:$A$313,0),MATCH(AG$5,'TERMINAL CURVES'!$A$4:$N$4,0))*IF(W249=0,0,Y249/W249))-(AE$8)*((AE$7-$N$5)-(INDEX(ship_curves,MATCH(AC249,'SHIP CURVES'!$A$9:$A$316,0),MATCH(CONCATENATE(AG$4,AG$5,AG$6,AG$7),'SHIP CURVES'!$A$9:$Z$9,0))-INDEX(ship_curves,MATCH(AC249,'SHIP CURVES'!$A$9:$A$316,0),MATCH(CONCATENATE(AG$4,AE$6,AG$6,AG$7),'SHIP CURVES'!$A$9:$Z$9,0)))-(INDEX(terminal_curves,MATCH(AC249,'TERMINAL CURVES'!$A$4:$A$313,0),MATCH(AG$5,'TERMINAL CURVES'!$A$4:$N$4,0))-INDEX(terminal_curves,MATCH(AC249,'TERMINAL CURVES'!$A$4:$A$313,0),MATCH(AE$6,'TERMINAL CURVES'!$A$4:$N$4,0)))*IF(W249=0,0,Y249/W249)))*-W249</f>
        <v>0</v>
      </c>
      <c r="AH249" s="356" t="n">
        <f aca="false">SUM(AE249:AG249)</f>
        <v>0</v>
      </c>
      <c r="AI249" s="357" t="n">
        <f aca="false">(-Y249/((HLOOKUP(AG$5,port_specs,2,0)/(365.25))*(AC250-AC249)))*(INDEX(fixed_capacity_charge,MATCH(AC249,PORTS!$H$11:$H$317,0),MATCH(AG$5,PORTS!$H$11:$N$11,0))+INDEX(variable_om_charge,MATCH(AC249,PORTS!$H$318:$H$625,0),MATCH(AG$5,PORTS!$H$318:$N$318,0)))</f>
        <v>-0</v>
      </c>
      <c r="AJ249" s="343" t="n">
        <f aca="false">+AI249+AH249</f>
        <v>0</v>
      </c>
      <c r="AK249" s="355" t="n">
        <f aca="false">+AJ249+AD249</f>
        <v>0</v>
      </c>
      <c r="AM249" s="346" t="n">
        <f aca="false">+DATE(YEAR(AM248),MONTH(AM248)+1,1)</f>
        <v>43739</v>
      </c>
      <c r="AN249" s="327" t="n">
        <f aca="false">+AP249/(1-HLOOKUP(AO$6,SHIPS,7,0)*INDEX(LADEN_VOYAGE_DAYS,MATCH(CONCATENATE(AO$4,AO$5),LADEN_VOYAGE_ROUTES,0),MATCH(AO$6,LADEN_VOYAGE_SHIPS,0)))</f>
        <v>0</v>
      </c>
      <c r="AO249" s="347" t="n">
        <f aca="false">+AP249-AN249</f>
        <v>0</v>
      </c>
      <c r="AP249" s="348" t="n">
        <f aca="false">+IF(AND(AO$8&lt;=AM249,AO$9&gt;=AM249),+MIN($B249-SUMIF($H$17:AO$17,AP$17,$H249:AO249),((INDEX(ROUTE_PER_DAY_BY_SHIP,MATCH(CONCATENATE(AO$4,AO$5,AO$7),ROUTE_PER_DAY_ROUTES,0),MATCH(AO$6,ROUTE_PER_DAY_SHIPS,0))*(AM250-AM249))-(INDEX(ROUTE_PER_DAY_BY_SHIP,MATCH(CONCATENATE(AO$4,AO$5,AO$7),ROUTE_PER_DAY_ROUTES,0),MATCH(AO$6,ROUTE_PER_DAY_SHIPS,0))*(AM250-AM249))*HLOOKUP(AO$6,SHIPS,7,0)*INDEX(LADEN_VOYAGE_DAYS,MATCH(CONCATENATE(AO$4,AO$5,AO$7),LADEN_VOYAGE_ROUTES,0),MATCH(AO$6,LADEN_VOYAGE_SHIPS,0)))),0)</f>
        <v>0</v>
      </c>
      <c r="AQ249" s="349" t="n">
        <f aca="false">-(AP249)*PORTS!$I$6</f>
        <v>-0</v>
      </c>
      <c r="AR249" s="327" t="n">
        <f aca="false">+AP249+AQ249</f>
        <v>0</v>
      </c>
      <c r="AS249" s="333"/>
      <c r="AT249" s="346" t="n">
        <f aca="false">+DATE(YEAR(AT248),MONTH(AT248)+1,1)</f>
        <v>43739</v>
      </c>
      <c r="AU249" s="343" t="n">
        <f aca="false">+AR249*(VLOOKUP(AT249,CURVECALC!$C$6:$J$312,4,0)+AV$5)</f>
        <v>0</v>
      </c>
      <c r="AV249" s="350" t="n">
        <f aca="false">-AN249*INDEX(ship_curves,MATCH(AT249,'SHIP CURVES'!$A$9:$A$316,0),MATCH(CONCATENATE(AX$4,AX$5,AX$6,AX$7),'SHIP CURVES'!$A$9:$AZ$9,0))</f>
        <v>-0</v>
      </c>
      <c r="AW249" s="351" t="n">
        <f aca="false">-AP249*INDEX(port_processing_fee,MATCH(AT249,PORTS!$H$626:$H$933,0),MATCH(AX$5,PORTS!$H$626:$Z$626,0))</f>
        <v>-0</v>
      </c>
      <c r="AX249" s="352" t="n">
        <f aca="false">(((VLOOKUP(AT249,curvecalc,4,0))*IF(AN249=0,0,AR249/AN249)-INDEX(ship_curves,MATCH(AT249,'SHIP CURVES'!$A$9:$A$316,0),MATCH(CONCATENATE(AX$4,AX$5,AX$6,AX$7),'SHIP CURVES'!$A$9:$Z$9,0))-INDEX(terminal_curves,MATCH(AT249,'TERMINAL CURVES'!$A$4:$A$313,0),MATCH(AX$5,'TERMINAL CURVES'!$A$4:$N$4,0))*IF(AN249=0,0,AP249/AN249))-(AV$8)*((AV$7-$N$5)-(INDEX(ship_curves,MATCH(AT249,'SHIP CURVES'!$A$9:$A$316,0),MATCH(CONCATENATE(AX$4,AX$5,AX$6,AX$7),'SHIP CURVES'!$A$9:$Z$9,0))-INDEX(ship_curves,MATCH(AT249,'SHIP CURVES'!$A$9:$A$316,0),MATCH(CONCATENATE(AX$4,AV$6,AX$6,AX$7),'SHIP CURVES'!$A$9:$Z$9,0)))-(INDEX(terminal_curves,MATCH(AT249,'TERMINAL CURVES'!$A$4:$A$313,0),MATCH(AX$5,'TERMINAL CURVES'!$A$4:$N$4,0))-INDEX(terminal_curves,MATCH(AT249,'TERMINAL CURVES'!$A$4:$A$313,0),MATCH(AV$6,'TERMINAL CURVES'!$A$4:$N$4,0)))*IF(AN249=0,0,AP249/AN249)))*-AN249</f>
        <v>0</v>
      </c>
      <c r="AY249" s="356" t="n">
        <f aca="false">SUM(AV249:AX249)</f>
        <v>0</v>
      </c>
      <c r="AZ249" s="357" t="n">
        <f aca="false">(-AP249/((HLOOKUP(AX$5,port_specs,2,0)/(365.25))*(AT250-AT249)))*(INDEX(fixed_capacity_charge,MATCH(AT249,PORTS!$H$11:$H$317,0),MATCH(AX$5,PORTS!$H$11:$N$11,0))+INDEX(variable_om_charge,MATCH(AT249,PORTS!$H$318:$H$625,0),MATCH(AX$5,PORTS!$H$318:$N$318,0)))</f>
        <v>-0</v>
      </c>
      <c r="BA249" s="343" t="n">
        <f aca="false">+AZ249+AY249</f>
        <v>0</v>
      </c>
      <c r="BB249" s="355" t="n">
        <f aca="false">+BA249+AU249</f>
        <v>0</v>
      </c>
      <c r="BC249" s="99"/>
      <c r="BD249" s="357" t="n">
        <f aca="false">+PORTS!I243+PORTS!I551</f>
        <v>0</v>
      </c>
    </row>
    <row r="250" customFormat="false" ht="12.75" hidden="false" customHeight="false" outlineLevel="0" collapsed="false">
      <c r="A250" s="346" t="n">
        <f aca="false">+DATE(YEAR(A249),MONTH(A249)+1,1)</f>
        <v>43770</v>
      </c>
      <c r="B250" s="327" t="n">
        <f aca="false">+IF(AND($A250&gt;=$C$8,$A250&lt;=$C$9),1,0)*PORTS!$I$5/(365.25)*(A251-A250)</f>
        <v>0</v>
      </c>
      <c r="C250" s="328" t="n">
        <f aca="false">+B250-(SUMIF($F$17:$IV$17,$H$17,$F250:$IV250))</f>
        <v>0</v>
      </c>
      <c r="D250" s="0" t="n">
        <f aca="false">+YEAR(E250)</f>
        <v>2019</v>
      </c>
      <c r="E250" s="346" t="n">
        <f aca="false">+DATE(YEAR(E249),MONTH(E249)+1,1)</f>
        <v>43770</v>
      </c>
      <c r="F250" s="327" t="n">
        <f aca="false">+IF(AND(G$8&lt;=E250,G$9&gt;=E250),INDEX(ROUTE_PER_DAY_BY_SHIP,MATCH(CONCATENATE(G$4,G$5,G$7),ROUTE_PER_DAY_ROUTES,0),MATCH(G$6,ROUTE_PER_DAY_SHIPS,0))*(E251-E250),0)</f>
        <v>0</v>
      </c>
      <c r="G250" s="347" t="n">
        <f aca="false">-F250*HLOOKUP(G$6,SHIPS,7,0)*INDEX(LADEN_VOYAGE_DAYS,MATCH(CONCATENATE(G$4,G$5,G$7),LADEN_VOYAGE_ROUTES,0),MATCH(G$6,LADEN_VOYAGE_SHIPS,0))</f>
        <v>-0</v>
      </c>
      <c r="H250" s="348" t="n">
        <f aca="false">SUM(F250:G250)</f>
        <v>0</v>
      </c>
      <c r="I250" s="349" t="n">
        <f aca="false">-(H250)*HLOOKUP(G$5,TERMINAL_CHARGES,3,0)</f>
        <v>-0</v>
      </c>
      <c r="J250" s="327" t="n">
        <f aca="false">+H250+I250</f>
        <v>0</v>
      </c>
      <c r="K250" s="333"/>
      <c r="L250" s="346" t="n">
        <f aca="false">+DATE(YEAR(L249),MONTH(L249)+1,1)</f>
        <v>43770</v>
      </c>
      <c r="M250" s="334" t="n">
        <f aca="false">+J250*(VLOOKUP(L250,CURVECALC!$C$6:$J$312,4,0)+N$5)</f>
        <v>0</v>
      </c>
      <c r="N250" s="350" t="n">
        <f aca="false">-F250*INDEX(ship_curves,MATCH(L250,'SHIP CURVES'!$A$9:$A$316,0),MATCH(CONCATENATE(P$4,P$5,P$6,P$7),'SHIP CURVES'!$A$9:$AZ$9,0))</f>
        <v>-0</v>
      </c>
      <c r="O250" s="351" t="n">
        <f aca="false">-H250*INDEX(port_processing_fee,MATCH(L250,PORTS!$H$626:$H$933,0),MATCH(P$5,PORTS!$H$626:$Z$626,0))</f>
        <v>-0</v>
      </c>
      <c r="P250" s="352" t="n">
        <f aca="false">(((VLOOKUP(L250,curvecalc,4,0))*IF(F250=0,0,J250/F250)-INDEX(ship_curves,MATCH(L250,'SHIP CURVES'!$A$9:$A$316,0),MATCH(CONCATENATE(P$4,P$5,P$6,P$7),'SHIP CURVES'!$A$9:$Z$9,0))-INDEX(terminal_curves,MATCH(L250,'TERMINAL CURVES'!$A$4:$A$313,0),MATCH(P$5,'TERMINAL CURVES'!$A$4:$N$4,0))*IF(F250=0,0,H250/F250))-(N$8)*((N$7-$N$5)-(INDEX(ship_curves,MATCH(L250,'SHIP CURVES'!$A$9:$A$316,0),MATCH(CONCATENATE(P$4,P$5,P$6,P$7),'SHIP CURVES'!$A$9:$Z$9,0))-INDEX(ship_curves,MATCH(L250,'SHIP CURVES'!$A$9:$A$316,0),MATCH(CONCATENATE(P$4,N$6,P$6,P$7),'SHIP CURVES'!$A$9:$Z$9,0)))-(INDEX(terminal_curves,MATCH(L250,'TERMINAL CURVES'!$A$4:$A$313,0),MATCH(P$5,'TERMINAL CURVES'!$A$4:$N$4,0))-INDEX(terminal_curves,MATCH(L250,'TERMINAL CURVES'!$A$4:$A$313,0),MATCH(N$6,'TERMINAL CURVES'!$A$4:$N$4,0)))*IF(F250=0,0,H250/F250)))*-F250</f>
        <v>0</v>
      </c>
      <c r="Q250" s="353" t="n">
        <f aca="false">SUM(N250:P250)</f>
        <v>0</v>
      </c>
      <c r="R250" s="357" t="n">
        <f aca="false">(-H250/((HLOOKUP(P$5,port_specs,2,0)/(365.25))*(L251-L250)))*(INDEX(fixed_capacity_charge,MATCH(L250,PORTS!$H$11:$H$317,0),MATCH(P$5,PORTS!$H$11:$N$11,0))+INDEX(variable_om_charge,MATCH(L250,PORTS!$H$318:$H$625,0),MATCH(P$5,PORTS!$H$318:$N$318,0)))</f>
        <v>-0</v>
      </c>
      <c r="S250" s="343" t="n">
        <f aca="false">+R250+Q250</f>
        <v>0</v>
      </c>
      <c r="T250" s="355" t="n">
        <f aca="false">+S250+M250</f>
        <v>0</v>
      </c>
      <c r="V250" s="346" t="n">
        <f aca="false">+DATE(YEAR(V249),MONTH(V249)+1,1)</f>
        <v>43770</v>
      </c>
      <c r="W250" s="327" t="n">
        <f aca="false">+Y250/(1-HLOOKUP(X$6,SHIPS,7,0)*INDEX(LADEN_VOYAGE_DAYS,MATCH(CONCATENATE(X$4,X$5),LADEN_VOYAGE_ROUTES,0),MATCH(X$6,LADEN_VOYAGE_SHIPS,0)))</f>
        <v>0</v>
      </c>
      <c r="X250" s="347" t="n">
        <f aca="false">+Y250-W250</f>
        <v>0</v>
      </c>
      <c r="Y250" s="348" t="n">
        <f aca="false">+IF(AND(X$8&lt;=V250,X$9&gt;=V250),+MIN($B250-SUMIF($H$17:X$17,Y$17,$H250:X250),((INDEX(ROUTE_PER_DAY_BY_SHIP,MATCH(CONCATENATE(X$4,X$5,X$7),ROUTE_PER_DAY_ROUTES,0),MATCH(X$6,ROUTE_PER_DAY_SHIPS,0))*(V251-V250))-(INDEX(ROUTE_PER_DAY_BY_SHIP,MATCH(CONCATENATE(X$4,X$5,X$7),ROUTE_PER_DAY_ROUTES,0),MATCH(X$6,ROUTE_PER_DAY_SHIPS,0))*(V251-V250))*HLOOKUP(X$6,SHIPS,7,0)*INDEX(LADEN_VOYAGE_DAYS,MATCH(CONCATENATE(X$4,X$5,X$7),LADEN_VOYAGE_ROUTES,0),MATCH(X$6,LADEN_VOYAGE_SHIPS,0)))),0)</f>
        <v>0</v>
      </c>
      <c r="Z250" s="349" t="n">
        <f aca="false">-(Y250)*HLOOKUP(X$5,TERMINAL_CHARGES,3,0)</f>
        <v>-0</v>
      </c>
      <c r="AA250" s="327" t="n">
        <f aca="false">+Y250+Z250</f>
        <v>0</v>
      </c>
      <c r="AB250" s="333"/>
      <c r="AC250" s="346" t="n">
        <f aca="false">+DATE(YEAR(AC249),MONTH(AC249)+1,1)</f>
        <v>43770</v>
      </c>
      <c r="AD250" s="343" t="n">
        <f aca="false">+AA250*(VLOOKUP(AC250,CURVECALC!$C$6:$J$312,4,0)+AE$5)</f>
        <v>0</v>
      </c>
      <c r="AE250" s="350" t="n">
        <f aca="false">-W250*INDEX(ship_curves,MATCH(AC250,'SHIP CURVES'!$A$9:$A$316,0),MATCH(CONCATENATE(AG$4,AG$5,AG$6,AG$7),'SHIP CURVES'!$A$9:$AZ$9,0))</f>
        <v>-0</v>
      </c>
      <c r="AF250" s="351" t="n">
        <f aca="false">-Y250*INDEX(port_processing_fee,MATCH(AC250,PORTS!$H$626:$H$933,0),MATCH(AG$5,PORTS!$H$626:$Z$626,0))</f>
        <v>-0</v>
      </c>
      <c r="AG250" s="352" t="n">
        <f aca="false">(((VLOOKUP(AC250,curvecalc,4,0))*IF(W250=0,0,AA250/W250)-INDEX(ship_curves,MATCH(AC250,'SHIP CURVES'!$A$9:$A$316,0),MATCH(CONCATENATE(AG$4,AG$5,AG$6,AG$7),'SHIP CURVES'!$A$9:$Z$9,0))-INDEX(terminal_curves,MATCH(AC250,'TERMINAL CURVES'!$A$4:$A$313,0),MATCH(AG$5,'TERMINAL CURVES'!$A$4:$N$4,0))*IF(W250=0,0,Y250/W250))-(AE$8)*((AE$7-$N$5)-(INDEX(ship_curves,MATCH(AC250,'SHIP CURVES'!$A$9:$A$316,0),MATCH(CONCATENATE(AG$4,AG$5,AG$6,AG$7),'SHIP CURVES'!$A$9:$Z$9,0))-INDEX(ship_curves,MATCH(AC250,'SHIP CURVES'!$A$9:$A$316,0),MATCH(CONCATENATE(AG$4,AE$6,AG$6,AG$7),'SHIP CURVES'!$A$9:$Z$9,0)))-(INDEX(terminal_curves,MATCH(AC250,'TERMINAL CURVES'!$A$4:$A$313,0),MATCH(AG$5,'TERMINAL CURVES'!$A$4:$N$4,0))-INDEX(terminal_curves,MATCH(AC250,'TERMINAL CURVES'!$A$4:$A$313,0),MATCH(AE$6,'TERMINAL CURVES'!$A$4:$N$4,0)))*IF(W250=0,0,Y250/W250)))*-W250</f>
        <v>0</v>
      </c>
      <c r="AH250" s="356" t="n">
        <f aca="false">SUM(AE250:AG250)</f>
        <v>0</v>
      </c>
      <c r="AI250" s="357" t="n">
        <f aca="false">(-Y250/((HLOOKUP(AG$5,port_specs,2,0)/(365.25))*(AC251-AC250)))*(INDEX(fixed_capacity_charge,MATCH(AC250,PORTS!$H$11:$H$317,0),MATCH(AG$5,PORTS!$H$11:$N$11,0))+INDEX(variable_om_charge,MATCH(AC250,PORTS!$H$318:$H$625,0),MATCH(AG$5,PORTS!$H$318:$N$318,0)))</f>
        <v>-0</v>
      </c>
      <c r="AJ250" s="343" t="n">
        <f aca="false">+AI250+AH250</f>
        <v>0</v>
      </c>
      <c r="AK250" s="355" t="n">
        <f aca="false">+AJ250+AD250</f>
        <v>0</v>
      </c>
      <c r="AM250" s="346" t="n">
        <f aca="false">+DATE(YEAR(AM249),MONTH(AM249)+1,1)</f>
        <v>43770</v>
      </c>
      <c r="AN250" s="327" t="n">
        <f aca="false">+AP250/(1-HLOOKUP(AO$6,SHIPS,7,0)*INDEX(LADEN_VOYAGE_DAYS,MATCH(CONCATENATE(AO$4,AO$5),LADEN_VOYAGE_ROUTES,0),MATCH(AO$6,LADEN_VOYAGE_SHIPS,0)))</f>
        <v>0</v>
      </c>
      <c r="AO250" s="347" t="n">
        <f aca="false">+AP250-AN250</f>
        <v>0</v>
      </c>
      <c r="AP250" s="348" t="n">
        <f aca="false">+IF(AND(AO$8&lt;=AM250,AO$9&gt;=AM250),+MIN($B250-SUMIF($H$17:AO$17,AP$17,$H250:AO250),((INDEX(ROUTE_PER_DAY_BY_SHIP,MATCH(CONCATENATE(AO$4,AO$5,AO$7),ROUTE_PER_DAY_ROUTES,0),MATCH(AO$6,ROUTE_PER_DAY_SHIPS,0))*(AM251-AM250))-(INDEX(ROUTE_PER_DAY_BY_SHIP,MATCH(CONCATENATE(AO$4,AO$5,AO$7),ROUTE_PER_DAY_ROUTES,0),MATCH(AO$6,ROUTE_PER_DAY_SHIPS,0))*(AM251-AM250))*HLOOKUP(AO$6,SHIPS,7,0)*INDEX(LADEN_VOYAGE_DAYS,MATCH(CONCATENATE(AO$4,AO$5,AO$7),LADEN_VOYAGE_ROUTES,0),MATCH(AO$6,LADEN_VOYAGE_SHIPS,0)))),0)</f>
        <v>0</v>
      </c>
      <c r="AQ250" s="349" t="n">
        <f aca="false">-(AP250)*PORTS!$I$6</f>
        <v>-0</v>
      </c>
      <c r="AR250" s="327" t="n">
        <f aca="false">+AP250+AQ250</f>
        <v>0</v>
      </c>
      <c r="AS250" s="333"/>
      <c r="AT250" s="346" t="n">
        <f aca="false">+DATE(YEAR(AT249),MONTH(AT249)+1,1)</f>
        <v>43770</v>
      </c>
      <c r="AU250" s="343" t="n">
        <f aca="false">+AR250*(VLOOKUP(AT250,CURVECALC!$C$6:$J$312,4,0)+AV$5)</f>
        <v>0</v>
      </c>
      <c r="AV250" s="350" t="n">
        <f aca="false">-AN250*INDEX(ship_curves,MATCH(AT250,'SHIP CURVES'!$A$9:$A$316,0),MATCH(CONCATENATE(AX$4,AX$5,AX$6,AX$7),'SHIP CURVES'!$A$9:$AZ$9,0))</f>
        <v>-0</v>
      </c>
      <c r="AW250" s="351" t="n">
        <f aca="false">-AP250*INDEX(port_processing_fee,MATCH(AT250,PORTS!$H$626:$H$933,0),MATCH(AX$5,PORTS!$H$626:$Z$626,0))</f>
        <v>-0</v>
      </c>
      <c r="AX250" s="352" t="n">
        <f aca="false">(((VLOOKUP(AT250,curvecalc,4,0))*IF(AN250=0,0,AR250/AN250)-INDEX(ship_curves,MATCH(AT250,'SHIP CURVES'!$A$9:$A$316,0),MATCH(CONCATENATE(AX$4,AX$5,AX$6,AX$7),'SHIP CURVES'!$A$9:$Z$9,0))-INDEX(terminal_curves,MATCH(AT250,'TERMINAL CURVES'!$A$4:$A$313,0),MATCH(AX$5,'TERMINAL CURVES'!$A$4:$N$4,0))*IF(AN250=0,0,AP250/AN250))-(AV$8)*((AV$7-$N$5)-(INDEX(ship_curves,MATCH(AT250,'SHIP CURVES'!$A$9:$A$316,0),MATCH(CONCATENATE(AX$4,AX$5,AX$6,AX$7),'SHIP CURVES'!$A$9:$Z$9,0))-INDEX(ship_curves,MATCH(AT250,'SHIP CURVES'!$A$9:$A$316,0),MATCH(CONCATENATE(AX$4,AV$6,AX$6,AX$7),'SHIP CURVES'!$A$9:$Z$9,0)))-(INDEX(terminal_curves,MATCH(AT250,'TERMINAL CURVES'!$A$4:$A$313,0),MATCH(AX$5,'TERMINAL CURVES'!$A$4:$N$4,0))-INDEX(terminal_curves,MATCH(AT250,'TERMINAL CURVES'!$A$4:$A$313,0),MATCH(AV$6,'TERMINAL CURVES'!$A$4:$N$4,0)))*IF(AN250=0,0,AP250/AN250)))*-AN250</f>
        <v>0</v>
      </c>
      <c r="AY250" s="356" t="n">
        <f aca="false">SUM(AV250:AX250)</f>
        <v>0</v>
      </c>
      <c r="AZ250" s="357" t="n">
        <f aca="false">(-AP250/((HLOOKUP(AX$5,port_specs,2,0)/(365.25))*(AT251-AT250)))*(INDEX(fixed_capacity_charge,MATCH(AT250,PORTS!$H$11:$H$317,0),MATCH(AX$5,PORTS!$H$11:$N$11,0))+INDEX(variable_om_charge,MATCH(AT250,PORTS!$H$318:$H$625,0),MATCH(AX$5,PORTS!$H$318:$N$318,0)))</f>
        <v>-0</v>
      </c>
      <c r="BA250" s="343" t="n">
        <f aca="false">+AZ250+AY250</f>
        <v>0</v>
      </c>
      <c r="BB250" s="355" t="n">
        <f aca="false">+BA250+AU250</f>
        <v>0</v>
      </c>
      <c r="BC250" s="99"/>
      <c r="BD250" s="357" t="n">
        <f aca="false">+PORTS!I244+PORTS!I552</f>
        <v>0</v>
      </c>
    </row>
    <row r="251" customFormat="false" ht="12.75" hidden="false" customHeight="false" outlineLevel="0" collapsed="false">
      <c r="A251" s="346" t="n">
        <f aca="false">+DATE(YEAR(A250),MONTH(A250)+1,1)</f>
        <v>43800</v>
      </c>
      <c r="B251" s="327" t="n">
        <f aca="false">+IF(AND($A251&gt;=$C$8,$A251&lt;=$C$9),1,0)*PORTS!$I$5/(365.25)*(A252-A251)</f>
        <v>0</v>
      </c>
      <c r="C251" s="328" t="n">
        <f aca="false">+B251-(SUMIF($F$17:$IV$17,$H$17,$F251:$IV251))</f>
        <v>0</v>
      </c>
      <c r="D251" s="0" t="n">
        <f aca="false">+YEAR(E251)</f>
        <v>2019</v>
      </c>
      <c r="E251" s="346" t="n">
        <f aca="false">+DATE(YEAR(E250),MONTH(E250)+1,1)</f>
        <v>43800</v>
      </c>
      <c r="F251" s="327" t="n">
        <f aca="false">+IF(AND(G$8&lt;=E251,G$9&gt;=E251),INDEX(ROUTE_PER_DAY_BY_SHIP,MATCH(CONCATENATE(G$4,G$5,G$7),ROUTE_PER_DAY_ROUTES,0),MATCH(G$6,ROUTE_PER_DAY_SHIPS,0))*(E252-E251),0)</f>
        <v>0</v>
      </c>
      <c r="G251" s="347" t="n">
        <f aca="false">-F251*HLOOKUP(G$6,SHIPS,7,0)*INDEX(LADEN_VOYAGE_DAYS,MATCH(CONCATENATE(G$4,G$5,G$7),LADEN_VOYAGE_ROUTES,0),MATCH(G$6,LADEN_VOYAGE_SHIPS,0))</f>
        <v>-0</v>
      </c>
      <c r="H251" s="348" t="n">
        <f aca="false">SUM(F251:G251)</f>
        <v>0</v>
      </c>
      <c r="I251" s="349" t="n">
        <f aca="false">-(H251)*HLOOKUP(G$5,TERMINAL_CHARGES,3,0)</f>
        <v>-0</v>
      </c>
      <c r="J251" s="327" t="n">
        <f aca="false">+H251+I251</f>
        <v>0</v>
      </c>
      <c r="K251" s="333"/>
      <c r="L251" s="346" t="n">
        <f aca="false">+DATE(YEAR(L250),MONTH(L250)+1,1)</f>
        <v>43800</v>
      </c>
      <c r="M251" s="334" t="n">
        <f aca="false">+J251*(VLOOKUP(L251,CURVECALC!$C$6:$J$312,4,0)+N$5)</f>
        <v>0</v>
      </c>
      <c r="N251" s="350" t="n">
        <f aca="false">-F251*INDEX(ship_curves,MATCH(L251,'SHIP CURVES'!$A$9:$A$316,0),MATCH(CONCATENATE(P$4,P$5,P$6,P$7),'SHIP CURVES'!$A$9:$AZ$9,0))</f>
        <v>-0</v>
      </c>
      <c r="O251" s="351" t="n">
        <f aca="false">-H251*INDEX(port_processing_fee,MATCH(L251,PORTS!$H$626:$H$933,0),MATCH(P$5,PORTS!$H$626:$Z$626,0))</f>
        <v>-0</v>
      </c>
      <c r="P251" s="352" t="n">
        <f aca="false">(((VLOOKUP(L251,curvecalc,4,0))*IF(F251=0,0,J251/F251)-INDEX(ship_curves,MATCH(L251,'SHIP CURVES'!$A$9:$A$316,0),MATCH(CONCATENATE(P$4,P$5,P$6,P$7),'SHIP CURVES'!$A$9:$Z$9,0))-INDEX(terminal_curves,MATCH(L251,'TERMINAL CURVES'!$A$4:$A$313,0),MATCH(P$5,'TERMINAL CURVES'!$A$4:$N$4,0))*IF(F251=0,0,H251/F251))-(N$8)*((N$7-$N$5)-(INDEX(ship_curves,MATCH(L251,'SHIP CURVES'!$A$9:$A$316,0),MATCH(CONCATENATE(P$4,P$5,P$6,P$7),'SHIP CURVES'!$A$9:$Z$9,0))-INDEX(ship_curves,MATCH(L251,'SHIP CURVES'!$A$9:$A$316,0),MATCH(CONCATENATE(P$4,N$6,P$6,P$7),'SHIP CURVES'!$A$9:$Z$9,0)))-(INDEX(terminal_curves,MATCH(L251,'TERMINAL CURVES'!$A$4:$A$313,0),MATCH(P$5,'TERMINAL CURVES'!$A$4:$N$4,0))-INDEX(terminal_curves,MATCH(L251,'TERMINAL CURVES'!$A$4:$A$313,0),MATCH(N$6,'TERMINAL CURVES'!$A$4:$N$4,0)))*IF(F251=0,0,H251/F251)))*-F251</f>
        <v>0</v>
      </c>
      <c r="Q251" s="353" t="n">
        <f aca="false">SUM(N251:P251)</f>
        <v>0</v>
      </c>
      <c r="R251" s="357" t="n">
        <f aca="false">(-H251/((HLOOKUP(P$5,port_specs,2,0)/(365.25))*(L252-L251)))*(INDEX(fixed_capacity_charge,MATCH(L251,PORTS!$H$11:$H$317,0),MATCH(P$5,PORTS!$H$11:$N$11,0))+INDEX(variable_om_charge,MATCH(L251,PORTS!$H$318:$H$625,0),MATCH(P$5,PORTS!$H$318:$N$318,0)))</f>
        <v>-0</v>
      </c>
      <c r="S251" s="343" t="n">
        <f aca="false">+R251+Q251</f>
        <v>0</v>
      </c>
      <c r="T251" s="355" t="n">
        <f aca="false">+S251+M251</f>
        <v>0</v>
      </c>
      <c r="V251" s="346" t="n">
        <f aca="false">+DATE(YEAR(V250),MONTH(V250)+1,1)</f>
        <v>43800</v>
      </c>
      <c r="W251" s="327" t="n">
        <f aca="false">+Y251/(1-HLOOKUP(X$6,SHIPS,7,0)*INDEX(LADEN_VOYAGE_DAYS,MATCH(CONCATENATE(X$4,X$5),LADEN_VOYAGE_ROUTES,0),MATCH(X$6,LADEN_VOYAGE_SHIPS,0)))</f>
        <v>0</v>
      </c>
      <c r="X251" s="347" t="n">
        <f aca="false">+Y251-W251</f>
        <v>0</v>
      </c>
      <c r="Y251" s="348" t="n">
        <f aca="false">+IF(AND(X$8&lt;=V251,X$9&gt;=V251),+MIN($B251-SUMIF($H$17:X$17,Y$17,$H251:X251),((INDEX(ROUTE_PER_DAY_BY_SHIP,MATCH(CONCATENATE(X$4,X$5,X$7),ROUTE_PER_DAY_ROUTES,0),MATCH(X$6,ROUTE_PER_DAY_SHIPS,0))*(V252-V251))-(INDEX(ROUTE_PER_DAY_BY_SHIP,MATCH(CONCATENATE(X$4,X$5,X$7),ROUTE_PER_DAY_ROUTES,0),MATCH(X$6,ROUTE_PER_DAY_SHIPS,0))*(V252-V251))*HLOOKUP(X$6,SHIPS,7,0)*INDEX(LADEN_VOYAGE_DAYS,MATCH(CONCATENATE(X$4,X$5,X$7),LADEN_VOYAGE_ROUTES,0),MATCH(X$6,LADEN_VOYAGE_SHIPS,0)))),0)</f>
        <v>0</v>
      </c>
      <c r="Z251" s="349" t="n">
        <f aca="false">-(Y251)*HLOOKUP(X$5,TERMINAL_CHARGES,3,0)</f>
        <v>-0</v>
      </c>
      <c r="AA251" s="327" t="n">
        <f aca="false">+Y251+Z251</f>
        <v>0</v>
      </c>
      <c r="AB251" s="333"/>
      <c r="AC251" s="346" t="n">
        <f aca="false">+DATE(YEAR(AC250),MONTH(AC250)+1,1)</f>
        <v>43800</v>
      </c>
      <c r="AD251" s="343" t="n">
        <f aca="false">+AA251*(VLOOKUP(AC251,CURVECALC!$C$6:$J$312,4,0)+AE$5)</f>
        <v>0</v>
      </c>
      <c r="AE251" s="350" t="n">
        <f aca="false">-W251*INDEX(ship_curves,MATCH(AC251,'SHIP CURVES'!$A$9:$A$316,0),MATCH(CONCATENATE(AG$4,AG$5,AG$6,AG$7),'SHIP CURVES'!$A$9:$AZ$9,0))</f>
        <v>-0</v>
      </c>
      <c r="AF251" s="351" t="n">
        <f aca="false">-Y251*INDEX(port_processing_fee,MATCH(AC251,PORTS!$H$626:$H$933,0),MATCH(AG$5,PORTS!$H$626:$Z$626,0))</f>
        <v>-0</v>
      </c>
      <c r="AG251" s="352" t="n">
        <f aca="false">(((VLOOKUP(AC251,curvecalc,4,0))*IF(W251=0,0,AA251/W251)-INDEX(ship_curves,MATCH(AC251,'SHIP CURVES'!$A$9:$A$316,0),MATCH(CONCATENATE(AG$4,AG$5,AG$6,AG$7),'SHIP CURVES'!$A$9:$Z$9,0))-INDEX(terminal_curves,MATCH(AC251,'TERMINAL CURVES'!$A$4:$A$313,0),MATCH(AG$5,'TERMINAL CURVES'!$A$4:$N$4,0))*IF(W251=0,0,Y251/W251))-(AE$8)*((AE$7-$N$5)-(INDEX(ship_curves,MATCH(AC251,'SHIP CURVES'!$A$9:$A$316,0),MATCH(CONCATENATE(AG$4,AG$5,AG$6,AG$7),'SHIP CURVES'!$A$9:$Z$9,0))-INDEX(ship_curves,MATCH(AC251,'SHIP CURVES'!$A$9:$A$316,0),MATCH(CONCATENATE(AG$4,AE$6,AG$6,AG$7),'SHIP CURVES'!$A$9:$Z$9,0)))-(INDEX(terminal_curves,MATCH(AC251,'TERMINAL CURVES'!$A$4:$A$313,0),MATCH(AG$5,'TERMINAL CURVES'!$A$4:$N$4,0))-INDEX(terminal_curves,MATCH(AC251,'TERMINAL CURVES'!$A$4:$A$313,0),MATCH(AE$6,'TERMINAL CURVES'!$A$4:$N$4,0)))*IF(W251=0,0,Y251/W251)))*-W251</f>
        <v>0</v>
      </c>
      <c r="AH251" s="356" t="n">
        <f aca="false">SUM(AE251:AG251)</f>
        <v>0</v>
      </c>
      <c r="AI251" s="357" t="n">
        <f aca="false">(-Y251/((HLOOKUP(AG$5,port_specs,2,0)/(365.25))*(AC252-AC251)))*(INDEX(fixed_capacity_charge,MATCH(AC251,PORTS!$H$11:$H$317,0),MATCH(AG$5,PORTS!$H$11:$N$11,0))+INDEX(variable_om_charge,MATCH(AC251,PORTS!$H$318:$H$625,0),MATCH(AG$5,PORTS!$H$318:$N$318,0)))</f>
        <v>-0</v>
      </c>
      <c r="AJ251" s="343" t="n">
        <f aca="false">+AI251+AH251</f>
        <v>0</v>
      </c>
      <c r="AK251" s="355" t="n">
        <f aca="false">+AJ251+AD251</f>
        <v>0</v>
      </c>
      <c r="AM251" s="346" t="n">
        <f aca="false">+DATE(YEAR(AM250),MONTH(AM250)+1,1)</f>
        <v>43800</v>
      </c>
      <c r="AN251" s="327" t="n">
        <f aca="false">+AP251/(1-HLOOKUP(AO$6,SHIPS,7,0)*INDEX(LADEN_VOYAGE_DAYS,MATCH(CONCATENATE(AO$4,AO$5),LADEN_VOYAGE_ROUTES,0),MATCH(AO$6,LADEN_VOYAGE_SHIPS,0)))</f>
        <v>0</v>
      </c>
      <c r="AO251" s="347" t="n">
        <f aca="false">+AP251-AN251</f>
        <v>0</v>
      </c>
      <c r="AP251" s="348" t="n">
        <f aca="false">+IF(AND(AO$8&lt;=AM251,AO$9&gt;=AM251),+MIN($B251-SUMIF($H$17:AO$17,AP$17,$H251:AO251),((INDEX(ROUTE_PER_DAY_BY_SHIP,MATCH(CONCATENATE(AO$4,AO$5,AO$7),ROUTE_PER_DAY_ROUTES,0),MATCH(AO$6,ROUTE_PER_DAY_SHIPS,0))*(AM252-AM251))-(INDEX(ROUTE_PER_DAY_BY_SHIP,MATCH(CONCATENATE(AO$4,AO$5,AO$7),ROUTE_PER_DAY_ROUTES,0),MATCH(AO$6,ROUTE_PER_DAY_SHIPS,0))*(AM252-AM251))*HLOOKUP(AO$6,SHIPS,7,0)*INDEX(LADEN_VOYAGE_DAYS,MATCH(CONCATENATE(AO$4,AO$5,AO$7),LADEN_VOYAGE_ROUTES,0),MATCH(AO$6,LADEN_VOYAGE_SHIPS,0)))),0)</f>
        <v>0</v>
      </c>
      <c r="AQ251" s="349" t="n">
        <f aca="false">-(AP251)*PORTS!$I$6</f>
        <v>-0</v>
      </c>
      <c r="AR251" s="327" t="n">
        <f aca="false">+AP251+AQ251</f>
        <v>0</v>
      </c>
      <c r="AS251" s="333"/>
      <c r="AT251" s="346" t="n">
        <f aca="false">+DATE(YEAR(AT250),MONTH(AT250)+1,1)</f>
        <v>43800</v>
      </c>
      <c r="AU251" s="343" t="n">
        <f aca="false">+AR251*(VLOOKUP(AT251,CURVECALC!$C$6:$J$312,4,0)+AV$5)</f>
        <v>0</v>
      </c>
      <c r="AV251" s="350" t="n">
        <f aca="false">-AN251*INDEX(ship_curves,MATCH(AT251,'SHIP CURVES'!$A$9:$A$316,0),MATCH(CONCATENATE(AX$4,AX$5,AX$6,AX$7),'SHIP CURVES'!$A$9:$AZ$9,0))</f>
        <v>-0</v>
      </c>
      <c r="AW251" s="351" t="n">
        <f aca="false">-AP251*INDEX(port_processing_fee,MATCH(AT251,PORTS!$H$626:$H$933,0),MATCH(AX$5,PORTS!$H$626:$Z$626,0))</f>
        <v>-0</v>
      </c>
      <c r="AX251" s="352" t="n">
        <f aca="false">(((VLOOKUP(AT251,curvecalc,4,0))*IF(AN251=0,0,AR251/AN251)-INDEX(ship_curves,MATCH(AT251,'SHIP CURVES'!$A$9:$A$316,0),MATCH(CONCATENATE(AX$4,AX$5,AX$6,AX$7),'SHIP CURVES'!$A$9:$Z$9,0))-INDEX(terminal_curves,MATCH(AT251,'TERMINAL CURVES'!$A$4:$A$313,0),MATCH(AX$5,'TERMINAL CURVES'!$A$4:$N$4,0))*IF(AN251=0,0,AP251/AN251))-(AV$8)*((AV$7-$N$5)-(INDEX(ship_curves,MATCH(AT251,'SHIP CURVES'!$A$9:$A$316,0),MATCH(CONCATENATE(AX$4,AX$5,AX$6,AX$7),'SHIP CURVES'!$A$9:$Z$9,0))-INDEX(ship_curves,MATCH(AT251,'SHIP CURVES'!$A$9:$A$316,0),MATCH(CONCATENATE(AX$4,AV$6,AX$6,AX$7),'SHIP CURVES'!$A$9:$Z$9,0)))-(INDEX(terminal_curves,MATCH(AT251,'TERMINAL CURVES'!$A$4:$A$313,0),MATCH(AX$5,'TERMINAL CURVES'!$A$4:$N$4,0))-INDEX(terminal_curves,MATCH(AT251,'TERMINAL CURVES'!$A$4:$A$313,0),MATCH(AV$6,'TERMINAL CURVES'!$A$4:$N$4,0)))*IF(AN251=0,0,AP251/AN251)))*-AN251</f>
        <v>0</v>
      </c>
      <c r="AY251" s="356" t="n">
        <f aca="false">SUM(AV251:AX251)</f>
        <v>0</v>
      </c>
      <c r="AZ251" s="357" t="n">
        <f aca="false">(-AP251/((HLOOKUP(AX$5,port_specs,2,0)/(365.25))*(AT252-AT251)))*(INDEX(fixed_capacity_charge,MATCH(AT251,PORTS!$H$11:$H$317,0),MATCH(AX$5,PORTS!$H$11:$N$11,0))+INDEX(variable_om_charge,MATCH(AT251,PORTS!$H$318:$H$625,0),MATCH(AX$5,PORTS!$H$318:$N$318,0)))</f>
        <v>-0</v>
      </c>
      <c r="BA251" s="343" t="n">
        <f aca="false">+AZ251+AY251</f>
        <v>0</v>
      </c>
      <c r="BB251" s="355" t="n">
        <f aca="false">+BA251+AU251</f>
        <v>0</v>
      </c>
      <c r="BC251" s="99"/>
      <c r="BD251" s="357" t="n">
        <f aca="false">+PORTS!I245+PORTS!I553</f>
        <v>0</v>
      </c>
    </row>
    <row r="252" customFormat="false" ht="12.75" hidden="false" customHeight="false" outlineLevel="0" collapsed="false">
      <c r="A252" s="346" t="n">
        <f aca="false">+DATE(YEAR(A251),MONTH(A251)+1,1)</f>
        <v>43831</v>
      </c>
      <c r="B252" s="327" t="n">
        <f aca="false">+IF(AND($A252&gt;=$C$8,$A252&lt;=$C$9),1,0)*PORTS!$I$5/(365.25)*(A253-A252)</f>
        <v>0</v>
      </c>
      <c r="C252" s="328" t="n">
        <f aca="false">+B252-(SUMIF($F$17:$IV$17,$H$17,$F252:$IV252))</f>
        <v>0</v>
      </c>
      <c r="D252" s="0" t="n">
        <f aca="false">+YEAR(E252)</f>
        <v>2020</v>
      </c>
      <c r="E252" s="346" t="n">
        <f aca="false">+DATE(YEAR(E251),MONTH(E251)+1,1)</f>
        <v>43831</v>
      </c>
      <c r="F252" s="327" t="n">
        <f aca="false">+IF(AND(G$8&lt;=E252,G$9&gt;=E252),INDEX(ROUTE_PER_DAY_BY_SHIP,MATCH(CONCATENATE(G$4,G$5,G$7),ROUTE_PER_DAY_ROUTES,0),MATCH(G$6,ROUTE_PER_DAY_SHIPS,0))*(E253-E252),0)</f>
        <v>0</v>
      </c>
      <c r="G252" s="347" t="n">
        <f aca="false">-F252*HLOOKUP(G$6,SHIPS,7,0)*INDEX(LADEN_VOYAGE_DAYS,MATCH(CONCATENATE(G$4,G$5,G$7),LADEN_VOYAGE_ROUTES,0),MATCH(G$6,LADEN_VOYAGE_SHIPS,0))</f>
        <v>-0</v>
      </c>
      <c r="H252" s="348" t="n">
        <f aca="false">SUM(F252:G252)</f>
        <v>0</v>
      </c>
      <c r="I252" s="349" t="n">
        <f aca="false">-(H252)*HLOOKUP(G$5,TERMINAL_CHARGES,3,0)</f>
        <v>-0</v>
      </c>
      <c r="J252" s="327" t="n">
        <f aca="false">+H252+I252</f>
        <v>0</v>
      </c>
      <c r="K252" s="333"/>
      <c r="L252" s="346" t="n">
        <f aca="false">+DATE(YEAR(L251),MONTH(L251)+1,1)</f>
        <v>43831</v>
      </c>
      <c r="M252" s="334" t="n">
        <f aca="false">+J252*(VLOOKUP(L252,CURVECALC!$C$6:$J$312,4,0)+N$5)</f>
        <v>0</v>
      </c>
      <c r="N252" s="350" t="n">
        <f aca="false">-F252*INDEX(ship_curves,MATCH(L252,'SHIP CURVES'!$A$9:$A$316,0),MATCH(CONCATENATE(P$4,P$5,P$6,P$7),'SHIP CURVES'!$A$9:$AZ$9,0))</f>
        <v>-0</v>
      </c>
      <c r="O252" s="351" t="n">
        <f aca="false">-H252*INDEX(port_processing_fee,MATCH(L252,PORTS!$H$626:$H$933,0),MATCH(P$5,PORTS!$H$626:$Z$626,0))</f>
        <v>-0</v>
      </c>
      <c r="P252" s="352" t="n">
        <f aca="false">(((VLOOKUP(L252,curvecalc,4,0))*IF(F252=0,0,J252/F252)-INDEX(ship_curves,MATCH(L252,'SHIP CURVES'!$A$9:$A$316,0),MATCH(CONCATENATE(P$4,P$5,P$6,P$7),'SHIP CURVES'!$A$9:$Z$9,0))-INDEX(terminal_curves,MATCH(L252,'TERMINAL CURVES'!$A$4:$A$313,0),MATCH(P$5,'TERMINAL CURVES'!$A$4:$N$4,0))*IF(F252=0,0,H252/F252))-(N$8)*((N$7-$N$5)-(INDEX(ship_curves,MATCH(L252,'SHIP CURVES'!$A$9:$A$316,0),MATCH(CONCATENATE(P$4,P$5,P$6,P$7),'SHIP CURVES'!$A$9:$Z$9,0))-INDEX(ship_curves,MATCH(L252,'SHIP CURVES'!$A$9:$A$316,0),MATCH(CONCATENATE(P$4,N$6,P$6,P$7),'SHIP CURVES'!$A$9:$Z$9,0)))-(INDEX(terminal_curves,MATCH(L252,'TERMINAL CURVES'!$A$4:$A$313,0),MATCH(P$5,'TERMINAL CURVES'!$A$4:$N$4,0))-INDEX(terminal_curves,MATCH(L252,'TERMINAL CURVES'!$A$4:$A$313,0),MATCH(N$6,'TERMINAL CURVES'!$A$4:$N$4,0)))*IF(F252=0,0,H252/F252)))*-F252</f>
        <v>0</v>
      </c>
      <c r="Q252" s="353" t="n">
        <f aca="false">SUM(N252:P252)</f>
        <v>0</v>
      </c>
      <c r="R252" s="357" t="n">
        <f aca="false">(-H252/((HLOOKUP(P$5,port_specs,2,0)/(365.25))*(L253-L252)))*(INDEX(fixed_capacity_charge,MATCH(L252,PORTS!$H$11:$H$317,0),MATCH(P$5,PORTS!$H$11:$N$11,0))+INDEX(variable_om_charge,MATCH(L252,PORTS!$H$318:$H$625,0),MATCH(P$5,PORTS!$H$318:$N$318,0)))</f>
        <v>-0</v>
      </c>
      <c r="S252" s="343" t="n">
        <f aca="false">+R252+Q252</f>
        <v>0</v>
      </c>
      <c r="T252" s="355" t="n">
        <f aca="false">+S252+M252</f>
        <v>0</v>
      </c>
      <c r="V252" s="346" t="n">
        <f aca="false">+DATE(YEAR(V251),MONTH(V251)+1,1)</f>
        <v>43831</v>
      </c>
      <c r="W252" s="327" t="n">
        <f aca="false">+Y252/(1-HLOOKUP(X$6,SHIPS,7,0)*INDEX(LADEN_VOYAGE_DAYS,MATCH(CONCATENATE(X$4,X$5),LADEN_VOYAGE_ROUTES,0),MATCH(X$6,LADEN_VOYAGE_SHIPS,0)))</f>
        <v>0</v>
      </c>
      <c r="X252" s="347" t="n">
        <f aca="false">+Y252-W252</f>
        <v>0</v>
      </c>
      <c r="Y252" s="348" t="n">
        <f aca="false">+IF(AND(X$8&lt;=V252,X$9&gt;=V252),+MIN($B252-SUMIF($H$17:X$17,Y$17,$H252:X252),((INDEX(ROUTE_PER_DAY_BY_SHIP,MATCH(CONCATENATE(X$4,X$5,X$7),ROUTE_PER_DAY_ROUTES,0),MATCH(X$6,ROUTE_PER_DAY_SHIPS,0))*(V253-V252))-(INDEX(ROUTE_PER_DAY_BY_SHIP,MATCH(CONCATENATE(X$4,X$5,X$7),ROUTE_PER_DAY_ROUTES,0),MATCH(X$6,ROUTE_PER_DAY_SHIPS,0))*(V253-V252))*HLOOKUP(X$6,SHIPS,7,0)*INDEX(LADEN_VOYAGE_DAYS,MATCH(CONCATENATE(X$4,X$5,X$7),LADEN_VOYAGE_ROUTES,0),MATCH(X$6,LADEN_VOYAGE_SHIPS,0)))),0)</f>
        <v>0</v>
      </c>
      <c r="Z252" s="349" t="n">
        <f aca="false">-(Y252)*HLOOKUP(X$5,TERMINAL_CHARGES,3,0)</f>
        <v>-0</v>
      </c>
      <c r="AA252" s="327" t="n">
        <f aca="false">+Y252+Z252</f>
        <v>0</v>
      </c>
      <c r="AB252" s="333"/>
      <c r="AC252" s="346" t="n">
        <f aca="false">+DATE(YEAR(AC251),MONTH(AC251)+1,1)</f>
        <v>43831</v>
      </c>
      <c r="AD252" s="343" t="n">
        <f aca="false">+AA252*(VLOOKUP(AC252,CURVECALC!$C$6:$J$312,4,0)+AE$5)</f>
        <v>0</v>
      </c>
      <c r="AE252" s="350" t="n">
        <f aca="false">-W252*INDEX(ship_curves,MATCH(AC252,'SHIP CURVES'!$A$9:$A$316,0),MATCH(CONCATENATE(AG$4,AG$5,AG$6,AG$7),'SHIP CURVES'!$A$9:$AZ$9,0))</f>
        <v>-0</v>
      </c>
      <c r="AF252" s="351" t="n">
        <f aca="false">-Y252*INDEX(port_processing_fee,MATCH(AC252,PORTS!$H$626:$H$933,0),MATCH(AG$5,PORTS!$H$626:$Z$626,0))</f>
        <v>-0</v>
      </c>
      <c r="AG252" s="352" t="n">
        <f aca="false">(((VLOOKUP(AC252,curvecalc,4,0))*IF(W252=0,0,AA252/W252)-INDEX(ship_curves,MATCH(AC252,'SHIP CURVES'!$A$9:$A$316,0),MATCH(CONCATENATE(AG$4,AG$5,AG$6,AG$7),'SHIP CURVES'!$A$9:$Z$9,0))-INDEX(terminal_curves,MATCH(AC252,'TERMINAL CURVES'!$A$4:$A$313,0),MATCH(AG$5,'TERMINAL CURVES'!$A$4:$N$4,0))*IF(W252=0,0,Y252/W252))-(AE$8)*((AE$7-$N$5)-(INDEX(ship_curves,MATCH(AC252,'SHIP CURVES'!$A$9:$A$316,0),MATCH(CONCATENATE(AG$4,AG$5,AG$6,AG$7),'SHIP CURVES'!$A$9:$Z$9,0))-INDEX(ship_curves,MATCH(AC252,'SHIP CURVES'!$A$9:$A$316,0),MATCH(CONCATENATE(AG$4,AE$6,AG$6,AG$7),'SHIP CURVES'!$A$9:$Z$9,0)))-(INDEX(terminal_curves,MATCH(AC252,'TERMINAL CURVES'!$A$4:$A$313,0),MATCH(AG$5,'TERMINAL CURVES'!$A$4:$N$4,0))-INDEX(terminal_curves,MATCH(AC252,'TERMINAL CURVES'!$A$4:$A$313,0),MATCH(AE$6,'TERMINAL CURVES'!$A$4:$N$4,0)))*IF(W252=0,0,Y252/W252)))*-W252</f>
        <v>0</v>
      </c>
      <c r="AH252" s="356" t="n">
        <f aca="false">SUM(AE252:AG252)</f>
        <v>0</v>
      </c>
      <c r="AI252" s="357" t="n">
        <f aca="false">(-Y252/((HLOOKUP(AG$5,port_specs,2,0)/(365.25))*(AC253-AC252)))*(INDEX(fixed_capacity_charge,MATCH(AC252,PORTS!$H$11:$H$317,0),MATCH(AG$5,PORTS!$H$11:$N$11,0))+INDEX(variable_om_charge,MATCH(AC252,PORTS!$H$318:$H$625,0),MATCH(AG$5,PORTS!$H$318:$N$318,0)))</f>
        <v>-0</v>
      </c>
      <c r="AJ252" s="343" t="n">
        <f aca="false">+AI252+AH252</f>
        <v>0</v>
      </c>
      <c r="AK252" s="355" t="n">
        <f aca="false">+AJ252+AD252</f>
        <v>0</v>
      </c>
      <c r="AM252" s="346" t="n">
        <f aca="false">+DATE(YEAR(AM251),MONTH(AM251)+1,1)</f>
        <v>43831</v>
      </c>
      <c r="AN252" s="327" t="n">
        <f aca="false">+AP252/(1-HLOOKUP(AO$6,SHIPS,7,0)*INDEX(LADEN_VOYAGE_DAYS,MATCH(CONCATENATE(AO$4,AO$5),LADEN_VOYAGE_ROUTES,0),MATCH(AO$6,LADEN_VOYAGE_SHIPS,0)))</f>
        <v>0</v>
      </c>
      <c r="AO252" s="347" t="n">
        <f aca="false">+AP252-AN252</f>
        <v>0</v>
      </c>
      <c r="AP252" s="348" t="n">
        <f aca="false">+IF(AND(AO$8&lt;=AM252,AO$9&gt;=AM252),+MIN($B252-SUMIF($H$17:AO$17,AP$17,$H252:AO252),((INDEX(ROUTE_PER_DAY_BY_SHIP,MATCH(CONCATENATE(AO$4,AO$5,AO$7),ROUTE_PER_DAY_ROUTES,0),MATCH(AO$6,ROUTE_PER_DAY_SHIPS,0))*(AM253-AM252))-(INDEX(ROUTE_PER_DAY_BY_SHIP,MATCH(CONCATENATE(AO$4,AO$5,AO$7),ROUTE_PER_DAY_ROUTES,0),MATCH(AO$6,ROUTE_PER_DAY_SHIPS,0))*(AM253-AM252))*HLOOKUP(AO$6,SHIPS,7,0)*INDEX(LADEN_VOYAGE_DAYS,MATCH(CONCATENATE(AO$4,AO$5,AO$7),LADEN_VOYAGE_ROUTES,0),MATCH(AO$6,LADEN_VOYAGE_SHIPS,0)))),0)</f>
        <v>0</v>
      </c>
      <c r="AQ252" s="349" t="n">
        <f aca="false">-(AP252)*PORTS!$I$6</f>
        <v>-0</v>
      </c>
      <c r="AR252" s="327" t="n">
        <f aca="false">+AP252+AQ252</f>
        <v>0</v>
      </c>
      <c r="AS252" s="333"/>
      <c r="AT252" s="346" t="n">
        <f aca="false">+DATE(YEAR(AT251),MONTH(AT251)+1,1)</f>
        <v>43831</v>
      </c>
      <c r="AU252" s="343" t="n">
        <f aca="false">+AR252*(VLOOKUP(AT252,CURVECALC!$C$6:$J$312,4,0)+AV$5)</f>
        <v>0</v>
      </c>
      <c r="AV252" s="350" t="n">
        <f aca="false">-AN252*INDEX(ship_curves,MATCH(AT252,'SHIP CURVES'!$A$9:$A$316,0),MATCH(CONCATENATE(AX$4,AX$5,AX$6,AX$7),'SHIP CURVES'!$A$9:$AZ$9,0))</f>
        <v>-0</v>
      </c>
      <c r="AW252" s="351" t="n">
        <f aca="false">-AP252*INDEX(port_processing_fee,MATCH(AT252,PORTS!$H$626:$H$933,0),MATCH(AX$5,PORTS!$H$626:$Z$626,0))</f>
        <v>-0</v>
      </c>
      <c r="AX252" s="352" t="n">
        <f aca="false">(((VLOOKUP(AT252,curvecalc,4,0))*IF(AN252=0,0,AR252/AN252)-INDEX(ship_curves,MATCH(AT252,'SHIP CURVES'!$A$9:$A$316,0),MATCH(CONCATENATE(AX$4,AX$5,AX$6,AX$7),'SHIP CURVES'!$A$9:$Z$9,0))-INDEX(terminal_curves,MATCH(AT252,'TERMINAL CURVES'!$A$4:$A$313,0),MATCH(AX$5,'TERMINAL CURVES'!$A$4:$N$4,0))*IF(AN252=0,0,AP252/AN252))-(AV$8)*((AV$7-$N$5)-(INDEX(ship_curves,MATCH(AT252,'SHIP CURVES'!$A$9:$A$316,0),MATCH(CONCATENATE(AX$4,AX$5,AX$6,AX$7),'SHIP CURVES'!$A$9:$Z$9,0))-INDEX(ship_curves,MATCH(AT252,'SHIP CURVES'!$A$9:$A$316,0),MATCH(CONCATENATE(AX$4,AV$6,AX$6,AX$7),'SHIP CURVES'!$A$9:$Z$9,0)))-(INDEX(terminal_curves,MATCH(AT252,'TERMINAL CURVES'!$A$4:$A$313,0),MATCH(AX$5,'TERMINAL CURVES'!$A$4:$N$4,0))-INDEX(terminal_curves,MATCH(AT252,'TERMINAL CURVES'!$A$4:$A$313,0),MATCH(AV$6,'TERMINAL CURVES'!$A$4:$N$4,0)))*IF(AN252=0,0,AP252/AN252)))*-AN252</f>
        <v>0</v>
      </c>
      <c r="AY252" s="356" t="n">
        <f aca="false">SUM(AV252:AX252)</f>
        <v>0</v>
      </c>
      <c r="AZ252" s="357" t="n">
        <f aca="false">(-AP252/((HLOOKUP(AX$5,port_specs,2,0)/(365.25))*(AT253-AT252)))*(INDEX(fixed_capacity_charge,MATCH(AT252,PORTS!$H$11:$H$317,0),MATCH(AX$5,PORTS!$H$11:$N$11,0))+INDEX(variable_om_charge,MATCH(AT252,PORTS!$H$318:$H$625,0),MATCH(AX$5,PORTS!$H$318:$N$318,0)))</f>
        <v>-0</v>
      </c>
      <c r="BA252" s="343" t="n">
        <f aca="false">+AZ252+AY252</f>
        <v>0</v>
      </c>
      <c r="BB252" s="355" t="n">
        <f aca="false">+BA252+AU252</f>
        <v>0</v>
      </c>
      <c r="BC252" s="99"/>
      <c r="BD252" s="357" t="n">
        <f aca="false">+PORTS!I246+PORTS!I554</f>
        <v>0</v>
      </c>
    </row>
    <row r="253" customFormat="false" ht="12.75" hidden="false" customHeight="false" outlineLevel="0" collapsed="false">
      <c r="A253" s="346" t="n">
        <f aca="false">+DATE(YEAR(A252),MONTH(A252)+1,1)</f>
        <v>43862</v>
      </c>
      <c r="B253" s="327" t="n">
        <f aca="false">+IF(AND($A253&gt;=$C$8,$A253&lt;=$C$9),1,0)*PORTS!$I$5/(365.25)*(A254-A253)</f>
        <v>0</v>
      </c>
      <c r="C253" s="328" t="n">
        <f aca="false">+B253-(SUMIF($F$17:$IV$17,$H$17,$F253:$IV253))</f>
        <v>0</v>
      </c>
      <c r="D253" s="0" t="n">
        <f aca="false">+YEAR(E253)</f>
        <v>2020</v>
      </c>
      <c r="E253" s="346" t="n">
        <f aca="false">+DATE(YEAR(E252),MONTH(E252)+1,1)</f>
        <v>43862</v>
      </c>
      <c r="F253" s="327" t="n">
        <f aca="false">+IF(AND(G$8&lt;=E253,G$9&gt;=E253),INDEX(ROUTE_PER_DAY_BY_SHIP,MATCH(CONCATENATE(G$4,G$5,G$7),ROUTE_PER_DAY_ROUTES,0),MATCH(G$6,ROUTE_PER_DAY_SHIPS,0))*(E254-E253),0)</f>
        <v>0</v>
      </c>
      <c r="G253" s="347" t="n">
        <f aca="false">-F253*HLOOKUP(G$6,SHIPS,7,0)*INDEX(LADEN_VOYAGE_DAYS,MATCH(CONCATENATE(G$4,G$5,G$7),LADEN_VOYAGE_ROUTES,0),MATCH(G$6,LADEN_VOYAGE_SHIPS,0))</f>
        <v>-0</v>
      </c>
      <c r="H253" s="348" t="n">
        <f aca="false">SUM(F253:G253)</f>
        <v>0</v>
      </c>
      <c r="I253" s="349" t="n">
        <f aca="false">-(H253)*HLOOKUP(G$5,TERMINAL_CHARGES,3,0)</f>
        <v>-0</v>
      </c>
      <c r="J253" s="327" t="n">
        <f aca="false">+H253+I253</f>
        <v>0</v>
      </c>
      <c r="K253" s="333"/>
      <c r="L253" s="346" t="n">
        <f aca="false">+DATE(YEAR(L252),MONTH(L252)+1,1)</f>
        <v>43862</v>
      </c>
      <c r="M253" s="334" t="n">
        <f aca="false">+J253*(VLOOKUP(L253,CURVECALC!$C$6:$J$312,4,0)+N$5)</f>
        <v>0</v>
      </c>
      <c r="N253" s="350" t="n">
        <f aca="false">-F253*INDEX(ship_curves,MATCH(L253,'SHIP CURVES'!$A$9:$A$316,0),MATCH(CONCATENATE(P$4,P$5,P$6,P$7),'SHIP CURVES'!$A$9:$AZ$9,0))</f>
        <v>-0</v>
      </c>
      <c r="O253" s="351" t="n">
        <f aca="false">-H253*INDEX(port_processing_fee,MATCH(L253,PORTS!$H$626:$H$933,0),MATCH(P$5,PORTS!$H$626:$Z$626,0))</f>
        <v>-0</v>
      </c>
      <c r="P253" s="352" t="n">
        <f aca="false">(((VLOOKUP(L253,curvecalc,4,0))*IF(F253=0,0,J253/F253)-INDEX(ship_curves,MATCH(L253,'SHIP CURVES'!$A$9:$A$316,0),MATCH(CONCATENATE(P$4,P$5,P$6,P$7),'SHIP CURVES'!$A$9:$Z$9,0))-INDEX(terminal_curves,MATCH(L253,'TERMINAL CURVES'!$A$4:$A$313,0),MATCH(P$5,'TERMINAL CURVES'!$A$4:$N$4,0))*IF(F253=0,0,H253/F253))-(N$8)*((N$7-$N$5)-(INDEX(ship_curves,MATCH(L253,'SHIP CURVES'!$A$9:$A$316,0),MATCH(CONCATENATE(P$4,P$5,P$6,P$7),'SHIP CURVES'!$A$9:$Z$9,0))-INDEX(ship_curves,MATCH(L253,'SHIP CURVES'!$A$9:$A$316,0),MATCH(CONCATENATE(P$4,N$6,P$6,P$7),'SHIP CURVES'!$A$9:$Z$9,0)))-(INDEX(terminal_curves,MATCH(L253,'TERMINAL CURVES'!$A$4:$A$313,0),MATCH(P$5,'TERMINAL CURVES'!$A$4:$N$4,0))-INDEX(terminal_curves,MATCH(L253,'TERMINAL CURVES'!$A$4:$A$313,0),MATCH(N$6,'TERMINAL CURVES'!$A$4:$N$4,0)))*IF(F253=0,0,H253/F253)))*-F253</f>
        <v>0</v>
      </c>
      <c r="Q253" s="353" t="n">
        <f aca="false">SUM(N253:P253)</f>
        <v>0</v>
      </c>
      <c r="R253" s="357" t="n">
        <f aca="false">(-H253/((HLOOKUP(P$5,port_specs,2,0)/(365.25))*(L254-L253)))*(INDEX(fixed_capacity_charge,MATCH(L253,PORTS!$H$11:$H$317,0),MATCH(P$5,PORTS!$H$11:$N$11,0))+INDEX(variable_om_charge,MATCH(L253,PORTS!$H$318:$H$625,0),MATCH(P$5,PORTS!$H$318:$N$318,0)))</f>
        <v>-0</v>
      </c>
      <c r="S253" s="343" t="n">
        <f aca="false">+R253+Q253</f>
        <v>0</v>
      </c>
      <c r="T253" s="355" t="n">
        <f aca="false">+S253+M253</f>
        <v>0</v>
      </c>
      <c r="V253" s="346" t="n">
        <f aca="false">+DATE(YEAR(V252),MONTH(V252)+1,1)</f>
        <v>43862</v>
      </c>
      <c r="W253" s="327" t="n">
        <f aca="false">+Y253/(1-HLOOKUP(X$6,SHIPS,7,0)*INDEX(LADEN_VOYAGE_DAYS,MATCH(CONCATENATE(X$4,X$5),LADEN_VOYAGE_ROUTES,0),MATCH(X$6,LADEN_VOYAGE_SHIPS,0)))</f>
        <v>0</v>
      </c>
      <c r="X253" s="347" t="n">
        <f aca="false">+Y253-W253</f>
        <v>0</v>
      </c>
      <c r="Y253" s="348" t="n">
        <f aca="false">+IF(AND(X$8&lt;=V253,X$9&gt;=V253),+MIN($B253-SUMIF($H$17:X$17,Y$17,$H253:X253),((INDEX(ROUTE_PER_DAY_BY_SHIP,MATCH(CONCATENATE(X$4,X$5,X$7),ROUTE_PER_DAY_ROUTES,0),MATCH(X$6,ROUTE_PER_DAY_SHIPS,0))*(V254-V253))-(INDEX(ROUTE_PER_DAY_BY_SHIP,MATCH(CONCATENATE(X$4,X$5,X$7),ROUTE_PER_DAY_ROUTES,0),MATCH(X$6,ROUTE_PER_DAY_SHIPS,0))*(V254-V253))*HLOOKUP(X$6,SHIPS,7,0)*INDEX(LADEN_VOYAGE_DAYS,MATCH(CONCATENATE(X$4,X$5,X$7),LADEN_VOYAGE_ROUTES,0),MATCH(X$6,LADEN_VOYAGE_SHIPS,0)))),0)</f>
        <v>0</v>
      </c>
      <c r="Z253" s="349" t="n">
        <f aca="false">-(Y253)*HLOOKUP(X$5,TERMINAL_CHARGES,3,0)</f>
        <v>-0</v>
      </c>
      <c r="AA253" s="327" t="n">
        <f aca="false">+Y253+Z253</f>
        <v>0</v>
      </c>
      <c r="AB253" s="333"/>
      <c r="AC253" s="346" t="n">
        <f aca="false">+DATE(YEAR(AC252),MONTH(AC252)+1,1)</f>
        <v>43862</v>
      </c>
      <c r="AD253" s="343" t="n">
        <f aca="false">+AA253*(VLOOKUP(AC253,CURVECALC!$C$6:$J$312,4,0)+AE$5)</f>
        <v>0</v>
      </c>
      <c r="AE253" s="350" t="n">
        <f aca="false">-W253*INDEX(ship_curves,MATCH(AC253,'SHIP CURVES'!$A$9:$A$316,0),MATCH(CONCATENATE(AG$4,AG$5,AG$6,AG$7),'SHIP CURVES'!$A$9:$AZ$9,0))</f>
        <v>-0</v>
      </c>
      <c r="AF253" s="351" t="n">
        <f aca="false">-Y253*INDEX(port_processing_fee,MATCH(AC253,PORTS!$H$626:$H$933,0),MATCH(AG$5,PORTS!$H$626:$Z$626,0))</f>
        <v>-0</v>
      </c>
      <c r="AG253" s="352" t="n">
        <f aca="false">(((VLOOKUP(AC253,curvecalc,4,0))*IF(W253=0,0,AA253/W253)-INDEX(ship_curves,MATCH(AC253,'SHIP CURVES'!$A$9:$A$316,0),MATCH(CONCATENATE(AG$4,AG$5,AG$6,AG$7),'SHIP CURVES'!$A$9:$Z$9,0))-INDEX(terminal_curves,MATCH(AC253,'TERMINAL CURVES'!$A$4:$A$313,0),MATCH(AG$5,'TERMINAL CURVES'!$A$4:$N$4,0))*IF(W253=0,0,Y253/W253))-(AE$8)*((AE$7-$N$5)-(INDEX(ship_curves,MATCH(AC253,'SHIP CURVES'!$A$9:$A$316,0),MATCH(CONCATENATE(AG$4,AG$5,AG$6,AG$7),'SHIP CURVES'!$A$9:$Z$9,0))-INDEX(ship_curves,MATCH(AC253,'SHIP CURVES'!$A$9:$A$316,0),MATCH(CONCATENATE(AG$4,AE$6,AG$6,AG$7),'SHIP CURVES'!$A$9:$Z$9,0)))-(INDEX(terminal_curves,MATCH(AC253,'TERMINAL CURVES'!$A$4:$A$313,0),MATCH(AG$5,'TERMINAL CURVES'!$A$4:$N$4,0))-INDEX(terminal_curves,MATCH(AC253,'TERMINAL CURVES'!$A$4:$A$313,0),MATCH(AE$6,'TERMINAL CURVES'!$A$4:$N$4,0)))*IF(W253=0,0,Y253/W253)))*-W253</f>
        <v>0</v>
      </c>
      <c r="AH253" s="356" t="n">
        <f aca="false">SUM(AE253:AG253)</f>
        <v>0</v>
      </c>
      <c r="AI253" s="357" t="n">
        <f aca="false">(-Y253/((HLOOKUP(AG$5,port_specs,2,0)/(365.25))*(AC254-AC253)))*(INDEX(fixed_capacity_charge,MATCH(AC253,PORTS!$H$11:$H$317,0),MATCH(AG$5,PORTS!$H$11:$N$11,0))+INDEX(variable_om_charge,MATCH(AC253,PORTS!$H$318:$H$625,0),MATCH(AG$5,PORTS!$H$318:$N$318,0)))</f>
        <v>-0</v>
      </c>
      <c r="AJ253" s="343" t="n">
        <f aca="false">+AI253+AH253</f>
        <v>0</v>
      </c>
      <c r="AK253" s="355" t="n">
        <f aca="false">+AJ253+AD253</f>
        <v>0</v>
      </c>
      <c r="AM253" s="346" t="n">
        <f aca="false">+DATE(YEAR(AM252),MONTH(AM252)+1,1)</f>
        <v>43862</v>
      </c>
      <c r="AN253" s="327" t="n">
        <f aca="false">+AP253/(1-HLOOKUP(AO$6,SHIPS,7,0)*INDEX(LADEN_VOYAGE_DAYS,MATCH(CONCATENATE(AO$4,AO$5),LADEN_VOYAGE_ROUTES,0),MATCH(AO$6,LADEN_VOYAGE_SHIPS,0)))</f>
        <v>0</v>
      </c>
      <c r="AO253" s="347" t="n">
        <f aca="false">+AP253-AN253</f>
        <v>0</v>
      </c>
      <c r="AP253" s="348" t="n">
        <f aca="false">+IF(AND(AO$8&lt;=AM253,AO$9&gt;=AM253),+MIN($B253-SUMIF($H$17:AO$17,AP$17,$H253:AO253),((INDEX(ROUTE_PER_DAY_BY_SHIP,MATCH(CONCATENATE(AO$4,AO$5,AO$7),ROUTE_PER_DAY_ROUTES,0),MATCH(AO$6,ROUTE_PER_DAY_SHIPS,0))*(AM254-AM253))-(INDEX(ROUTE_PER_DAY_BY_SHIP,MATCH(CONCATENATE(AO$4,AO$5,AO$7),ROUTE_PER_DAY_ROUTES,0),MATCH(AO$6,ROUTE_PER_DAY_SHIPS,0))*(AM254-AM253))*HLOOKUP(AO$6,SHIPS,7,0)*INDEX(LADEN_VOYAGE_DAYS,MATCH(CONCATENATE(AO$4,AO$5,AO$7),LADEN_VOYAGE_ROUTES,0),MATCH(AO$6,LADEN_VOYAGE_SHIPS,0)))),0)</f>
        <v>0</v>
      </c>
      <c r="AQ253" s="349" t="n">
        <f aca="false">-(AP253)*PORTS!$I$6</f>
        <v>-0</v>
      </c>
      <c r="AR253" s="327" t="n">
        <f aca="false">+AP253+AQ253</f>
        <v>0</v>
      </c>
      <c r="AS253" s="333"/>
      <c r="AT253" s="346" t="n">
        <f aca="false">+DATE(YEAR(AT252),MONTH(AT252)+1,1)</f>
        <v>43862</v>
      </c>
      <c r="AU253" s="343" t="n">
        <f aca="false">+AR253*(VLOOKUP(AT253,CURVECALC!$C$6:$J$312,4,0)+AV$5)</f>
        <v>0</v>
      </c>
      <c r="AV253" s="350" t="n">
        <f aca="false">-AN253*INDEX(ship_curves,MATCH(AT253,'SHIP CURVES'!$A$9:$A$316,0),MATCH(CONCATENATE(AX$4,AX$5,AX$6,AX$7),'SHIP CURVES'!$A$9:$AZ$9,0))</f>
        <v>-0</v>
      </c>
      <c r="AW253" s="351" t="n">
        <f aca="false">-AP253*INDEX(port_processing_fee,MATCH(AT253,PORTS!$H$626:$H$933,0),MATCH(AX$5,PORTS!$H$626:$Z$626,0))</f>
        <v>-0</v>
      </c>
      <c r="AX253" s="352" t="n">
        <f aca="false">(((VLOOKUP(AT253,curvecalc,4,0))*IF(AN253=0,0,AR253/AN253)-INDEX(ship_curves,MATCH(AT253,'SHIP CURVES'!$A$9:$A$316,0),MATCH(CONCATENATE(AX$4,AX$5,AX$6,AX$7),'SHIP CURVES'!$A$9:$Z$9,0))-INDEX(terminal_curves,MATCH(AT253,'TERMINAL CURVES'!$A$4:$A$313,0),MATCH(AX$5,'TERMINAL CURVES'!$A$4:$N$4,0))*IF(AN253=0,0,AP253/AN253))-(AV$8)*((AV$7-$N$5)-(INDEX(ship_curves,MATCH(AT253,'SHIP CURVES'!$A$9:$A$316,0),MATCH(CONCATENATE(AX$4,AX$5,AX$6,AX$7),'SHIP CURVES'!$A$9:$Z$9,0))-INDEX(ship_curves,MATCH(AT253,'SHIP CURVES'!$A$9:$A$316,0),MATCH(CONCATENATE(AX$4,AV$6,AX$6,AX$7),'SHIP CURVES'!$A$9:$Z$9,0)))-(INDEX(terminal_curves,MATCH(AT253,'TERMINAL CURVES'!$A$4:$A$313,0),MATCH(AX$5,'TERMINAL CURVES'!$A$4:$N$4,0))-INDEX(terminal_curves,MATCH(AT253,'TERMINAL CURVES'!$A$4:$A$313,0),MATCH(AV$6,'TERMINAL CURVES'!$A$4:$N$4,0)))*IF(AN253=0,0,AP253/AN253)))*-AN253</f>
        <v>0</v>
      </c>
      <c r="AY253" s="356" t="n">
        <f aca="false">SUM(AV253:AX253)</f>
        <v>0</v>
      </c>
      <c r="AZ253" s="357" t="n">
        <f aca="false">(-AP253/((HLOOKUP(AX$5,port_specs,2,0)/(365.25))*(AT254-AT253)))*(INDEX(fixed_capacity_charge,MATCH(AT253,PORTS!$H$11:$H$317,0),MATCH(AX$5,PORTS!$H$11:$N$11,0))+INDEX(variable_om_charge,MATCH(AT253,PORTS!$H$318:$H$625,0),MATCH(AX$5,PORTS!$H$318:$N$318,0)))</f>
        <v>-0</v>
      </c>
      <c r="BA253" s="343" t="n">
        <f aca="false">+AZ253+AY253</f>
        <v>0</v>
      </c>
      <c r="BB253" s="355" t="n">
        <f aca="false">+BA253+AU253</f>
        <v>0</v>
      </c>
      <c r="BC253" s="99"/>
      <c r="BD253" s="357" t="n">
        <f aca="false">+PORTS!I247+PORTS!I555</f>
        <v>0</v>
      </c>
    </row>
    <row r="254" customFormat="false" ht="12.75" hidden="false" customHeight="false" outlineLevel="0" collapsed="false">
      <c r="A254" s="346" t="n">
        <f aca="false">+DATE(YEAR(A253),MONTH(A253)+1,1)</f>
        <v>43891</v>
      </c>
      <c r="B254" s="327" t="n">
        <f aca="false">+IF(AND($A254&gt;=$C$8,$A254&lt;=$C$9),1,0)*PORTS!$I$5/(365.25)*(A255-A254)</f>
        <v>0</v>
      </c>
      <c r="C254" s="328" t="n">
        <f aca="false">+B254-(SUMIF($F$17:$IV$17,$H$17,$F254:$IV254))</f>
        <v>0</v>
      </c>
      <c r="D254" s="0" t="n">
        <f aca="false">+YEAR(E254)</f>
        <v>2020</v>
      </c>
      <c r="E254" s="346" t="n">
        <f aca="false">+DATE(YEAR(E253),MONTH(E253)+1,1)</f>
        <v>43891</v>
      </c>
      <c r="F254" s="327" t="n">
        <f aca="false">+IF(AND(G$8&lt;=E254,G$9&gt;=E254),INDEX(ROUTE_PER_DAY_BY_SHIP,MATCH(CONCATENATE(G$4,G$5,G$7),ROUTE_PER_DAY_ROUTES,0),MATCH(G$6,ROUTE_PER_DAY_SHIPS,0))*(E255-E254),0)</f>
        <v>0</v>
      </c>
      <c r="G254" s="347" t="n">
        <f aca="false">-F254*HLOOKUP(G$6,SHIPS,7,0)*INDEX(LADEN_VOYAGE_DAYS,MATCH(CONCATENATE(G$4,G$5,G$7),LADEN_VOYAGE_ROUTES,0),MATCH(G$6,LADEN_VOYAGE_SHIPS,0))</f>
        <v>-0</v>
      </c>
      <c r="H254" s="348" t="n">
        <f aca="false">SUM(F254:G254)</f>
        <v>0</v>
      </c>
      <c r="I254" s="349" t="n">
        <f aca="false">-(H254)*HLOOKUP(G$5,TERMINAL_CHARGES,3,0)</f>
        <v>-0</v>
      </c>
      <c r="J254" s="327" t="n">
        <f aca="false">+H254+I254</f>
        <v>0</v>
      </c>
      <c r="K254" s="333"/>
      <c r="L254" s="346" t="n">
        <f aca="false">+DATE(YEAR(L253),MONTH(L253)+1,1)</f>
        <v>43891</v>
      </c>
      <c r="M254" s="334" t="n">
        <f aca="false">+J254*(VLOOKUP(L254,CURVECALC!$C$6:$J$312,4,0)+N$5)</f>
        <v>0</v>
      </c>
      <c r="N254" s="350" t="n">
        <f aca="false">-F254*INDEX(ship_curves,MATCH(L254,'SHIP CURVES'!$A$9:$A$316,0),MATCH(CONCATENATE(P$4,P$5,P$6,P$7),'SHIP CURVES'!$A$9:$AZ$9,0))</f>
        <v>-0</v>
      </c>
      <c r="O254" s="351" t="n">
        <f aca="false">-H254*INDEX(port_processing_fee,MATCH(L254,PORTS!$H$626:$H$933,0),MATCH(P$5,PORTS!$H$626:$Z$626,0))</f>
        <v>-0</v>
      </c>
      <c r="P254" s="352" t="n">
        <f aca="false">(((VLOOKUP(L254,curvecalc,4,0))*IF(F254=0,0,J254/F254)-INDEX(ship_curves,MATCH(L254,'SHIP CURVES'!$A$9:$A$316,0),MATCH(CONCATENATE(P$4,P$5,P$6,P$7),'SHIP CURVES'!$A$9:$Z$9,0))-INDEX(terminal_curves,MATCH(L254,'TERMINAL CURVES'!$A$4:$A$313,0),MATCH(P$5,'TERMINAL CURVES'!$A$4:$N$4,0))*IF(F254=0,0,H254/F254))-(N$8)*((N$7-$N$5)-(INDEX(ship_curves,MATCH(L254,'SHIP CURVES'!$A$9:$A$316,0),MATCH(CONCATENATE(P$4,P$5,P$6,P$7),'SHIP CURVES'!$A$9:$Z$9,0))-INDEX(ship_curves,MATCH(L254,'SHIP CURVES'!$A$9:$A$316,0),MATCH(CONCATENATE(P$4,N$6,P$6,P$7),'SHIP CURVES'!$A$9:$Z$9,0)))-(INDEX(terminal_curves,MATCH(L254,'TERMINAL CURVES'!$A$4:$A$313,0),MATCH(P$5,'TERMINAL CURVES'!$A$4:$N$4,0))-INDEX(terminal_curves,MATCH(L254,'TERMINAL CURVES'!$A$4:$A$313,0),MATCH(N$6,'TERMINAL CURVES'!$A$4:$N$4,0)))*IF(F254=0,0,H254/F254)))*-F254</f>
        <v>0</v>
      </c>
      <c r="Q254" s="353" t="n">
        <f aca="false">SUM(N254:P254)</f>
        <v>0</v>
      </c>
      <c r="R254" s="357" t="n">
        <f aca="false">(-H254/((HLOOKUP(P$5,port_specs,2,0)/(365.25))*(L255-L254)))*(INDEX(fixed_capacity_charge,MATCH(L254,PORTS!$H$11:$H$317,0),MATCH(P$5,PORTS!$H$11:$N$11,0))+INDEX(variable_om_charge,MATCH(L254,PORTS!$H$318:$H$625,0),MATCH(P$5,PORTS!$H$318:$N$318,0)))</f>
        <v>-0</v>
      </c>
      <c r="S254" s="343" t="n">
        <f aca="false">+R254+Q254</f>
        <v>0</v>
      </c>
      <c r="T254" s="355" t="n">
        <f aca="false">+S254+M254</f>
        <v>0</v>
      </c>
      <c r="V254" s="346" t="n">
        <f aca="false">+DATE(YEAR(V253),MONTH(V253)+1,1)</f>
        <v>43891</v>
      </c>
      <c r="W254" s="327" t="n">
        <f aca="false">+Y254/(1-HLOOKUP(X$6,SHIPS,7,0)*INDEX(LADEN_VOYAGE_DAYS,MATCH(CONCATENATE(X$4,X$5),LADEN_VOYAGE_ROUTES,0),MATCH(X$6,LADEN_VOYAGE_SHIPS,0)))</f>
        <v>0</v>
      </c>
      <c r="X254" s="347" t="n">
        <f aca="false">+Y254-W254</f>
        <v>0</v>
      </c>
      <c r="Y254" s="348" t="n">
        <f aca="false">+IF(AND(X$8&lt;=V254,X$9&gt;=V254),+MIN($B254-SUMIF($H$17:X$17,Y$17,$H254:X254),((INDEX(ROUTE_PER_DAY_BY_SHIP,MATCH(CONCATENATE(X$4,X$5,X$7),ROUTE_PER_DAY_ROUTES,0),MATCH(X$6,ROUTE_PER_DAY_SHIPS,0))*(V255-V254))-(INDEX(ROUTE_PER_DAY_BY_SHIP,MATCH(CONCATENATE(X$4,X$5,X$7),ROUTE_PER_DAY_ROUTES,0),MATCH(X$6,ROUTE_PER_DAY_SHIPS,0))*(V255-V254))*HLOOKUP(X$6,SHIPS,7,0)*INDEX(LADEN_VOYAGE_DAYS,MATCH(CONCATENATE(X$4,X$5,X$7),LADEN_VOYAGE_ROUTES,0),MATCH(X$6,LADEN_VOYAGE_SHIPS,0)))),0)</f>
        <v>0</v>
      </c>
      <c r="Z254" s="349" t="n">
        <f aca="false">-(Y254)*HLOOKUP(X$5,TERMINAL_CHARGES,3,0)</f>
        <v>-0</v>
      </c>
      <c r="AA254" s="327" t="n">
        <f aca="false">+Y254+Z254</f>
        <v>0</v>
      </c>
      <c r="AB254" s="333"/>
      <c r="AC254" s="346" t="n">
        <f aca="false">+DATE(YEAR(AC253),MONTH(AC253)+1,1)</f>
        <v>43891</v>
      </c>
      <c r="AD254" s="343" t="n">
        <f aca="false">+AA254*(VLOOKUP(AC254,CURVECALC!$C$6:$J$312,4,0)+AE$5)</f>
        <v>0</v>
      </c>
      <c r="AE254" s="350" t="n">
        <f aca="false">-W254*INDEX(ship_curves,MATCH(AC254,'SHIP CURVES'!$A$9:$A$316,0),MATCH(CONCATENATE(AG$4,AG$5,AG$6,AG$7),'SHIP CURVES'!$A$9:$AZ$9,0))</f>
        <v>-0</v>
      </c>
      <c r="AF254" s="351" t="n">
        <f aca="false">-Y254*INDEX(port_processing_fee,MATCH(AC254,PORTS!$H$626:$H$933,0),MATCH(AG$5,PORTS!$H$626:$Z$626,0))</f>
        <v>-0</v>
      </c>
      <c r="AG254" s="352" t="n">
        <f aca="false">(((VLOOKUP(AC254,curvecalc,4,0))*IF(W254=0,0,AA254/W254)-INDEX(ship_curves,MATCH(AC254,'SHIP CURVES'!$A$9:$A$316,0),MATCH(CONCATENATE(AG$4,AG$5,AG$6,AG$7),'SHIP CURVES'!$A$9:$Z$9,0))-INDEX(terminal_curves,MATCH(AC254,'TERMINAL CURVES'!$A$4:$A$313,0),MATCH(AG$5,'TERMINAL CURVES'!$A$4:$N$4,0))*IF(W254=0,0,Y254/W254))-(AE$8)*((AE$7-$N$5)-(INDEX(ship_curves,MATCH(AC254,'SHIP CURVES'!$A$9:$A$316,0),MATCH(CONCATENATE(AG$4,AG$5,AG$6,AG$7),'SHIP CURVES'!$A$9:$Z$9,0))-INDEX(ship_curves,MATCH(AC254,'SHIP CURVES'!$A$9:$A$316,0),MATCH(CONCATENATE(AG$4,AE$6,AG$6,AG$7),'SHIP CURVES'!$A$9:$Z$9,0)))-(INDEX(terminal_curves,MATCH(AC254,'TERMINAL CURVES'!$A$4:$A$313,0),MATCH(AG$5,'TERMINAL CURVES'!$A$4:$N$4,0))-INDEX(terminal_curves,MATCH(AC254,'TERMINAL CURVES'!$A$4:$A$313,0),MATCH(AE$6,'TERMINAL CURVES'!$A$4:$N$4,0)))*IF(W254=0,0,Y254/W254)))*-W254</f>
        <v>0</v>
      </c>
      <c r="AH254" s="356" t="n">
        <f aca="false">SUM(AE254:AG254)</f>
        <v>0</v>
      </c>
      <c r="AI254" s="357" t="n">
        <f aca="false">(-Y254/((HLOOKUP(AG$5,port_specs,2,0)/(365.25))*(AC255-AC254)))*(INDEX(fixed_capacity_charge,MATCH(AC254,PORTS!$H$11:$H$317,0),MATCH(AG$5,PORTS!$H$11:$N$11,0))+INDEX(variable_om_charge,MATCH(AC254,PORTS!$H$318:$H$625,0),MATCH(AG$5,PORTS!$H$318:$N$318,0)))</f>
        <v>-0</v>
      </c>
      <c r="AJ254" s="343" t="n">
        <f aca="false">+AI254+AH254</f>
        <v>0</v>
      </c>
      <c r="AK254" s="355" t="n">
        <f aca="false">+AJ254+AD254</f>
        <v>0</v>
      </c>
      <c r="AM254" s="346" t="n">
        <f aca="false">+DATE(YEAR(AM253),MONTH(AM253)+1,1)</f>
        <v>43891</v>
      </c>
      <c r="AN254" s="327" t="n">
        <f aca="false">+AP254/(1-HLOOKUP(AO$6,SHIPS,7,0)*INDEX(LADEN_VOYAGE_DAYS,MATCH(CONCATENATE(AO$4,AO$5),LADEN_VOYAGE_ROUTES,0),MATCH(AO$6,LADEN_VOYAGE_SHIPS,0)))</f>
        <v>0</v>
      </c>
      <c r="AO254" s="347" t="n">
        <f aca="false">+AP254-AN254</f>
        <v>0</v>
      </c>
      <c r="AP254" s="348" t="n">
        <f aca="false">+IF(AND(AO$8&lt;=AM254,AO$9&gt;=AM254),+MIN($B254-SUMIF($H$17:AO$17,AP$17,$H254:AO254),((INDEX(ROUTE_PER_DAY_BY_SHIP,MATCH(CONCATENATE(AO$4,AO$5,AO$7),ROUTE_PER_DAY_ROUTES,0),MATCH(AO$6,ROUTE_PER_DAY_SHIPS,0))*(AM255-AM254))-(INDEX(ROUTE_PER_DAY_BY_SHIP,MATCH(CONCATENATE(AO$4,AO$5,AO$7),ROUTE_PER_DAY_ROUTES,0),MATCH(AO$6,ROUTE_PER_DAY_SHIPS,0))*(AM255-AM254))*HLOOKUP(AO$6,SHIPS,7,0)*INDEX(LADEN_VOYAGE_DAYS,MATCH(CONCATENATE(AO$4,AO$5,AO$7),LADEN_VOYAGE_ROUTES,0),MATCH(AO$6,LADEN_VOYAGE_SHIPS,0)))),0)</f>
        <v>0</v>
      </c>
      <c r="AQ254" s="349" t="n">
        <f aca="false">-(AP254)*PORTS!$I$6</f>
        <v>-0</v>
      </c>
      <c r="AR254" s="327" t="n">
        <f aca="false">+AP254+AQ254</f>
        <v>0</v>
      </c>
      <c r="AS254" s="333"/>
      <c r="AT254" s="346" t="n">
        <f aca="false">+DATE(YEAR(AT253),MONTH(AT253)+1,1)</f>
        <v>43891</v>
      </c>
      <c r="AU254" s="343" t="n">
        <f aca="false">+AR254*(VLOOKUP(AT254,CURVECALC!$C$6:$J$312,4,0)+AV$5)</f>
        <v>0</v>
      </c>
      <c r="AV254" s="350" t="n">
        <f aca="false">-AN254*INDEX(ship_curves,MATCH(AT254,'SHIP CURVES'!$A$9:$A$316,0),MATCH(CONCATENATE(AX$4,AX$5,AX$6,AX$7),'SHIP CURVES'!$A$9:$AZ$9,0))</f>
        <v>-0</v>
      </c>
      <c r="AW254" s="351" t="n">
        <f aca="false">-AP254*INDEX(port_processing_fee,MATCH(AT254,PORTS!$H$626:$H$933,0),MATCH(AX$5,PORTS!$H$626:$Z$626,0))</f>
        <v>-0</v>
      </c>
      <c r="AX254" s="352" t="n">
        <f aca="false">(((VLOOKUP(AT254,curvecalc,4,0))*IF(AN254=0,0,AR254/AN254)-INDEX(ship_curves,MATCH(AT254,'SHIP CURVES'!$A$9:$A$316,0),MATCH(CONCATENATE(AX$4,AX$5,AX$6,AX$7),'SHIP CURVES'!$A$9:$Z$9,0))-INDEX(terminal_curves,MATCH(AT254,'TERMINAL CURVES'!$A$4:$A$313,0),MATCH(AX$5,'TERMINAL CURVES'!$A$4:$N$4,0))*IF(AN254=0,0,AP254/AN254))-(AV$8)*((AV$7-$N$5)-(INDEX(ship_curves,MATCH(AT254,'SHIP CURVES'!$A$9:$A$316,0),MATCH(CONCATENATE(AX$4,AX$5,AX$6,AX$7),'SHIP CURVES'!$A$9:$Z$9,0))-INDEX(ship_curves,MATCH(AT254,'SHIP CURVES'!$A$9:$A$316,0),MATCH(CONCATENATE(AX$4,AV$6,AX$6,AX$7),'SHIP CURVES'!$A$9:$Z$9,0)))-(INDEX(terminal_curves,MATCH(AT254,'TERMINAL CURVES'!$A$4:$A$313,0),MATCH(AX$5,'TERMINAL CURVES'!$A$4:$N$4,0))-INDEX(terminal_curves,MATCH(AT254,'TERMINAL CURVES'!$A$4:$A$313,0),MATCH(AV$6,'TERMINAL CURVES'!$A$4:$N$4,0)))*IF(AN254=0,0,AP254/AN254)))*-AN254</f>
        <v>0</v>
      </c>
      <c r="AY254" s="356" t="n">
        <f aca="false">SUM(AV254:AX254)</f>
        <v>0</v>
      </c>
      <c r="AZ254" s="357" t="n">
        <f aca="false">(-AP254/((HLOOKUP(AX$5,port_specs,2,0)/(365.25))*(AT255-AT254)))*(INDEX(fixed_capacity_charge,MATCH(AT254,PORTS!$H$11:$H$317,0),MATCH(AX$5,PORTS!$H$11:$N$11,0))+INDEX(variable_om_charge,MATCH(AT254,PORTS!$H$318:$H$625,0),MATCH(AX$5,PORTS!$H$318:$N$318,0)))</f>
        <v>-0</v>
      </c>
      <c r="BA254" s="343" t="n">
        <f aca="false">+AZ254+AY254</f>
        <v>0</v>
      </c>
      <c r="BB254" s="355" t="n">
        <f aca="false">+BA254+AU254</f>
        <v>0</v>
      </c>
      <c r="BC254" s="99"/>
      <c r="BD254" s="357" t="n">
        <f aca="false">+PORTS!I248+PORTS!I556</f>
        <v>0</v>
      </c>
    </row>
    <row r="255" customFormat="false" ht="12.75" hidden="false" customHeight="false" outlineLevel="0" collapsed="false">
      <c r="A255" s="346" t="n">
        <f aca="false">+DATE(YEAR(A254),MONTH(A254)+1,1)</f>
        <v>43922</v>
      </c>
      <c r="B255" s="327" t="n">
        <f aca="false">+IF(AND($A255&gt;=$C$8,$A255&lt;=$C$9),1,0)*PORTS!$I$5/(365.25)*(A256-A255)</f>
        <v>0</v>
      </c>
      <c r="C255" s="328" t="n">
        <f aca="false">+B255-(SUMIF($F$17:$IV$17,$H$17,$F255:$IV255))</f>
        <v>0</v>
      </c>
      <c r="D255" s="0" t="n">
        <f aca="false">+YEAR(E255)</f>
        <v>2020</v>
      </c>
      <c r="E255" s="346" t="n">
        <f aca="false">+DATE(YEAR(E254),MONTH(E254)+1,1)</f>
        <v>43922</v>
      </c>
      <c r="F255" s="327" t="n">
        <f aca="false">+IF(AND(G$8&lt;=E255,G$9&gt;=E255),INDEX(ROUTE_PER_DAY_BY_SHIP,MATCH(CONCATENATE(G$4,G$5,G$7),ROUTE_PER_DAY_ROUTES,0),MATCH(G$6,ROUTE_PER_DAY_SHIPS,0))*(E256-E255),0)</f>
        <v>0</v>
      </c>
      <c r="G255" s="347" t="n">
        <f aca="false">-F255*HLOOKUP(G$6,SHIPS,7,0)*INDEX(LADEN_VOYAGE_DAYS,MATCH(CONCATENATE(G$4,G$5,G$7),LADEN_VOYAGE_ROUTES,0),MATCH(G$6,LADEN_VOYAGE_SHIPS,0))</f>
        <v>-0</v>
      </c>
      <c r="H255" s="348" t="n">
        <f aca="false">SUM(F255:G255)</f>
        <v>0</v>
      </c>
      <c r="I255" s="349" t="n">
        <f aca="false">-(H255)*HLOOKUP(G$5,TERMINAL_CHARGES,3,0)</f>
        <v>-0</v>
      </c>
      <c r="J255" s="327" t="n">
        <f aca="false">+H255+I255</f>
        <v>0</v>
      </c>
      <c r="K255" s="333"/>
      <c r="L255" s="346" t="n">
        <f aca="false">+DATE(YEAR(L254),MONTH(L254)+1,1)</f>
        <v>43922</v>
      </c>
      <c r="M255" s="334" t="n">
        <f aca="false">+J255*(VLOOKUP(L255,CURVECALC!$C$6:$J$312,4,0)+N$5)</f>
        <v>0</v>
      </c>
      <c r="N255" s="350" t="n">
        <f aca="false">-F255*INDEX(ship_curves,MATCH(L255,'SHIP CURVES'!$A$9:$A$316,0),MATCH(CONCATENATE(P$4,P$5,P$6,P$7),'SHIP CURVES'!$A$9:$AZ$9,0))</f>
        <v>-0</v>
      </c>
      <c r="O255" s="351" t="n">
        <f aca="false">-H255*INDEX(port_processing_fee,MATCH(L255,PORTS!$H$626:$H$933,0),MATCH(P$5,PORTS!$H$626:$Z$626,0))</f>
        <v>-0</v>
      </c>
      <c r="P255" s="352" t="n">
        <f aca="false">(((VLOOKUP(L255,curvecalc,4,0))*IF(F255=0,0,J255/F255)-INDEX(ship_curves,MATCH(L255,'SHIP CURVES'!$A$9:$A$316,0),MATCH(CONCATENATE(P$4,P$5,P$6,P$7),'SHIP CURVES'!$A$9:$Z$9,0))-INDEX(terminal_curves,MATCH(L255,'TERMINAL CURVES'!$A$4:$A$313,0),MATCH(P$5,'TERMINAL CURVES'!$A$4:$N$4,0))*IF(F255=0,0,H255/F255))-(N$8)*((N$7-$N$5)-(INDEX(ship_curves,MATCH(L255,'SHIP CURVES'!$A$9:$A$316,0),MATCH(CONCATENATE(P$4,P$5,P$6,P$7),'SHIP CURVES'!$A$9:$Z$9,0))-INDEX(ship_curves,MATCH(L255,'SHIP CURVES'!$A$9:$A$316,0),MATCH(CONCATENATE(P$4,N$6,P$6,P$7),'SHIP CURVES'!$A$9:$Z$9,0)))-(INDEX(terminal_curves,MATCH(L255,'TERMINAL CURVES'!$A$4:$A$313,0),MATCH(P$5,'TERMINAL CURVES'!$A$4:$N$4,0))-INDEX(terminal_curves,MATCH(L255,'TERMINAL CURVES'!$A$4:$A$313,0),MATCH(N$6,'TERMINAL CURVES'!$A$4:$N$4,0)))*IF(F255=0,0,H255/F255)))*-F255</f>
        <v>0</v>
      </c>
      <c r="Q255" s="353" t="n">
        <f aca="false">SUM(N255:P255)</f>
        <v>0</v>
      </c>
      <c r="R255" s="357" t="n">
        <f aca="false">(-H255/((HLOOKUP(P$5,port_specs,2,0)/(365.25))*(L256-L255)))*(INDEX(fixed_capacity_charge,MATCH(L255,PORTS!$H$11:$H$317,0),MATCH(P$5,PORTS!$H$11:$N$11,0))+INDEX(variable_om_charge,MATCH(L255,PORTS!$H$318:$H$625,0),MATCH(P$5,PORTS!$H$318:$N$318,0)))</f>
        <v>-0</v>
      </c>
      <c r="S255" s="343" t="n">
        <f aca="false">+R255+Q255</f>
        <v>0</v>
      </c>
      <c r="T255" s="355" t="n">
        <f aca="false">+S255+M255</f>
        <v>0</v>
      </c>
      <c r="V255" s="346" t="n">
        <f aca="false">+DATE(YEAR(V254),MONTH(V254)+1,1)</f>
        <v>43922</v>
      </c>
      <c r="W255" s="327" t="n">
        <f aca="false">+Y255/(1-HLOOKUP(X$6,SHIPS,7,0)*INDEX(LADEN_VOYAGE_DAYS,MATCH(CONCATENATE(X$4,X$5),LADEN_VOYAGE_ROUTES,0),MATCH(X$6,LADEN_VOYAGE_SHIPS,0)))</f>
        <v>0</v>
      </c>
      <c r="X255" s="347" t="n">
        <f aca="false">+Y255-W255</f>
        <v>0</v>
      </c>
      <c r="Y255" s="348" t="n">
        <f aca="false">+IF(AND(X$8&lt;=V255,X$9&gt;=V255),+MIN($B255-SUMIF($H$17:X$17,Y$17,$H255:X255),((INDEX(ROUTE_PER_DAY_BY_SHIP,MATCH(CONCATENATE(X$4,X$5,X$7),ROUTE_PER_DAY_ROUTES,0),MATCH(X$6,ROUTE_PER_DAY_SHIPS,0))*(V256-V255))-(INDEX(ROUTE_PER_DAY_BY_SHIP,MATCH(CONCATENATE(X$4,X$5,X$7),ROUTE_PER_DAY_ROUTES,0),MATCH(X$6,ROUTE_PER_DAY_SHIPS,0))*(V256-V255))*HLOOKUP(X$6,SHIPS,7,0)*INDEX(LADEN_VOYAGE_DAYS,MATCH(CONCATENATE(X$4,X$5,X$7),LADEN_VOYAGE_ROUTES,0),MATCH(X$6,LADEN_VOYAGE_SHIPS,0)))),0)</f>
        <v>0</v>
      </c>
      <c r="Z255" s="349" t="n">
        <f aca="false">-(Y255)*HLOOKUP(X$5,TERMINAL_CHARGES,3,0)</f>
        <v>-0</v>
      </c>
      <c r="AA255" s="327" t="n">
        <f aca="false">+Y255+Z255</f>
        <v>0</v>
      </c>
      <c r="AB255" s="333"/>
      <c r="AC255" s="346" t="n">
        <f aca="false">+DATE(YEAR(AC254),MONTH(AC254)+1,1)</f>
        <v>43922</v>
      </c>
      <c r="AD255" s="343" t="n">
        <f aca="false">+AA255*(VLOOKUP(AC255,CURVECALC!$C$6:$J$312,4,0)+AE$5)</f>
        <v>0</v>
      </c>
      <c r="AE255" s="350" t="n">
        <f aca="false">-W255*INDEX(ship_curves,MATCH(AC255,'SHIP CURVES'!$A$9:$A$316,0),MATCH(CONCATENATE(AG$4,AG$5,AG$6,AG$7),'SHIP CURVES'!$A$9:$AZ$9,0))</f>
        <v>-0</v>
      </c>
      <c r="AF255" s="351" t="n">
        <f aca="false">-Y255*INDEX(port_processing_fee,MATCH(AC255,PORTS!$H$626:$H$933,0),MATCH(AG$5,PORTS!$H$626:$Z$626,0))</f>
        <v>-0</v>
      </c>
      <c r="AG255" s="352" t="n">
        <f aca="false">(((VLOOKUP(AC255,curvecalc,4,0))*IF(W255=0,0,AA255/W255)-INDEX(ship_curves,MATCH(AC255,'SHIP CURVES'!$A$9:$A$316,0),MATCH(CONCATENATE(AG$4,AG$5,AG$6,AG$7),'SHIP CURVES'!$A$9:$Z$9,0))-INDEX(terminal_curves,MATCH(AC255,'TERMINAL CURVES'!$A$4:$A$313,0),MATCH(AG$5,'TERMINAL CURVES'!$A$4:$N$4,0))*IF(W255=0,0,Y255/W255))-(AE$8)*((AE$7-$N$5)-(INDEX(ship_curves,MATCH(AC255,'SHIP CURVES'!$A$9:$A$316,0),MATCH(CONCATENATE(AG$4,AG$5,AG$6,AG$7),'SHIP CURVES'!$A$9:$Z$9,0))-INDEX(ship_curves,MATCH(AC255,'SHIP CURVES'!$A$9:$A$316,0),MATCH(CONCATENATE(AG$4,AE$6,AG$6,AG$7),'SHIP CURVES'!$A$9:$Z$9,0)))-(INDEX(terminal_curves,MATCH(AC255,'TERMINAL CURVES'!$A$4:$A$313,0),MATCH(AG$5,'TERMINAL CURVES'!$A$4:$N$4,0))-INDEX(terminal_curves,MATCH(AC255,'TERMINAL CURVES'!$A$4:$A$313,0),MATCH(AE$6,'TERMINAL CURVES'!$A$4:$N$4,0)))*IF(W255=0,0,Y255/W255)))*-W255</f>
        <v>0</v>
      </c>
      <c r="AH255" s="356" t="n">
        <f aca="false">SUM(AE255:AG255)</f>
        <v>0</v>
      </c>
      <c r="AI255" s="357" t="n">
        <f aca="false">(-Y255/((HLOOKUP(AG$5,port_specs,2,0)/(365.25))*(AC256-AC255)))*(INDEX(fixed_capacity_charge,MATCH(AC255,PORTS!$H$11:$H$317,0),MATCH(AG$5,PORTS!$H$11:$N$11,0))+INDEX(variable_om_charge,MATCH(AC255,PORTS!$H$318:$H$625,0),MATCH(AG$5,PORTS!$H$318:$N$318,0)))</f>
        <v>-0</v>
      </c>
      <c r="AJ255" s="343" t="n">
        <f aca="false">+AI255+AH255</f>
        <v>0</v>
      </c>
      <c r="AK255" s="355" t="n">
        <f aca="false">+AJ255+AD255</f>
        <v>0</v>
      </c>
      <c r="AM255" s="346" t="n">
        <f aca="false">+DATE(YEAR(AM254),MONTH(AM254)+1,1)</f>
        <v>43922</v>
      </c>
      <c r="AN255" s="327" t="n">
        <f aca="false">+AP255/(1-HLOOKUP(AO$6,SHIPS,7,0)*INDEX(LADEN_VOYAGE_DAYS,MATCH(CONCATENATE(AO$4,AO$5),LADEN_VOYAGE_ROUTES,0),MATCH(AO$6,LADEN_VOYAGE_SHIPS,0)))</f>
        <v>0</v>
      </c>
      <c r="AO255" s="347" t="n">
        <f aca="false">+AP255-AN255</f>
        <v>0</v>
      </c>
      <c r="AP255" s="348" t="n">
        <f aca="false">+IF(AND(AO$8&lt;=AM255,AO$9&gt;=AM255),+MIN($B255-SUMIF($H$17:AO$17,AP$17,$H255:AO255),((INDEX(ROUTE_PER_DAY_BY_SHIP,MATCH(CONCATENATE(AO$4,AO$5,AO$7),ROUTE_PER_DAY_ROUTES,0),MATCH(AO$6,ROUTE_PER_DAY_SHIPS,0))*(AM256-AM255))-(INDEX(ROUTE_PER_DAY_BY_SHIP,MATCH(CONCATENATE(AO$4,AO$5,AO$7),ROUTE_PER_DAY_ROUTES,0),MATCH(AO$6,ROUTE_PER_DAY_SHIPS,0))*(AM256-AM255))*HLOOKUP(AO$6,SHIPS,7,0)*INDEX(LADEN_VOYAGE_DAYS,MATCH(CONCATENATE(AO$4,AO$5,AO$7),LADEN_VOYAGE_ROUTES,0),MATCH(AO$6,LADEN_VOYAGE_SHIPS,0)))),0)</f>
        <v>0</v>
      </c>
      <c r="AQ255" s="349" t="n">
        <f aca="false">-(AP255)*PORTS!$I$6</f>
        <v>-0</v>
      </c>
      <c r="AR255" s="327" t="n">
        <f aca="false">+AP255+AQ255</f>
        <v>0</v>
      </c>
      <c r="AS255" s="333"/>
      <c r="AT255" s="346" t="n">
        <f aca="false">+DATE(YEAR(AT254),MONTH(AT254)+1,1)</f>
        <v>43922</v>
      </c>
      <c r="AU255" s="343" t="n">
        <f aca="false">+AR255*(VLOOKUP(AT255,CURVECALC!$C$6:$J$312,4,0)+AV$5)</f>
        <v>0</v>
      </c>
      <c r="AV255" s="350" t="n">
        <f aca="false">-AN255*INDEX(ship_curves,MATCH(AT255,'SHIP CURVES'!$A$9:$A$316,0),MATCH(CONCATENATE(AX$4,AX$5,AX$6,AX$7),'SHIP CURVES'!$A$9:$AZ$9,0))</f>
        <v>-0</v>
      </c>
      <c r="AW255" s="351" t="n">
        <f aca="false">-AP255*INDEX(port_processing_fee,MATCH(AT255,PORTS!$H$626:$H$933,0),MATCH(AX$5,PORTS!$H$626:$Z$626,0))</f>
        <v>-0</v>
      </c>
      <c r="AX255" s="352" t="n">
        <f aca="false">(((VLOOKUP(AT255,curvecalc,4,0))*IF(AN255=0,0,AR255/AN255)-INDEX(ship_curves,MATCH(AT255,'SHIP CURVES'!$A$9:$A$316,0),MATCH(CONCATENATE(AX$4,AX$5,AX$6,AX$7),'SHIP CURVES'!$A$9:$Z$9,0))-INDEX(terminal_curves,MATCH(AT255,'TERMINAL CURVES'!$A$4:$A$313,0),MATCH(AX$5,'TERMINAL CURVES'!$A$4:$N$4,0))*IF(AN255=0,0,AP255/AN255))-(AV$8)*((AV$7-$N$5)-(INDEX(ship_curves,MATCH(AT255,'SHIP CURVES'!$A$9:$A$316,0),MATCH(CONCATENATE(AX$4,AX$5,AX$6,AX$7),'SHIP CURVES'!$A$9:$Z$9,0))-INDEX(ship_curves,MATCH(AT255,'SHIP CURVES'!$A$9:$A$316,0),MATCH(CONCATENATE(AX$4,AV$6,AX$6,AX$7),'SHIP CURVES'!$A$9:$Z$9,0)))-(INDEX(terminal_curves,MATCH(AT255,'TERMINAL CURVES'!$A$4:$A$313,0),MATCH(AX$5,'TERMINAL CURVES'!$A$4:$N$4,0))-INDEX(terminal_curves,MATCH(AT255,'TERMINAL CURVES'!$A$4:$A$313,0),MATCH(AV$6,'TERMINAL CURVES'!$A$4:$N$4,0)))*IF(AN255=0,0,AP255/AN255)))*-AN255</f>
        <v>0</v>
      </c>
      <c r="AY255" s="356" t="n">
        <f aca="false">SUM(AV255:AX255)</f>
        <v>0</v>
      </c>
      <c r="AZ255" s="357" t="n">
        <f aca="false">(-AP255/((HLOOKUP(AX$5,port_specs,2,0)/(365.25))*(AT256-AT255)))*(INDEX(fixed_capacity_charge,MATCH(AT255,PORTS!$H$11:$H$317,0),MATCH(AX$5,PORTS!$H$11:$N$11,0))+INDEX(variable_om_charge,MATCH(AT255,PORTS!$H$318:$H$625,0),MATCH(AX$5,PORTS!$H$318:$N$318,0)))</f>
        <v>-0</v>
      </c>
      <c r="BA255" s="343" t="n">
        <f aca="false">+AZ255+AY255</f>
        <v>0</v>
      </c>
      <c r="BB255" s="355" t="n">
        <f aca="false">+BA255+AU255</f>
        <v>0</v>
      </c>
      <c r="BC255" s="99"/>
      <c r="BD255" s="357" t="n">
        <f aca="false">+PORTS!I249+PORTS!I557</f>
        <v>0</v>
      </c>
    </row>
    <row r="256" customFormat="false" ht="12.75" hidden="false" customHeight="false" outlineLevel="0" collapsed="false">
      <c r="A256" s="346" t="n">
        <f aca="false">+DATE(YEAR(A255),MONTH(A255)+1,1)</f>
        <v>43952</v>
      </c>
      <c r="B256" s="327" t="n">
        <f aca="false">+IF(AND($A256&gt;=$C$8,$A256&lt;=$C$9),1,0)*PORTS!$I$5/(365.25)*(A257-A256)</f>
        <v>0</v>
      </c>
      <c r="C256" s="328" t="n">
        <f aca="false">+B256-(SUMIF($F$17:$IV$17,$H$17,$F256:$IV256))</f>
        <v>0</v>
      </c>
      <c r="D256" s="0" t="n">
        <f aca="false">+YEAR(E256)</f>
        <v>2020</v>
      </c>
      <c r="E256" s="346" t="n">
        <f aca="false">+DATE(YEAR(E255),MONTH(E255)+1,1)</f>
        <v>43952</v>
      </c>
      <c r="F256" s="327" t="n">
        <f aca="false">+IF(AND(G$8&lt;=E256,G$9&gt;=E256),INDEX(ROUTE_PER_DAY_BY_SHIP,MATCH(CONCATENATE(G$4,G$5,G$7),ROUTE_PER_DAY_ROUTES,0),MATCH(G$6,ROUTE_PER_DAY_SHIPS,0))*(E257-E256),0)</f>
        <v>0</v>
      </c>
      <c r="G256" s="347" t="n">
        <f aca="false">-F256*HLOOKUP(G$6,SHIPS,7,0)*INDEX(LADEN_VOYAGE_DAYS,MATCH(CONCATENATE(G$4,G$5,G$7),LADEN_VOYAGE_ROUTES,0),MATCH(G$6,LADEN_VOYAGE_SHIPS,0))</f>
        <v>-0</v>
      </c>
      <c r="H256" s="348" t="n">
        <f aca="false">SUM(F256:G256)</f>
        <v>0</v>
      </c>
      <c r="I256" s="349" t="n">
        <f aca="false">-(H256)*HLOOKUP(G$5,TERMINAL_CHARGES,3,0)</f>
        <v>-0</v>
      </c>
      <c r="J256" s="327" t="n">
        <f aca="false">+H256+I256</f>
        <v>0</v>
      </c>
      <c r="K256" s="333"/>
      <c r="L256" s="346" t="n">
        <f aca="false">+DATE(YEAR(L255),MONTH(L255)+1,1)</f>
        <v>43952</v>
      </c>
      <c r="M256" s="334" t="n">
        <f aca="false">+J256*(VLOOKUP(L256,CURVECALC!$C$6:$J$312,4,0)+N$5)</f>
        <v>0</v>
      </c>
      <c r="N256" s="350" t="n">
        <f aca="false">-F256*INDEX(ship_curves,MATCH(L256,'SHIP CURVES'!$A$9:$A$316,0),MATCH(CONCATENATE(P$4,P$5,P$6,P$7),'SHIP CURVES'!$A$9:$AZ$9,0))</f>
        <v>-0</v>
      </c>
      <c r="O256" s="351" t="n">
        <f aca="false">-H256*INDEX(port_processing_fee,MATCH(L256,PORTS!$H$626:$H$933,0),MATCH(P$5,PORTS!$H$626:$Z$626,0))</f>
        <v>-0</v>
      </c>
      <c r="P256" s="352" t="n">
        <f aca="false">(((VLOOKUP(L256,curvecalc,4,0))*IF(F256=0,0,J256/F256)-INDEX(ship_curves,MATCH(L256,'SHIP CURVES'!$A$9:$A$316,0),MATCH(CONCATENATE(P$4,P$5,P$6,P$7),'SHIP CURVES'!$A$9:$Z$9,0))-INDEX(terminal_curves,MATCH(L256,'TERMINAL CURVES'!$A$4:$A$313,0),MATCH(P$5,'TERMINAL CURVES'!$A$4:$N$4,0))*IF(F256=0,0,H256/F256))-(N$8)*((N$7-$N$5)-(INDEX(ship_curves,MATCH(L256,'SHIP CURVES'!$A$9:$A$316,0),MATCH(CONCATENATE(P$4,P$5,P$6,P$7),'SHIP CURVES'!$A$9:$Z$9,0))-INDEX(ship_curves,MATCH(L256,'SHIP CURVES'!$A$9:$A$316,0),MATCH(CONCATENATE(P$4,N$6,P$6,P$7),'SHIP CURVES'!$A$9:$Z$9,0)))-(INDEX(terminal_curves,MATCH(L256,'TERMINAL CURVES'!$A$4:$A$313,0),MATCH(P$5,'TERMINAL CURVES'!$A$4:$N$4,0))-INDEX(terminal_curves,MATCH(L256,'TERMINAL CURVES'!$A$4:$A$313,0),MATCH(N$6,'TERMINAL CURVES'!$A$4:$N$4,0)))*IF(F256=0,0,H256/F256)))*-F256</f>
        <v>0</v>
      </c>
      <c r="Q256" s="353" t="n">
        <f aca="false">SUM(N256:P256)</f>
        <v>0</v>
      </c>
      <c r="R256" s="357" t="n">
        <f aca="false">(-H256/((HLOOKUP(P$5,port_specs,2,0)/(365.25))*(L257-L256)))*(INDEX(fixed_capacity_charge,MATCH(L256,PORTS!$H$11:$H$317,0),MATCH(P$5,PORTS!$H$11:$N$11,0))+INDEX(variable_om_charge,MATCH(L256,PORTS!$H$318:$H$625,0),MATCH(P$5,PORTS!$H$318:$N$318,0)))</f>
        <v>-0</v>
      </c>
      <c r="S256" s="343" t="n">
        <f aca="false">+R256+Q256</f>
        <v>0</v>
      </c>
      <c r="T256" s="355" t="n">
        <f aca="false">+S256+M256</f>
        <v>0</v>
      </c>
      <c r="V256" s="346" t="n">
        <f aca="false">+DATE(YEAR(V255),MONTH(V255)+1,1)</f>
        <v>43952</v>
      </c>
      <c r="W256" s="327" t="n">
        <f aca="false">+Y256/(1-HLOOKUP(X$6,SHIPS,7,0)*INDEX(LADEN_VOYAGE_DAYS,MATCH(CONCATENATE(X$4,X$5),LADEN_VOYAGE_ROUTES,0),MATCH(X$6,LADEN_VOYAGE_SHIPS,0)))</f>
        <v>0</v>
      </c>
      <c r="X256" s="347" t="n">
        <f aca="false">+Y256-W256</f>
        <v>0</v>
      </c>
      <c r="Y256" s="348" t="n">
        <f aca="false">+IF(AND(X$8&lt;=V256,X$9&gt;=V256),+MIN($B256-SUMIF($H$17:X$17,Y$17,$H256:X256),((INDEX(ROUTE_PER_DAY_BY_SHIP,MATCH(CONCATENATE(X$4,X$5,X$7),ROUTE_PER_DAY_ROUTES,0),MATCH(X$6,ROUTE_PER_DAY_SHIPS,0))*(V257-V256))-(INDEX(ROUTE_PER_DAY_BY_SHIP,MATCH(CONCATENATE(X$4,X$5,X$7),ROUTE_PER_DAY_ROUTES,0),MATCH(X$6,ROUTE_PER_DAY_SHIPS,0))*(V257-V256))*HLOOKUP(X$6,SHIPS,7,0)*INDEX(LADEN_VOYAGE_DAYS,MATCH(CONCATENATE(X$4,X$5,X$7),LADEN_VOYAGE_ROUTES,0),MATCH(X$6,LADEN_VOYAGE_SHIPS,0)))),0)</f>
        <v>0</v>
      </c>
      <c r="Z256" s="349" t="n">
        <f aca="false">-(Y256)*HLOOKUP(X$5,TERMINAL_CHARGES,3,0)</f>
        <v>-0</v>
      </c>
      <c r="AA256" s="327" t="n">
        <f aca="false">+Y256+Z256</f>
        <v>0</v>
      </c>
      <c r="AB256" s="333"/>
      <c r="AC256" s="346" t="n">
        <f aca="false">+DATE(YEAR(AC255),MONTH(AC255)+1,1)</f>
        <v>43952</v>
      </c>
      <c r="AD256" s="343" t="n">
        <f aca="false">+AA256*(VLOOKUP(AC256,CURVECALC!$C$6:$J$312,4,0)+AE$5)</f>
        <v>0</v>
      </c>
      <c r="AE256" s="350" t="n">
        <f aca="false">-W256*INDEX(ship_curves,MATCH(AC256,'SHIP CURVES'!$A$9:$A$316,0),MATCH(CONCATENATE(AG$4,AG$5,AG$6,AG$7),'SHIP CURVES'!$A$9:$AZ$9,0))</f>
        <v>-0</v>
      </c>
      <c r="AF256" s="351" t="n">
        <f aca="false">-Y256*INDEX(port_processing_fee,MATCH(AC256,PORTS!$H$626:$H$933,0),MATCH(AG$5,PORTS!$H$626:$Z$626,0))</f>
        <v>-0</v>
      </c>
      <c r="AG256" s="352" t="n">
        <f aca="false">(((VLOOKUP(AC256,curvecalc,4,0))*IF(W256=0,0,AA256/W256)-INDEX(ship_curves,MATCH(AC256,'SHIP CURVES'!$A$9:$A$316,0),MATCH(CONCATENATE(AG$4,AG$5,AG$6,AG$7),'SHIP CURVES'!$A$9:$Z$9,0))-INDEX(terminal_curves,MATCH(AC256,'TERMINAL CURVES'!$A$4:$A$313,0),MATCH(AG$5,'TERMINAL CURVES'!$A$4:$N$4,0))*IF(W256=0,0,Y256/W256))-(AE$8)*((AE$7-$N$5)-(INDEX(ship_curves,MATCH(AC256,'SHIP CURVES'!$A$9:$A$316,0),MATCH(CONCATENATE(AG$4,AG$5,AG$6,AG$7),'SHIP CURVES'!$A$9:$Z$9,0))-INDEX(ship_curves,MATCH(AC256,'SHIP CURVES'!$A$9:$A$316,0),MATCH(CONCATENATE(AG$4,AE$6,AG$6,AG$7),'SHIP CURVES'!$A$9:$Z$9,0)))-(INDEX(terminal_curves,MATCH(AC256,'TERMINAL CURVES'!$A$4:$A$313,0),MATCH(AG$5,'TERMINAL CURVES'!$A$4:$N$4,0))-INDEX(terminal_curves,MATCH(AC256,'TERMINAL CURVES'!$A$4:$A$313,0),MATCH(AE$6,'TERMINAL CURVES'!$A$4:$N$4,0)))*IF(W256=0,0,Y256/W256)))*-W256</f>
        <v>0</v>
      </c>
      <c r="AH256" s="356" t="n">
        <f aca="false">SUM(AE256:AG256)</f>
        <v>0</v>
      </c>
      <c r="AI256" s="357" t="n">
        <f aca="false">(-Y256/((HLOOKUP(AG$5,port_specs,2,0)/(365.25))*(AC257-AC256)))*(INDEX(fixed_capacity_charge,MATCH(AC256,PORTS!$H$11:$H$317,0),MATCH(AG$5,PORTS!$H$11:$N$11,0))+INDEX(variable_om_charge,MATCH(AC256,PORTS!$H$318:$H$625,0),MATCH(AG$5,PORTS!$H$318:$N$318,0)))</f>
        <v>-0</v>
      </c>
      <c r="AJ256" s="343" t="n">
        <f aca="false">+AI256+AH256</f>
        <v>0</v>
      </c>
      <c r="AK256" s="355" t="n">
        <f aca="false">+AJ256+AD256</f>
        <v>0</v>
      </c>
      <c r="AM256" s="346" t="n">
        <f aca="false">+DATE(YEAR(AM255),MONTH(AM255)+1,1)</f>
        <v>43952</v>
      </c>
      <c r="AN256" s="327" t="n">
        <f aca="false">+AP256/(1-HLOOKUP(AO$6,SHIPS,7,0)*INDEX(LADEN_VOYAGE_DAYS,MATCH(CONCATENATE(AO$4,AO$5),LADEN_VOYAGE_ROUTES,0),MATCH(AO$6,LADEN_VOYAGE_SHIPS,0)))</f>
        <v>0</v>
      </c>
      <c r="AO256" s="347" t="n">
        <f aca="false">+AP256-AN256</f>
        <v>0</v>
      </c>
      <c r="AP256" s="348" t="n">
        <f aca="false">+IF(AND(AO$8&lt;=AM256,AO$9&gt;=AM256),+MIN($B256-SUMIF($H$17:AO$17,AP$17,$H256:AO256),((INDEX(ROUTE_PER_DAY_BY_SHIP,MATCH(CONCATENATE(AO$4,AO$5,AO$7),ROUTE_PER_DAY_ROUTES,0),MATCH(AO$6,ROUTE_PER_DAY_SHIPS,0))*(AM257-AM256))-(INDEX(ROUTE_PER_DAY_BY_SHIP,MATCH(CONCATENATE(AO$4,AO$5,AO$7),ROUTE_PER_DAY_ROUTES,0),MATCH(AO$6,ROUTE_PER_DAY_SHIPS,0))*(AM257-AM256))*HLOOKUP(AO$6,SHIPS,7,0)*INDEX(LADEN_VOYAGE_DAYS,MATCH(CONCATENATE(AO$4,AO$5,AO$7),LADEN_VOYAGE_ROUTES,0),MATCH(AO$6,LADEN_VOYAGE_SHIPS,0)))),0)</f>
        <v>0</v>
      </c>
      <c r="AQ256" s="349" t="n">
        <f aca="false">-(AP256)*PORTS!$I$6</f>
        <v>-0</v>
      </c>
      <c r="AR256" s="327" t="n">
        <f aca="false">+AP256+AQ256</f>
        <v>0</v>
      </c>
      <c r="AS256" s="333"/>
      <c r="AT256" s="346" t="n">
        <f aca="false">+DATE(YEAR(AT255),MONTH(AT255)+1,1)</f>
        <v>43952</v>
      </c>
      <c r="AU256" s="343" t="n">
        <f aca="false">+AR256*(VLOOKUP(AT256,CURVECALC!$C$6:$J$312,4,0)+AV$5)</f>
        <v>0</v>
      </c>
      <c r="AV256" s="350" t="n">
        <f aca="false">-AN256*INDEX(ship_curves,MATCH(AT256,'SHIP CURVES'!$A$9:$A$316,0),MATCH(CONCATENATE(AX$4,AX$5,AX$6,AX$7),'SHIP CURVES'!$A$9:$AZ$9,0))</f>
        <v>-0</v>
      </c>
      <c r="AW256" s="351" t="n">
        <f aca="false">-AP256*INDEX(port_processing_fee,MATCH(AT256,PORTS!$H$626:$H$933,0),MATCH(AX$5,PORTS!$H$626:$Z$626,0))</f>
        <v>-0</v>
      </c>
      <c r="AX256" s="352" t="n">
        <f aca="false">(((VLOOKUP(AT256,curvecalc,4,0))*IF(AN256=0,0,AR256/AN256)-INDEX(ship_curves,MATCH(AT256,'SHIP CURVES'!$A$9:$A$316,0),MATCH(CONCATENATE(AX$4,AX$5,AX$6,AX$7),'SHIP CURVES'!$A$9:$Z$9,0))-INDEX(terminal_curves,MATCH(AT256,'TERMINAL CURVES'!$A$4:$A$313,0),MATCH(AX$5,'TERMINAL CURVES'!$A$4:$N$4,0))*IF(AN256=0,0,AP256/AN256))-(AV$8)*((AV$7-$N$5)-(INDEX(ship_curves,MATCH(AT256,'SHIP CURVES'!$A$9:$A$316,0),MATCH(CONCATENATE(AX$4,AX$5,AX$6,AX$7),'SHIP CURVES'!$A$9:$Z$9,0))-INDEX(ship_curves,MATCH(AT256,'SHIP CURVES'!$A$9:$A$316,0),MATCH(CONCATENATE(AX$4,AV$6,AX$6,AX$7),'SHIP CURVES'!$A$9:$Z$9,0)))-(INDEX(terminal_curves,MATCH(AT256,'TERMINAL CURVES'!$A$4:$A$313,0),MATCH(AX$5,'TERMINAL CURVES'!$A$4:$N$4,0))-INDEX(terminal_curves,MATCH(AT256,'TERMINAL CURVES'!$A$4:$A$313,0),MATCH(AV$6,'TERMINAL CURVES'!$A$4:$N$4,0)))*IF(AN256=0,0,AP256/AN256)))*-AN256</f>
        <v>0</v>
      </c>
      <c r="AY256" s="356" t="n">
        <f aca="false">SUM(AV256:AX256)</f>
        <v>0</v>
      </c>
      <c r="AZ256" s="357" t="n">
        <f aca="false">(-AP256/((HLOOKUP(AX$5,port_specs,2,0)/(365.25))*(AT257-AT256)))*(INDEX(fixed_capacity_charge,MATCH(AT256,PORTS!$H$11:$H$317,0),MATCH(AX$5,PORTS!$H$11:$N$11,0))+INDEX(variable_om_charge,MATCH(AT256,PORTS!$H$318:$H$625,0),MATCH(AX$5,PORTS!$H$318:$N$318,0)))</f>
        <v>-0</v>
      </c>
      <c r="BA256" s="343" t="n">
        <f aca="false">+AZ256+AY256</f>
        <v>0</v>
      </c>
      <c r="BB256" s="355" t="n">
        <f aca="false">+BA256+AU256</f>
        <v>0</v>
      </c>
      <c r="BC256" s="99"/>
      <c r="BD256" s="357" t="n">
        <f aca="false">+PORTS!I250+PORTS!I558</f>
        <v>0</v>
      </c>
    </row>
    <row r="257" customFormat="false" ht="12.75" hidden="false" customHeight="false" outlineLevel="0" collapsed="false">
      <c r="A257" s="346" t="n">
        <f aca="false">+DATE(YEAR(A256),MONTH(A256)+1,1)</f>
        <v>43983</v>
      </c>
      <c r="B257" s="327" t="n">
        <f aca="false">+IF(AND($A257&gt;=$C$8,$A257&lt;=$C$9),1,0)*PORTS!$I$5/(365.25)*(A258-A257)</f>
        <v>0</v>
      </c>
      <c r="C257" s="328" t="n">
        <f aca="false">+B257-(SUMIF($F$17:$IV$17,$H$17,$F257:$IV257))</f>
        <v>0</v>
      </c>
      <c r="D257" s="0" t="n">
        <f aca="false">+YEAR(E257)</f>
        <v>2020</v>
      </c>
      <c r="E257" s="346" t="n">
        <f aca="false">+DATE(YEAR(E256),MONTH(E256)+1,1)</f>
        <v>43983</v>
      </c>
      <c r="F257" s="327" t="n">
        <f aca="false">+IF(AND(G$8&lt;=E257,G$9&gt;=E257),INDEX(ROUTE_PER_DAY_BY_SHIP,MATCH(CONCATENATE(G$4,G$5,G$7),ROUTE_PER_DAY_ROUTES,0),MATCH(G$6,ROUTE_PER_DAY_SHIPS,0))*(E258-E257),0)</f>
        <v>0</v>
      </c>
      <c r="G257" s="347" t="n">
        <f aca="false">-F257*HLOOKUP(G$6,SHIPS,7,0)*INDEX(LADEN_VOYAGE_DAYS,MATCH(CONCATENATE(G$4,G$5,G$7),LADEN_VOYAGE_ROUTES,0),MATCH(G$6,LADEN_VOYAGE_SHIPS,0))</f>
        <v>-0</v>
      </c>
      <c r="H257" s="348" t="n">
        <f aca="false">SUM(F257:G257)</f>
        <v>0</v>
      </c>
      <c r="I257" s="349" t="n">
        <f aca="false">-(H257)*HLOOKUP(G$5,TERMINAL_CHARGES,3,0)</f>
        <v>-0</v>
      </c>
      <c r="J257" s="327" t="n">
        <f aca="false">+H257+I257</f>
        <v>0</v>
      </c>
      <c r="K257" s="333"/>
      <c r="L257" s="346" t="n">
        <f aca="false">+DATE(YEAR(L256),MONTH(L256)+1,1)</f>
        <v>43983</v>
      </c>
      <c r="M257" s="334" t="n">
        <f aca="false">+J257*(VLOOKUP(L257,CURVECALC!$C$6:$J$312,4,0)+N$5)</f>
        <v>0</v>
      </c>
      <c r="N257" s="350" t="n">
        <f aca="false">-F257*INDEX(ship_curves,MATCH(L257,'SHIP CURVES'!$A$9:$A$316,0),MATCH(CONCATENATE(P$4,P$5,P$6,P$7),'SHIP CURVES'!$A$9:$AZ$9,0))</f>
        <v>-0</v>
      </c>
      <c r="O257" s="351" t="n">
        <f aca="false">-H257*INDEX(port_processing_fee,MATCH(L257,PORTS!$H$626:$H$933,0),MATCH(P$5,PORTS!$H$626:$Z$626,0))</f>
        <v>-0</v>
      </c>
      <c r="P257" s="352" t="n">
        <f aca="false">(((VLOOKUP(L257,curvecalc,4,0))*IF(F257=0,0,J257/F257)-INDEX(ship_curves,MATCH(L257,'SHIP CURVES'!$A$9:$A$316,0),MATCH(CONCATENATE(P$4,P$5,P$6,P$7),'SHIP CURVES'!$A$9:$Z$9,0))-INDEX(terminal_curves,MATCH(L257,'TERMINAL CURVES'!$A$4:$A$313,0),MATCH(P$5,'TERMINAL CURVES'!$A$4:$N$4,0))*IF(F257=0,0,H257/F257))-(N$8)*((N$7-$N$5)-(INDEX(ship_curves,MATCH(L257,'SHIP CURVES'!$A$9:$A$316,0),MATCH(CONCATENATE(P$4,P$5,P$6,P$7),'SHIP CURVES'!$A$9:$Z$9,0))-INDEX(ship_curves,MATCH(L257,'SHIP CURVES'!$A$9:$A$316,0),MATCH(CONCATENATE(P$4,N$6,P$6,P$7),'SHIP CURVES'!$A$9:$Z$9,0)))-(INDEX(terminal_curves,MATCH(L257,'TERMINAL CURVES'!$A$4:$A$313,0),MATCH(P$5,'TERMINAL CURVES'!$A$4:$N$4,0))-INDEX(terminal_curves,MATCH(L257,'TERMINAL CURVES'!$A$4:$A$313,0),MATCH(N$6,'TERMINAL CURVES'!$A$4:$N$4,0)))*IF(F257=0,0,H257/F257)))*-F257</f>
        <v>0</v>
      </c>
      <c r="Q257" s="353" t="n">
        <f aca="false">SUM(N257:P257)</f>
        <v>0</v>
      </c>
      <c r="R257" s="357" t="n">
        <f aca="false">(-H257/((HLOOKUP(P$5,port_specs,2,0)/(365.25))*(L258-L257)))*(INDEX(fixed_capacity_charge,MATCH(L257,PORTS!$H$11:$H$317,0),MATCH(P$5,PORTS!$H$11:$N$11,0))+INDEX(variable_om_charge,MATCH(L257,PORTS!$H$318:$H$625,0),MATCH(P$5,PORTS!$H$318:$N$318,0)))</f>
        <v>-0</v>
      </c>
      <c r="S257" s="343" t="n">
        <f aca="false">+R257+Q257</f>
        <v>0</v>
      </c>
      <c r="T257" s="355" t="n">
        <f aca="false">+S257+M257</f>
        <v>0</v>
      </c>
      <c r="V257" s="346" t="n">
        <f aca="false">+DATE(YEAR(V256),MONTH(V256)+1,1)</f>
        <v>43983</v>
      </c>
      <c r="W257" s="327" t="n">
        <f aca="false">+Y257/(1-HLOOKUP(X$6,SHIPS,7,0)*INDEX(LADEN_VOYAGE_DAYS,MATCH(CONCATENATE(X$4,X$5),LADEN_VOYAGE_ROUTES,0),MATCH(X$6,LADEN_VOYAGE_SHIPS,0)))</f>
        <v>0</v>
      </c>
      <c r="X257" s="347" t="n">
        <f aca="false">+Y257-W257</f>
        <v>0</v>
      </c>
      <c r="Y257" s="348" t="n">
        <f aca="false">+IF(AND(X$8&lt;=V257,X$9&gt;=V257),+MIN($B257-SUMIF($H$17:X$17,Y$17,$H257:X257),((INDEX(ROUTE_PER_DAY_BY_SHIP,MATCH(CONCATENATE(X$4,X$5,X$7),ROUTE_PER_DAY_ROUTES,0),MATCH(X$6,ROUTE_PER_DAY_SHIPS,0))*(V258-V257))-(INDEX(ROUTE_PER_DAY_BY_SHIP,MATCH(CONCATENATE(X$4,X$5,X$7),ROUTE_PER_DAY_ROUTES,0),MATCH(X$6,ROUTE_PER_DAY_SHIPS,0))*(V258-V257))*HLOOKUP(X$6,SHIPS,7,0)*INDEX(LADEN_VOYAGE_DAYS,MATCH(CONCATENATE(X$4,X$5,X$7),LADEN_VOYAGE_ROUTES,0),MATCH(X$6,LADEN_VOYAGE_SHIPS,0)))),0)</f>
        <v>0</v>
      </c>
      <c r="Z257" s="349" t="n">
        <f aca="false">-(Y257)*HLOOKUP(X$5,TERMINAL_CHARGES,3,0)</f>
        <v>-0</v>
      </c>
      <c r="AA257" s="327" t="n">
        <f aca="false">+Y257+Z257</f>
        <v>0</v>
      </c>
      <c r="AB257" s="333"/>
      <c r="AC257" s="346" t="n">
        <f aca="false">+DATE(YEAR(AC256),MONTH(AC256)+1,1)</f>
        <v>43983</v>
      </c>
      <c r="AD257" s="343" t="n">
        <f aca="false">+AA257*(VLOOKUP(AC257,CURVECALC!$C$6:$J$312,4,0)+AE$5)</f>
        <v>0</v>
      </c>
      <c r="AE257" s="350" t="n">
        <f aca="false">-W257*INDEX(ship_curves,MATCH(AC257,'SHIP CURVES'!$A$9:$A$316,0),MATCH(CONCATENATE(AG$4,AG$5,AG$6,AG$7),'SHIP CURVES'!$A$9:$AZ$9,0))</f>
        <v>-0</v>
      </c>
      <c r="AF257" s="351" t="n">
        <f aca="false">-Y257*INDEX(port_processing_fee,MATCH(AC257,PORTS!$H$626:$H$933,0),MATCH(AG$5,PORTS!$H$626:$Z$626,0))</f>
        <v>-0</v>
      </c>
      <c r="AG257" s="352" t="n">
        <f aca="false">(((VLOOKUP(AC257,curvecalc,4,0))*IF(W257=0,0,AA257/W257)-INDEX(ship_curves,MATCH(AC257,'SHIP CURVES'!$A$9:$A$316,0),MATCH(CONCATENATE(AG$4,AG$5,AG$6,AG$7),'SHIP CURVES'!$A$9:$Z$9,0))-INDEX(terminal_curves,MATCH(AC257,'TERMINAL CURVES'!$A$4:$A$313,0),MATCH(AG$5,'TERMINAL CURVES'!$A$4:$N$4,0))*IF(W257=0,0,Y257/W257))-(AE$8)*((AE$7-$N$5)-(INDEX(ship_curves,MATCH(AC257,'SHIP CURVES'!$A$9:$A$316,0),MATCH(CONCATENATE(AG$4,AG$5,AG$6,AG$7),'SHIP CURVES'!$A$9:$Z$9,0))-INDEX(ship_curves,MATCH(AC257,'SHIP CURVES'!$A$9:$A$316,0),MATCH(CONCATENATE(AG$4,AE$6,AG$6,AG$7),'SHIP CURVES'!$A$9:$Z$9,0)))-(INDEX(terminal_curves,MATCH(AC257,'TERMINAL CURVES'!$A$4:$A$313,0),MATCH(AG$5,'TERMINAL CURVES'!$A$4:$N$4,0))-INDEX(terminal_curves,MATCH(AC257,'TERMINAL CURVES'!$A$4:$A$313,0),MATCH(AE$6,'TERMINAL CURVES'!$A$4:$N$4,0)))*IF(W257=0,0,Y257/W257)))*-W257</f>
        <v>0</v>
      </c>
      <c r="AH257" s="356" t="n">
        <f aca="false">SUM(AE257:AG257)</f>
        <v>0</v>
      </c>
      <c r="AI257" s="357" t="n">
        <f aca="false">(-Y257/((HLOOKUP(AG$5,port_specs,2,0)/(365.25))*(AC258-AC257)))*(INDEX(fixed_capacity_charge,MATCH(AC257,PORTS!$H$11:$H$317,0),MATCH(AG$5,PORTS!$H$11:$N$11,0))+INDEX(variable_om_charge,MATCH(AC257,PORTS!$H$318:$H$625,0),MATCH(AG$5,PORTS!$H$318:$N$318,0)))</f>
        <v>-0</v>
      </c>
      <c r="AJ257" s="343" t="n">
        <f aca="false">+AI257+AH257</f>
        <v>0</v>
      </c>
      <c r="AK257" s="355" t="n">
        <f aca="false">+AJ257+AD257</f>
        <v>0</v>
      </c>
      <c r="AM257" s="346" t="n">
        <f aca="false">+DATE(YEAR(AM256),MONTH(AM256)+1,1)</f>
        <v>43983</v>
      </c>
      <c r="AN257" s="327" t="n">
        <f aca="false">+AP257/(1-HLOOKUP(AO$6,SHIPS,7,0)*INDEX(LADEN_VOYAGE_DAYS,MATCH(CONCATENATE(AO$4,AO$5),LADEN_VOYAGE_ROUTES,0),MATCH(AO$6,LADEN_VOYAGE_SHIPS,0)))</f>
        <v>0</v>
      </c>
      <c r="AO257" s="347" t="n">
        <f aca="false">+AP257-AN257</f>
        <v>0</v>
      </c>
      <c r="AP257" s="348" t="n">
        <f aca="false">+IF(AND(AO$8&lt;=AM257,AO$9&gt;=AM257),+MIN($B257-SUMIF($H$17:AO$17,AP$17,$H257:AO257),((INDEX(ROUTE_PER_DAY_BY_SHIP,MATCH(CONCATENATE(AO$4,AO$5,AO$7),ROUTE_PER_DAY_ROUTES,0),MATCH(AO$6,ROUTE_PER_DAY_SHIPS,0))*(AM258-AM257))-(INDEX(ROUTE_PER_DAY_BY_SHIP,MATCH(CONCATENATE(AO$4,AO$5,AO$7),ROUTE_PER_DAY_ROUTES,0),MATCH(AO$6,ROUTE_PER_DAY_SHIPS,0))*(AM258-AM257))*HLOOKUP(AO$6,SHIPS,7,0)*INDEX(LADEN_VOYAGE_DAYS,MATCH(CONCATENATE(AO$4,AO$5,AO$7),LADEN_VOYAGE_ROUTES,0),MATCH(AO$6,LADEN_VOYAGE_SHIPS,0)))),0)</f>
        <v>0</v>
      </c>
      <c r="AQ257" s="349" t="n">
        <f aca="false">-(AP257)*PORTS!$I$6</f>
        <v>-0</v>
      </c>
      <c r="AR257" s="327" t="n">
        <f aca="false">+AP257+AQ257</f>
        <v>0</v>
      </c>
      <c r="AS257" s="333"/>
      <c r="AT257" s="346" t="n">
        <f aca="false">+DATE(YEAR(AT256),MONTH(AT256)+1,1)</f>
        <v>43983</v>
      </c>
      <c r="AU257" s="343" t="n">
        <f aca="false">+AR257*(VLOOKUP(AT257,CURVECALC!$C$6:$J$312,4,0)+AV$5)</f>
        <v>0</v>
      </c>
      <c r="AV257" s="350" t="n">
        <f aca="false">-AN257*INDEX(ship_curves,MATCH(AT257,'SHIP CURVES'!$A$9:$A$316,0),MATCH(CONCATENATE(AX$4,AX$5,AX$6,AX$7),'SHIP CURVES'!$A$9:$AZ$9,0))</f>
        <v>-0</v>
      </c>
      <c r="AW257" s="351" t="n">
        <f aca="false">-AP257*INDEX(port_processing_fee,MATCH(AT257,PORTS!$H$626:$H$933,0),MATCH(AX$5,PORTS!$H$626:$Z$626,0))</f>
        <v>-0</v>
      </c>
      <c r="AX257" s="352" t="n">
        <f aca="false">(((VLOOKUP(AT257,curvecalc,4,0))*IF(AN257=0,0,AR257/AN257)-INDEX(ship_curves,MATCH(AT257,'SHIP CURVES'!$A$9:$A$316,0),MATCH(CONCATENATE(AX$4,AX$5,AX$6,AX$7),'SHIP CURVES'!$A$9:$Z$9,0))-INDEX(terminal_curves,MATCH(AT257,'TERMINAL CURVES'!$A$4:$A$313,0),MATCH(AX$5,'TERMINAL CURVES'!$A$4:$N$4,0))*IF(AN257=0,0,AP257/AN257))-(AV$8)*((AV$7-$N$5)-(INDEX(ship_curves,MATCH(AT257,'SHIP CURVES'!$A$9:$A$316,0),MATCH(CONCATENATE(AX$4,AX$5,AX$6,AX$7),'SHIP CURVES'!$A$9:$Z$9,0))-INDEX(ship_curves,MATCH(AT257,'SHIP CURVES'!$A$9:$A$316,0),MATCH(CONCATENATE(AX$4,AV$6,AX$6,AX$7),'SHIP CURVES'!$A$9:$Z$9,0)))-(INDEX(terminal_curves,MATCH(AT257,'TERMINAL CURVES'!$A$4:$A$313,0),MATCH(AX$5,'TERMINAL CURVES'!$A$4:$N$4,0))-INDEX(terminal_curves,MATCH(AT257,'TERMINAL CURVES'!$A$4:$A$313,0),MATCH(AV$6,'TERMINAL CURVES'!$A$4:$N$4,0)))*IF(AN257=0,0,AP257/AN257)))*-AN257</f>
        <v>0</v>
      </c>
      <c r="AY257" s="356" t="n">
        <f aca="false">SUM(AV257:AX257)</f>
        <v>0</v>
      </c>
      <c r="AZ257" s="357" t="n">
        <f aca="false">(-AP257/((HLOOKUP(AX$5,port_specs,2,0)/(365.25))*(AT258-AT257)))*(INDEX(fixed_capacity_charge,MATCH(AT257,PORTS!$H$11:$H$317,0),MATCH(AX$5,PORTS!$H$11:$N$11,0))+INDEX(variable_om_charge,MATCH(AT257,PORTS!$H$318:$H$625,0),MATCH(AX$5,PORTS!$H$318:$N$318,0)))</f>
        <v>-0</v>
      </c>
      <c r="BA257" s="343" t="n">
        <f aca="false">+AZ257+AY257</f>
        <v>0</v>
      </c>
      <c r="BB257" s="355" t="n">
        <f aca="false">+BA257+AU257</f>
        <v>0</v>
      </c>
      <c r="BC257" s="99"/>
      <c r="BD257" s="357" t="n">
        <f aca="false">+PORTS!I251+PORTS!I559</f>
        <v>0</v>
      </c>
    </row>
    <row r="258" customFormat="false" ht="12.75" hidden="false" customHeight="false" outlineLevel="0" collapsed="false">
      <c r="A258" s="346" t="n">
        <f aca="false">+DATE(YEAR(A257),MONTH(A257)+1,1)</f>
        <v>44013</v>
      </c>
      <c r="B258" s="327" t="n">
        <f aca="false">+IF(AND($A258&gt;=$C$8,$A258&lt;=$C$9),1,0)*PORTS!$I$5/(365.25)*(A259-A258)</f>
        <v>0</v>
      </c>
      <c r="C258" s="328" t="n">
        <f aca="false">+B258-(SUMIF($F$17:$IV$17,$H$17,$F258:$IV258))</f>
        <v>0</v>
      </c>
      <c r="D258" s="0" t="n">
        <f aca="false">+YEAR(E258)</f>
        <v>2020</v>
      </c>
      <c r="E258" s="346" t="n">
        <f aca="false">+DATE(YEAR(E257),MONTH(E257)+1,1)</f>
        <v>44013</v>
      </c>
      <c r="F258" s="327" t="n">
        <f aca="false">+IF(AND(G$8&lt;=E258,G$9&gt;=E258),INDEX(ROUTE_PER_DAY_BY_SHIP,MATCH(CONCATENATE(G$4,G$5,G$7),ROUTE_PER_DAY_ROUTES,0),MATCH(G$6,ROUTE_PER_DAY_SHIPS,0))*(E259-E258),0)</f>
        <v>0</v>
      </c>
      <c r="G258" s="347" t="n">
        <f aca="false">-F258*HLOOKUP(G$6,SHIPS,7,0)*INDEX(LADEN_VOYAGE_DAYS,MATCH(CONCATENATE(G$4,G$5,G$7),LADEN_VOYAGE_ROUTES,0),MATCH(G$6,LADEN_VOYAGE_SHIPS,0))</f>
        <v>-0</v>
      </c>
      <c r="H258" s="348" t="n">
        <f aca="false">SUM(F258:G258)</f>
        <v>0</v>
      </c>
      <c r="I258" s="349" t="n">
        <f aca="false">-(H258)*HLOOKUP(G$5,TERMINAL_CHARGES,3,0)</f>
        <v>-0</v>
      </c>
      <c r="J258" s="327" t="n">
        <f aca="false">+H258+I258</f>
        <v>0</v>
      </c>
      <c r="K258" s="333"/>
      <c r="L258" s="346" t="n">
        <f aca="false">+DATE(YEAR(L257),MONTH(L257)+1,1)</f>
        <v>44013</v>
      </c>
      <c r="M258" s="334" t="n">
        <f aca="false">+J258*(VLOOKUP(L258,CURVECALC!$C$6:$J$312,4,0)+N$5)</f>
        <v>0</v>
      </c>
      <c r="N258" s="350" t="n">
        <f aca="false">-F258*INDEX(ship_curves,MATCH(L258,'SHIP CURVES'!$A$9:$A$316,0),MATCH(CONCATENATE(P$4,P$5,P$6,P$7),'SHIP CURVES'!$A$9:$AZ$9,0))</f>
        <v>-0</v>
      </c>
      <c r="O258" s="351" t="n">
        <f aca="false">-H258*INDEX(port_processing_fee,MATCH(L258,PORTS!$H$626:$H$933,0),MATCH(P$5,PORTS!$H$626:$Z$626,0))</f>
        <v>-0</v>
      </c>
      <c r="P258" s="352" t="n">
        <f aca="false">(((VLOOKUP(L258,curvecalc,4,0))*IF(F258=0,0,J258/F258)-INDEX(ship_curves,MATCH(L258,'SHIP CURVES'!$A$9:$A$316,0),MATCH(CONCATENATE(P$4,P$5,P$6,P$7),'SHIP CURVES'!$A$9:$Z$9,0))-INDEX(terminal_curves,MATCH(L258,'TERMINAL CURVES'!$A$4:$A$313,0),MATCH(P$5,'TERMINAL CURVES'!$A$4:$N$4,0))*IF(F258=0,0,H258/F258))-(N$8)*((N$7-$N$5)-(INDEX(ship_curves,MATCH(L258,'SHIP CURVES'!$A$9:$A$316,0),MATCH(CONCATENATE(P$4,P$5,P$6,P$7),'SHIP CURVES'!$A$9:$Z$9,0))-INDEX(ship_curves,MATCH(L258,'SHIP CURVES'!$A$9:$A$316,0),MATCH(CONCATENATE(P$4,N$6,P$6,P$7),'SHIP CURVES'!$A$9:$Z$9,0)))-(INDEX(terminal_curves,MATCH(L258,'TERMINAL CURVES'!$A$4:$A$313,0),MATCH(P$5,'TERMINAL CURVES'!$A$4:$N$4,0))-INDEX(terminal_curves,MATCH(L258,'TERMINAL CURVES'!$A$4:$A$313,0),MATCH(N$6,'TERMINAL CURVES'!$A$4:$N$4,0)))*IF(F258=0,0,H258/F258)))*-F258</f>
        <v>0</v>
      </c>
      <c r="Q258" s="353" t="n">
        <f aca="false">SUM(N258:P258)</f>
        <v>0</v>
      </c>
      <c r="R258" s="357" t="n">
        <f aca="false">(-H258/((HLOOKUP(P$5,port_specs,2,0)/(365.25))*(L259-L258)))*(INDEX(fixed_capacity_charge,MATCH(L258,PORTS!$H$11:$H$317,0),MATCH(P$5,PORTS!$H$11:$N$11,0))+INDEX(variable_om_charge,MATCH(L258,PORTS!$H$318:$H$625,0),MATCH(P$5,PORTS!$H$318:$N$318,0)))</f>
        <v>-0</v>
      </c>
      <c r="S258" s="343" t="n">
        <f aca="false">+R258+Q258</f>
        <v>0</v>
      </c>
      <c r="T258" s="355" t="n">
        <f aca="false">+S258+M258</f>
        <v>0</v>
      </c>
      <c r="V258" s="346" t="n">
        <f aca="false">+DATE(YEAR(V257),MONTH(V257)+1,1)</f>
        <v>44013</v>
      </c>
      <c r="W258" s="327" t="n">
        <f aca="false">+Y258/(1-HLOOKUP(X$6,SHIPS,7,0)*INDEX(LADEN_VOYAGE_DAYS,MATCH(CONCATENATE(X$4,X$5),LADEN_VOYAGE_ROUTES,0),MATCH(X$6,LADEN_VOYAGE_SHIPS,0)))</f>
        <v>0</v>
      </c>
      <c r="X258" s="347" t="n">
        <f aca="false">+Y258-W258</f>
        <v>0</v>
      </c>
      <c r="Y258" s="348" t="n">
        <f aca="false">+IF(AND(X$8&lt;=V258,X$9&gt;=V258),+MIN($B258-SUMIF($H$17:X$17,Y$17,$H258:X258),((INDEX(ROUTE_PER_DAY_BY_SHIP,MATCH(CONCATENATE(X$4,X$5,X$7),ROUTE_PER_DAY_ROUTES,0),MATCH(X$6,ROUTE_PER_DAY_SHIPS,0))*(V259-V258))-(INDEX(ROUTE_PER_DAY_BY_SHIP,MATCH(CONCATENATE(X$4,X$5,X$7),ROUTE_PER_DAY_ROUTES,0),MATCH(X$6,ROUTE_PER_DAY_SHIPS,0))*(V259-V258))*HLOOKUP(X$6,SHIPS,7,0)*INDEX(LADEN_VOYAGE_DAYS,MATCH(CONCATENATE(X$4,X$5,X$7),LADEN_VOYAGE_ROUTES,0),MATCH(X$6,LADEN_VOYAGE_SHIPS,0)))),0)</f>
        <v>0</v>
      </c>
      <c r="Z258" s="349" t="n">
        <f aca="false">-(Y258)*HLOOKUP(X$5,TERMINAL_CHARGES,3,0)</f>
        <v>-0</v>
      </c>
      <c r="AA258" s="327" t="n">
        <f aca="false">+Y258+Z258</f>
        <v>0</v>
      </c>
      <c r="AB258" s="333"/>
      <c r="AC258" s="346" t="n">
        <f aca="false">+DATE(YEAR(AC257),MONTH(AC257)+1,1)</f>
        <v>44013</v>
      </c>
      <c r="AD258" s="343" t="n">
        <f aca="false">+AA258*(VLOOKUP(AC258,CURVECALC!$C$6:$J$312,4,0)+AE$5)</f>
        <v>0</v>
      </c>
      <c r="AE258" s="350" t="n">
        <f aca="false">-W258*INDEX(ship_curves,MATCH(AC258,'SHIP CURVES'!$A$9:$A$316,0),MATCH(CONCATENATE(AG$4,AG$5,AG$6,AG$7),'SHIP CURVES'!$A$9:$AZ$9,0))</f>
        <v>-0</v>
      </c>
      <c r="AF258" s="351" t="n">
        <f aca="false">-Y258*INDEX(port_processing_fee,MATCH(AC258,PORTS!$H$626:$H$933,0),MATCH(AG$5,PORTS!$H$626:$Z$626,0))</f>
        <v>-0</v>
      </c>
      <c r="AG258" s="352" t="n">
        <f aca="false">(((VLOOKUP(AC258,curvecalc,4,0))*IF(W258=0,0,AA258/W258)-INDEX(ship_curves,MATCH(AC258,'SHIP CURVES'!$A$9:$A$316,0),MATCH(CONCATENATE(AG$4,AG$5,AG$6,AG$7),'SHIP CURVES'!$A$9:$Z$9,0))-INDEX(terminal_curves,MATCH(AC258,'TERMINAL CURVES'!$A$4:$A$313,0),MATCH(AG$5,'TERMINAL CURVES'!$A$4:$N$4,0))*IF(W258=0,0,Y258/W258))-(AE$8)*((AE$7-$N$5)-(INDEX(ship_curves,MATCH(AC258,'SHIP CURVES'!$A$9:$A$316,0),MATCH(CONCATENATE(AG$4,AG$5,AG$6,AG$7),'SHIP CURVES'!$A$9:$Z$9,0))-INDEX(ship_curves,MATCH(AC258,'SHIP CURVES'!$A$9:$A$316,0),MATCH(CONCATENATE(AG$4,AE$6,AG$6,AG$7),'SHIP CURVES'!$A$9:$Z$9,0)))-(INDEX(terminal_curves,MATCH(AC258,'TERMINAL CURVES'!$A$4:$A$313,0),MATCH(AG$5,'TERMINAL CURVES'!$A$4:$N$4,0))-INDEX(terminal_curves,MATCH(AC258,'TERMINAL CURVES'!$A$4:$A$313,0),MATCH(AE$6,'TERMINAL CURVES'!$A$4:$N$4,0)))*IF(W258=0,0,Y258/W258)))*-W258</f>
        <v>0</v>
      </c>
      <c r="AH258" s="356" t="n">
        <f aca="false">SUM(AE258:AG258)</f>
        <v>0</v>
      </c>
      <c r="AI258" s="357" t="n">
        <f aca="false">(-Y258/((HLOOKUP(AG$5,port_specs,2,0)/(365.25))*(AC259-AC258)))*(INDEX(fixed_capacity_charge,MATCH(AC258,PORTS!$H$11:$H$317,0),MATCH(AG$5,PORTS!$H$11:$N$11,0))+INDEX(variable_om_charge,MATCH(AC258,PORTS!$H$318:$H$625,0),MATCH(AG$5,PORTS!$H$318:$N$318,0)))</f>
        <v>-0</v>
      </c>
      <c r="AJ258" s="343" t="n">
        <f aca="false">+AI258+AH258</f>
        <v>0</v>
      </c>
      <c r="AK258" s="355" t="n">
        <f aca="false">+AJ258+AD258</f>
        <v>0</v>
      </c>
      <c r="AM258" s="346" t="n">
        <f aca="false">+DATE(YEAR(AM257),MONTH(AM257)+1,1)</f>
        <v>44013</v>
      </c>
      <c r="AN258" s="327" t="n">
        <f aca="false">+AP258/(1-HLOOKUP(AO$6,SHIPS,7,0)*INDEX(LADEN_VOYAGE_DAYS,MATCH(CONCATENATE(AO$4,AO$5),LADEN_VOYAGE_ROUTES,0),MATCH(AO$6,LADEN_VOYAGE_SHIPS,0)))</f>
        <v>0</v>
      </c>
      <c r="AO258" s="347" t="n">
        <f aca="false">+AP258-AN258</f>
        <v>0</v>
      </c>
      <c r="AP258" s="348" t="n">
        <f aca="false">+IF(AND(AO$8&lt;=AM258,AO$9&gt;=AM258),+MIN($B258-SUMIF($H$17:AO$17,AP$17,$H258:AO258),((INDEX(ROUTE_PER_DAY_BY_SHIP,MATCH(CONCATENATE(AO$4,AO$5,AO$7),ROUTE_PER_DAY_ROUTES,0),MATCH(AO$6,ROUTE_PER_DAY_SHIPS,0))*(AM259-AM258))-(INDEX(ROUTE_PER_DAY_BY_SHIP,MATCH(CONCATENATE(AO$4,AO$5,AO$7),ROUTE_PER_DAY_ROUTES,0),MATCH(AO$6,ROUTE_PER_DAY_SHIPS,0))*(AM259-AM258))*HLOOKUP(AO$6,SHIPS,7,0)*INDEX(LADEN_VOYAGE_DAYS,MATCH(CONCATENATE(AO$4,AO$5,AO$7),LADEN_VOYAGE_ROUTES,0),MATCH(AO$6,LADEN_VOYAGE_SHIPS,0)))),0)</f>
        <v>0</v>
      </c>
      <c r="AQ258" s="349" t="n">
        <f aca="false">-(AP258)*PORTS!$I$6</f>
        <v>-0</v>
      </c>
      <c r="AR258" s="327" t="n">
        <f aca="false">+AP258+AQ258</f>
        <v>0</v>
      </c>
      <c r="AS258" s="333"/>
      <c r="AT258" s="346" t="n">
        <f aca="false">+DATE(YEAR(AT257),MONTH(AT257)+1,1)</f>
        <v>44013</v>
      </c>
      <c r="AU258" s="343" t="n">
        <f aca="false">+AR258*(VLOOKUP(AT258,CURVECALC!$C$6:$J$312,4,0)+AV$5)</f>
        <v>0</v>
      </c>
      <c r="AV258" s="350" t="n">
        <f aca="false">-AN258*INDEX(ship_curves,MATCH(AT258,'SHIP CURVES'!$A$9:$A$316,0),MATCH(CONCATENATE(AX$4,AX$5,AX$6,AX$7),'SHIP CURVES'!$A$9:$AZ$9,0))</f>
        <v>-0</v>
      </c>
      <c r="AW258" s="351" t="n">
        <f aca="false">-AP258*INDEX(port_processing_fee,MATCH(AT258,PORTS!$H$626:$H$933,0),MATCH(AX$5,PORTS!$H$626:$Z$626,0))</f>
        <v>-0</v>
      </c>
      <c r="AX258" s="352" t="n">
        <f aca="false">(((VLOOKUP(AT258,curvecalc,4,0))*IF(AN258=0,0,AR258/AN258)-INDEX(ship_curves,MATCH(AT258,'SHIP CURVES'!$A$9:$A$316,0),MATCH(CONCATENATE(AX$4,AX$5,AX$6,AX$7),'SHIP CURVES'!$A$9:$Z$9,0))-INDEX(terminal_curves,MATCH(AT258,'TERMINAL CURVES'!$A$4:$A$313,0),MATCH(AX$5,'TERMINAL CURVES'!$A$4:$N$4,0))*IF(AN258=0,0,AP258/AN258))-(AV$8)*((AV$7-$N$5)-(INDEX(ship_curves,MATCH(AT258,'SHIP CURVES'!$A$9:$A$316,0),MATCH(CONCATENATE(AX$4,AX$5,AX$6,AX$7),'SHIP CURVES'!$A$9:$Z$9,0))-INDEX(ship_curves,MATCH(AT258,'SHIP CURVES'!$A$9:$A$316,0),MATCH(CONCATENATE(AX$4,AV$6,AX$6,AX$7),'SHIP CURVES'!$A$9:$Z$9,0)))-(INDEX(terminal_curves,MATCH(AT258,'TERMINAL CURVES'!$A$4:$A$313,0),MATCH(AX$5,'TERMINAL CURVES'!$A$4:$N$4,0))-INDEX(terminal_curves,MATCH(AT258,'TERMINAL CURVES'!$A$4:$A$313,0),MATCH(AV$6,'TERMINAL CURVES'!$A$4:$N$4,0)))*IF(AN258=0,0,AP258/AN258)))*-AN258</f>
        <v>0</v>
      </c>
      <c r="AY258" s="356" t="n">
        <f aca="false">SUM(AV258:AX258)</f>
        <v>0</v>
      </c>
      <c r="AZ258" s="357" t="n">
        <f aca="false">(-AP258/((HLOOKUP(AX$5,port_specs,2,0)/(365.25))*(AT259-AT258)))*(INDEX(fixed_capacity_charge,MATCH(AT258,PORTS!$H$11:$H$317,0),MATCH(AX$5,PORTS!$H$11:$N$11,0))+INDEX(variable_om_charge,MATCH(AT258,PORTS!$H$318:$H$625,0),MATCH(AX$5,PORTS!$H$318:$N$318,0)))</f>
        <v>-0</v>
      </c>
      <c r="BA258" s="343" t="n">
        <f aca="false">+AZ258+AY258</f>
        <v>0</v>
      </c>
      <c r="BB258" s="355" t="n">
        <f aca="false">+BA258+AU258</f>
        <v>0</v>
      </c>
      <c r="BC258" s="99"/>
      <c r="BD258" s="357" t="n">
        <f aca="false">+PORTS!I252+PORTS!I560</f>
        <v>0</v>
      </c>
    </row>
    <row r="259" customFormat="false" ht="12.75" hidden="false" customHeight="false" outlineLevel="0" collapsed="false">
      <c r="A259" s="346" t="n">
        <f aca="false">+DATE(YEAR(A258),MONTH(A258)+1,1)</f>
        <v>44044</v>
      </c>
      <c r="B259" s="327" t="n">
        <f aca="false">+IF(AND($A259&gt;=$C$8,$A259&lt;=$C$9),1,0)*PORTS!$I$5/(365.25)*(A260-A259)</f>
        <v>0</v>
      </c>
      <c r="C259" s="328" t="n">
        <f aca="false">+B259-(SUMIF($F$17:$IV$17,$H$17,$F259:$IV259))</f>
        <v>0</v>
      </c>
      <c r="D259" s="0" t="n">
        <f aca="false">+YEAR(E259)</f>
        <v>2020</v>
      </c>
      <c r="E259" s="346" t="n">
        <f aca="false">+DATE(YEAR(E258),MONTH(E258)+1,1)</f>
        <v>44044</v>
      </c>
      <c r="F259" s="327" t="n">
        <f aca="false">+IF(AND(G$8&lt;=E259,G$9&gt;=E259),INDEX(ROUTE_PER_DAY_BY_SHIP,MATCH(CONCATENATE(G$4,G$5,G$7),ROUTE_PER_DAY_ROUTES,0),MATCH(G$6,ROUTE_PER_DAY_SHIPS,0))*(E260-E259),0)</f>
        <v>0</v>
      </c>
      <c r="G259" s="347" t="n">
        <f aca="false">-F259*HLOOKUP(G$6,SHIPS,7,0)*INDEX(LADEN_VOYAGE_DAYS,MATCH(CONCATENATE(G$4,G$5,G$7),LADEN_VOYAGE_ROUTES,0),MATCH(G$6,LADEN_VOYAGE_SHIPS,0))</f>
        <v>-0</v>
      </c>
      <c r="H259" s="348" t="n">
        <f aca="false">SUM(F259:G259)</f>
        <v>0</v>
      </c>
      <c r="I259" s="349" t="n">
        <f aca="false">-(H259)*HLOOKUP(G$5,TERMINAL_CHARGES,3,0)</f>
        <v>-0</v>
      </c>
      <c r="J259" s="327" t="n">
        <f aca="false">+H259+I259</f>
        <v>0</v>
      </c>
      <c r="K259" s="333"/>
      <c r="L259" s="346" t="n">
        <f aca="false">+DATE(YEAR(L258),MONTH(L258)+1,1)</f>
        <v>44044</v>
      </c>
      <c r="M259" s="334" t="n">
        <f aca="false">+J259*(VLOOKUP(L259,CURVECALC!$C$6:$J$312,4,0)+N$5)</f>
        <v>0</v>
      </c>
      <c r="N259" s="350" t="n">
        <f aca="false">-F259*INDEX(ship_curves,MATCH(L259,'SHIP CURVES'!$A$9:$A$316,0),MATCH(CONCATENATE(P$4,P$5,P$6,P$7),'SHIP CURVES'!$A$9:$AZ$9,0))</f>
        <v>-0</v>
      </c>
      <c r="O259" s="351" t="n">
        <f aca="false">-H259*INDEX(port_processing_fee,MATCH(L259,PORTS!$H$626:$H$933,0),MATCH(P$5,PORTS!$H$626:$Z$626,0))</f>
        <v>-0</v>
      </c>
      <c r="P259" s="352" t="n">
        <f aca="false">(((VLOOKUP(L259,curvecalc,4,0))*IF(F259=0,0,J259/F259)-INDEX(ship_curves,MATCH(L259,'SHIP CURVES'!$A$9:$A$316,0),MATCH(CONCATENATE(P$4,P$5,P$6,P$7),'SHIP CURVES'!$A$9:$Z$9,0))-INDEX(terminal_curves,MATCH(L259,'TERMINAL CURVES'!$A$4:$A$313,0),MATCH(P$5,'TERMINAL CURVES'!$A$4:$N$4,0))*IF(F259=0,0,H259/F259))-(N$8)*((N$7-$N$5)-(INDEX(ship_curves,MATCH(L259,'SHIP CURVES'!$A$9:$A$316,0),MATCH(CONCATENATE(P$4,P$5,P$6,P$7),'SHIP CURVES'!$A$9:$Z$9,0))-INDEX(ship_curves,MATCH(L259,'SHIP CURVES'!$A$9:$A$316,0),MATCH(CONCATENATE(P$4,N$6,P$6,P$7),'SHIP CURVES'!$A$9:$Z$9,0)))-(INDEX(terminal_curves,MATCH(L259,'TERMINAL CURVES'!$A$4:$A$313,0),MATCH(P$5,'TERMINAL CURVES'!$A$4:$N$4,0))-INDEX(terminal_curves,MATCH(L259,'TERMINAL CURVES'!$A$4:$A$313,0),MATCH(N$6,'TERMINAL CURVES'!$A$4:$N$4,0)))*IF(F259=0,0,H259/F259)))*-F259</f>
        <v>0</v>
      </c>
      <c r="Q259" s="353" t="n">
        <f aca="false">SUM(N259:P259)</f>
        <v>0</v>
      </c>
      <c r="R259" s="357" t="n">
        <f aca="false">(-H259/((HLOOKUP(P$5,port_specs,2,0)/(365.25))*(L260-L259)))*(INDEX(fixed_capacity_charge,MATCH(L259,PORTS!$H$11:$H$317,0),MATCH(P$5,PORTS!$H$11:$N$11,0))+INDEX(variable_om_charge,MATCH(L259,PORTS!$H$318:$H$625,0),MATCH(P$5,PORTS!$H$318:$N$318,0)))</f>
        <v>-0</v>
      </c>
      <c r="S259" s="343" t="n">
        <f aca="false">+R259+Q259</f>
        <v>0</v>
      </c>
      <c r="T259" s="355" t="n">
        <f aca="false">+S259+M259</f>
        <v>0</v>
      </c>
      <c r="V259" s="346" t="n">
        <f aca="false">+DATE(YEAR(V258),MONTH(V258)+1,1)</f>
        <v>44044</v>
      </c>
      <c r="W259" s="327" t="n">
        <f aca="false">+Y259/(1-HLOOKUP(X$6,SHIPS,7,0)*INDEX(LADEN_VOYAGE_DAYS,MATCH(CONCATENATE(X$4,X$5),LADEN_VOYAGE_ROUTES,0),MATCH(X$6,LADEN_VOYAGE_SHIPS,0)))</f>
        <v>0</v>
      </c>
      <c r="X259" s="347" t="n">
        <f aca="false">+Y259-W259</f>
        <v>0</v>
      </c>
      <c r="Y259" s="348" t="n">
        <f aca="false">+IF(AND(X$8&lt;=V259,X$9&gt;=V259),+MIN($B259-SUMIF($H$17:X$17,Y$17,$H259:X259),((INDEX(ROUTE_PER_DAY_BY_SHIP,MATCH(CONCATENATE(X$4,X$5,X$7),ROUTE_PER_DAY_ROUTES,0),MATCH(X$6,ROUTE_PER_DAY_SHIPS,0))*(V260-V259))-(INDEX(ROUTE_PER_DAY_BY_SHIP,MATCH(CONCATENATE(X$4,X$5,X$7),ROUTE_PER_DAY_ROUTES,0),MATCH(X$6,ROUTE_PER_DAY_SHIPS,0))*(V260-V259))*HLOOKUP(X$6,SHIPS,7,0)*INDEX(LADEN_VOYAGE_DAYS,MATCH(CONCATENATE(X$4,X$5,X$7),LADEN_VOYAGE_ROUTES,0),MATCH(X$6,LADEN_VOYAGE_SHIPS,0)))),0)</f>
        <v>0</v>
      </c>
      <c r="Z259" s="349" t="n">
        <f aca="false">-(Y259)*HLOOKUP(X$5,TERMINAL_CHARGES,3,0)</f>
        <v>-0</v>
      </c>
      <c r="AA259" s="327" t="n">
        <f aca="false">+Y259+Z259</f>
        <v>0</v>
      </c>
      <c r="AB259" s="333"/>
      <c r="AC259" s="346" t="n">
        <f aca="false">+DATE(YEAR(AC258),MONTH(AC258)+1,1)</f>
        <v>44044</v>
      </c>
      <c r="AD259" s="343" t="n">
        <f aca="false">+AA259*(VLOOKUP(AC259,CURVECALC!$C$6:$J$312,4,0)+AE$5)</f>
        <v>0</v>
      </c>
      <c r="AE259" s="350" t="n">
        <f aca="false">-W259*INDEX(ship_curves,MATCH(AC259,'SHIP CURVES'!$A$9:$A$316,0),MATCH(CONCATENATE(AG$4,AG$5,AG$6,AG$7),'SHIP CURVES'!$A$9:$AZ$9,0))</f>
        <v>-0</v>
      </c>
      <c r="AF259" s="351" t="n">
        <f aca="false">-Y259*INDEX(port_processing_fee,MATCH(AC259,PORTS!$H$626:$H$933,0),MATCH(AG$5,PORTS!$H$626:$Z$626,0))</f>
        <v>-0</v>
      </c>
      <c r="AG259" s="352" t="n">
        <f aca="false">(((VLOOKUP(AC259,curvecalc,4,0))*IF(W259=0,0,AA259/W259)-INDEX(ship_curves,MATCH(AC259,'SHIP CURVES'!$A$9:$A$316,0),MATCH(CONCATENATE(AG$4,AG$5,AG$6,AG$7),'SHIP CURVES'!$A$9:$Z$9,0))-INDEX(terminal_curves,MATCH(AC259,'TERMINAL CURVES'!$A$4:$A$313,0),MATCH(AG$5,'TERMINAL CURVES'!$A$4:$N$4,0))*IF(W259=0,0,Y259/W259))-(AE$8)*((AE$7-$N$5)-(INDEX(ship_curves,MATCH(AC259,'SHIP CURVES'!$A$9:$A$316,0),MATCH(CONCATENATE(AG$4,AG$5,AG$6,AG$7),'SHIP CURVES'!$A$9:$Z$9,0))-INDEX(ship_curves,MATCH(AC259,'SHIP CURVES'!$A$9:$A$316,0),MATCH(CONCATENATE(AG$4,AE$6,AG$6,AG$7),'SHIP CURVES'!$A$9:$Z$9,0)))-(INDEX(terminal_curves,MATCH(AC259,'TERMINAL CURVES'!$A$4:$A$313,0),MATCH(AG$5,'TERMINAL CURVES'!$A$4:$N$4,0))-INDEX(terminal_curves,MATCH(AC259,'TERMINAL CURVES'!$A$4:$A$313,0),MATCH(AE$6,'TERMINAL CURVES'!$A$4:$N$4,0)))*IF(W259=0,0,Y259/W259)))*-W259</f>
        <v>0</v>
      </c>
      <c r="AH259" s="356" t="n">
        <f aca="false">SUM(AE259:AG259)</f>
        <v>0</v>
      </c>
      <c r="AI259" s="357" t="n">
        <f aca="false">(-Y259/((HLOOKUP(AG$5,port_specs,2,0)/(365.25))*(AC260-AC259)))*(INDEX(fixed_capacity_charge,MATCH(AC259,PORTS!$H$11:$H$317,0),MATCH(AG$5,PORTS!$H$11:$N$11,0))+INDEX(variable_om_charge,MATCH(AC259,PORTS!$H$318:$H$625,0),MATCH(AG$5,PORTS!$H$318:$N$318,0)))</f>
        <v>-0</v>
      </c>
      <c r="AJ259" s="343" t="n">
        <f aca="false">+AI259+AH259</f>
        <v>0</v>
      </c>
      <c r="AK259" s="355" t="n">
        <f aca="false">+AJ259+AD259</f>
        <v>0</v>
      </c>
      <c r="AM259" s="346" t="n">
        <f aca="false">+DATE(YEAR(AM258),MONTH(AM258)+1,1)</f>
        <v>44044</v>
      </c>
      <c r="AN259" s="327" t="n">
        <f aca="false">+AP259/(1-HLOOKUP(AO$6,SHIPS,7,0)*INDEX(LADEN_VOYAGE_DAYS,MATCH(CONCATENATE(AO$4,AO$5),LADEN_VOYAGE_ROUTES,0),MATCH(AO$6,LADEN_VOYAGE_SHIPS,0)))</f>
        <v>0</v>
      </c>
      <c r="AO259" s="347" t="n">
        <f aca="false">+AP259-AN259</f>
        <v>0</v>
      </c>
      <c r="AP259" s="348" t="n">
        <f aca="false">+IF(AND(AO$8&lt;=AM259,AO$9&gt;=AM259),+MIN($B259-SUMIF($H$17:AO$17,AP$17,$H259:AO259),((INDEX(ROUTE_PER_DAY_BY_SHIP,MATCH(CONCATENATE(AO$4,AO$5,AO$7),ROUTE_PER_DAY_ROUTES,0),MATCH(AO$6,ROUTE_PER_DAY_SHIPS,0))*(AM260-AM259))-(INDEX(ROUTE_PER_DAY_BY_SHIP,MATCH(CONCATENATE(AO$4,AO$5,AO$7),ROUTE_PER_DAY_ROUTES,0),MATCH(AO$6,ROUTE_PER_DAY_SHIPS,0))*(AM260-AM259))*HLOOKUP(AO$6,SHIPS,7,0)*INDEX(LADEN_VOYAGE_DAYS,MATCH(CONCATENATE(AO$4,AO$5,AO$7),LADEN_VOYAGE_ROUTES,0),MATCH(AO$6,LADEN_VOYAGE_SHIPS,0)))),0)</f>
        <v>0</v>
      </c>
      <c r="AQ259" s="349" t="n">
        <f aca="false">-(AP259)*PORTS!$I$6</f>
        <v>-0</v>
      </c>
      <c r="AR259" s="327" t="n">
        <f aca="false">+AP259+AQ259</f>
        <v>0</v>
      </c>
      <c r="AS259" s="333"/>
      <c r="AT259" s="346" t="n">
        <f aca="false">+DATE(YEAR(AT258),MONTH(AT258)+1,1)</f>
        <v>44044</v>
      </c>
      <c r="AU259" s="343" t="n">
        <f aca="false">+AR259*(VLOOKUP(AT259,CURVECALC!$C$6:$J$312,4,0)+AV$5)</f>
        <v>0</v>
      </c>
      <c r="AV259" s="350" t="n">
        <f aca="false">-AN259*INDEX(ship_curves,MATCH(AT259,'SHIP CURVES'!$A$9:$A$316,0),MATCH(CONCATENATE(AX$4,AX$5,AX$6,AX$7),'SHIP CURVES'!$A$9:$AZ$9,0))</f>
        <v>-0</v>
      </c>
      <c r="AW259" s="351" t="n">
        <f aca="false">-AP259*INDEX(port_processing_fee,MATCH(AT259,PORTS!$H$626:$H$933,0),MATCH(AX$5,PORTS!$H$626:$Z$626,0))</f>
        <v>-0</v>
      </c>
      <c r="AX259" s="352" t="n">
        <f aca="false">(((VLOOKUP(AT259,curvecalc,4,0))*IF(AN259=0,0,AR259/AN259)-INDEX(ship_curves,MATCH(AT259,'SHIP CURVES'!$A$9:$A$316,0),MATCH(CONCATENATE(AX$4,AX$5,AX$6,AX$7),'SHIP CURVES'!$A$9:$Z$9,0))-INDEX(terminal_curves,MATCH(AT259,'TERMINAL CURVES'!$A$4:$A$313,0),MATCH(AX$5,'TERMINAL CURVES'!$A$4:$N$4,0))*IF(AN259=0,0,AP259/AN259))-(AV$8)*((AV$7-$N$5)-(INDEX(ship_curves,MATCH(AT259,'SHIP CURVES'!$A$9:$A$316,0),MATCH(CONCATENATE(AX$4,AX$5,AX$6,AX$7),'SHIP CURVES'!$A$9:$Z$9,0))-INDEX(ship_curves,MATCH(AT259,'SHIP CURVES'!$A$9:$A$316,0),MATCH(CONCATENATE(AX$4,AV$6,AX$6,AX$7),'SHIP CURVES'!$A$9:$Z$9,0)))-(INDEX(terminal_curves,MATCH(AT259,'TERMINAL CURVES'!$A$4:$A$313,0),MATCH(AX$5,'TERMINAL CURVES'!$A$4:$N$4,0))-INDEX(terminal_curves,MATCH(AT259,'TERMINAL CURVES'!$A$4:$A$313,0),MATCH(AV$6,'TERMINAL CURVES'!$A$4:$N$4,0)))*IF(AN259=0,0,AP259/AN259)))*-AN259</f>
        <v>0</v>
      </c>
      <c r="AY259" s="356" t="n">
        <f aca="false">SUM(AV259:AX259)</f>
        <v>0</v>
      </c>
      <c r="AZ259" s="357" t="n">
        <f aca="false">(-AP259/((HLOOKUP(AX$5,port_specs,2,0)/(365.25))*(AT260-AT259)))*(INDEX(fixed_capacity_charge,MATCH(AT259,PORTS!$H$11:$H$317,0),MATCH(AX$5,PORTS!$H$11:$N$11,0))+INDEX(variable_om_charge,MATCH(AT259,PORTS!$H$318:$H$625,0),MATCH(AX$5,PORTS!$H$318:$N$318,0)))</f>
        <v>-0</v>
      </c>
      <c r="BA259" s="343" t="n">
        <f aca="false">+AZ259+AY259</f>
        <v>0</v>
      </c>
      <c r="BB259" s="355" t="n">
        <f aca="false">+BA259+AU259</f>
        <v>0</v>
      </c>
      <c r="BC259" s="99"/>
      <c r="BD259" s="357" t="n">
        <f aca="false">+PORTS!I253+PORTS!I561</f>
        <v>0</v>
      </c>
    </row>
    <row r="260" customFormat="false" ht="12.75" hidden="false" customHeight="false" outlineLevel="0" collapsed="false">
      <c r="A260" s="346" t="n">
        <f aca="false">+DATE(YEAR(A259),MONTH(A259)+1,1)</f>
        <v>44075</v>
      </c>
      <c r="B260" s="327" t="n">
        <f aca="false">+IF(AND($A260&gt;=$C$8,$A260&lt;=$C$9),1,0)*PORTS!$I$5/(365.25)*(A261-A260)</f>
        <v>0</v>
      </c>
      <c r="C260" s="328" t="n">
        <f aca="false">+B260-(SUMIF($F$17:$IV$17,$H$17,$F260:$IV260))</f>
        <v>0</v>
      </c>
      <c r="D260" s="0" t="n">
        <f aca="false">+YEAR(E260)</f>
        <v>2020</v>
      </c>
      <c r="E260" s="346" t="n">
        <f aca="false">+DATE(YEAR(E259),MONTH(E259)+1,1)</f>
        <v>44075</v>
      </c>
      <c r="F260" s="327" t="n">
        <f aca="false">+IF(AND(G$8&lt;=E260,G$9&gt;=E260),INDEX(ROUTE_PER_DAY_BY_SHIP,MATCH(CONCATENATE(G$4,G$5,G$7),ROUTE_PER_DAY_ROUTES,0),MATCH(G$6,ROUTE_PER_DAY_SHIPS,0))*(E261-E260),0)</f>
        <v>0</v>
      </c>
      <c r="G260" s="347" t="n">
        <f aca="false">-F260*HLOOKUP(G$6,SHIPS,7,0)*INDEX(LADEN_VOYAGE_DAYS,MATCH(CONCATENATE(G$4,G$5,G$7),LADEN_VOYAGE_ROUTES,0),MATCH(G$6,LADEN_VOYAGE_SHIPS,0))</f>
        <v>-0</v>
      </c>
      <c r="H260" s="348" t="n">
        <f aca="false">SUM(F260:G260)</f>
        <v>0</v>
      </c>
      <c r="I260" s="349" t="n">
        <f aca="false">-(H260)*HLOOKUP(G$5,TERMINAL_CHARGES,3,0)</f>
        <v>-0</v>
      </c>
      <c r="J260" s="327" t="n">
        <f aca="false">+H260+I260</f>
        <v>0</v>
      </c>
      <c r="K260" s="333"/>
      <c r="L260" s="346" t="n">
        <f aca="false">+DATE(YEAR(L259),MONTH(L259)+1,1)</f>
        <v>44075</v>
      </c>
      <c r="M260" s="334" t="n">
        <f aca="false">+J260*(VLOOKUP(L260,CURVECALC!$C$6:$J$312,4,0)+N$5)</f>
        <v>0</v>
      </c>
      <c r="N260" s="350" t="n">
        <f aca="false">-F260*INDEX(ship_curves,MATCH(L260,'SHIP CURVES'!$A$9:$A$316,0),MATCH(CONCATENATE(P$4,P$5,P$6,P$7),'SHIP CURVES'!$A$9:$AZ$9,0))</f>
        <v>-0</v>
      </c>
      <c r="O260" s="351" t="n">
        <f aca="false">-H260*INDEX(port_processing_fee,MATCH(L260,PORTS!$H$626:$H$933,0),MATCH(P$5,PORTS!$H$626:$Z$626,0))</f>
        <v>-0</v>
      </c>
      <c r="P260" s="352" t="n">
        <f aca="false">(((VLOOKUP(L260,curvecalc,4,0))*IF(F260=0,0,J260/F260)-INDEX(ship_curves,MATCH(L260,'SHIP CURVES'!$A$9:$A$316,0),MATCH(CONCATENATE(P$4,P$5,P$6,P$7),'SHIP CURVES'!$A$9:$Z$9,0))-INDEX(terminal_curves,MATCH(L260,'TERMINAL CURVES'!$A$4:$A$313,0),MATCH(P$5,'TERMINAL CURVES'!$A$4:$N$4,0))*IF(F260=0,0,H260/F260))-(N$8)*((N$7-$N$5)-(INDEX(ship_curves,MATCH(L260,'SHIP CURVES'!$A$9:$A$316,0),MATCH(CONCATENATE(P$4,P$5,P$6,P$7),'SHIP CURVES'!$A$9:$Z$9,0))-INDEX(ship_curves,MATCH(L260,'SHIP CURVES'!$A$9:$A$316,0),MATCH(CONCATENATE(P$4,N$6,P$6,P$7),'SHIP CURVES'!$A$9:$Z$9,0)))-(INDEX(terminal_curves,MATCH(L260,'TERMINAL CURVES'!$A$4:$A$313,0),MATCH(P$5,'TERMINAL CURVES'!$A$4:$N$4,0))-INDEX(terminal_curves,MATCH(L260,'TERMINAL CURVES'!$A$4:$A$313,0),MATCH(N$6,'TERMINAL CURVES'!$A$4:$N$4,0)))*IF(F260=0,0,H260/F260)))*-F260</f>
        <v>0</v>
      </c>
      <c r="Q260" s="353" t="n">
        <f aca="false">SUM(N260:P260)</f>
        <v>0</v>
      </c>
      <c r="R260" s="357" t="n">
        <f aca="false">(-H260/((HLOOKUP(P$5,port_specs,2,0)/(365.25))*(L261-L260)))*(INDEX(fixed_capacity_charge,MATCH(L260,PORTS!$H$11:$H$317,0),MATCH(P$5,PORTS!$H$11:$N$11,0))+INDEX(variable_om_charge,MATCH(L260,PORTS!$H$318:$H$625,0),MATCH(P$5,PORTS!$H$318:$N$318,0)))</f>
        <v>-0</v>
      </c>
      <c r="S260" s="343" t="n">
        <f aca="false">+R260+Q260</f>
        <v>0</v>
      </c>
      <c r="T260" s="355" t="n">
        <f aca="false">+S260+M260</f>
        <v>0</v>
      </c>
      <c r="V260" s="346" t="n">
        <f aca="false">+DATE(YEAR(V259),MONTH(V259)+1,1)</f>
        <v>44075</v>
      </c>
      <c r="W260" s="327" t="n">
        <f aca="false">+Y260/(1-HLOOKUP(X$6,SHIPS,7,0)*INDEX(LADEN_VOYAGE_DAYS,MATCH(CONCATENATE(X$4,X$5),LADEN_VOYAGE_ROUTES,0),MATCH(X$6,LADEN_VOYAGE_SHIPS,0)))</f>
        <v>0</v>
      </c>
      <c r="X260" s="347" t="n">
        <f aca="false">+Y260-W260</f>
        <v>0</v>
      </c>
      <c r="Y260" s="348" t="n">
        <f aca="false">+IF(AND(X$8&lt;=V260,X$9&gt;=V260),+MIN($B260-SUMIF($H$17:X$17,Y$17,$H260:X260),((INDEX(ROUTE_PER_DAY_BY_SHIP,MATCH(CONCATENATE(X$4,X$5,X$7),ROUTE_PER_DAY_ROUTES,0),MATCH(X$6,ROUTE_PER_DAY_SHIPS,0))*(V261-V260))-(INDEX(ROUTE_PER_DAY_BY_SHIP,MATCH(CONCATENATE(X$4,X$5,X$7),ROUTE_PER_DAY_ROUTES,0),MATCH(X$6,ROUTE_PER_DAY_SHIPS,0))*(V261-V260))*HLOOKUP(X$6,SHIPS,7,0)*INDEX(LADEN_VOYAGE_DAYS,MATCH(CONCATENATE(X$4,X$5,X$7),LADEN_VOYAGE_ROUTES,0),MATCH(X$6,LADEN_VOYAGE_SHIPS,0)))),0)</f>
        <v>0</v>
      </c>
      <c r="Z260" s="349" t="n">
        <f aca="false">-(Y260)*HLOOKUP(X$5,TERMINAL_CHARGES,3,0)</f>
        <v>-0</v>
      </c>
      <c r="AA260" s="327" t="n">
        <f aca="false">+Y260+Z260</f>
        <v>0</v>
      </c>
      <c r="AB260" s="333"/>
      <c r="AC260" s="346" t="n">
        <f aca="false">+DATE(YEAR(AC259),MONTH(AC259)+1,1)</f>
        <v>44075</v>
      </c>
      <c r="AD260" s="343" t="n">
        <f aca="false">+AA260*(VLOOKUP(AC260,CURVECALC!$C$6:$J$312,4,0)+AE$5)</f>
        <v>0</v>
      </c>
      <c r="AE260" s="350" t="n">
        <f aca="false">-W260*INDEX(ship_curves,MATCH(AC260,'SHIP CURVES'!$A$9:$A$316,0),MATCH(CONCATENATE(AG$4,AG$5,AG$6,AG$7),'SHIP CURVES'!$A$9:$AZ$9,0))</f>
        <v>-0</v>
      </c>
      <c r="AF260" s="351" t="n">
        <f aca="false">-Y260*INDEX(port_processing_fee,MATCH(AC260,PORTS!$H$626:$H$933,0),MATCH(AG$5,PORTS!$H$626:$Z$626,0))</f>
        <v>-0</v>
      </c>
      <c r="AG260" s="352" t="n">
        <f aca="false">(((VLOOKUP(AC260,curvecalc,4,0))*IF(W260=0,0,AA260/W260)-INDEX(ship_curves,MATCH(AC260,'SHIP CURVES'!$A$9:$A$316,0),MATCH(CONCATENATE(AG$4,AG$5,AG$6,AG$7),'SHIP CURVES'!$A$9:$Z$9,0))-INDEX(terminal_curves,MATCH(AC260,'TERMINAL CURVES'!$A$4:$A$313,0),MATCH(AG$5,'TERMINAL CURVES'!$A$4:$N$4,0))*IF(W260=0,0,Y260/W260))-(AE$8)*((AE$7-$N$5)-(INDEX(ship_curves,MATCH(AC260,'SHIP CURVES'!$A$9:$A$316,0),MATCH(CONCATENATE(AG$4,AG$5,AG$6,AG$7),'SHIP CURVES'!$A$9:$Z$9,0))-INDEX(ship_curves,MATCH(AC260,'SHIP CURVES'!$A$9:$A$316,0),MATCH(CONCATENATE(AG$4,AE$6,AG$6,AG$7),'SHIP CURVES'!$A$9:$Z$9,0)))-(INDEX(terminal_curves,MATCH(AC260,'TERMINAL CURVES'!$A$4:$A$313,0),MATCH(AG$5,'TERMINAL CURVES'!$A$4:$N$4,0))-INDEX(terminal_curves,MATCH(AC260,'TERMINAL CURVES'!$A$4:$A$313,0),MATCH(AE$6,'TERMINAL CURVES'!$A$4:$N$4,0)))*IF(W260=0,0,Y260/W260)))*-W260</f>
        <v>0</v>
      </c>
      <c r="AH260" s="356" t="n">
        <f aca="false">SUM(AE260:AG260)</f>
        <v>0</v>
      </c>
      <c r="AI260" s="357" t="n">
        <f aca="false">(-Y260/((HLOOKUP(AG$5,port_specs,2,0)/(365.25))*(AC261-AC260)))*(INDEX(fixed_capacity_charge,MATCH(AC260,PORTS!$H$11:$H$317,0),MATCH(AG$5,PORTS!$H$11:$N$11,0))+INDEX(variable_om_charge,MATCH(AC260,PORTS!$H$318:$H$625,0),MATCH(AG$5,PORTS!$H$318:$N$318,0)))</f>
        <v>-0</v>
      </c>
      <c r="AJ260" s="343" t="n">
        <f aca="false">+AI260+AH260</f>
        <v>0</v>
      </c>
      <c r="AK260" s="355" t="n">
        <f aca="false">+AJ260+AD260</f>
        <v>0</v>
      </c>
      <c r="AM260" s="346" t="n">
        <f aca="false">+DATE(YEAR(AM259),MONTH(AM259)+1,1)</f>
        <v>44075</v>
      </c>
      <c r="AN260" s="327" t="n">
        <f aca="false">+AP260/(1-HLOOKUP(AO$6,SHIPS,7,0)*INDEX(LADEN_VOYAGE_DAYS,MATCH(CONCATENATE(AO$4,AO$5),LADEN_VOYAGE_ROUTES,0),MATCH(AO$6,LADEN_VOYAGE_SHIPS,0)))</f>
        <v>0</v>
      </c>
      <c r="AO260" s="347" t="n">
        <f aca="false">+AP260-AN260</f>
        <v>0</v>
      </c>
      <c r="AP260" s="348" t="n">
        <f aca="false">+IF(AND(AO$8&lt;=AM260,AO$9&gt;=AM260),+MIN($B260-SUMIF($H$17:AO$17,AP$17,$H260:AO260),((INDEX(ROUTE_PER_DAY_BY_SHIP,MATCH(CONCATENATE(AO$4,AO$5,AO$7),ROUTE_PER_DAY_ROUTES,0),MATCH(AO$6,ROUTE_PER_DAY_SHIPS,0))*(AM261-AM260))-(INDEX(ROUTE_PER_DAY_BY_SHIP,MATCH(CONCATENATE(AO$4,AO$5,AO$7),ROUTE_PER_DAY_ROUTES,0),MATCH(AO$6,ROUTE_PER_DAY_SHIPS,0))*(AM261-AM260))*HLOOKUP(AO$6,SHIPS,7,0)*INDEX(LADEN_VOYAGE_DAYS,MATCH(CONCATENATE(AO$4,AO$5,AO$7),LADEN_VOYAGE_ROUTES,0),MATCH(AO$6,LADEN_VOYAGE_SHIPS,0)))),0)</f>
        <v>0</v>
      </c>
      <c r="AQ260" s="349" t="n">
        <f aca="false">-(AP260)*PORTS!$I$6</f>
        <v>-0</v>
      </c>
      <c r="AR260" s="327" t="n">
        <f aca="false">+AP260+AQ260</f>
        <v>0</v>
      </c>
      <c r="AS260" s="333"/>
      <c r="AT260" s="346" t="n">
        <f aca="false">+DATE(YEAR(AT259),MONTH(AT259)+1,1)</f>
        <v>44075</v>
      </c>
      <c r="AU260" s="343" t="n">
        <f aca="false">+AR260*(VLOOKUP(AT260,CURVECALC!$C$6:$J$312,4,0)+AV$5)</f>
        <v>0</v>
      </c>
      <c r="AV260" s="350" t="n">
        <f aca="false">-AN260*INDEX(ship_curves,MATCH(AT260,'SHIP CURVES'!$A$9:$A$316,0),MATCH(CONCATENATE(AX$4,AX$5,AX$6,AX$7),'SHIP CURVES'!$A$9:$AZ$9,0))</f>
        <v>-0</v>
      </c>
      <c r="AW260" s="351" t="n">
        <f aca="false">-AP260*INDEX(port_processing_fee,MATCH(AT260,PORTS!$H$626:$H$933,0),MATCH(AX$5,PORTS!$H$626:$Z$626,0))</f>
        <v>-0</v>
      </c>
      <c r="AX260" s="352" t="n">
        <f aca="false">(((VLOOKUP(AT260,curvecalc,4,0))*IF(AN260=0,0,AR260/AN260)-INDEX(ship_curves,MATCH(AT260,'SHIP CURVES'!$A$9:$A$316,0),MATCH(CONCATENATE(AX$4,AX$5,AX$6,AX$7),'SHIP CURVES'!$A$9:$Z$9,0))-INDEX(terminal_curves,MATCH(AT260,'TERMINAL CURVES'!$A$4:$A$313,0),MATCH(AX$5,'TERMINAL CURVES'!$A$4:$N$4,0))*IF(AN260=0,0,AP260/AN260))-(AV$8)*((AV$7-$N$5)-(INDEX(ship_curves,MATCH(AT260,'SHIP CURVES'!$A$9:$A$316,0),MATCH(CONCATENATE(AX$4,AX$5,AX$6,AX$7),'SHIP CURVES'!$A$9:$Z$9,0))-INDEX(ship_curves,MATCH(AT260,'SHIP CURVES'!$A$9:$A$316,0),MATCH(CONCATENATE(AX$4,AV$6,AX$6,AX$7),'SHIP CURVES'!$A$9:$Z$9,0)))-(INDEX(terminal_curves,MATCH(AT260,'TERMINAL CURVES'!$A$4:$A$313,0),MATCH(AX$5,'TERMINAL CURVES'!$A$4:$N$4,0))-INDEX(terminal_curves,MATCH(AT260,'TERMINAL CURVES'!$A$4:$A$313,0),MATCH(AV$6,'TERMINAL CURVES'!$A$4:$N$4,0)))*IF(AN260=0,0,AP260/AN260)))*-AN260</f>
        <v>0</v>
      </c>
      <c r="AY260" s="356" t="n">
        <f aca="false">SUM(AV260:AX260)</f>
        <v>0</v>
      </c>
      <c r="AZ260" s="357" t="n">
        <f aca="false">(-AP260/((HLOOKUP(AX$5,port_specs,2,0)/(365.25))*(AT261-AT260)))*(INDEX(fixed_capacity_charge,MATCH(AT260,PORTS!$H$11:$H$317,0),MATCH(AX$5,PORTS!$H$11:$N$11,0))+INDEX(variable_om_charge,MATCH(AT260,PORTS!$H$318:$H$625,0),MATCH(AX$5,PORTS!$H$318:$N$318,0)))</f>
        <v>-0</v>
      </c>
      <c r="BA260" s="343" t="n">
        <f aca="false">+AZ260+AY260</f>
        <v>0</v>
      </c>
      <c r="BB260" s="355" t="n">
        <f aca="false">+BA260+AU260</f>
        <v>0</v>
      </c>
      <c r="BC260" s="99"/>
      <c r="BD260" s="357" t="n">
        <f aca="false">+PORTS!I254+PORTS!I562</f>
        <v>0</v>
      </c>
    </row>
    <row r="261" customFormat="false" ht="12.75" hidden="false" customHeight="false" outlineLevel="0" collapsed="false">
      <c r="A261" s="346" t="n">
        <f aca="false">+DATE(YEAR(A260),MONTH(A260)+1,1)</f>
        <v>44105</v>
      </c>
      <c r="B261" s="327" t="n">
        <f aca="false">+IF(AND($A261&gt;=$C$8,$A261&lt;=$C$9),1,0)*PORTS!$I$5/(365.25)*(A262-A261)</f>
        <v>0</v>
      </c>
      <c r="C261" s="328" t="n">
        <f aca="false">+B261-(SUMIF($F$17:$IV$17,$H$17,$F261:$IV261))</f>
        <v>0</v>
      </c>
      <c r="D261" s="0" t="n">
        <f aca="false">+YEAR(E261)</f>
        <v>2020</v>
      </c>
      <c r="E261" s="346" t="n">
        <f aca="false">+DATE(YEAR(E260),MONTH(E260)+1,1)</f>
        <v>44105</v>
      </c>
      <c r="F261" s="327" t="n">
        <f aca="false">+IF(AND(G$8&lt;=E261,G$9&gt;=E261),INDEX(ROUTE_PER_DAY_BY_SHIP,MATCH(CONCATENATE(G$4,G$5,G$7),ROUTE_PER_DAY_ROUTES,0),MATCH(G$6,ROUTE_PER_DAY_SHIPS,0))*(E262-E261),0)</f>
        <v>0</v>
      </c>
      <c r="G261" s="347" t="n">
        <f aca="false">-F261*HLOOKUP(G$6,SHIPS,7,0)*INDEX(LADEN_VOYAGE_DAYS,MATCH(CONCATENATE(G$4,G$5,G$7),LADEN_VOYAGE_ROUTES,0),MATCH(G$6,LADEN_VOYAGE_SHIPS,0))</f>
        <v>-0</v>
      </c>
      <c r="H261" s="348" t="n">
        <f aca="false">SUM(F261:G261)</f>
        <v>0</v>
      </c>
      <c r="I261" s="349" t="n">
        <f aca="false">-(H261)*HLOOKUP(G$5,TERMINAL_CHARGES,3,0)</f>
        <v>-0</v>
      </c>
      <c r="J261" s="327" t="n">
        <f aca="false">+H261+I261</f>
        <v>0</v>
      </c>
      <c r="K261" s="333"/>
      <c r="L261" s="346" t="n">
        <f aca="false">+DATE(YEAR(L260),MONTH(L260)+1,1)</f>
        <v>44105</v>
      </c>
      <c r="M261" s="334" t="n">
        <f aca="false">+J261*(VLOOKUP(L261,CURVECALC!$C$6:$J$312,4,0)+N$5)</f>
        <v>0</v>
      </c>
      <c r="N261" s="350" t="n">
        <f aca="false">-F261*INDEX(ship_curves,MATCH(L261,'SHIP CURVES'!$A$9:$A$316,0),MATCH(CONCATENATE(P$4,P$5,P$6,P$7),'SHIP CURVES'!$A$9:$AZ$9,0))</f>
        <v>-0</v>
      </c>
      <c r="O261" s="351" t="n">
        <f aca="false">-H261*INDEX(port_processing_fee,MATCH(L261,PORTS!$H$626:$H$933,0),MATCH(P$5,PORTS!$H$626:$Z$626,0))</f>
        <v>-0</v>
      </c>
      <c r="P261" s="352" t="n">
        <f aca="false">(((VLOOKUP(L261,curvecalc,4,0))*IF(F261=0,0,J261/F261)-INDEX(ship_curves,MATCH(L261,'SHIP CURVES'!$A$9:$A$316,0),MATCH(CONCATENATE(P$4,P$5,P$6,P$7),'SHIP CURVES'!$A$9:$Z$9,0))-INDEX(terminal_curves,MATCH(L261,'TERMINAL CURVES'!$A$4:$A$313,0),MATCH(P$5,'TERMINAL CURVES'!$A$4:$N$4,0))*IF(F261=0,0,H261/F261))-(N$8)*((N$7-$N$5)-(INDEX(ship_curves,MATCH(L261,'SHIP CURVES'!$A$9:$A$316,0),MATCH(CONCATENATE(P$4,P$5,P$6,P$7),'SHIP CURVES'!$A$9:$Z$9,0))-INDEX(ship_curves,MATCH(L261,'SHIP CURVES'!$A$9:$A$316,0),MATCH(CONCATENATE(P$4,N$6,P$6,P$7),'SHIP CURVES'!$A$9:$Z$9,0)))-(INDEX(terminal_curves,MATCH(L261,'TERMINAL CURVES'!$A$4:$A$313,0),MATCH(P$5,'TERMINAL CURVES'!$A$4:$N$4,0))-INDEX(terminal_curves,MATCH(L261,'TERMINAL CURVES'!$A$4:$A$313,0),MATCH(N$6,'TERMINAL CURVES'!$A$4:$N$4,0)))*IF(F261=0,0,H261/F261)))*-F261</f>
        <v>0</v>
      </c>
      <c r="Q261" s="353" t="n">
        <f aca="false">SUM(N261:P261)</f>
        <v>0</v>
      </c>
      <c r="R261" s="357" t="n">
        <f aca="false">(-H261/((HLOOKUP(P$5,port_specs,2,0)/(365.25))*(L262-L261)))*(INDEX(fixed_capacity_charge,MATCH(L261,PORTS!$H$11:$H$317,0),MATCH(P$5,PORTS!$H$11:$N$11,0))+INDEX(variable_om_charge,MATCH(L261,PORTS!$H$318:$H$625,0),MATCH(P$5,PORTS!$H$318:$N$318,0)))</f>
        <v>-0</v>
      </c>
      <c r="S261" s="343" t="n">
        <f aca="false">+R261+Q261</f>
        <v>0</v>
      </c>
      <c r="T261" s="355" t="n">
        <f aca="false">+S261+M261</f>
        <v>0</v>
      </c>
      <c r="V261" s="346" t="n">
        <f aca="false">+DATE(YEAR(V260),MONTH(V260)+1,1)</f>
        <v>44105</v>
      </c>
      <c r="W261" s="327" t="n">
        <f aca="false">+Y261/(1-HLOOKUP(X$6,SHIPS,7,0)*INDEX(LADEN_VOYAGE_DAYS,MATCH(CONCATENATE(X$4,X$5),LADEN_VOYAGE_ROUTES,0),MATCH(X$6,LADEN_VOYAGE_SHIPS,0)))</f>
        <v>0</v>
      </c>
      <c r="X261" s="347" t="n">
        <f aca="false">+Y261-W261</f>
        <v>0</v>
      </c>
      <c r="Y261" s="348" t="n">
        <f aca="false">+IF(AND(X$8&lt;=V261,X$9&gt;=V261),+MIN($B261-SUMIF($H$17:X$17,Y$17,$H261:X261),((INDEX(ROUTE_PER_DAY_BY_SHIP,MATCH(CONCATENATE(X$4,X$5,X$7),ROUTE_PER_DAY_ROUTES,0),MATCH(X$6,ROUTE_PER_DAY_SHIPS,0))*(V262-V261))-(INDEX(ROUTE_PER_DAY_BY_SHIP,MATCH(CONCATENATE(X$4,X$5,X$7),ROUTE_PER_DAY_ROUTES,0),MATCH(X$6,ROUTE_PER_DAY_SHIPS,0))*(V262-V261))*HLOOKUP(X$6,SHIPS,7,0)*INDEX(LADEN_VOYAGE_DAYS,MATCH(CONCATENATE(X$4,X$5,X$7),LADEN_VOYAGE_ROUTES,0),MATCH(X$6,LADEN_VOYAGE_SHIPS,0)))),0)</f>
        <v>0</v>
      </c>
      <c r="Z261" s="349" t="n">
        <f aca="false">-(Y261)*HLOOKUP(X$5,TERMINAL_CHARGES,3,0)</f>
        <v>-0</v>
      </c>
      <c r="AA261" s="327" t="n">
        <f aca="false">+Y261+Z261</f>
        <v>0</v>
      </c>
      <c r="AB261" s="333"/>
      <c r="AC261" s="346" t="n">
        <f aca="false">+DATE(YEAR(AC260),MONTH(AC260)+1,1)</f>
        <v>44105</v>
      </c>
      <c r="AD261" s="343" t="n">
        <f aca="false">+AA261*(VLOOKUP(AC261,CURVECALC!$C$6:$J$312,4,0)+AE$5)</f>
        <v>0</v>
      </c>
      <c r="AE261" s="350" t="n">
        <f aca="false">-W261*INDEX(ship_curves,MATCH(AC261,'SHIP CURVES'!$A$9:$A$316,0),MATCH(CONCATENATE(AG$4,AG$5,AG$6,AG$7),'SHIP CURVES'!$A$9:$AZ$9,0))</f>
        <v>-0</v>
      </c>
      <c r="AF261" s="351" t="n">
        <f aca="false">-Y261*INDEX(port_processing_fee,MATCH(AC261,PORTS!$H$626:$H$933,0),MATCH(AG$5,PORTS!$H$626:$Z$626,0))</f>
        <v>-0</v>
      </c>
      <c r="AG261" s="352" t="n">
        <f aca="false">(((VLOOKUP(AC261,curvecalc,4,0))*IF(W261=0,0,AA261/W261)-INDEX(ship_curves,MATCH(AC261,'SHIP CURVES'!$A$9:$A$316,0),MATCH(CONCATENATE(AG$4,AG$5,AG$6,AG$7),'SHIP CURVES'!$A$9:$Z$9,0))-INDEX(terminal_curves,MATCH(AC261,'TERMINAL CURVES'!$A$4:$A$313,0),MATCH(AG$5,'TERMINAL CURVES'!$A$4:$N$4,0))*IF(W261=0,0,Y261/W261))-(AE$8)*((AE$7-$N$5)-(INDEX(ship_curves,MATCH(AC261,'SHIP CURVES'!$A$9:$A$316,0),MATCH(CONCATENATE(AG$4,AG$5,AG$6,AG$7),'SHIP CURVES'!$A$9:$Z$9,0))-INDEX(ship_curves,MATCH(AC261,'SHIP CURVES'!$A$9:$A$316,0),MATCH(CONCATENATE(AG$4,AE$6,AG$6,AG$7),'SHIP CURVES'!$A$9:$Z$9,0)))-(INDEX(terminal_curves,MATCH(AC261,'TERMINAL CURVES'!$A$4:$A$313,0),MATCH(AG$5,'TERMINAL CURVES'!$A$4:$N$4,0))-INDEX(terminal_curves,MATCH(AC261,'TERMINAL CURVES'!$A$4:$A$313,0),MATCH(AE$6,'TERMINAL CURVES'!$A$4:$N$4,0)))*IF(W261=0,0,Y261/W261)))*-W261</f>
        <v>0</v>
      </c>
      <c r="AH261" s="356" t="n">
        <f aca="false">SUM(AE261:AG261)</f>
        <v>0</v>
      </c>
      <c r="AI261" s="357" t="n">
        <f aca="false">(-Y261/((HLOOKUP(AG$5,port_specs,2,0)/(365.25))*(AC262-AC261)))*(INDEX(fixed_capacity_charge,MATCH(AC261,PORTS!$H$11:$H$317,0),MATCH(AG$5,PORTS!$H$11:$N$11,0))+INDEX(variable_om_charge,MATCH(AC261,PORTS!$H$318:$H$625,0),MATCH(AG$5,PORTS!$H$318:$N$318,0)))</f>
        <v>-0</v>
      </c>
      <c r="AJ261" s="343" t="n">
        <f aca="false">+AI261+AH261</f>
        <v>0</v>
      </c>
      <c r="AK261" s="355" t="n">
        <f aca="false">+AJ261+AD261</f>
        <v>0</v>
      </c>
      <c r="AM261" s="346" t="n">
        <f aca="false">+DATE(YEAR(AM260),MONTH(AM260)+1,1)</f>
        <v>44105</v>
      </c>
      <c r="AN261" s="327" t="n">
        <f aca="false">+AP261/(1-HLOOKUP(AO$6,SHIPS,7,0)*INDEX(LADEN_VOYAGE_DAYS,MATCH(CONCATENATE(AO$4,AO$5),LADEN_VOYAGE_ROUTES,0),MATCH(AO$6,LADEN_VOYAGE_SHIPS,0)))</f>
        <v>0</v>
      </c>
      <c r="AO261" s="347" t="n">
        <f aca="false">+AP261-AN261</f>
        <v>0</v>
      </c>
      <c r="AP261" s="348" t="n">
        <f aca="false">+IF(AND(AO$8&lt;=AM261,AO$9&gt;=AM261),+MIN($B261-SUMIF($H$17:AO$17,AP$17,$H261:AO261),((INDEX(ROUTE_PER_DAY_BY_SHIP,MATCH(CONCATENATE(AO$4,AO$5,AO$7),ROUTE_PER_DAY_ROUTES,0),MATCH(AO$6,ROUTE_PER_DAY_SHIPS,0))*(AM262-AM261))-(INDEX(ROUTE_PER_DAY_BY_SHIP,MATCH(CONCATENATE(AO$4,AO$5,AO$7),ROUTE_PER_DAY_ROUTES,0),MATCH(AO$6,ROUTE_PER_DAY_SHIPS,0))*(AM262-AM261))*HLOOKUP(AO$6,SHIPS,7,0)*INDEX(LADEN_VOYAGE_DAYS,MATCH(CONCATENATE(AO$4,AO$5,AO$7),LADEN_VOYAGE_ROUTES,0),MATCH(AO$6,LADEN_VOYAGE_SHIPS,0)))),0)</f>
        <v>0</v>
      </c>
      <c r="AQ261" s="349" t="n">
        <f aca="false">-(AP261)*PORTS!$I$6</f>
        <v>-0</v>
      </c>
      <c r="AR261" s="327" t="n">
        <f aca="false">+AP261+AQ261</f>
        <v>0</v>
      </c>
      <c r="AS261" s="333"/>
      <c r="AT261" s="346" t="n">
        <f aca="false">+DATE(YEAR(AT260),MONTH(AT260)+1,1)</f>
        <v>44105</v>
      </c>
      <c r="AU261" s="343" t="n">
        <f aca="false">+AR261*(VLOOKUP(AT261,CURVECALC!$C$6:$J$312,4,0)+AV$5)</f>
        <v>0</v>
      </c>
      <c r="AV261" s="350" t="n">
        <f aca="false">-AN261*INDEX(ship_curves,MATCH(AT261,'SHIP CURVES'!$A$9:$A$316,0),MATCH(CONCATENATE(AX$4,AX$5,AX$6,AX$7),'SHIP CURVES'!$A$9:$AZ$9,0))</f>
        <v>-0</v>
      </c>
      <c r="AW261" s="351" t="n">
        <f aca="false">-AP261*INDEX(port_processing_fee,MATCH(AT261,PORTS!$H$626:$H$933,0),MATCH(AX$5,PORTS!$H$626:$Z$626,0))</f>
        <v>-0</v>
      </c>
      <c r="AX261" s="352" t="n">
        <f aca="false">(((VLOOKUP(AT261,curvecalc,4,0))*IF(AN261=0,0,AR261/AN261)-INDEX(ship_curves,MATCH(AT261,'SHIP CURVES'!$A$9:$A$316,0),MATCH(CONCATENATE(AX$4,AX$5,AX$6,AX$7),'SHIP CURVES'!$A$9:$Z$9,0))-INDEX(terminal_curves,MATCH(AT261,'TERMINAL CURVES'!$A$4:$A$313,0),MATCH(AX$5,'TERMINAL CURVES'!$A$4:$N$4,0))*IF(AN261=0,0,AP261/AN261))-(AV$8)*((AV$7-$N$5)-(INDEX(ship_curves,MATCH(AT261,'SHIP CURVES'!$A$9:$A$316,0),MATCH(CONCATENATE(AX$4,AX$5,AX$6,AX$7),'SHIP CURVES'!$A$9:$Z$9,0))-INDEX(ship_curves,MATCH(AT261,'SHIP CURVES'!$A$9:$A$316,0),MATCH(CONCATENATE(AX$4,AV$6,AX$6,AX$7),'SHIP CURVES'!$A$9:$Z$9,0)))-(INDEX(terminal_curves,MATCH(AT261,'TERMINAL CURVES'!$A$4:$A$313,0),MATCH(AX$5,'TERMINAL CURVES'!$A$4:$N$4,0))-INDEX(terminal_curves,MATCH(AT261,'TERMINAL CURVES'!$A$4:$A$313,0),MATCH(AV$6,'TERMINAL CURVES'!$A$4:$N$4,0)))*IF(AN261=0,0,AP261/AN261)))*-AN261</f>
        <v>0</v>
      </c>
      <c r="AY261" s="356" t="n">
        <f aca="false">SUM(AV261:AX261)</f>
        <v>0</v>
      </c>
      <c r="AZ261" s="357" t="n">
        <f aca="false">(-AP261/((HLOOKUP(AX$5,port_specs,2,0)/(365.25))*(AT262-AT261)))*(INDEX(fixed_capacity_charge,MATCH(AT261,PORTS!$H$11:$H$317,0),MATCH(AX$5,PORTS!$H$11:$N$11,0))+INDEX(variable_om_charge,MATCH(AT261,PORTS!$H$318:$H$625,0),MATCH(AX$5,PORTS!$H$318:$N$318,0)))</f>
        <v>-0</v>
      </c>
      <c r="BA261" s="343" t="n">
        <f aca="false">+AZ261+AY261</f>
        <v>0</v>
      </c>
      <c r="BB261" s="355" t="n">
        <f aca="false">+BA261+AU261</f>
        <v>0</v>
      </c>
      <c r="BC261" s="99"/>
      <c r="BD261" s="357" t="n">
        <f aca="false">+PORTS!I255+PORTS!I563</f>
        <v>0</v>
      </c>
    </row>
    <row r="262" customFormat="false" ht="12.75" hidden="false" customHeight="false" outlineLevel="0" collapsed="false">
      <c r="A262" s="346" t="n">
        <f aca="false">+DATE(YEAR(A261),MONTH(A261)+1,1)</f>
        <v>44136</v>
      </c>
      <c r="B262" s="327" t="n">
        <f aca="false">+IF(AND($A262&gt;=$C$8,$A262&lt;=$C$9),1,0)*PORTS!$I$5/(365.25)*(A263-A262)</f>
        <v>0</v>
      </c>
      <c r="C262" s="328" t="n">
        <f aca="false">+B262-(SUMIF($F$17:$IV$17,$H$17,$F262:$IV262))</f>
        <v>0</v>
      </c>
      <c r="D262" s="0" t="n">
        <f aca="false">+YEAR(E262)</f>
        <v>2020</v>
      </c>
      <c r="E262" s="346" t="n">
        <f aca="false">+DATE(YEAR(E261),MONTH(E261)+1,1)</f>
        <v>44136</v>
      </c>
      <c r="F262" s="327" t="n">
        <f aca="false">+IF(AND(G$8&lt;=E262,G$9&gt;=E262),INDEX(ROUTE_PER_DAY_BY_SHIP,MATCH(CONCATENATE(G$4,G$5,G$7),ROUTE_PER_DAY_ROUTES,0),MATCH(G$6,ROUTE_PER_DAY_SHIPS,0))*(E263-E262),0)</f>
        <v>0</v>
      </c>
      <c r="G262" s="347" t="n">
        <f aca="false">-F262*HLOOKUP(G$6,SHIPS,7,0)*INDEX(LADEN_VOYAGE_DAYS,MATCH(CONCATENATE(G$4,G$5,G$7),LADEN_VOYAGE_ROUTES,0),MATCH(G$6,LADEN_VOYAGE_SHIPS,0))</f>
        <v>-0</v>
      </c>
      <c r="H262" s="348" t="n">
        <f aca="false">SUM(F262:G262)</f>
        <v>0</v>
      </c>
      <c r="I262" s="349" t="n">
        <f aca="false">-(H262)*HLOOKUP(G$5,TERMINAL_CHARGES,3,0)</f>
        <v>-0</v>
      </c>
      <c r="J262" s="327" t="n">
        <f aca="false">+H262+I262</f>
        <v>0</v>
      </c>
      <c r="K262" s="333"/>
      <c r="L262" s="346" t="n">
        <f aca="false">+DATE(YEAR(L261),MONTH(L261)+1,1)</f>
        <v>44136</v>
      </c>
      <c r="M262" s="334" t="n">
        <f aca="false">+J262*(VLOOKUP(L262,CURVECALC!$C$6:$J$312,4,0)+N$5)</f>
        <v>0</v>
      </c>
      <c r="N262" s="350" t="n">
        <f aca="false">-F262*INDEX(ship_curves,MATCH(L262,'SHIP CURVES'!$A$9:$A$316,0),MATCH(CONCATENATE(P$4,P$5,P$6,P$7),'SHIP CURVES'!$A$9:$AZ$9,0))</f>
        <v>-0</v>
      </c>
      <c r="O262" s="351" t="n">
        <f aca="false">-H262*INDEX(port_processing_fee,MATCH(L262,PORTS!$H$626:$H$933,0),MATCH(P$5,PORTS!$H$626:$Z$626,0))</f>
        <v>-0</v>
      </c>
      <c r="P262" s="352" t="n">
        <f aca="false">(((VLOOKUP(L262,curvecalc,4,0))*IF(F262=0,0,J262/F262)-INDEX(ship_curves,MATCH(L262,'SHIP CURVES'!$A$9:$A$316,0),MATCH(CONCATENATE(P$4,P$5,P$6,P$7),'SHIP CURVES'!$A$9:$Z$9,0))-INDEX(terminal_curves,MATCH(L262,'TERMINAL CURVES'!$A$4:$A$313,0),MATCH(P$5,'TERMINAL CURVES'!$A$4:$N$4,0))*IF(F262=0,0,H262/F262))-(N$8)*((N$7-$N$5)-(INDEX(ship_curves,MATCH(L262,'SHIP CURVES'!$A$9:$A$316,0),MATCH(CONCATENATE(P$4,P$5,P$6,P$7),'SHIP CURVES'!$A$9:$Z$9,0))-INDEX(ship_curves,MATCH(L262,'SHIP CURVES'!$A$9:$A$316,0),MATCH(CONCATENATE(P$4,N$6,P$6,P$7),'SHIP CURVES'!$A$9:$Z$9,0)))-(INDEX(terminal_curves,MATCH(L262,'TERMINAL CURVES'!$A$4:$A$313,0),MATCH(P$5,'TERMINAL CURVES'!$A$4:$N$4,0))-INDEX(terminal_curves,MATCH(L262,'TERMINAL CURVES'!$A$4:$A$313,0),MATCH(N$6,'TERMINAL CURVES'!$A$4:$N$4,0)))*IF(F262=0,0,H262/F262)))*-F262</f>
        <v>0</v>
      </c>
      <c r="Q262" s="353" t="n">
        <f aca="false">SUM(N262:P262)</f>
        <v>0</v>
      </c>
      <c r="R262" s="357" t="n">
        <f aca="false">(-H262/((HLOOKUP(P$5,port_specs,2,0)/(365.25))*(L263-L262)))*(INDEX(fixed_capacity_charge,MATCH(L262,PORTS!$H$11:$H$317,0),MATCH(P$5,PORTS!$H$11:$N$11,0))+INDEX(variable_om_charge,MATCH(L262,PORTS!$H$318:$H$625,0),MATCH(P$5,PORTS!$H$318:$N$318,0)))</f>
        <v>-0</v>
      </c>
      <c r="S262" s="343" t="n">
        <f aca="false">+R262+Q262</f>
        <v>0</v>
      </c>
      <c r="T262" s="355" t="n">
        <f aca="false">+S262+M262</f>
        <v>0</v>
      </c>
      <c r="V262" s="346" t="n">
        <f aca="false">+DATE(YEAR(V261),MONTH(V261)+1,1)</f>
        <v>44136</v>
      </c>
      <c r="W262" s="327" t="n">
        <f aca="false">+Y262/(1-HLOOKUP(X$6,SHIPS,7,0)*INDEX(LADEN_VOYAGE_DAYS,MATCH(CONCATENATE(X$4,X$5),LADEN_VOYAGE_ROUTES,0),MATCH(X$6,LADEN_VOYAGE_SHIPS,0)))</f>
        <v>0</v>
      </c>
      <c r="X262" s="347" t="n">
        <f aca="false">+Y262-W262</f>
        <v>0</v>
      </c>
      <c r="Y262" s="348" t="n">
        <f aca="false">+IF(AND(X$8&lt;=V262,X$9&gt;=V262),+MIN($B262-SUMIF($H$17:X$17,Y$17,$H262:X262),((INDEX(ROUTE_PER_DAY_BY_SHIP,MATCH(CONCATENATE(X$4,X$5,X$7),ROUTE_PER_DAY_ROUTES,0),MATCH(X$6,ROUTE_PER_DAY_SHIPS,0))*(V263-V262))-(INDEX(ROUTE_PER_DAY_BY_SHIP,MATCH(CONCATENATE(X$4,X$5,X$7),ROUTE_PER_DAY_ROUTES,0),MATCH(X$6,ROUTE_PER_DAY_SHIPS,0))*(V263-V262))*HLOOKUP(X$6,SHIPS,7,0)*INDEX(LADEN_VOYAGE_DAYS,MATCH(CONCATENATE(X$4,X$5,X$7),LADEN_VOYAGE_ROUTES,0),MATCH(X$6,LADEN_VOYAGE_SHIPS,0)))),0)</f>
        <v>0</v>
      </c>
      <c r="Z262" s="349" t="n">
        <f aca="false">-(Y262)*HLOOKUP(X$5,TERMINAL_CHARGES,3,0)</f>
        <v>-0</v>
      </c>
      <c r="AA262" s="327" t="n">
        <f aca="false">+Y262+Z262</f>
        <v>0</v>
      </c>
      <c r="AB262" s="333"/>
      <c r="AC262" s="346" t="n">
        <f aca="false">+DATE(YEAR(AC261),MONTH(AC261)+1,1)</f>
        <v>44136</v>
      </c>
      <c r="AD262" s="343" t="n">
        <f aca="false">+AA262*(VLOOKUP(AC262,CURVECALC!$C$6:$J$312,4,0)+AE$5)</f>
        <v>0</v>
      </c>
      <c r="AE262" s="350" t="n">
        <f aca="false">-W262*INDEX(ship_curves,MATCH(AC262,'SHIP CURVES'!$A$9:$A$316,0),MATCH(CONCATENATE(AG$4,AG$5,AG$6,AG$7),'SHIP CURVES'!$A$9:$AZ$9,0))</f>
        <v>-0</v>
      </c>
      <c r="AF262" s="351" t="n">
        <f aca="false">-Y262*INDEX(port_processing_fee,MATCH(AC262,PORTS!$H$626:$H$933,0),MATCH(AG$5,PORTS!$H$626:$Z$626,0))</f>
        <v>-0</v>
      </c>
      <c r="AG262" s="352" t="n">
        <f aca="false">(((VLOOKUP(AC262,curvecalc,4,0))*IF(W262=0,0,AA262/W262)-INDEX(ship_curves,MATCH(AC262,'SHIP CURVES'!$A$9:$A$316,0),MATCH(CONCATENATE(AG$4,AG$5,AG$6,AG$7),'SHIP CURVES'!$A$9:$Z$9,0))-INDEX(terminal_curves,MATCH(AC262,'TERMINAL CURVES'!$A$4:$A$313,0),MATCH(AG$5,'TERMINAL CURVES'!$A$4:$N$4,0))*IF(W262=0,0,Y262/W262))-(AE$8)*((AE$7-$N$5)-(INDEX(ship_curves,MATCH(AC262,'SHIP CURVES'!$A$9:$A$316,0),MATCH(CONCATENATE(AG$4,AG$5,AG$6,AG$7),'SHIP CURVES'!$A$9:$Z$9,0))-INDEX(ship_curves,MATCH(AC262,'SHIP CURVES'!$A$9:$A$316,0),MATCH(CONCATENATE(AG$4,AE$6,AG$6,AG$7),'SHIP CURVES'!$A$9:$Z$9,0)))-(INDEX(terminal_curves,MATCH(AC262,'TERMINAL CURVES'!$A$4:$A$313,0),MATCH(AG$5,'TERMINAL CURVES'!$A$4:$N$4,0))-INDEX(terminal_curves,MATCH(AC262,'TERMINAL CURVES'!$A$4:$A$313,0),MATCH(AE$6,'TERMINAL CURVES'!$A$4:$N$4,0)))*IF(W262=0,0,Y262/W262)))*-W262</f>
        <v>0</v>
      </c>
      <c r="AH262" s="356" t="n">
        <f aca="false">SUM(AE262:AG262)</f>
        <v>0</v>
      </c>
      <c r="AI262" s="357" t="n">
        <f aca="false">(-Y262/((HLOOKUP(AG$5,port_specs,2,0)/(365.25))*(AC263-AC262)))*(INDEX(fixed_capacity_charge,MATCH(AC262,PORTS!$H$11:$H$317,0),MATCH(AG$5,PORTS!$H$11:$N$11,0))+INDEX(variable_om_charge,MATCH(AC262,PORTS!$H$318:$H$625,0),MATCH(AG$5,PORTS!$H$318:$N$318,0)))</f>
        <v>-0</v>
      </c>
      <c r="AJ262" s="343" t="n">
        <f aca="false">+AI262+AH262</f>
        <v>0</v>
      </c>
      <c r="AK262" s="355" t="n">
        <f aca="false">+AJ262+AD262</f>
        <v>0</v>
      </c>
      <c r="AM262" s="346" t="n">
        <f aca="false">+DATE(YEAR(AM261),MONTH(AM261)+1,1)</f>
        <v>44136</v>
      </c>
      <c r="AN262" s="327" t="n">
        <f aca="false">+AP262/(1-HLOOKUP(AO$6,SHIPS,7,0)*INDEX(LADEN_VOYAGE_DAYS,MATCH(CONCATENATE(AO$4,AO$5),LADEN_VOYAGE_ROUTES,0),MATCH(AO$6,LADEN_VOYAGE_SHIPS,0)))</f>
        <v>0</v>
      </c>
      <c r="AO262" s="347" t="n">
        <f aca="false">+AP262-AN262</f>
        <v>0</v>
      </c>
      <c r="AP262" s="348" t="n">
        <f aca="false">+IF(AND(AO$8&lt;=AM262,AO$9&gt;=AM262),+MIN($B262-SUMIF($H$17:AO$17,AP$17,$H262:AO262),((INDEX(ROUTE_PER_DAY_BY_SHIP,MATCH(CONCATENATE(AO$4,AO$5,AO$7),ROUTE_PER_DAY_ROUTES,0),MATCH(AO$6,ROUTE_PER_DAY_SHIPS,0))*(AM263-AM262))-(INDEX(ROUTE_PER_DAY_BY_SHIP,MATCH(CONCATENATE(AO$4,AO$5,AO$7),ROUTE_PER_DAY_ROUTES,0),MATCH(AO$6,ROUTE_PER_DAY_SHIPS,0))*(AM263-AM262))*HLOOKUP(AO$6,SHIPS,7,0)*INDEX(LADEN_VOYAGE_DAYS,MATCH(CONCATENATE(AO$4,AO$5,AO$7),LADEN_VOYAGE_ROUTES,0),MATCH(AO$6,LADEN_VOYAGE_SHIPS,0)))),0)</f>
        <v>0</v>
      </c>
      <c r="AQ262" s="349" t="n">
        <f aca="false">-(AP262)*PORTS!$I$6</f>
        <v>-0</v>
      </c>
      <c r="AR262" s="327" t="n">
        <f aca="false">+AP262+AQ262</f>
        <v>0</v>
      </c>
      <c r="AS262" s="333"/>
      <c r="AT262" s="346" t="n">
        <f aca="false">+DATE(YEAR(AT261),MONTH(AT261)+1,1)</f>
        <v>44136</v>
      </c>
      <c r="AU262" s="343" t="n">
        <f aca="false">+AR262*(VLOOKUP(AT262,CURVECALC!$C$6:$J$312,4,0)+AV$5)</f>
        <v>0</v>
      </c>
      <c r="AV262" s="350" t="n">
        <f aca="false">-AN262*INDEX(ship_curves,MATCH(AT262,'SHIP CURVES'!$A$9:$A$316,0),MATCH(CONCATENATE(AX$4,AX$5,AX$6,AX$7),'SHIP CURVES'!$A$9:$AZ$9,0))</f>
        <v>-0</v>
      </c>
      <c r="AW262" s="351" t="n">
        <f aca="false">-AP262*INDEX(port_processing_fee,MATCH(AT262,PORTS!$H$626:$H$933,0),MATCH(AX$5,PORTS!$H$626:$Z$626,0))</f>
        <v>-0</v>
      </c>
      <c r="AX262" s="352" t="n">
        <f aca="false">(((VLOOKUP(AT262,curvecalc,4,0))*IF(AN262=0,0,AR262/AN262)-INDEX(ship_curves,MATCH(AT262,'SHIP CURVES'!$A$9:$A$316,0),MATCH(CONCATENATE(AX$4,AX$5,AX$6,AX$7),'SHIP CURVES'!$A$9:$Z$9,0))-INDEX(terminal_curves,MATCH(AT262,'TERMINAL CURVES'!$A$4:$A$313,0),MATCH(AX$5,'TERMINAL CURVES'!$A$4:$N$4,0))*IF(AN262=0,0,AP262/AN262))-(AV$8)*((AV$7-$N$5)-(INDEX(ship_curves,MATCH(AT262,'SHIP CURVES'!$A$9:$A$316,0),MATCH(CONCATENATE(AX$4,AX$5,AX$6,AX$7),'SHIP CURVES'!$A$9:$Z$9,0))-INDEX(ship_curves,MATCH(AT262,'SHIP CURVES'!$A$9:$A$316,0),MATCH(CONCATENATE(AX$4,AV$6,AX$6,AX$7),'SHIP CURVES'!$A$9:$Z$9,0)))-(INDEX(terminal_curves,MATCH(AT262,'TERMINAL CURVES'!$A$4:$A$313,0),MATCH(AX$5,'TERMINAL CURVES'!$A$4:$N$4,0))-INDEX(terminal_curves,MATCH(AT262,'TERMINAL CURVES'!$A$4:$A$313,0),MATCH(AV$6,'TERMINAL CURVES'!$A$4:$N$4,0)))*IF(AN262=0,0,AP262/AN262)))*-AN262</f>
        <v>0</v>
      </c>
      <c r="AY262" s="356" t="n">
        <f aca="false">SUM(AV262:AX262)</f>
        <v>0</v>
      </c>
      <c r="AZ262" s="357" t="n">
        <f aca="false">(-AP262/((HLOOKUP(AX$5,port_specs,2,0)/(365.25))*(AT263-AT262)))*(INDEX(fixed_capacity_charge,MATCH(AT262,PORTS!$H$11:$H$317,0),MATCH(AX$5,PORTS!$H$11:$N$11,0))+INDEX(variable_om_charge,MATCH(AT262,PORTS!$H$318:$H$625,0),MATCH(AX$5,PORTS!$H$318:$N$318,0)))</f>
        <v>-0</v>
      </c>
      <c r="BA262" s="343" t="n">
        <f aca="false">+AZ262+AY262</f>
        <v>0</v>
      </c>
      <c r="BB262" s="355" t="n">
        <f aca="false">+BA262+AU262</f>
        <v>0</v>
      </c>
      <c r="BC262" s="99"/>
      <c r="BD262" s="357" t="n">
        <f aca="false">+PORTS!I256+PORTS!I564</f>
        <v>0</v>
      </c>
    </row>
    <row r="263" customFormat="false" ht="12.75" hidden="false" customHeight="false" outlineLevel="0" collapsed="false">
      <c r="A263" s="346" t="n">
        <f aca="false">+DATE(YEAR(A262),MONTH(A262)+1,1)</f>
        <v>44166</v>
      </c>
      <c r="B263" s="327" t="n">
        <f aca="false">+IF(AND($A263&gt;=$C$8,$A263&lt;=$C$9),1,0)*PORTS!$I$5/(365.25)*(A264-A263)</f>
        <v>0</v>
      </c>
      <c r="C263" s="328" t="n">
        <f aca="false">+B263-(SUMIF($F$17:$IV$17,$H$17,$F263:$IV263))</f>
        <v>0</v>
      </c>
      <c r="D263" s="0" t="n">
        <f aca="false">+YEAR(E263)</f>
        <v>2020</v>
      </c>
      <c r="E263" s="346" t="n">
        <f aca="false">+DATE(YEAR(E262),MONTH(E262)+1,1)</f>
        <v>44166</v>
      </c>
      <c r="F263" s="327" t="n">
        <f aca="false">+IF(AND(G$8&lt;=E263,G$9&gt;=E263),INDEX(ROUTE_PER_DAY_BY_SHIP,MATCH(CONCATENATE(G$4,G$5,G$7),ROUTE_PER_DAY_ROUTES,0),MATCH(G$6,ROUTE_PER_DAY_SHIPS,0))*(E264-E263),0)</f>
        <v>0</v>
      </c>
      <c r="G263" s="347" t="n">
        <f aca="false">-F263*HLOOKUP(G$6,SHIPS,7,0)*INDEX(LADEN_VOYAGE_DAYS,MATCH(CONCATENATE(G$4,G$5,G$7),LADEN_VOYAGE_ROUTES,0),MATCH(G$6,LADEN_VOYAGE_SHIPS,0))</f>
        <v>-0</v>
      </c>
      <c r="H263" s="348" t="n">
        <f aca="false">SUM(F263:G263)</f>
        <v>0</v>
      </c>
      <c r="I263" s="349" t="n">
        <f aca="false">-(H263)*HLOOKUP(G$5,TERMINAL_CHARGES,3,0)</f>
        <v>-0</v>
      </c>
      <c r="J263" s="327" t="n">
        <f aca="false">+H263+I263</f>
        <v>0</v>
      </c>
      <c r="K263" s="333"/>
      <c r="L263" s="346" t="n">
        <f aca="false">+DATE(YEAR(L262),MONTH(L262)+1,1)</f>
        <v>44166</v>
      </c>
      <c r="M263" s="334" t="n">
        <f aca="false">+J263*(VLOOKUP(L263,CURVECALC!$C$6:$J$312,4,0)+N$5)</f>
        <v>0</v>
      </c>
      <c r="N263" s="350" t="n">
        <f aca="false">-F263*INDEX(ship_curves,MATCH(L263,'SHIP CURVES'!$A$9:$A$316,0),MATCH(CONCATENATE(P$4,P$5,P$6,P$7),'SHIP CURVES'!$A$9:$AZ$9,0))</f>
        <v>-0</v>
      </c>
      <c r="O263" s="351" t="n">
        <f aca="false">-H263*INDEX(port_processing_fee,MATCH(L263,PORTS!$H$626:$H$933,0),MATCH(P$5,PORTS!$H$626:$Z$626,0))</f>
        <v>-0</v>
      </c>
      <c r="P263" s="352" t="n">
        <f aca="false">(((VLOOKUP(L263,curvecalc,4,0))*IF(F263=0,0,J263/F263)-INDEX(ship_curves,MATCH(L263,'SHIP CURVES'!$A$9:$A$316,0),MATCH(CONCATENATE(P$4,P$5,P$6,P$7),'SHIP CURVES'!$A$9:$Z$9,0))-INDEX(terminal_curves,MATCH(L263,'TERMINAL CURVES'!$A$4:$A$313,0),MATCH(P$5,'TERMINAL CURVES'!$A$4:$N$4,0))*IF(F263=0,0,H263/F263))-(N$8)*((N$7-$N$5)-(INDEX(ship_curves,MATCH(L263,'SHIP CURVES'!$A$9:$A$316,0),MATCH(CONCATENATE(P$4,P$5,P$6,P$7),'SHIP CURVES'!$A$9:$Z$9,0))-INDEX(ship_curves,MATCH(L263,'SHIP CURVES'!$A$9:$A$316,0),MATCH(CONCATENATE(P$4,N$6,P$6,P$7),'SHIP CURVES'!$A$9:$Z$9,0)))-(INDEX(terminal_curves,MATCH(L263,'TERMINAL CURVES'!$A$4:$A$313,0),MATCH(P$5,'TERMINAL CURVES'!$A$4:$N$4,0))-INDEX(terminal_curves,MATCH(L263,'TERMINAL CURVES'!$A$4:$A$313,0),MATCH(N$6,'TERMINAL CURVES'!$A$4:$N$4,0)))*IF(F263=0,0,H263/F263)))*-F263</f>
        <v>0</v>
      </c>
      <c r="Q263" s="353" t="n">
        <f aca="false">SUM(N263:P263)</f>
        <v>0</v>
      </c>
      <c r="R263" s="357" t="n">
        <f aca="false">(-H263/((HLOOKUP(P$5,port_specs,2,0)/(365.25))*(L264-L263)))*(INDEX(fixed_capacity_charge,MATCH(L263,PORTS!$H$11:$H$317,0),MATCH(P$5,PORTS!$H$11:$N$11,0))+INDEX(variable_om_charge,MATCH(L263,PORTS!$H$318:$H$625,0),MATCH(P$5,PORTS!$H$318:$N$318,0)))</f>
        <v>-0</v>
      </c>
      <c r="S263" s="343" t="n">
        <f aca="false">+R263+Q263</f>
        <v>0</v>
      </c>
      <c r="T263" s="355" t="n">
        <f aca="false">+S263+M263</f>
        <v>0</v>
      </c>
      <c r="V263" s="346" t="n">
        <f aca="false">+DATE(YEAR(V262),MONTH(V262)+1,1)</f>
        <v>44166</v>
      </c>
      <c r="W263" s="327" t="n">
        <f aca="false">+Y263/(1-HLOOKUP(X$6,SHIPS,7,0)*INDEX(LADEN_VOYAGE_DAYS,MATCH(CONCATENATE(X$4,X$5),LADEN_VOYAGE_ROUTES,0),MATCH(X$6,LADEN_VOYAGE_SHIPS,0)))</f>
        <v>0</v>
      </c>
      <c r="X263" s="347" t="n">
        <f aca="false">+Y263-W263</f>
        <v>0</v>
      </c>
      <c r="Y263" s="348" t="n">
        <f aca="false">+IF(AND(X$8&lt;=V263,X$9&gt;=V263),+MIN($B263-SUMIF($H$17:X$17,Y$17,$H263:X263),((INDEX(ROUTE_PER_DAY_BY_SHIP,MATCH(CONCATENATE(X$4,X$5,X$7),ROUTE_PER_DAY_ROUTES,0),MATCH(X$6,ROUTE_PER_DAY_SHIPS,0))*(V264-V263))-(INDEX(ROUTE_PER_DAY_BY_SHIP,MATCH(CONCATENATE(X$4,X$5,X$7),ROUTE_PER_DAY_ROUTES,0),MATCH(X$6,ROUTE_PER_DAY_SHIPS,0))*(V264-V263))*HLOOKUP(X$6,SHIPS,7,0)*INDEX(LADEN_VOYAGE_DAYS,MATCH(CONCATENATE(X$4,X$5,X$7),LADEN_VOYAGE_ROUTES,0),MATCH(X$6,LADEN_VOYAGE_SHIPS,0)))),0)</f>
        <v>0</v>
      </c>
      <c r="Z263" s="349" t="n">
        <f aca="false">-(Y263)*HLOOKUP(X$5,TERMINAL_CHARGES,3,0)</f>
        <v>-0</v>
      </c>
      <c r="AA263" s="327" t="n">
        <f aca="false">+Y263+Z263</f>
        <v>0</v>
      </c>
      <c r="AB263" s="333"/>
      <c r="AC263" s="346" t="n">
        <f aca="false">+DATE(YEAR(AC262),MONTH(AC262)+1,1)</f>
        <v>44166</v>
      </c>
      <c r="AD263" s="343" t="n">
        <f aca="false">+AA263*(VLOOKUP(AC263,CURVECALC!$C$6:$J$312,4,0)+AE$5)</f>
        <v>0</v>
      </c>
      <c r="AE263" s="350" t="n">
        <f aca="false">-W263*INDEX(ship_curves,MATCH(AC263,'SHIP CURVES'!$A$9:$A$316,0),MATCH(CONCATENATE(AG$4,AG$5,AG$6,AG$7),'SHIP CURVES'!$A$9:$AZ$9,0))</f>
        <v>-0</v>
      </c>
      <c r="AF263" s="351" t="n">
        <f aca="false">-Y263*INDEX(port_processing_fee,MATCH(AC263,PORTS!$H$626:$H$933,0),MATCH(AG$5,PORTS!$H$626:$Z$626,0))</f>
        <v>-0</v>
      </c>
      <c r="AG263" s="352" t="n">
        <f aca="false">(((VLOOKUP(AC263,curvecalc,4,0))*IF(W263=0,0,AA263/W263)-INDEX(ship_curves,MATCH(AC263,'SHIP CURVES'!$A$9:$A$316,0),MATCH(CONCATENATE(AG$4,AG$5,AG$6,AG$7),'SHIP CURVES'!$A$9:$Z$9,0))-INDEX(terminal_curves,MATCH(AC263,'TERMINAL CURVES'!$A$4:$A$313,0),MATCH(AG$5,'TERMINAL CURVES'!$A$4:$N$4,0))*IF(W263=0,0,Y263/W263))-(AE$8)*((AE$7-$N$5)-(INDEX(ship_curves,MATCH(AC263,'SHIP CURVES'!$A$9:$A$316,0),MATCH(CONCATENATE(AG$4,AG$5,AG$6,AG$7),'SHIP CURVES'!$A$9:$Z$9,0))-INDEX(ship_curves,MATCH(AC263,'SHIP CURVES'!$A$9:$A$316,0),MATCH(CONCATENATE(AG$4,AE$6,AG$6,AG$7),'SHIP CURVES'!$A$9:$Z$9,0)))-(INDEX(terminal_curves,MATCH(AC263,'TERMINAL CURVES'!$A$4:$A$313,0),MATCH(AG$5,'TERMINAL CURVES'!$A$4:$N$4,0))-INDEX(terminal_curves,MATCH(AC263,'TERMINAL CURVES'!$A$4:$A$313,0),MATCH(AE$6,'TERMINAL CURVES'!$A$4:$N$4,0)))*IF(W263=0,0,Y263/W263)))*-W263</f>
        <v>0</v>
      </c>
      <c r="AH263" s="356" t="n">
        <f aca="false">SUM(AE263:AG263)</f>
        <v>0</v>
      </c>
      <c r="AI263" s="357" t="n">
        <f aca="false">(-Y263/((HLOOKUP(AG$5,port_specs,2,0)/(365.25))*(AC264-AC263)))*(INDEX(fixed_capacity_charge,MATCH(AC263,PORTS!$H$11:$H$317,0),MATCH(AG$5,PORTS!$H$11:$N$11,0))+INDEX(variable_om_charge,MATCH(AC263,PORTS!$H$318:$H$625,0),MATCH(AG$5,PORTS!$H$318:$N$318,0)))</f>
        <v>-0</v>
      </c>
      <c r="AJ263" s="343" t="n">
        <f aca="false">+AI263+AH263</f>
        <v>0</v>
      </c>
      <c r="AK263" s="355" t="n">
        <f aca="false">+AJ263+AD263</f>
        <v>0</v>
      </c>
      <c r="AM263" s="346" t="n">
        <f aca="false">+DATE(YEAR(AM262),MONTH(AM262)+1,1)</f>
        <v>44166</v>
      </c>
      <c r="AN263" s="327" t="n">
        <f aca="false">+AP263/(1-HLOOKUP(AO$6,SHIPS,7,0)*INDEX(LADEN_VOYAGE_DAYS,MATCH(CONCATENATE(AO$4,AO$5),LADEN_VOYAGE_ROUTES,0),MATCH(AO$6,LADEN_VOYAGE_SHIPS,0)))</f>
        <v>0</v>
      </c>
      <c r="AO263" s="347" t="n">
        <f aca="false">+AP263-AN263</f>
        <v>0</v>
      </c>
      <c r="AP263" s="348" t="n">
        <f aca="false">+IF(AND(AO$8&lt;=AM263,AO$9&gt;=AM263),+MIN($B263-SUMIF($H$17:AO$17,AP$17,$H263:AO263),((INDEX(ROUTE_PER_DAY_BY_SHIP,MATCH(CONCATENATE(AO$4,AO$5,AO$7),ROUTE_PER_DAY_ROUTES,0),MATCH(AO$6,ROUTE_PER_DAY_SHIPS,0))*(AM264-AM263))-(INDEX(ROUTE_PER_DAY_BY_SHIP,MATCH(CONCATENATE(AO$4,AO$5,AO$7),ROUTE_PER_DAY_ROUTES,0),MATCH(AO$6,ROUTE_PER_DAY_SHIPS,0))*(AM264-AM263))*HLOOKUP(AO$6,SHIPS,7,0)*INDEX(LADEN_VOYAGE_DAYS,MATCH(CONCATENATE(AO$4,AO$5,AO$7),LADEN_VOYAGE_ROUTES,0),MATCH(AO$6,LADEN_VOYAGE_SHIPS,0)))),0)</f>
        <v>0</v>
      </c>
      <c r="AQ263" s="349" t="n">
        <f aca="false">-(AP263)*PORTS!$I$6</f>
        <v>-0</v>
      </c>
      <c r="AR263" s="327" t="n">
        <f aca="false">+AP263+AQ263</f>
        <v>0</v>
      </c>
      <c r="AS263" s="333"/>
      <c r="AT263" s="346" t="n">
        <f aca="false">+DATE(YEAR(AT262),MONTH(AT262)+1,1)</f>
        <v>44166</v>
      </c>
      <c r="AU263" s="343" t="n">
        <f aca="false">+AR263*(VLOOKUP(AT263,CURVECALC!$C$6:$J$312,4,0)+AV$5)</f>
        <v>0</v>
      </c>
      <c r="AV263" s="350" t="n">
        <f aca="false">-AN263*INDEX(ship_curves,MATCH(AT263,'SHIP CURVES'!$A$9:$A$316,0),MATCH(CONCATENATE(AX$4,AX$5,AX$6,AX$7),'SHIP CURVES'!$A$9:$AZ$9,0))</f>
        <v>-0</v>
      </c>
      <c r="AW263" s="351" t="n">
        <f aca="false">-AP263*INDEX(port_processing_fee,MATCH(AT263,PORTS!$H$626:$H$933,0),MATCH(AX$5,PORTS!$H$626:$Z$626,0))</f>
        <v>-0</v>
      </c>
      <c r="AX263" s="352" t="n">
        <f aca="false">(((VLOOKUP(AT263,curvecalc,4,0))*IF(AN263=0,0,AR263/AN263)-INDEX(ship_curves,MATCH(AT263,'SHIP CURVES'!$A$9:$A$316,0),MATCH(CONCATENATE(AX$4,AX$5,AX$6,AX$7),'SHIP CURVES'!$A$9:$Z$9,0))-INDEX(terminal_curves,MATCH(AT263,'TERMINAL CURVES'!$A$4:$A$313,0),MATCH(AX$5,'TERMINAL CURVES'!$A$4:$N$4,0))*IF(AN263=0,0,AP263/AN263))-(AV$8)*((AV$7-$N$5)-(INDEX(ship_curves,MATCH(AT263,'SHIP CURVES'!$A$9:$A$316,0),MATCH(CONCATENATE(AX$4,AX$5,AX$6,AX$7),'SHIP CURVES'!$A$9:$Z$9,0))-INDEX(ship_curves,MATCH(AT263,'SHIP CURVES'!$A$9:$A$316,0),MATCH(CONCATENATE(AX$4,AV$6,AX$6,AX$7),'SHIP CURVES'!$A$9:$Z$9,0)))-(INDEX(terminal_curves,MATCH(AT263,'TERMINAL CURVES'!$A$4:$A$313,0),MATCH(AX$5,'TERMINAL CURVES'!$A$4:$N$4,0))-INDEX(terminal_curves,MATCH(AT263,'TERMINAL CURVES'!$A$4:$A$313,0),MATCH(AV$6,'TERMINAL CURVES'!$A$4:$N$4,0)))*IF(AN263=0,0,AP263/AN263)))*-AN263</f>
        <v>0</v>
      </c>
      <c r="AY263" s="356" t="n">
        <f aca="false">SUM(AV263:AX263)</f>
        <v>0</v>
      </c>
      <c r="AZ263" s="357" t="n">
        <f aca="false">(-AP263/((HLOOKUP(AX$5,port_specs,2,0)/(365.25))*(AT264-AT263)))*(INDEX(fixed_capacity_charge,MATCH(AT263,PORTS!$H$11:$H$317,0),MATCH(AX$5,PORTS!$H$11:$N$11,0))+INDEX(variable_om_charge,MATCH(AT263,PORTS!$H$318:$H$625,0),MATCH(AX$5,PORTS!$H$318:$N$318,0)))</f>
        <v>-0</v>
      </c>
      <c r="BA263" s="343" t="n">
        <f aca="false">+AZ263+AY263</f>
        <v>0</v>
      </c>
      <c r="BB263" s="355" t="n">
        <f aca="false">+BA263+AU263</f>
        <v>0</v>
      </c>
      <c r="BC263" s="99"/>
      <c r="BD263" s="357" t="n">
        <f aca="false">+PORTS!I257+PORTS!I565</f>
        <v>0</v>
      </c>
    </row>
    <row r="264" customFormat="false" ht="12.75" hidden="false" customHeight="false" outlineLevel="0" collapsed="false">
      <c r="A264" s="346" t="n">
        <f aca="false">+DATE(YEAR(A263),MONTH(A263)+1,1)</f>
        <v>44197</v>
      </c>
      <c r="B264" s="327" t="n">
        <f aca="false">+IF(AND($A264&gt;=$C$8,$A264&lt;=$C$9),1,0)*PORTS!$I$5/(365.25)*(A265-A264)</f>
        <v>0</v>
      </c>
      <c r="C264" s="328" t="n">
        <f aca="false">+B264-(SUMIF($F$17:$IV$17,$H$17,$F264:$IV264))</f>
        <v>0</v>
      </c>
      <c r="D264" s="0" t="n">
        <f aca="false">+YEAR(E264)</f>
        <v>2021</v>
      </c>
      <c r="E264" s="346" t="n">
        <f aca="false">+DATE(YEAR(E263),MONTH(E263)+1,1)</f>
        <v>44197</v>
      </c>
      <c r="F264" s="327" t="n">
        <f aca="false">+IF(AND(G$8&lt;=E264,G$9&gt;=E264),INDEX(ROUTE_PER_DAY_BY_SHIP,MATCH(CONCATENATE(G$4,G$5,G$7),ROUTE_PER_DAY_ROUTES,0),MATCH(G$6,ROUTE_PER_DAY_SHIPS,0))*(E265-E264),0)</f>
        <v>0</v>
      </c>
      <c r="G264" s="347" t="n">
        <f aca="false">-F264*HLOOKUP(G$6,SHIPS,7,0)*INDEX(LADEN_VOYAGE_DAYS,MATCH(CONCATENATE(G$4,G$5,G$7),LADEN_VOYAGE_ROUTES,0),MATCH(G$6,LADEN_VOYAGE_SHIPS,0))</f>
        <v>-0</v>
      </c>
      <c r="H264" s="348" t="n">
        <f aca="false">SUM(F264:G264)</f>
        <v>0</v>
      </c>
      <c r="I264" s="349" t="n">
        <f aca="false">-(H264)*HLOOKUP(G$5,TERMINAL_CHARGES,3,0)</f>
        <v>-0</v>
      </c>
      <c r="J264" s="327" t="n">
        <f aca="false">+H264+I264</f>
        <v>0</v>
      </c>
      <c r="K264" s="333"/>
      <c r="L264" s="346" t="n">
        <f aca="false">+DATE(YEAR(L263),MONTH(L263)+1,1)</f>
        <v>44197</v>
      </c>
      <c r="M264" s="334" t="n">
        <f aca="false">+J264*(VLOOKUP(L264,CURVECALC!$C$6:$J$312,4,0)+N$5)</f>
        <v>0</v>
      </c>
      <c r="N264" s="350" t="n">
        <f aca="false">-F264*INDEX(ship_curves,MATCH(L264,'SHIP CURVES'!$A$9:$A$316,0),MATCH(CONCATENATE(P$4,P$5,P$6,P$7),'SHIP CURVES'!$A$9:$AZ$9,0))</f>
        <v>-0</v>
      </c>
      <c r="O264" s="351" t="n">
        <f aca="false">-H264*INDEX(port_processing_fee,MATCH(L264,PORTS!$H$626:$H$933,0),MATCH(P$5,PORTS!$H$626:$Z$626,0))</f>
        <v>-0</v>
      </c>
      <c r="P264" s="352" t="n">
        <f aca="false">(((VLOOKUP(L264,curvecalc,4,0))*IF(F264=0,0,J264/F264)-INDEX(ship_curves,MATCH(L264,'SHIP CURVES'!$A$9:$A$316,0),MATCH(CONCATENATE(P$4,P$5,P$6,P$7),'SHIP CURVES'!$A$9:$Z$9,0))-INDEX(terminal_curves,MATCH(L264,'TERMINAL CURVES'!$A$4:$A$313,0),MATCH(P$5,'TERMINAL CURVES'!$A$4:$N$4,0))*IF(F264=0,0,H264/F264))-(N$8)*((N$7-$N$5)-(INDEX(ship_curves,MATCH(L264,'SHIP CURVES'!$A$9:$A$316,0),MATCH(CONCATENATE(P$4,P$5,P$6,P$7),'SHIP CURVES'!$A$9:$Z$9,0))-INDEX(ship_curves,MATCH(L264,'SHIP CURVES'!$A$9:$A$316,0),MATCH(CONCATENATE(P$4,N$6,P$6,P$7),'SHIP CURVES'!$A$9:$Z$9,0)))-(INDEX(terminal_curves,MATCH(L264,'TERMINAL CURVES'!$A$4:$A$313,0),MATCH(P$5,'TERMINAL CURVES'!$A$4:$N$4,0))-INDEX(terminal_curves,MATCH(L264,'TERMINAL CURVES'!$A$4:$A$313,0),MATCH(N$6,'TERMINAL CURVES'!$A$4:$N$4,0)))*IF(F264=0,0,H264/F264)))*-F264</f>
        <v>0</v>
      </c>
      <c r="Q264" s="353" t="n">
        <f aca="false">SUM(N264:P264)</f>
        <v>0</v>
      </c>
      <c r="R264" s="357" t="n">
        <f aca="false">(-H264/((HLOOKUP(P$5,port_specs,2,0)/(365.25))*(L265-L264)))*(INDEX(fixed_capacity_charge,MATCH(L264,PORTS!$H$11:$H$317,0),MATCH(P$5,PORTS!$H$11:$N$11,0))+INDEX(variable_om_charge,MATCH(L264,PORTS!$H$318:$H$625,0),MATCH(P$5,PORTS!$H$318:$N$318,0)))</f>
        <v>-0</v>
      </c>
      <c r="S264" s="343" t="n">
        <f aca="false">+R264+Q264</f>
        <v>0</v>
      </c>
      <c r="T264" s="355" t="n">
        <f aca="false">+S264+M264</f>
        <v>0</v>
      </c>
      <c r="V264" s="346" t="n">
        <f aca="false">+DATE(YEAR(V263),MONTH(V263)+1,1)</f>
        <v>44197</v>
      </c>
      <c r="W264" s="327" t="n">
        <f aca="false">+Y264/(1-HLOOKUP(X$6,SHIPS,7,0)*INDEX(LADEN_VOYAGE_DAYS,MATCH(CONCATENATE(X$4,X$5),LADEN_VOYAGE_ROUTES,0),MATCH(X$6,LADEN_VOYAGE_SHIPS,0)))</f>
        <v>0</v>
      </c>
      <c r="X264" s="347" t="n">
        <f aca="false">+Y264-W264</f>
        <v>0</v>
      </c>
      <c r="Y264" s="348" t="n">
        <f aca="false">+IF(AND(X$8&lt;=V264,X$9&gt;=V264),+MIN($B264-SUMIF($H$17:X$17,Y$17,$H264:X264),((INDEX(ROUTE_PER_DAY_BY_SHIP,MATCH(CONCATENATE(X$4,X$5,X$7),ROUTE_PER_DAY_ROUTES,0),MATCH(X$6,ROUTE_PER_DAY_SHIPS,0))*(V265-V264))-(INDEX(ROUTE_PER_DAY_BY_SHIP,MATCH(CONCATENATE(X$4,X$5,X$7),ROUTE_PER_DAY_ROUTES,0),MATCH(X$6,ROUTE_PER_DAY_SHIPS,0))*(V265-V264))*HLOOKUP(X$6,SHIPS,7,0)*INDEX(LADEN_VOYAGE_DAYS,MATCH(CONCATENATE(X$4,X$5,X$7),LADEN_VOYAGE_ROUTES,0),MATCH(X$6,LADEN_VOYAGE_SHIPS,0)))),0)</f>
        <v>0</v>
      </c>
      <c r="Z264" s="349" t="n">
        <f aca="false">-(Y264)*HLOOKUP(X$5,TERMINAL_CHARGES,3,0)</f>
        <v>-0</v>
      </c>
      <c r="AA264" s="327" t="n">
        <f aca="false">+Y264+Z264</f>
        <v>0</v>
      </c>
      <c r="AB264" s="333"/>
      <c r="AC264" s="346" t="n">
        <f aca="false">+DATE(YEAR(AC263),MONTH(AC263)+1,1)</f>
        <v>44197</v>
      </c>
      <c r="AD264" s="343" t="n">
        <f aca="false">+AA264*(VLOOKUP(AC264,CURVECALC!$C$6:$J$312,4,0)+AE$5)</f>
        <v>0</v>
      </c>
      <c r="AE264" s="350" t="n">
        <f aca="false">-W264*INDEX(ship_curves,MATCH(AC264,'SHIP CURVES'!$A$9:$A$316,0),MATCH(CONCATENATE(AG$4,AG$5,AG$6,AG$7),'SHIP CURVES'!$A$9:$AZ$9,0))</f>
        <v>-0</v>
      </c>
      <c r="AF264" s="351" t="n">
        <f aca="false">-Y264*INDEX(port_processing_fee,MATCH(AC264,PORTS!$H$626:$H$933,0),MATCH(AG$5,PORTS!$H$626:$Z$626,0))</f>
        <v>-0</v>
      </c>
      <c r="AG264" s="352" t="n">
        <f aca="false">(((VLOOKUP(AC264,curvecalc,4,0))*IF(W264=0,0,AA264/W264)-INDEX(ship_curves,MATCH(AC264,'SHIP CURVES'!$A$9:$A$316,0),MATCH(CONCATENATE(AG$4,AG$5,AG$6,AG$7),'SHIP CURVES'!$A$9:$Z$9,0))-INDEX(terminal_curves,MATCH(AC264,'TERMINAL CURVES'!$A$4:$A$313,0),MATCH(AG$5,'TERMINAL CURVES'!$A$4:$N$4,0))*IF(W264=0,0,Y264/W264))-(AE$8)*((AE$7-$N$5)-(INDEX(ship_curves,MATCH(AC264,'SHIP CURVES'!$A$9:$A$316,0),MATCH(CONCATENATE(AG$4,AG$5,AG$6,AG$7),'SHIP CURVES'!$A$9:$Z$9,0))-INDEX(ship_curves,MATCH(AC264,'SHIP CURVES'!$A$9:$A$316,0),MATCH(CONCATENATE(AG$4,AE$6,AG$6,AG$7),'SHIP CURVES'!$A$9:$Z$9,0)))-(INDEX(terminal_curves,MATCH(AC264,'TERMINAL CURVES'!$A$4:$A$313,0),MATCH(AG$5,'TERMINAL CURVES'!$A$4:$N$4,0))-INDEX(terminal_curves,MATCH(AC264,'TERMINAL CURVES'!$A$4:$A$313,0),MATCH(AE$6,'TERMINAL CURVES'!$A$4:$N$4,0)))*IF(W264=0,0,Y264/W264)))*-W264</f>
        <v>0</v>
      </c>
      <c r="AH264" s="356" t="n">
        <f aca="false">SUM(AE264:AG264)</f>
        <v>0</v>
      </c>
      <c r="AI264" s="357" t="n">
        <f aca="false">(-Y264/((HLOOKUP(AG$5,port_specs,2,0)/(365.25))*(AC265-AC264)))*(INDEX(fixed_capacity_charge,MATCH(AC264,PORTS!$H$11:$H$317,0),MATCH(AG$5,PORTS!$H$11:$N$11,0))+INDEX(variable_om_charge,MATCH(AC264,PORTS!$H$318:$H$625,0),MATCH(AG$5,PORTS!$H$318:$N$318,0)))</f>
        <v>-0</v>
      </c>
      <c r="AJ264" s="343" t="n">
        <f aca="false">+AI264+AH264</f>
        <v>0</v>
      </c>
      <c r="AK264" s="355" t="n">
        <f aca="false">+AJ264+AD264</f>
        <v>0</v>
      </c>
      <c r="AM264" s="346" t="n">
        <f aca="false">+DATE(YEAR(AM263),MONTH(AM263)+1,1)</f>
        <v>44197</v>
      </c>
      <c r="AN264" s="327" t="n">
        <f aca="false">+AP264/(1-HLOOKUP(AO$6,SHIPS,7,0)*INDEX(LADEN_VOYAGE_DAYS,MATCH(CONCATENATE(AO$4,AO$5),LADEN_VOYAGE_ROUTES,0),MATCH(AO$6,LADEN_VOYAGE_SHIPS,0)))</f>
        <v>0</v>
      </c>
      <c r="AO264" s="347" t="n">
        <f aca="false">+AP264-AN264</f>
        <v>0</v>
      </c>
      <c r="AP264" s="348" t="n">
        <f aca="false">+IF(AND(AO$8&lt;=AM264,AO$9&gt;=AM264),+MIN($B264-SUMIF($H$17:AO$17,AP$17,$H264:AO264),((INDEX(ROUTE_PER_DAY_BY_SHIP,MATCH(CONCATENATE(AO$4,AO$5,AO$7),ROUTE_PER_DAY_ROUTES,0),MATCH(AO$6,ROUTE_PER_DAY_SHIPS,0))*(AM265-AM264))-(INDEX(ROUTE_PER_DAY_BY_SHIP,MATCH(CONCATENATE(AO$4,AO$5,AO$7),ROUTE_PER_DAY_ROUTES,0),MATCH(AO$6,ROUTE_PER_DAY_SHIPS,0))*(AM265-AM264))*HLOOKUP(AO$6,SHIPS,7,0)*INDEX(LADEN_VOYAGE_DAYS,MATCH(CONCATENATE(AO$4,AO$5,AO$7),LADEN_VOYAGE_ROUTES,0),MATCH(AO$6,LADEN_VOYAGE_SHIPS,0)))),0)</f>
        <v>0</v>
      </c>
      <c r="AQ264" s="349" t="n">
        <f aca="false">-(AP264)*PORTS!$I$6</f>
        <v>-0</v>
      </c>
      <c r="AR264" s="327" t="n">
        <f aca="false">+AP264+AQ264</f>
        <v>0</v>
      </c>
      <c r="AS264" s="333"/>
      <c r="AT264" s="346" t="n">
        <f aca="false">+DATE(YEAR(AT263),MONTH(AT263)+1,1)</f>
        <v>44197</v>
      </c>
      <c r="AU264" s="343" t="n">
        <f aca="false">+AR264*(VLOOKUP(AT264,CURVECALC!$C$6:$J$312,4,0)+AV$5)</f>
        <v>0</v>
      </c>
      <c r="AV264" s="350" t="n">
        <f aca="false">-AN264*INDEX(ship_curves,MATCH(AT264,'SHIP CURVES'!$A$9:$A$316,0),MATCH(CONCATENATE(AX$4,AX$5,AX$6,AX$7),'SHIP CURVES'!$A$9:$AZ$9,0))</f>
        <v>-0</v>
      </c>
      <c r="AW264" s="351" t="n">
        <f aca="false">-AP264*INDEX(port_processing_fee,MATCH(AT264,PORTS!$H$626:$H$933,0),MATCH(AX$5,PORTS!$H$626:$Z$626,0))</f>
        <v>-0</v>
      </c>
      <c r="AX264" s="352" t="n">
        <f aca="false">(((VLOOKUP(AT264,curvecalc,4,0))*IF(AN264=0,0,AR264/AN264)-INDEX(ship_curves,MATCH(AT264,'SHIP CURVES'!$A$9:$A$316,0),MATCH(CONCATENATE(AX$4,AX$5,AX$6,AX$7),'SHIP CURVES'!$A$9:$Z$9,0))-INDEX(terminal_curves,MATCH(AT264,'TERMINAL CURVES'!$A$4:$A$313,0),MATCH(AX$5,'TERMINAL CURVES'!$A$4:$N$4,0))*IF(AN264=0,0,AP264/AN264))-(AV$8)*((AV$7-$N$5)-(INDEX(ship_curves,MATCH(AT264,'SHIP CURVES'!$A$9:$A$316,0),MATCH(CONCATENATE(AX$4,AX$5,AX$6,AX$7),'SHIP CURVES'!$A$9:$Z$9,0))-INDEX(ship_curves,MATCH(AT264,'SHIP CURVES'!$A$9:$A$316,0),MATCH(CONCATENATE(AX$4,AV$6,AX$6,AX$7),'SHIP CURVES'!$A$9:$Z$9,0)))-(INDEX(terminal_curves,MATCH(AT264,'TERMINAL CURVES'!$A$4:$A$313,0),MATCH(AX$5,'TERMINAL CURVES'!$A$4:$N$4,0))-INDEX(terminal_curves,MATCH(AT264,'TERMINAL CURVES'!$A$4:$A$313,0),MATCH(AV$6,'TERMINAL CURVES'!$A$4:$N$4,0)))*IF(AN264=0,0,AP264/AN264)))*-AN264</f>
        <v>0</v>
      </c>
      <c r="AY264" s="356" t="n">
        <f aca="false">SUM(AV264:AX264)</f>
        <v>0</v>
      </c>
      <c r="AZ264" s="357" t="n">
        <f aca="false">(-AP264/((HLOOKUP(AX$5,port_specs,2,0)/(365.25))*(AT265-AT264)))*(INDEX(fixed_capacity_charge,MATCH(AT264,PORTS!$H$11:$H$317,0),MATCH(AX$5,PORTS!$H$11:$N$11,0))+INDEX(variable_om_charge,MATCH(AT264,PORTS!$H$318:$H$625,0),MATCH(AX$5,PORTS!$H$318:$N$318,0)))</f>
        <v>-0</v>
      </c>
      <c r="BA264" s="343" t="n">
        <f aca="false">+AZ264+AY264</f>
        <v>0</v>
      </c>
      <c r="BB264" s="355" t="n">
        <f aca="false">+BA264+AU264</f>
        <v>0</v>
      </c>
      <c r="BC264" s="99"/>
      <c r="BD264" s="357" t="n">
        <f aca="false">+PORTS!I258+PORTS!I566</f>
        <v>0</v>
      </c>
    </row>
    <row r="265" customFormat="false" ht="12.75" hidden="false" customHeight="false" outlineLevel="0" collapsed="false">
      <c r="A265" s="346" t="n">
        <f aca="false">+DATE(YEAR(A264),MONTH(A264)+1,1)</f>
        <v>44228</v>
      </c>
      <c r="B265" s="327" t="n">
        <f aca="false">+IF(AND($A265&gt;=$C$8,$A265&lt;=$C$9),1,0)*PORTS!$I$5/(365.25)*(A266-A265)</f>
        <v>0</v>
      </c>
      <c r="C265" s="328" t="n">
        <f aca="false">+B265-(SUMIF($F$17:$IV$17,$H$17,$F265:$IV265))</f>
        <v>0</v>
      </c>
      <c r="D265" s="0" t="n">
        <f aca="false">+YEAR(E265)</f>
        <v>2021</v>
      </c>
      <c r="E265" s="346" t="n">
        <f aca="false">+DATE(YEAR(E264),MONTH(E264)+1,1)</f>
        <v>44228</v>
      </c>
      <c r="F265" s="327" t="n">
        <f aca="false">+IF(AND(G$8&lt;=E265,G$9&gt;=E265),INDEX(ROUTE_PER_DAY_BY_SHIP,MATCH(CONCATENATE(G$4,G$5,G$7),ROUTE_PER_DAY_ROUTES,0),MATCH(G$6,ROUTE_PER_DAY_SHIPS,0))*(E266-E265),0)</f>
        <v>0</v>
      </c>
      <c r="G265" s="347" t="n">
        <f aca="false">-F265*HLOOKUP(G$6,SHIPS,7,0)*INDEX(LADEN_VOYAGE_DAYS,MATCH(CONCATENATE(G$4,G$5,G$7),LADEN_VOYAGE_ROUTES,0),MATCH(G$6,LADEN_VOYAGE_SHIPS,0))</f>
        <v>-0</v>
      </c>
      <c r="H265" s="348" t="n">
        <f aca="false">SUM(F265:G265)</f>
        <v>0</v>
      </c>
      <c r="I265" s="349" t="n">
        <f aca="false">-(H265)*HLOOKUP(G$5,TERMINAL_CHARGES,3,0)</f>
        <v>-0</v>
      </c>
      <c r="J265" s="327" t="n">
        <f aca="false">+H265+I265</f>
        <v>0</v>
      </c>
      <c r="K265" s="333"/>
      <c r="L265" s="346" t="n">
        <f aca="false">+DATE(YEAR(L264),MONTH(L264)+1,1)</f>
        <v>44228</v>
      </c>
      <c r="M265" s="334" t="n">
        <f aca="false">+J265*(VLOOKUP(L265,CURVECALC!$C$6:$J$312,4,0)+N$5)</f>
        <v>0</v>
      </c>
      <c r="N265" s="350" t="n">
        <f aca="false">-F265*INDEX(ship_curves,MATCH(L265,'SHIP CURVES'!$A$9:$A$316,0),MATCH(CONCATENATE(P$4,P$5,P$6,P$7),'SHIP CURVES'!$A$9:$AZ$9,0))</f>
        <v>-0</v>
      </c>
      <c r="O265" s="351" t="n">
        <f aca="false">-H265*INDEX(port_processing_fee,MATCH(L265,PORTS!$H$626:$H$933,0),MATCH(P$5,PORTS!$H$626:$Z$626,0))</f>
        <v>-0</v>
      </c>
      <c r="P265" s="352" t="n">
        <f aca="false">(((VLOOKUP(L265,curvecalc,4,0))*IF(F265=0,0,J265/F265)-INDEX(ship_curves,MATCH(L265,'SHIP CURVES'!$A$9:$A$316,0),MATCH(CONCATENATE(P$4,P$5,P$6,P$7),'SHIP CURVES'!$A$9:$Z$9,0))-INDEX(terminal_curves,MATCH(L265,'TERMINAL CURVES'!$A$4:$A$313,0),MATCH(P$5,'TERMINAL CURVES'!$A$4:$N$4,0))*IF(F265=0,0,H265/F265))-(N$8)*((N$7-$N$5)-(INDEX(ship_curves,MATCH(L265,'SHIP CURVES'!$A$9:$A$316,0),MATCH(CONCATENATE(P$4,P$5,P$6,P$7),'SHIP CURVES'!$A$9:$Z$9,0))-INDEX(ship_curves,MATCH(L265,'SHIP CURVES'!$A$9:$A$316,0),MATCH(CONCATENATE(P$4,N$6,P$6,P$7),'SHIP CURVES'!$A$9:$Z$9,0)))-(INDEX(terminal_curves,MATCH(L265,'TERMINAL CURVES'!$A$4:$A$313,0),MATCH(P$5,'TERMINAL CURVES'!$A$4:$N$4,0))-INDEX(terminal_curves,MATCH(L265,'TERMINAL CURVES'!$A$4:$A$313,0),MATCH(N$6,'TERMINAL CURVES'!$A$4:$N$4,0)))*IF(F265=0,0,H265/F265)))*-F265</f>
        <v>0</v>
      </c>
      <c r="Q265" s="353" t="n">
        <f aca="false">SUM(N265:P265)</f>
        <v>0</v>
      </c>
      <c r="R265" s="357" t="n">
        <f aca="false">(-H265/((HLOOKUP(P$5,port_specs,2,0)/(365.25))*(L266-L265)))*(INDEX(fixed_capacity_charge,MATCH(L265,PORTS!$H$11:$H$317,0),MATCH(P$5,PORTS!$H$11:$N$11,0))+INDEX(variable_om_charge,MATCH(L265,PORTS!$H$318:$H$625,0),MATCH(P$5,PORTS!$H$318:$N$318,0)))</f>
        <v>-0</v>
      </c>
      <c r="S265" s="343" t="n">
        <f aca="false">+R265+Q265</f>
        <v>0</v>
      </c>
      <c r="T265" s="355" t="n">
        <f aca="false">+S265+M265</f>
        <v>0</v>
      </c>
      <c r="V265" s="346" t="n">
        <f aca="false">+DATE(YEAR(V264),MONTH(V264)+1,1)</f>
        <v>44228</v>
      </c>
      <c r="W265" s="327" t="n">
        <f aca="false">+Y265/(1-HLOOKUP(X$6,SHIPS,7,0)*INDEX(LADEN_VOYAGE_DAYS,MATCH(CONCATENATE(X$4,X$5),LADEN_VOYAGE_ROUTES,0),MATCH(X$6,LADEN_VOYAGE_SHIPS,0)))</f>
        <v>0</v>
      </c>
      <c r="X265" s="347" t="n">
        <f aca="false">+Y265-W265</f>
        <v>0</v>
      </c>
      <c r="Y265" s="348" t="n">
        <f aca="false">+IF(AND(X$8&lt;=V265,X$9&gt;=V265),+MIN($B265-SUMIF($H$17:X$17,Y$17,$H265:X265),((INDEX(ROUTE_PER_DAY_BY_SHIP,MATCH(CONCATENATE(X$4,X$5,X$7),ROUTE_PER_DAY_ROUTES,0),MATCH(X$6,ROUTE_PER_DAY_SHIPS,0))*(V266-V265))-(INDEX(ROUTE_PER_DAY_BY_SHIP,MATCH(CONCATENATE(X$4,X$5,X$7),ROUTE_PER_DAY_ROUTES,0),MATCH(X$6,ROUTE_PER_DAY_SHIPS,0))*(V266-V265))*HLOOKUP(X$6,SHIPS,7,0)*INDEX(LADEN_VOYAGE_DAYS,MATCH(CONCATENATE(X$4,X$5,X$7),LADEN_VOYAGE_ROUTES,0),MATCH(X$6,LADEN_VOYAGE_SHIPS,0)))),0)</f>
        <v>0</v>
      </c>
      <c r="Z265" s="349" t="n">
        <f aca="false">-(Y265)*HLOOKUP(X$5,TERMINAL_CHARGES,3,0)</f>
        <v>-0</v>
      </c>
      <c r="AA265" s="327" t="n">
        <f aca="false">+Y265+Z265</f>
        <v>0</v>
      </c>
      <c r="AB265" s="333"/>
      <c r="AC265" s="346" t="n">
        <f aca="false">+DATE(YEAR(AC264),MONTH(AC264)+1,1)</f>
        <v>44228</v>
      </c>
      <c r="AD265" s="343" t="n">
        <f aca="false">+AA265*(VLOOKUP(AC265,CURVECALC!$C$6:$J$312,4,0)+AE$5)</f>
        <v>0</v>
      </c>
      <c r="AE265" s="350" t="n">
        <f aca="false">-W265*INDEX(ship_curves,MATCH(AC265,'SHIP CURVES'!$A$9:$A$316,0),MATCH(CONCATENATE(AG$4,AG$5,AG$6,AG$7),'SHIP CURVES'!$A$9:$AZ$9,0))</f>
        <v>-0</v>
      </c>
      <c r="AF265" s="351" t="n">
        <f aca="false">-Y265*INDEX(port_processing_fee,MATCH(AC265,PORTS!$H$626:$H$933,0),MATCH(AG$5,PORTS!$H$626:$Z$626,0))</f>
        <v>-0</v>
      </c>
      <c r="AG265" s="352" t="n">
        <f aca="false">(((VLOOKUP(AC265,curvecalc,4,0))*IF(W265=0,0,AA265/W265)-INDEX(ship_curves,MATCH(AC265,'SHIP CURVES'!$A$9:$A$316,0),MATCH(CONCATENATE(AG$4,AG$5,AG$6,AG$7),'SHIP CURVES'!$A$9:$Z$9,0))-INDEX(terminal_curves,MATCH(AC265,'TERMINAL CURVES'!$A$4:$A$313,0),MATCH(AG$5,'TERMINAL CURVES'!$A$4:$N$4,0))*IF(W265=0,0,Y265/W265))-(AE$8)*((AE$7-$N$5)-(INDEX(ship_curves,MATCH(AC265,'SHIP CURVES'!$A$9:$A$316,0),MATCH(CONCATENATE(AG$4,AG$5,AG$6,AG$7),'SHIP CURVES'!$A$9:$Z$9,0))-INDEX(ship_curves,MATCH(AC265,'SHIP CURVES'!$A$9:$A$316,0),MATCH(CONCATENATE(AG$4,AE$6,AG$6,AG$7),'SHIP CURVES'!$A$9:$Z$9,0)))-(INDEX(terminal_curves,MATCH(AC265,'TERMINAL CURVES'!$A$4:$A$313,0),MATCH(AG$5,'TERMINAL CURVES'!$A$4:$N$4,0))-INDEX(terminal_curves,MATCH(AC265,'TERMINAL CURVES'!$A$4:$A$313,0),MATCH(AE$6,'TERMINAL CURVES'!$A$4:$N$4,0)))*IF(W265=0,0,Y265/W265)))*-W265</f>
        <v>0</v>
      </c>
      <c r="AH265" s="356" t="n">
        <f aca="false">SUM(AE265:AG265)</f>
        <v>0</v>
      </c>
      <c r="AI265" s="357" t="n">
        <f aca="false">(-Y265/((HLOOKUP(AG$5,port_specs,2,0)/(365.25))*(AC266-AC265)))*(INDEX(fixed_capacity_charge,MATCH(AC265,PORTS!$H$11:$H$317,0),MATCH(AG$5,PORTS!$H$11:$N$11,0))+INDEX(variable_om_charge,MATCH(AC265,PORTS!$H$318:$H$625,0),MATCH(AG$5,PORTS!$H$318:$N$318,0)))</f>
        <v>-0</v>
      </c>
      <c r="AJ265" s="343" t="n">
        <f aca="false">+AI265+AH265</f>
        <v>0</v>
      </c>
      <c r="AK265" s="355" t="n">
        <f aca="false">+AJ265+AD265</f>
        <v>0</v>
      </c>
      <c r="AM265" s="346" t="n">
        <f aca="false">+DATE(YEAR(AM264),MONTH(AM264)+1,1)</f>
        <v>44228</v>
      </c>
      <c r="AN265" s="327" t="n">
        <f aca="false">+AP265/(1-HLOOKUP(AO$6,SHIPS,7,0)*INDEX(LADEN_VOYAGE_DAYS,MATCH(CONCATENATE(AO$4,AO$5),LADEN_VOYAGE_ROUTES,0),MATCH(AO$6,LADEN_VOYAGE_SHIPS,0)))</f>
        <v>0</v>
      </c>
      <c r="AO265" s="347" t="n">
        <f aca="false">+AP265-AN265</f>
        <v>0</v>
      </c>
      <c r="AP265" s="348" t="n">
        <f aca="false">+IF(AND(AO$8&lt;=AM265,AO$9&gt;=AM265),+MIN($B265-SUMIF($H$17:AO$17,AP$17,$H265:AO265),((INDEX(ROUTE_PER_DAY_BY_SHIP,MATCH(CONCATENATE(AO$4,AO$5,AO$7),ROUTE_PER_DAY_ROUTES,0),MATCH(AO$6,ROUTE_PER_DAY_SHIPS,0))*(AM266-AM265))-(INDEX(ROUTE_PER_DAY_BY_SHIP,MATCH(CONCATENATE(AO$4,AO$5,AO$7),ROUTE_PER_DAY_ROUTES,0),MATCH(AO$6,ROUTE_PER_DAY_SHIPS,0))*(AM266-AM265))*HLOOKUP(AO$6,SHIPS,7,0)*INDEX(LADEN_VOYAGE_DAYS,MATCH(CONCATENATE(AO$4,AO$5,AO$7),LADEN_VOYAGE_ROUTES,0),MATCH(AO$6,LADEN_VOYAGE_SHIPS,0)))),0)</f>
        <v>0</v>
      </c>
      <c r="AQ265" s="349" t="n">
        <f aca="false">-(AP265)*PORTS!$I$6</f>
        <v>-0</v>
      </c>
      <c r="AR265" s="327" t="n">
        <f aca="false">+AP265+AQ265</f>
        <v>0</v>
      </c>
      <c r="AS265" s="333"/>
      <c r="AT265" s="346" t="n">
        <f aca="false">+DATE(YEAR(AT264),MONTH(AT264)+1,1)</f>
        <v>44228</v>
      </c>
      <c r="AU265" s="343" t="n">
        <f aca="false">+AR265*(VLOOKUP(AT265,CURVECALC!$C$6:$J$312,4,0)+AV$5)</f>
        <v>0</v>
      </c>
      <c r="AV265" s="350" t="n">
        <f aca="false">-AN265*INDEX(ship_curves,MATCH(AT265,'SHIP CURVES'!$A$9:$A$316,0),MATCH(CONCATENATE(AX$4,AX$5,AX$6,AX$7),'SHIP CURVES'!$A$9:$AZ$9,0))</f>
        <v>-0</v>
      </c>
      <c r="AW265" s="351" t="n">
        <f aca="false">-AP265*INDEX(port_processing_fee,MATCH(AT265,PORTS!$H$626:$H$933,0),MATCH(AX$5,PORTS!$H$626:$Z$626,0))</f>
        <v>-0</v>
      </c>
      <c r="AX265" s="352" t="n">
        <f aca="false">(((VLOOKUP(AT265,curvecalc,4,0))*IF(AN265=0,0,AR265/AN265)-INDEX(ship_curves,MATCH(AT265,'SHIP CURVES'!$A$9:$A$316,0),MATCH(CONCATENATE(AX$4,AX$5,AX$6,AX$7),'SHIP CURVES'!$A$9:$Z$9,0))-INDEX(terminal_curves,MATCH(AT265,'TERMINAL CURVES'!$A$4:$A$313,0),MATCH(AX$5,'TERMINAL CURVES'!$A$4:$N$4,0))*IF(AN265=0,0,AP265/AN265))-(AV$8)*((AV$7-$N$5)-(INDEX(ship_curves,MATCH(AT265,'SHIP CURVES'!$A$9:$A$316,0),MATCH(CONCATENATE(AX$4,AX$5,AX$6,AX$7),'SHIP CURVES'!$A$9:$Z$9,0))-INDEX(ship_curves,MATCH(AT265,'SHIP CURVES'!$A$9:$A$316,0),MATCH(CONCATENATE(AX$4,AV$6,AX$6,AX$7),'SHIP CURVES'!$A$9:$Z$9,0)))-(INDEX(terminal_curves,MATCH(AT265,'TERMINAL CURVES'!$A$4:$A$313,0),MATCH(AX$5,'TERMINAL CURVES'!$A$4:$N$4,0))-INDEX(terminal_curves,MATCH(AT265,'TERMINAL CURVES'!$A$4:$A$313,0),MATCH(AV$6,'TERMINAL CURVES'!$A$4:$N$4,0)))*IF(AN265=0,0,AP265/AN265)))*-AN265</f>
        <v>0</v>
      </c>
      <c r="AY265" s="356" t="n">
        <f aca="false">SUM(AV265:AX265)</f>
        <v>0</v>
      </c>
      <c r="AZ265" s="357" t="n">
        <f aca="false">(-AP265/((HLOOKUP(AX$5,port_specs,2,0)/(365.25))*(AT266-AT265)))*(INDEX(fixed_capacity_charge,MATCH(AT265,PORTS!$H$11:$H$317,0),MATCH(AX$5,PORTS!$H$11:$N$11,0))+INDEX(variable_om_charge,MATCH(AT265,PORTS!$H$318:$H$625,0),MATCH(AX$5,PORTS!$H$318:$N$318,0)))</f>
        <v>-0</v>
      </c>
      <c r="BA265" s="343" t="n">
        <f aca="false">+AZ265+AY265</f>
        <v>0</v>
      </c>
      <c r="BB265" s="355" t="n">
        <f aca="false">+BA265+AU265</f>
        <v>0</v>
      </c>
      <c r="BC265" s="99"/>
      <c r="BD265" s="357" t="n">
        <f aca="false">+PORTS!I259+PORTS!I567</f>
        <v>0</v>
      </c>
    </row>
    <row r="266" customFormat="false" ht="12.75" hidden="false" customHeight="false" outlineLevel="0" collapsed="false">
      <c r="A266" s="346" t="n">
        <f aca="false">+DATE(YEAR(A265),MONTH(A265)+1,1)</f>
        <v>44256</v>
      </c>
      <c r="B266" s="327" t="n">
        <f aca="false">+IF(AND($A266&gt;=$C$8,$A266&lt;=$C$9),1,0)*PORTS!$I$5/(365.25)*(A267-A266)</f>
        <v>0</v>
      </c>
      <c r="C266" s="328" t="n">
        <f aca="false">+B266-(SUMIF($F$17:$IV$17,$H$17,$F266:$IV266))</f>
        <v>0</v>
      </c>
      <c r="D266" s="0" t="n">
        <f aca="false">+YEAR(E266)</f>
        <v>2021</v>
      </c>
      <c r="E266" s="346" t="n">
        <f aca="false">+DATE(YEAR(E265),MONTH(E265)+1,1)</f>
        <v>44256</v>
      </c>
      <c r="F266" s="327" t="n">
        <f aca="false">+IF(AND(G$8&lt;=E266,G$9&gt;=E266),INDEX(ROUTE_PER_DAY_BY_SHIP,MATCH(CONCATENATE(G$4,G$5,G$7),ROUTE_PER_DAY_ROUTES,0),MATCH(G$6,ROUTE_PER_DAY_SHIPS,0))*(E267-E266),0)</f>
        <v>0</v>
      </c>
      <c r="G266" s="347" t="n">
        <f aca="false">-F266*HLOOKUP(G$6,SHIPS,7,0)*INDEX(LADEN_VOYAGE_DAYS,MATCH(CONCATENATE(G$4,G$5,G$7),LADEN_VOYAGE_ROUTES,0),MATCH(G$6,LADEN_VOYAGE_SHIPS,0))</f>
        <v>-0</v>
      </c>
      <c r="H266" s="348" t="n">
        <f aca="false">SUM(F266:G266)</f>
        <v>0</v>
      </c>
      <c r="I266" s="349" t="n">
        <f aca="false">-(H266)*HLOOKUP(G$5,TERMINAL_CHARGES,3,0)</f>
        <v>-0</v>
      </c>
      <c r="J266" s="327" t="n">
        <f aca="false">+H266+I266</f>
        <v>0</v>
      </c>
      <c r="K266" s="333"/>
      <c r="L266" s="346" t="n">
        <f aca="false">+DATE(YEAR(L265),MONTH(L265)+1,1)</f>
        <v>44256</v>
      </c>
      <c r="M266" s="334" t="n">
        <f aca="false">+J266*(VLOOKUP(L266,CURVECALC!$C$6:$J$312,4,0)+N$5)</f>
        <v>0</v>
      </c>
      <c r="N266" s="350" t="n">
        <f aca="false">-F266*INDEX(ship_curves,MATCH(L266,'SHIP CURVES'!$A$9:$A$316,0),MATCH(CONCATENATE(P$4,P$5,P$6,P$7),'SHIP CURVES'!$A$9:$AZ$9,0))</f>
        <v>-0</v>
      </c>
      <c r="O266" s="351" t="n">
        <f aca="false">-H266*INDEX(port_processing_fee,MATCH(L266,PORTS!$H$626:$H$933,0),MATCH(P$5,PORTS!$H$626:$Z$626,0))</f>
        <v>-0</v>
      </c>
      <c r="P266" s="352" t="n">
        <f aca="false">(((VLOOKUP(L266,curvecalc,4,0))*IF(F266=0,0,J266/F266)-INDEX(ship_curves,MATCH(L266,'SHIP CURVES'!$A$9:$A$316,0),MATCH(CONCATENATE(P$4,P$5,P$6,P$7),'SHIP CURVES'!$A$9:$Z$9,0))-INDEX(terminal_curves,MATCH(L266,'TERMINAL CURVES'!$A$4:$A$313,0),MATCH(P$5,'TERMINAL CURVES'!$A$4:$N$4,0))*IF(F266=0,0,H266/F266))-(N$8)*((N$7-$N$5)-(INDEX(ship_curves,MATCH(L266,'SHIP CURVES'!$A$9:$A$316,0),MATCH(CONCATENATE(P$4,P$5,P$6,P$7),'SHIP CURVES'!$A$9:$Z$9,0))-INDEX(ship_curves,MATCH(L266,'SHIP CURVES'!$A$9:$A$316,0),MATCH(CONCATENATE(P$4,N$6,P$6,P$7),'SHIP CURVES'!$A$9:$Z$9,0)))-(INDEX(terminal_curves,MATCH(L266,'TERMINAL CURVES'!$A$4:$A$313,0),MATCH(P$5,'TERMINAL CURVES'!$A$4:$N$4,0))-INDEX(terminal_curves,MATCH(L266,'TERMINAL CURVES'!$A$4:$A$313,0),MATCH(N$6,'TERMINAL CURVES'!$A$4:$N$4,0)))*IF(F266=0,0,H266/F266)))*-F266</f>
        <v>0</v>
      </c>
      <c r="Q266" s="353" t="n">
        <f aca="false">SUM(N266:P266)</f>
        <v>0</v>
      </c>
      <c r="R266" s="357" t="n">
        <f aca="false">(-H266/((HLOOKUP(P$5,port_specs,2,0)/(365.25))*(L267-L266)))*(INDEX(fixed_capacity_charge,MATCH(L266,PORTS!$H$11:$H$317,0),MATCH(P$5,PORTS!$H$11:$N$11,0))+INDEX(variable_om_charge,MATCH(L266,PORTS!$H$318:$H$625,0),MATCH(P$5,PORTS!$H$318:$N$318,0)))</f>
        <v>-0</v>
      </c>
      <c r="S266" s="343" t="n">
        <f aca="false">+R266+Q266</f>
        <v>0</v>
      </c>
      <c r="T266" s="355" t="n">
        <f aca="false">+S266+M266</f>
        <v>0</v>
      </c>
      <c r="V266" s="346" t="n">
        <f aca="false">+DATE(YEAR(V265),MONTH(V265)+1,1)</f>
        <v>44256</v>
      </c>
      <c r="W266" s="327" t="n">
        <f aca="false">+Y266/(1-HLOOKUP(X$6,SHIPS,7,0)*INDEX(LADEN_VOYAGE_DAYS,MATCH(CONCATENATE(X$4,X$5),LADEN_VOYAGE_ROUTES,0),MATCH(X$6,LADEN_VOYAGE_SHIPS,0)))</f>
        <v>0</v>
      </c>
      <c r="X266" s="347" t="n">
        <f aca="false">+Y266-W266</f>
        <v>0</v>
      </c>
      <c r="Y266" s="348" t="n">
        <f aca="false">+IF(AND(X$8&lt;=V266,X$9&gt;=V266),+MIN($B266-SUMIF($H$17:X$17,Y$17,$H266:X266),((INDEX(ROUTE_PER_DAY_BY_SHIP,MATCH(CONCATENATE(X$4,X$5,X$7),ROUTE_PER_DAY_ROUTES,0),MATCH(X$6,ROUTE_PER_DAY_SHIPS,0))*(V267-V266))-(INDEX(ROUTE_PER_DAY_BY_SHIP,MATCH(CONCATENATE(X$4,X$5,X$7),ROUTE_PER_DAY_ROUTES,0),MATCH(X$6,ROUTE_PER_DAY_SHIPS,0))*(V267-V266))*HLOOKUP(X$6,SHIPS,7,0)*INDEX(LADEN_VOYAGE_DAYS,MATCH(CONCATENATE(X$4,X$5,X$7),LADEN_VOYAGE_ROUTES,0),MATCH(X$6,LADEN_VOYAGE_SHIPS,0)))),0)</f>
        <v>0</v>
      </c>
      <c r="Z266" s="349" t="n">
        <f aca="false">-(Y266)*HLOOKUP(X$5,TERMINAL_CHARGES,3,0)</f>
        <v>-0</v>
      </c>
      <c r="AA266" s="327" t="n">
        <f aca="false">+Y266+Z266</f>
        <v>0</v>
      </c>
      <c r="AB266" s="333"/>
      <c r="AC266" s="346" t="n">
        <f aca="false">+DATE(YEAR(AC265),MONTH(AC265)+1,1)</f>
        <v>44256</v>
      </c>
      <c r="AD266" s="343" t="n">
        <f aca="false">+AA266*(VLOOKUP(AC266,CURVECALC!$C$6:$J$312,4,0)+AE$5)</f>
        <v>0</v>
      </c>
      <c r="AE266" s="350" t="n">
        <f aca="false">-W266*INDEX(ship_curves,MATCH(AC266,'SHIP CURVES'!$A$9:$A$316,0),MATCH(CONCATENATE(AG$4,AG$5,AG$6,AG$7),'SHIP CURVES'!$A$9:$AZ$9,0))</f>
        <v>-0</v>
      </c>
      <c r="AF266" s="351" t="n">
        <f aca="false">-Y266*INDEX(port_processing_fee,MATCH(AC266,PORTS!$H$626:$H$933,0),MATCH(AG$5,PORTS!$H$626:$Z$626,0))</f>
        <v>-0</v>
      </c>
      <c r="AG266" s="352" t="n">
        <f aca="false">(((VLOOKUP(AC266,curvecalc,4,0))*IF(W266=0,0,AA266/W266)-INDEX(ship_curves,MATCH(AC266,'SHIP CURVES'!$A$9:$A$316,0),MATCH(CONCATENATE(AG$4,AG$5,AG$6,AG$7),'SHIP CURVES'!$A$9:$Z$9,0))-INDEX(terminal_curves,MATCH(AC266,'TERMINAL CURVES'!$A$4:$A$313,0),MATCH(AG$5,'TERMINAL CURVES'!$A$4:$N$4,0))*IF(W266=0,0,Y266/W266))-(AE$8)*((AE$7-$N$5)-(INDEX(ship_curves,MATCH(AC266,'SHIP CURVES'!$A$9:$A$316,0),MATCH(CONCATENATE(AG$4,AG$5,AG$6,AG$7),'SHIP CURVES'!$A$9:$Z$9,0))-INDEX(ship_curves,MATCH(AC266,'SHIP CURVES'!$A$9:$A$316,0),MATCH(CONCATENATE(AG$4,AE$6,AG$6,AG$7),'SHIP CURVES'!$A$9:$Z$9,0)))-(INDEX(terminal_curves,MATCH(AC266,'TERMINAL CURVES'!$A$4:$A$313,0),MATCH(AG$5,'TERMINAL CURVES'!$A$4:$N$4,0))-INDEX(terminal_curves,MATCH(AC266,'TERMINAL CURVES'!$A$4:$A$313,0),MATCH(AE$6,'TERMINAL CURVES'!$A$4:$N$4,0)))*IF(W266=0,0,Y266/W266)))*-W266</f>
        <v>0</v>
      </c>
      <c r="AH266" s="356" t="n">
        <f aca="false">SUM(AE266:AG266)</f>
        <v>0</v>
      </c>
      <c r="AI266" s="357" t="n">
        <f aca="false">(-Y266/((HLOOKUP(AG$5,port_specs,2,0)/(365.25))*(AC267-AC266)))*(INDEX(fixed_capacity_charge,MATCH(AC266,PORTS!$H$11:$H$317,0),MATCH(AG$5,PORTS!$H$11:$N$11,0))+INDEX(variable_om_charge,MATCH(AC266,PORTS!$H$318:$H$625,0),MATCH(AG$5,PORTS!$H$318:$N$318,0)))</f>
        <v>-0</v>
      </c>
      <c r="AJ266" s="343" t="n">
        <f aca="false">+AI266+AH266</f>
        <v>0</v>
      </c>
      <c r="AK266" s="355" t="n">
        <f aca="false">+AJ266+AD266</f>
        <v>0</v>
      </c>
      <c r="AM266" s="346" t="n">
        <f aca="false">+DATE(YEAR(AM265),MONTH(AM265)+1,1)</f>
        <v>44256</v>
      </c>
      <c r="AN266" s="327" t="n">
        <f aca="false">+AP266/(1-HLOOKUP(AO$6,SHIPS,7,0)*INDEX(LADEN_VOYAGE_DAYS,MATCH(CONCATENATE(AO$4,AO$5),LADEN_VOYAGE_ROUTES,0),MATCH(AO$6,LADEN_VOYAGE_SHIPS,0)))</f>
        <v>0</v>
      </c>
      <c r="AO266" s="347" t="n">
        <f aca="false">+AP266-AN266</f>
        <v>0</v>
      </c>
      <c r="AP266" s="348" t="n">
        <f aca="false">+IF(AND(AO$8&lt;=AM266,AO$9&gt;=AM266),+MIN($B266-SUMIF($H$17:AO$17,AP$17,$H266:AO266),((INDEX(ROUTE_PER_DAY_BY_SHIP,MATCH(CONCATENATE(AO$4,AO$5,AO$7),ROUTE_PER_DAY_ROUTES,0),MATCH(AO$6,ROUTE_PER_DAY_SHIPS,0))*(AM267-AM266))-(INDEX(ROUTE_PER_DAY_BY_SHIP,MATCH(CONCATENATE(AO$4,AO$5,AO$7),ROUTE_PER_DAY_ROUTES,0),MATCH(AO$6,ROUTE_PER_DAY_SHIPS,0))*(AM267-AM266))*HLOOKUP(AO$6,SHIPS,7,0)*INDEX(LADEN_VOYAGE_DAYS,MATCH(CONCATENATE(AO$4,AO$5,AO$7),LADEN_VOYAGE_ROUTES,0),MATCH(AO$6,LADEN_VOYAGE_SHIPS,0)))),0)</f>
        <v>0</v>
      </c>
      <c r="AQ266" s="349" t="n">
        <f aca="false">-(AP266)*PORTS!$I$6</f>
        <v>-0</v>
      </c>
      <c r="AR266" s="327" t="n">
        <f aca="false">+AP266+AQ266</f>
        <v>0</v>
      </c>
      <c r="AS266" s="333"/>
      <c r="AT266" s="346" t="n">
        <f aca="false">+DATE(YEAR(AT265),MONTH(AT265)+1,1)</f>
        <v>44256</v>
      </c>
      <c r="AU266" s="343" t="n">
        <f aca="false">+AR266*(VLOOKUP(AT266,CURVECALC!$C$6:$J$312,4,0)+AV$5)</f>
        <v>0</v>
      </c>
      <c r="AV266" s="350" t="n">
        <f aca="false">-AN266*INDEX(ship_curves,MATCH(AT266,'SHIP CURVES'!$A$9:$A$316,0),MATCH(CONCATENATE(AX$4,AX$5,AX$6,AX$7),'SHIP CURVES'!$A$9:$AZ$9,0))</f>
        <v>-0</v>
      </c>
      <c r="AW266" s="351" t="n">
        <f aca="false">-AP266*INDEX(port_processing_fee,MATCH(AT266,PORTS!$H$626:$H$933,0),MATCH(AX$5,PORTS!$H$626:$Z$626,0))</f>
        <v>-0</v>
      </c>
      <c r="AX266" s="352" t="n">
        <f aca="false">(((VLOOKUP(AT266,curvecalc,4,0))*IF(AN266=0,0,AR266/AN266)-INDEX(ship_curves,MATCH(AT266,'SHIP CURVES'!$A$9:$A$316,0),MATCH(CONCATENATE(AX$4,AX$5,AX$6,AX$7),'SHIP CURVES'!$A$9:$Z$9,0))-INDEX(terminal_curves,MATCH(AT266,'TERMINAL CURVES'!$A$4:$A$313,0),MATCH(AX$5,'TERMINAL CURVES'!$A$4:$N$4,0))*IF(AN266=0,0,AP266/AN266))-(AV$8)*((AV$7-$N$5)-(INDEX(ship_curves,MATCH(AT266,'SHIP CURVES'!$A$9:$A$316,0),MATCH(CONCATENATE(AX$4,AX$5,AX$6,AX$7),'SHIP CURVES'!$A$9:$Z$9,0))-INDEX(ship_curves,MATCH(AT266,'SHIP CURVES'!$A$9:$A$316,0),MATCH(CONCATENATE(AX$4,AV$6,AX$6,AX$7),'SHIP CURVES'!$A$9:$Z$9,0)))-(INDEX(terminal_curves,MATCH(AT266,'TERMINAL CURVES'!$A$4:$A$313,0),MATCH(AX$5,'TERMINAL CURVES'!$A$4:$N$4,0))-INDEX(terminal_curves,MATCH(AT266,'TERMINAL CURVES'!$A$4:$A$313,0),MATCH(AV$6,'TERMINAL CURVES'!$A$4:$N$4,0)))*IF(AN266=0,0,AP266/AN266)))*-AN266</f>
        <v>0</v>
      </c>
      <c r="AY266" s="356" t="n">
        <f aca="false">SUM(AV266:AX266)</f>
        <v>0</v>
      </c>
      <c r="AZ266" s="357" t="n">
        <f aca="false">(-AP266/((HLOOKUP(AX$5,port_specs,2,0)/(365.25))*(AT267-AT266)))*(INDEX(fixed_capacity_charge,MATCH(AT266,PORTS!$H$11:$H$317,0),MATCH(AX$5,PORTS!$H$11:$N$11,0))+INDEX(variable_om_charge,MATCH(AT266,PORTS!$H$318:$H$625,0),MATCH(AX$5,PORTS!$H$318:$N$318,0)))</f>
        <v>-0</v>
      </c>
      <c r="BA266" s="343" t="n">
        <f aca="false">+AZ266+AY266</f>
        <v>0</v>
      </c>
      <c r="BB266" s="355" t="n">
        <f aca="false">+BA266+AU266</f>
        <v>0</v>
      </c>
      <c r="BC266" s="99"/>
      <c r="BD266" s="357" t="n">
        <f aca="false">+PORTS!I260+PORTS!I568</f>
        <v>0</v>
      </c>
    </row>
    <row r="267" customFormat="false" ht="12.75" hidden="false" customHeight="false" outlineLevel="0" collapsed="false">
      <c r="A267" s="346" t="n">
        <f aca="false">+DATE(YEAR(A266),MONTH(A266)+1,1)</f>
        <v>44287</v>
      </c>
      <c r="B267" s="327" t="n">
        <f aca="false">+IF(AND($A267&gt;=$C$8,$A267&lt;=$C$9),1,0)*PORTS!$I$5/(365.25)*(A268-A267)</f>
        <v>0</v>
      </c>
      <c r="C267" s="328" t="n">
        <f aca="false">+B267-(SUMIF($F$17:$IV$17,$H$17,$F267:$IV267))</f>
        <v>0</v>
      </c>
      <c r="D267" s="0" t="n">
        <f aca="false">+YEAR(E267)</f>
        <v>2021</v>
      </c>
      <c r="E267" s="346" t="n">
        <f aca="false">+DATE(YEAR(E266),MONTH(E266)+1,1)</f>
        <v>44287</v>
      </c>
      <c r="F267" s="327" t="n">
        <f aca="false">+IF(AND(G$8&lt;=E267,G$9&gt;=E267),INDEX(ROUTE_PER_DAY_BY_SHIP,MATCH(CONCATENATE(G$4,G$5,G$7),ROUTE_PER_DAY_ROUTES,0),MATCH(G$6,ROUTE_PER_DAY_SHIPS,0))*(E268-E267),0)</f>
        <v>0</v>
      </c>
      <c r="G267" s="347" t="n">
        <f aca="false">-F267*HLOOKUP(G$6,SHIPS,7,0)*INDEX(LADEN_VOYAGE_DAYS,MATCH(CONCATENATE(G$4,G$5,G$7),LADEN_VOYAGE_ROUTES,0),MATCH(G$6,LADEN_VOYAGE_SHIPS,0))</f>
        <v>-0</v>
      </c>
      <c r="H267" s="348" t="n">
        <f aca="false">SUM(F267:G267)</f>
        <v>0</v>
      </c>
      <c r="I267" s="349" t="n">
        <f aca="false">-(H267)*HLOOKUP(G$5,TERMINAL_CHARGES,3,0)</f>
        <v>-0</v>
      </c>
      <c r="J267" s="327" t="n">
        <f aca="false">+H267+I267</f>
        <v>0</v>
      </c>
      <c r="K267" s="333"/>
      <c r="L267" s="346" t="n">
        <f aca="false">+DATE(YEAR(L266),MONTH(L266)+1,1)</f>
        <v>44287</v>
      </c>
      <c r="M267" s="334" t="n">
        <f aca="false">+J267*(VLOOKUP(L267,CURVECALC!$C$6:$J$312,4,0)+N$5)</f>
        <v>0</v>
      </c>
      <c r="N267" s="350" t="n">
        <f aca="false">-F267*INDEX(ship_curves,MATCH(L267,'SHIP CURVES'!$A$9:$A$316,0),MATCH(CONCATENATE(P$4,P$5,P$6,P$7),'SHIP CURVES'!$A$9:$AZ$9,0))</f>
        <v>-0</v>
      </c>
      <c r="O267" s="351" t="n">
        <f aca="false">-H267*INDEX(port_processing_fee,MATCH(L267,PORTS!$H$626:$H$933,0),MATCH(P$5,PORTS!$H$626:$Z$626,0))</f>
        <v>-0</v>
      </c>
      <c r="P267" s="352" t="n">
        <f aca="false">(((VLOOKUP(L267,curvecalc,4,0))*IF(F267=0,0,J267/F267)-INDEX(ship_curves,MATCH(L267,'SHIP CURVES'!$A$9:$A$316,0),MATCH(CONCATENATE(P$4,P$5,P$6,P$7),'SHIP CURVES'!$A$9:$Z$9,0))-INDEX(terminal_curves,MATCH(L267,'TERMINAL CURVES'!$A$4:$A$313,0),MATCH(P$5,'TERMINAL CURVES'!$A$4:$N$4,0))*IF(F267=0,0,H267/F267))-(N$8)*((N$7-$N$5)-(INDEX(ship_curves,MATCH(L267,'SHIP CURVES'!$A$9:$A$316,0),MATCH(CONCATENATE(P$4,P$5,P$6,P$7),'SHIP CURVES'!$A$9:$Z$9,0))-INDEX(ship_curves,MATCH(L267,'SHIP CURVES'!$A$9:$A$316,0),MATCH(CONCATENATE(P$4,N$6,P$6,P$7),'SHIP CURVES'!$A$9:$Z$9,0)))-(INDEX(terminal_curves,MATCH(L267,'TERMINAL CURVES'!$A$4:$A$313,0),MATCH(P$5,'TERMINAL CURVES'!$A$4:$N$4,0))-INDEX(terminal_curves,MATCH(L267,'TERMINAL CURVES'!$A$4:$A$313,0),MATCH(N$6,'TERMINAL CURVES'!$A$4:$N$4,0)))*IF(F267=0,0,H267/F267)))*-F267</f>
        <v>0</v>
      </c>
      <c r="Q267" s="353" t="n">
        <f aca="false">SUM(N267:P267)</f>
        <v>0</v>
      </c>
      <c r="R267" s="357" t="n">
        <f aca="false">(-H267/((HLOOKUP(P$5,port_specs,2,0)/(365.25))*(L268-L267)))*(INDEX(fixed_capacity_charge,MATCH(L267,PORTS!$H$11:$H$317,0),MATCH(P$5,PORTS!$H$11:$N$11,0))+INDEX(variable_om_charge,MATCH(L267,PORTS!$H$318:$H$625,0),MATCH(P$5,PORTS!$H$318:$N$318,0)))</f>
        <v>-0</v>
      </c>
      <c r="S267" s="343" t="n">
        <f aca="false">+R267+Q267</f>
        <v>0</v>
      </c>
      <c r="T267" s="355" t="n">
        <f aca="false">+S267+M267</f>
        <v>0</v>
      </c>
      <c r="V267" s="346" t="n">
        <f aca="false">+DATE(YEAR(V266),MONTH(V266)+1,1)</f>
        <v>44287</v>
      </c>
      <c r="W267" s="327" t="n">
        <f aca="false">+Y267/(1-HLOOKUP(X$6,SHIPS,7,0)*INDEX(LADEN_VOYAGE_DAYS,MATCH(CONCATENATE(X$4,X$5),LADEN_VOYAGE_ROUTES,0),MATCH(X$6,LADEN_VOYAGE_SHIPS,0)))</f>
        <v>0</v>
      </c>
      <c r="X267" s="347" t="n">
        <f aca="false">+Y267-W267</f>
        <v>0</v>
      </c>
      <c r="Y267" s="348" t="n">
        <f aca="false">+IF(AND(X$8&lt;=V267,X$9&gt;=V267),+MIN($B267-SUMIF($H$17:X$17,Y$17,$H267:X267),((INDEX(ROUTE_PER_DAY_BY_SHIP,MATCH(CONCATENATE(X$4,X$5,X$7),ROUTE_PER_DAY_ROUTES,0),MATCH(X$6,ROUTE_PER_DAY_SHIPS,0))*(V268-V267))-(INDEX(ROUTE_PER_DAY_BY_SHIP,MATCH(CONCATENATE(X$4,X$5,X$7),ROUTE_PER_DAY_ROUTES,0),MATCH(X$6,ROUTE_PER_DAY_SHIPS,0))*(V268-V267))*HLOOKUP(X$6,SHIPS,7,0)*INDEX(LADEN_VOYAGE_DAYS,MATCH(CONCATENATE(X$4,X$5,X$7),LADEN_VOYAGE_ROUTES,0),MATCH(X$6,LADEN_VOYAGE_SHIPS,0)))),0)</f>
        <v>0</v>
      </c>
      <c r="Z267" s="349" t="n">
        <f aca="false">-(Y267)*HLOOKUP(X$5,TERMINAL_CHARGES,3,0)</f>
        <v>-0</v>
      </c>
      <c r="AA267" s="327" t="n">
        <f aca="false">+Y267+Z267</f>
        <v>0</v>
      </c>
      <c r="AB267" s="333"/>
      <c r="AC267" s="346" t="n">
        <f aca="false">+DATE(YEAR(AC266),MONTH(AC266)+1,1)</f>
        <v>44287</v>
      </c>
      <c r="AD267" s="343" t="n">
        <f aca="false">+AA267*(VLOOKUP(AC267,CURVECALC!$C$6:$J$312,4,0)+AE$5)</f>
        <v>0</v>
      </c>
      <c r="AE267" s="350" t="n">
        <f aca="false">-W267*INDEX(ship_curves,MATCH(AC267,'SHIP CURVES'!$A$9:$A$316,0),MATCH(CONCATENATE(AG$4,AG$5,AG$6,AG$7),'SHIP CURVES'!$A$9:$AZ$9,0))</f>
        <v>-0</v>
      </c>
      <c r="AF267" s="351" t="n">
        <f aca="false">-Y267*INDEX(port_processing_fee,MATCH(AC267,PORTS!$H$626:$H$933,0),MATCH(AG$5,PORTS!$H$626:$Z$626,0))</f>
        <v>-0</v>
      </c>
      <c r="AG267" s="352" t="n">
        <f aca="false">(((VLOOKUP(AC267,curvecalc,4,0))*IF(W267=0,0,AA267/W267)-INDEX(ship_curves,MATCH(AC267,'SHIP CURVES'!$A$9:$A$316,0),MATCH(CONCATENATE(AG$4,AG$5,AG$6,AG$7),'SHIP CURVES'!$A$9:$Z$9,0))-INDEX(terminal_curves,MATCH(AC267,'TERMINAL CURVES'!$A$4:$A$313,0),MATCH(AG$5,'TERMINAL CURVES'!$A$4:$N$4,0))*IF(W267=0,0,Y267/W267))-(AE$8)*((AE$7-$N$5)-(INDEX(ship_curves,MATCH(AC267,'SHIP CURVES'!$A$9:$A$316,0),MATCH(CONCATENATE(AG$4,AG$5,AG$6,AG$7),'SHIP CURVES'!$A$9:$Z$9,0))-INDEX(ship_curves,MATCH(AC267,'SHIP CURVES'!$A$9:$A$316,0),MATCH(CONCATENATE(AG$4,AE$6,AG$6,AG$7),'SHIP CURVES'!$A$9:$Z$9,0)))-(INDEX(terminal_curves,MATCH(AC267,'TERMINAL CURVES'!$A$4:$A$313,0),MATCH(AG$5,'TERMINAL CURVES'!$A$4:$N$4,0))-INDEX(terminal_curves,MATCH(AC267,'TERMINAL CURVES'!$A$4:$A$313,0),MATCH(AE$6,'TERMINAL CURVES'!$A$4:$N$4,0)))*IF(W267=0,0,Y267/W267)))*-W267</f>
        <v>0</v>
      </c>
      <c r="AH267" s="356" t="n">
        <f aca="false">SUM(AE267:AG267)</f>
        <v>0</v>
      </c>
      <c r="AI267" s="357" t="n">
        <f aca="false">(-Y267/((HLOOKUP(AG$5,port_specs,2,0)/(365.25))*(AC268-AC267)))*(INDEX(fixed_capacity_charge,MATCH(AC267,PORTS!$H$11:$H$317,0),MATCH(AG$5,PORTS!$H$11:$N$11,0))+INDEX(variable_om_charge,MATCH(AC267,PORTS!$H$318:$H$625,0),MATCH(AG$5,PORTS!$H$318:$N$318,0)))</f>
        <v>-0</v>
      </c>
      <c r="AJ267" s="343" t="n">
        <f aca="false">+AI267+AH267</f>
        <v>0</v>
      </c>
      <c r="AK267" s="355" t="n">
        <f aca="false">+AJ267+AD267</f>
        <v>0</v>
      </c>
      <c r="AM267" s="346" t="n">
        <f aca="false">+DATE(YEAR(AM266),MONTH(AM266)+1,1)</f>
        <v>44287</v>
      </c>
      <c r="AN267" s="327" t="n">
        <f aca="false">+AP267/(1-HLOOKUP(AO$6,SHIPS,7,0)*INDEX(LADEN_VOYAGE_DAYS,MATCH(CONCATENATE(AO$4,AO$5),LADEN_VOYAGE_ROUTES,0),MATCH(AO$6,LADEN_VOYAGE_SHIPS,0)))</f>
        <v>0</v>
      </c>
      <c r="AO267" s="347" t="n">
        <f aca="false">+AP267-AN267</f>
        <v>0</v>
      </c>
      <c r="AP267" s="348" t="n">
        <f aca="false">+IF(AND(AO$8&lt;=AM267,AO$9&gt;=AM267),+MIN($B267-SUMIF($H$17:AO$17,AP$17,$H267:AO267),((INDEX(ROUTE_PER_DAY_BY_SHIP,MATCH(CONCATENATE(AO$4,AO$5,AO$7),ROUTE_PER_DAY_ROUTES,0),MATCH(AO$6,ROUTE_PER_DAY_SHIPS,0))*(AM268-AM267))-(INDEX(ROUTE_PER_DAY_BY_SHIP,MATCH(CONCATENATE(AO$4,AO$5,AO$7),ROUTE_PER_DAY_ROUTES,0),MATCH(AO$6,ROUTE_PER_DAY_SHIPS,0))*(AM268-AM267))*HLOOKUP(AO$6,SHIPS,7,0)*INDEX(LADEN_VOYAGE_DAYS,MATCH(CONCATENATE(AO$4,AO$5,AO$7),LADEN_VOYAGE_ROUTES,0),MATCH(AO$6,LADEN_VOYAGE_SHIPS,0)))),0)</f>
        <v>0</v>
      </c>
      <c r="AQ267" s="349" t="n">
        <f aca="false">-(AP267)*PORTS!$I$6</f>
        <v>-0</v>
      </c>
      <c r="AR267" s="327" t="n">
        <f aca="false">+AP267+AQ267</f>
        <v>0</v>
      </c>
      <c r="AS267" s="333"/>
      <c r="AT267" s="346" t="n">
        <f aca="false">+DATE(YEAR(AT266),MONTH(AT266)+1,1)</f>
        <v>44287</v>
      </c>
      <c r="AU267" s="343" t="n">
        <f aca="false">+AR267*(VLOOKUP(AT267,CURVECALC!$C$6:$J$312,4,0)+AV$5)</f>
        <v>0</v>
      </c>
      <c r="AV267" s="350" t="n">
        <f aca="false">-AN267*INDEX(ship_curves,MATCH(AT267,'SHIP CURVES'!$A$9:$A$316,0),MATCH(CONCATENATE(AX$4,AX$5,AX$6,AX$7),'SHIP CURVES'!$A$9:$AZ$9,0))</f>
        <v>-0</v>
      </c>
      <c r="AW267" s="351" t="n">
        <f aca="false">-AP267*INDEX(port_processing_fee,MATCH(AT267,PORTS!$H$626:$H$933,0),MATCH(AX$5,PORTS!$H$626:$Z$626,0))</f>
        <v>-0</v>
      </c>
      <c r="AX267" s="352" t="n">
        <f aca="false">(((VLOOKUP(AT267,curvecalc,4,0))*IF(AN267=0,0,AR267/AN267)-INDEX(ship_curves,MATCH(AT267,'SHIP CURVES'!$A$9:$A$316,0),MATCH(CONCATENATE(AX$4,AX$5,AX$6,AX$7),'SHIP CURVES'!$A$9:$Z$9,0))-INDEX(terminal_curves,MATCH(AT267,'TERMINAL CURVES'!$A$4:$A$313,0),MATCH(AX$5,'TERMINAL CURVES'!$A$4:$N$4,0))*IF(AN267=0,0,AP267/AN267))-(AV$8)*((AV$7-$N$5)-(INDEX(ship_curves,MATCH(AT267,'SHIP CURVES'!$A$9:$A$316,0),MATCH(CONCATENATE(AX$4,AX$5,AX$6,AX$7),'SHIP CURVES'!$A$9:$Z$9,0))-INDEX(ship_curves,MATCH(AT267,'SHIP CURVES'!$A$9:$A$316,0),MATCH(CONCATENATE(AX$4,AV$6,AX$6,AX$7),'SHIP CURVES'!$A$9:$Z$9,0)))-(INDEX(terminal_curves,MATCH(AT267,'TERMINAL CURVES'!$A$4:$A$313,0),MATCH(AX$5,'TERMINAL CURVES'!$A$4:$N$4,0))-INDEX(terminal_curves,MATCH(AT267,'TERMINAL CURVES'!$A$4:$A$313,0),MATCH(AV$6,'TERMINAL CURVES'!$A$4:$N$4,0)))*IF(AN267=0,0,AP267/AN267)))*-AN267</f>
        <v>0</v>
      </c>
      <c r="AY267" s="356" t="n">
        <f aca="false">SUM(AV267:AX267)</f>
        <v>0</v>
      </c>
      <c r="AZ267" s="357" t="n">
        <f aca="false">(-AP267/((HLOOKUP(AX$5,port_specs,2,0)/(365.25))*(AT268-AT267)))*(INDEX(fixed_capacity_charge,MATCH(AT267,PORTS!$H$11:$H$317,0),MATCH(AX$5,PORTS!$H$11:$N$11,0))+INDEX(variable_om_charge,MATCH(AT267,PORTS!$H$318:$H$625,0),MATCH(AX$5,PORTS!$H$318:$N$318,0)))</f>
        <v>-0</v>
      </c>
      <c r="BA267" s="343" t="n">
        <f aca="false">+AZ267+AY267</f>
        <v>0</v>
      </c>
      <c r="BB267" s="355" t="n">
        <f aca="false">+BA267+AU267</f>
        <v>0</v>
      </c>
      <c r="BC267" s="99"/>
      <c r="BD267" s="357" t="n">
        <f aca="false">+PORTS!I261+PORTS!I569</f>
        <v>0</v>
      </c>
    </row>
    <row r="268" customFormat="false" ht="12.75" hidden="false" customHeight="false" outlineLevel="0" collapsed="false">
      <c r="A268" s="346" t="n">
        <f aca="false">+DATE(YEAR(A267),MONTH(A267)+1,1)</f>
        <v>44317</v>
      </c>
      <c r="B268" s="327" t="n">
        <f aca="false">+IF(AND($A268&gt;=$C$8,$A268&lt;=$C$9),1,0)*PORTS!$I$5/(365.25)*(A269-A268)</f>
        <v>0</v>
      </c>
      <c r="C268" s="328" t="n">
        <f aca="false">+B268-(SUMIF($F$17:$IV$17,$H$17,$F268:$IV268))</f>
        <v>0</v>
      </c>
      <c r="D268" s="0" t="n">
        <f aca="false">+YEAR(E268)</f>
        <v>2021</v>
      </c>
      <c r="E268" s="346" t="n">
        <f aca="false">+DATE(YEAR(E267),MONTH(E267)+1,1)</f>
        <v>44317</v>
      </c>
      <c r="F268" s="327" t="n">
        <f aca="false">+IF(AND(G$8&lt;=E268,G$9&gt;=E268),INDEX(ROUTE_PER_DAY_BY_SHIP,MATCH(CONCATENATE(G$4,G$5,G$7),ROUTE_PER_DAY_ROUTES,0),MATCH(G$6,ROUTE_PER_DAY_SHIPS,0))*(E269-E268),0)</f>
        <v>0</v>
      </c>
      <c r="G268" s="347" t="n">
        <f aca="false">-F268*HLOOKUP(G$6,SHIPS,7,0)*INDEX(LADEN_VOYAGE_DAYS,MATCH(CONCATENATE(G$4,G$5,G$7),LADEN_VOYAGE_ROUTES,0),MATCH(G$6,LADEN_VOYAGE_SHIPS,0))</f>
        <v>-0</v>
      </c>
      <c r="H268" s="348" t="n">
        <f aca="false">SUM(F268:G268)</f>
        <v>0</v>
      </c>
      <c r="I268" s="349" t="n">
        <f aca="false">-(H268)*HLOOKUP(G$5,TERMINAL_CHARGES,3,0)</f>
        <v>-0</v>
      </c>
      <c r="J268" s="327" t="n">
        <f aca="false">+H268+I268</f>
        <v>0</v>
      </c>
      <c r="K268" s="333"/>
      <c r="L268" s="346" t="n">
        <f aca="false">+DATE(YEAR(L267),MONTH(L267)+1,1)</f>
        <v>44317</v>
      </c>
      <c r="M268" s="334" t="n">
        <f aca="false">+J268*(VLOOKUP(L268,CURVECALC!$C$6:$J$312,4,0)+N$5)</f>
        <v>0</v>
      </c>
      <c r="N268" s="350" t="n">
        <f aca="false">-F268*INDEX(ship_curves,MATCH(L268,'SHIP CURVES'!$A$9:$A$316,0),MATCH(CONCATENATE(P$4,P$5,P$6,P$7),'SHIP CURVES'!$A$9:$AZ$9,0))</f>
        <v>-0</v>
      </c>
      <c r="O268" s="351" t="n">
        <f aca="false">-H268*INDEX(port_processing_fee,MATCH(L268,PORTS!$H$626:$H$933,0),MATCH(P$5,PORTS!$H$626:$Z$626,0))</f>
        <v>-0</v>
      </c>
      <c r="P268" s="352" t="n">
        <f aca="false">(((VLOOKUP(L268,curvecalc,4,0))*IF(F268=0,0,J268/F268)-INDEX(ship_curves,MATCH(L268,'SHIP CURVES'!$A$9:$A$316,0),MATCH(CONCATENATE(P$4,P$5,P$6,P$7),'SHIP CURVES'!$A$9:$Z$9,0))-INDEX(terminal_curves,MATCH(L268,'TERMINAL CURVES'!$A$4:$A$313,0),MATCH(P$5,'TERMINAL CURVES'!$A$4:$N$4,0))*IF(F268=0,0,H268/F268))-(N$8)*((N$7-$N$5)-(INDEX(ship_curves,MATCH(L268,'SHIP CURVES'!$A$9:$A$316,0),MATCH(CONCATENATE(P$4,P$5,P$6,P$7),'SHIP CURVES'!$A$9:$Z$9,0))-INDEX(ship_curves,MATCH(L268,'SHIP CURVES'!$A$9:$A$316,0),MATCH(CONCATENATE(P$4,N$6,P$6,P$7),'SHIP CURVES'!$A$9:$Z$9,0)))-(INDEX(terminal_curves,MATCH(L268,'TERMINAL CURVES'!$A$4:$A$313,0),MATCH(P$5,'TERMINAL CURVES'!$A$4:$N$4,0))-INDEX(terminal_curves,MATCH(L268,'TERMINAL CURVES'!$A$4:$A$313,0),MATCH(N$6,'TERMINAL CURVES'!$A$4:$N$4,0)))*IF(F268=0,0,H268/F268)))*-F268</f>
        <v>0</v>
      </c>
      <c r="Q268" s="353" t="n">
        <f aca="false">SUM(N268:P268)</f>
        <v>0</v>
      </c>
      <c r="R268" s="357" t="n">
        <f aca="false">(-H268/((HLOOKUP(P$5,port_specs,2,0)/(365.25))*(L269-L268)))*(INDEX(fixed_capacity_charge,MATCH(L268,PORTS!$H$11:$H$317,0),MATCH(P$5,PORTS!$H$11:$N$11,0))+INDEX(variable_om_charge,MATCH(L268,PORTS!$H$318:$H$625,0),MATCH(P$5,PORTS!$H$318:$N$318,0)))</f>
        <v>-0</v>
      </c>
      <c r="S268" s="343" t="n">
        <f aca="false">+R268+Q268</f>
        <v>0</v>
      </c>
      <c r="T268" s="355" t="n">
        <f aca="false">+S268+M268</f>
        <v>0</v>
      </c>
      <c r="V268" s="346" t="n">
        <f aca="false">+DATE(YEAR(V267),MONTH(V267)+1,1)</f>
        <v>44317</v>
      </c>
      <c r="W268" s="327" t="n">
        <f aca="false">+Y268/(1-HLOOKUP(X$6,SHIPS,7,0)*INDEX(LADEN_VOYAGE_DAYS,MATCH(CONCATENATE(X$4,X$5),LADEN_VOYAGE_ROUTES,0),MATCH(X$6,LADEN_VOYAGE_SHIPS,0)))</f>
        <v>0</v>
      </c>
      <c r="X268" s="347" t="n">
        <f aca="false">+Y268-W268</f>
        <v>0</v>
      </c>
      <c r="Y268" s="348" t="n">
        <f aca="false">+IF(AND(X$8&lt;=V268,X$9&gt;=V268),+MIN($B268-SUMIF($H$17:X$17,Y$17,$H268:X268),((INDEX(ROUTE_PER_DAY_BY_SHIP,MATCH(CONCATENATE(X$4,X$5,X$7),ROUTE_PER_DAY_ROUTES,0),MATCH(X$6,ROUTE_PER_DAY_SHIPS,0))*(V269-V268))-(INDEX(ROUTE_PER_DAY_BY_SHIP,MATCH(CONCATENATE(X$4,X$5,X$7),ROUTE_PER_DAY_ROUTES,0),MATCH(X$6,ROUTE_PER_DAY_SHIPS,0))*(V269-V268))*HLOOKUP(X$6,SHIPS,7,0)*INDEX(LADEN_VOYAGE_DAYS,MATCH(CONCATENATE(X$4,X$5,X$7),LADEN_VOYAGE_ROUTES,0),MATCH(X$6,LADEN_VOYAGE_SHIPS,0)))),0)</f>
        <v>0</v>
      </c>
      <c r="Z268" s="349" t="n">
        <f aca="false">-(Y268)*HLOOKUP(X$5,TERMINAL_CHARGES,3,0)</f>
        <v>-0</v>
      </c>
      <c r="AA268" s="327" t="n">
        <f aca="false">+Y268+Z268</f>
        <v>0</v>
      </c>
      <c r="AB268" s="333"/>
      <c r="AC268" s="346" t="n">
        <f aca="false">+DATE(YEAR(AC267),MONTH(AC267)+1,1)</f>
        <v>44317</v>
      </c>
      <c r="AD268" s="343" t="n">
        <f aca="false">+AA268*(VLOOKUP(AC268,CURVECALC!$C$6:$J$312,4,0)+AE$5)</f>
        <v>0</v>
      </c>
      <c r="AE268" s="350" t="n">
        <f aca="false">-W268*INDEX(ship_curves,MATCH(AC268,'SHIP CURVES'!$A$9:$A$316,0),MATCH(CONCATENATE(AG$4,AG$5,AG$6,AG$7),'SHIP CURVES'!$A$9:$AZ$9,0))</f>
        <v>-0</v>
      </c>
      <c r="AF268" s="351" t="n">
        <f aca="false">-Y268*INDEX(port_processing_fee,MATCH(AC268,PORTS!$H$626:$H$933,0),MATCH(AG$5,PORTS!$H$626:$Z$626,0))</f>
        <v>-0</v>
      </c>
      <c r="AG268" s="352" t="n">
        <f aca="false">(((VLOOKUP(AC268,curvecalc,4,0))*IF(W268=0,0,AA268/W268)-INDEX(ship_curves,MATCH(AC268,'SHIP CURVES'!$A$9:$A$316,0),MATCH(CONCATENATE(AG$4,AG$5,AG$6,AG$7),'SHIP CURVES'!$A$9:$Z$9,0))-INDEX(terminal_curves,MATCH(AC268,'TERMINAL CURVES'!$A$4:$A$313,0),MATCH(AG$5,'TERMINAL CURVES'!$A$4:$N$4,0))*IF(W268=0,0,Y268/W268))-(AE$8)*((AE$7-$N$5)-(INDEX(ship_curves,MATCH(AC268,'SHIP CURVES'!$A$9:$A$316,0),MATCH(CONCATENATE(AG$4,AG$5,AG$6,AG$7),'SHIP CURVES'!$A$9:$Z$9,0))-INDEX(ship_curves,MATCH(AC268,'SHIP CURVES'!$A$9:$A$316,0),MATCH(CONCATENATE(AG$4,AE$6,AG$6,AG$7),'SHIP CURVES'!$A$9:$Z$9,0)))-(INDEX(terminal_curves,MATCH(AC268,'TERMINAL CURVES'!$A$4:$A$313,0),MATCH(AG$5,'TERMINAL CURVES'!$A$4:$N$4,0))-INDEX(terminal_curves,MATCH(AC268,'TERMINAL CURVES'!$A$4:$A$313,0),MATCH(AE$6,'TERMINAL CURVES'!$A$4:$N$4,0)))*IF(W268=0,0,Y268/W268)))*-W268</f>
        <v>0</v>
      </c>
      <c r="AH268" s="356" t="n">
        <f aca="false">SUM(AE268:AG268)</f>
        <v>0</v>
      </c>
      <c r="AI268" s="357" t="n">
        <f aca="false">(-Y268/((HLOOKUP(AG$5,port_specs,2,0)/(365.25))*(AC269-AC268)))*(INDEX(fixed_capacity_charge,MATCH(AC268,PORTS!$H$11:$H$317,0),MATCH(AG$5,PORTS!$H$11:$N$11,0))+INDEX(variable_om_charge,MATCH(AC268,PORTS!$H$318:$H$625,0),MATCH(AG$5,PORTS!$H$318:$N$318,0)))</f>
        <v>-0</v>
      </c>
      <c r="AJ268" s="343" t="n">
        <f aca="false">+AI268+AH268</f>
        <v>0</v>
      </c>
      <c r="AK268" s="355" t="n">
        <f aca="false">+AJ268+AD268</f>
        <v>0</v>
      </c>
      <c r="AM268" s="346" t="n">
        <f aca="false">+DATE(YEAR(AM267),MONTH(AM267)+1,1)</f>
        <v>44317</v>
      </c>
      <c r="AN268" s="327" t="n">
        <f aca="false">+AP268/(1-HLOOKUP(AO$6,SHIPS,7,0)*INDEX(LADEN_VOYAGE_DAYS,MATCH(CONCATENATE(AO$4,AO$5),LADEN_VOYAGE_ROUTES,0),MATCH(AO$6,LADEN_VOYAGE_SHIPS,0)))</f>
        <v>0</v>
      </c>
      <c r="AO268" s="347" t="n">
        <f aca="false">+AP268-AN268</f>
        <v>0</v>
      </c>
      <c r="AP268" s="348" t="n">
        <f aca="false">+IF(AND(AO$8&lt;=AM268,AO$9&gt;=AM268),+MIN($B268-SUMIF($H$17:AO$17,AP$17,$H268:AO268),((INDEX(ROUTE_PER_DAY_BY_SHIP,MATCH(CONCATENATE(AO$4,AO$5,AO$7),ROUTE_PER_DAY_ROUTES,0),MATCH(AO$6,ROUTE_PER_DAY_SHIPS,0))*(AM269-AM268))-(INDEX(ROUTE_PER_DAY_BY_SHIP,MATCH(CONCATENATE(AO$4,AO$5,AO$7),ROUTE_PER_DAY_ROUTES,0),MATCH(AO$6,ROUTE_PER_DAY_SHIPS,0))*(AM269-AM268))*HLOOKUP(AO$6,SHIPS,7,0)*INDEX(LADEN_VOYAGE_DAYS,MATCH(CONCATENATE(AO$4,AO$5,AO$7),LADEN_VOYAGE_ROUTES,0),MATCH(AO$6,LADEN_VOYAGE_SHIPS,0)))),0)</f>
        <v>0</v>
      </c>
      <c r="AQ268" s="349" t="n">
        <f aca="false">-(AP268)*PORTS!$I$6</f>
        <v>-0</v>
      </c>
      <c r="AR268" s="327" t="n">
        <f aca="false">+AP268+AQ268</f>
        <v>0</v>
      </c>
      <c r="AS268" s="333"/>
      <c r="AT268" s="346" t="n">
        <f aca="false">+DATE(YEAR(AT267),MONTH(AT267)+1,1)</f>
        <v>44317</v>
      </c>
      <c r="AU268" s="343" t="n">
        <f aca="false">+AR268*(VLOOKUP(AT268,CURVECALC!$C$6:$J$312,4,0)+AV$5)</f>
        <v>0</v>
      </c>
      <c r="AV268" s="350" t="n">
        <f aca="false">-AN268*INDEX(ship_curves,MATCH(AT268,'SHIP CURVES'!$A$9:$A$316,0),MATCH(CONCATENATE(AX$4,AX$5,AX$6,AX$7),'SHIP CURVES'!$A$9:$AZ$9,0))</f>
        <v>-0</v>
      </c>
      <c r="AW268" s="351" t="n">
        <f aca="false">-AP268*INDEX(port_processing_fee,MATCH(AT268,PORTS!$H$626:$H$933,0),MATCH(AX$5,PORTS!$H$626:$Z$626,0))</f>
        <v>-0</v>
      </c>
      <c r="AX268" s="352" t="n">
        <f aca="false">(((VLOOKUP(AT268,curvecalc,4,0))*IF(AN268=0,0,AR268/AN268)-INDEX(ship_curves,MATCH(AT268,'SHIP CURVES'!$A$9:$A$316,0),MATCH(CONCATENATE(AX$4,AX$5,AX$6,AX$7),'SHIP CURVES'!$A$9:$Z$9,0))-INDEX(terminal_curves,MATCH(AT268,'TERMINAL CURVES'!$A$4:$A$313,0),MATCH(AX$5,'TERMINAL CURVES'!$A$4:$N$4,0))*IF(AN268=0,0,AP268/AN268))-(AV$8)*((AV$7-$N$5)-(INDEX(ship_curves,MATCH(AT268,'SHIP CURVES'!$A$9:$A$316,0),MATCH(CONCATENATE(AX$4,AX$5,AX$6,AX$7),'SHIP CURVES'!$A$9:$Z$9,0))-INDEX(ship_curves,MATCH(AT268,'SHIP CURVES'!$A$9:$A$316,0),MATCH(CONCATENATE(AX$4,AV$6,AX$6,AX$7),'SHIP CURVES'!$A$9:$Z$9,0)))-(INDEX(terminal_curves,MATCH(AT268,'TERMINAL CURVES'!$A$4:$A$313,0),MATCH(AX$5,'TERMINAL CURVES'!$A$4:$N$4,0))-INDEX(terminal_curves,MATCH(AT268,'TERMINAL CURVES'!$A$4:$A$313,0),MATCH(AV$6,'TERMINAL CURVES'!$A$4:$N$4,0)))*IF(AN268=0,0,AP268/AN268)))*-AN268</f>
        <v>0</v>
      </c>
      <c r="AY268" s="356" t="n">
        <f aca="false">SUM(AV268:AX268)</f>
        <v>0</v>
      </c>
      <c r="AZ268" s="357" t="n">
        <f aca="false">(-AP268/((HLOOKUP(AX$5,port_specs,2,0)/(365.25))*(AT269-AT268)))*(INDEX(fixed_capacity_charge,MATCH(AT268,PORTS!$H$11:$H$317,0),MATCH(AX$5,PORTS!$H$11:$N$11,0))+INDEX(variable_om_charge,MATCH(AT268,PORTS!$H$318:$H$625,0),MATCH(AX$5,PORTS!$H$318:$N$318,0)))</f>
        <v>-0</v>
      </c>
      <c r="BA268" s="343" t="n">
        <f aca="false">+AZ268+AY268</f>
        <v>0</v>
      </c>
      <c r="BB268" s="355" t="n">
        <f aca="false">+BA268+AU268</f>
        <v>0</v>
      </c>
      <c r="BC268" s="99"/>
      <c r="BD268" s="357" t="n">
        <f aca="false">+PORTS!I262+PORTS!I570</f>
        <v>0</v>
      </c>
    </row>
    <row r="269" customFormat="false" ht="12.75" hidden="false" customHeight="false" outlineLevel="0" collapsed="false">
      <c r="A269" s="346" t="n">
        <f aca="false">+DATE(YEAR(A268),MONTH(A268)+1,1)</f>
        <v>44348</v>
      </c>
      <c r="B269" s="327" t="n">
        <f aca="false">+IF(AND($A269&gt;=$C$8,$A269&lt;=$C$9),1,0)*PORTS!$I$5/(365.25)*(A270-A269)</f>
        <v>0</v>
      </c>
      <c r="C269" s="328" t="n">
        <f aca="false">+B269-(SUMIF($F$17:$IV$17,$H$17,$F269:$IV269))</f>
        <v>0</v>
      </c>
      <c r="D269" s="0" t="n">
        <f aca="false">+YEAR(E269)</f>
        <v>2021</v>
      </c>
      <c r="E269" s="346" t="n">
        <f aca="false">+DATE(YEAR(E268),MONTH(E268)+1,1)</f>
        <v>44348</v>
      </c>
      <c r="F269" s="327" t="n">
        <f aca="false">+IF(AND(G$8&lt;=E269,G$9&gt;=E269),INDEX(ROUTE_PER_DAY_BY_SHIP,MATCH(CONCATENATE(G$4,G$5,G$7),ROUTE_PER_DAY_ROUTES,0),MATCH(G$6,ROUTE_PER_DAY_SHIPS,0))*(E270-E269),0)</f>
        <v>0</v>
      </c>
      <c r="G269" s="347" t="n">
        <f aca="false">-F269*HLOOKUP(G$6,SHIPS,7,0)*INDEX(LADEN_VOYAGE_DAYS,MATCH(CONCATENATE(G$4,G$5,G$7),LADEN_VOYAGE_ROUTES,0),MATCH(G$6,LADEN_VOYAGE_SHIPS,0))</f>
        <v>-0</v>
      </c>
      <c r="H269" s="348" t="n">
        <f aca="false">SUM(F269:G269)</f>
        <v>0</v>
      </c>
      <c r="I269" s="349" t="n">
        <f aca="false">-(H269)*HLOOKUP(G$5,TERMINAL_CHARGES,3,0)</f>
        <v>-0</v>
      </c>
      <c r="J269" s="327" t="n">
        <f aca="false">+H269+I269</f>
        <v>0</v>
      </c>
      <c r="K269" s="333"/>
      <c r="L269" s="346" t="n">
        <f aca="false">+DATE(YEAR(L268),MONTH(L268)+1,1)</f>
        <v>44348</v>
      </c>
      <c r="M269" s="334" t="n">
        <f aca="false">+J269*(VLOOKUP(L269,CURVECALC!$C$6:$J$312,4,0)+N$5)</f>
        <v>0</v>
      </c>
      <c r="N269" s="350" t="n">
        <f aca="false">-F269*INDEX(ship_curves,MATCH(L269,'SHIP CURVES'!$A$9:$A$316,0),MATCH(CONCATENATE(P$4,P$5,P$6,P$7),'SHIP CURVES'!$A$9:$AZ$9,0))</f>
        <v>-0</v>
      </c>
      <c r="O269" s="351" t="n">
        <f aca="false">-H269*INDEX(port_processing_fee,MATCH(L269,PORTS!$H$626:$H$933,0),MATCH(P$5,PORTS!$H$626:$Z$626,0))</f>
        <v>-0</v>
      </c>
      <c r="P269" s="352" t="n">
        <f aca="false">(((VLOOKUP(L269,curvecalc,4,0))*IF(F269=0,0,J269/F269)-INDEX(ship_curves,MATCH(L269,'SHIP CURVES'!$A$9:$A$316,0),MATCH(CONCATENATE(P$4,P$5,P$6,P$7),'SHIP CURVES'!$A$9:$Z$9,0))-INDEX(terminal_curves,MATCH(L269,'TERMINAL CURVES'!$A$4:$A$313,0),MATCH(P$5,'TERMINAL CURVES'!$A$4:$N$4,0))*IF(F269=0,0,H269/F269))-(N$8)*((N$7-$N$5)-(INDEX(ship_curves,MATCH(L269,'SHIP CURVES'!$A$9:$A$316,0),MATCH(CONCATENATE(P$4,P$5,P$6,P$7),'SHIP CURVES'!$A$9:$Z$9,0))-INDEX(ship_curves,MATCH(L269,'SHIP CURVES'!$A$9:$A$316,0),MATCH(CONCATENATE(P$4,N$6,P$6,P$7),'SHIP CURVES'!$A$9:$Z$9,0)))-(INDEX(terminal_curves,MATCH(L269,'TERMINAL CURVES'!$A$4:$A$313,0),MATCH(P$5,'TERMINAL CURVES'!$A$4:$N$4,0))-INDEX(terminal_curves,MATCH(L269,'TERMINAL CURVES'!$A$4:$A$313,0),MATCH(N$6,'TERMINAL CURVES'!$A$4:$N$4,0)))*IF(F269=0,0,H269/F269)))*-F269</f>
        <v>0</v>
      </c>
      <c r="Q269" s="353" t="n">
        <f aca="false">SUM(N269:P269)</f>
        <v>0</v>
      </c>
      <c r="R269" s="357" t="n">
        <f aca="false">(-H269/((HLOOKUP(P$5,port_specs,2,0)/(365.25))*(L270-L269)))*(INDEX(fixed_capacity_charge,MATCH(L269,PORTS!$H$11:$H$317,0),MATCH(P$5,PORTS!$H$11:$N$11,0))+INDEX(variable_om_charge,MATCH(L269,PORTS!$H$318:$H$625,0),MATCH(P$5,PORTS!$H$318:$N$318,0)))</f>
        <v>-0</v>
      </c>
      <c r="S269" s="343" t="n">
        <f aca="false">+R269+Q269</f>
        <v>0</v>
      </c>
      <c r="T269" s="355" t="n">
        <f aca="false">+S269+M269</f>
        <v>0</v>
      </c>
      <c r="V269" s="346" t="n">
        <f aca="false">+DATE(YEAR(V268),MONTH(V268)+1,1)</f>
        <v>44348</v>
      </c>
      <c r="W269" s="327" t="n">
        <f aca="false">+Y269/(1-HLOOKUP(X$6,SHIPS,7,0)*INDEX(LADEN_VOYAGE_DAYS,MATCH(CONCATENATE(X$4,X$5),LADEN_VOYAGE_ROUTES,0),MATCH(X$6,LADEN_VOYAGE_SHIPS,0)))</f>
        <v>0</v>
      </c>
      <c r="X269" s="347" t="n">
        <f aca="false">+Y269-W269</f>
        <v>0</v>
      </c>
      <c r="Y269" s="348" t="n">
        <f aca="false">+IF(AND(X$8&lt;=V269,X$9&gt;=V269),+MIN($B269-SUMIF($H$17:X$17,Y$17,$H269:X269),((INDEX(ROUTE_PER_DAY_BY_SHIP,MATCH(CONCATENATE(X$4,X$5,X$7),ROUTE_PER_DAY_ROUTES,0),MATCH(X$6,ROUTE_PER_DAY_SHIPS,0))*(V270-V269))-(INDEX(ROUTE_PER_DAY_BY_SHIP,MATCH(CONCATENATE(X$4,X$5,X$7),ROUTE_PER_DAY_ROUTES,0),MATCH(X$6,ROUTE_PER_DAY_SHIPS,0))*(V270-V269))*HLOOKUP(X$6,SHIPS,7,0)*INDEX(LADEN_VOYAGE_DAYS,MATCH(CONCATENATE(X$4,X$5,X$7),LADEN_VOYAGE_ROUTES,0),MATCH(X$6,LADEN_VOYAGE_SHIPS,0)))),0)</f>
        <v>0</v>
      </c>
      <c r="Z269" s="349" t="n">
        <f aca="false">-(Y269)*HLOOKUP(X$5,TERMINAL_CHARGES,3,0)</f>
        <v>-0</v>
      </c>
      <c r="AA269" s="327" t="n">
        <f aca="false">+Y269+Z269</f>
        <v>0</v>
      </c>
      <c r="AB269" s="333"/>
      <c r="AC269" s="346" t="n">
        <f aca="false">+DATE(YEAR(AC268),MONTH(AC268)+1,1)</f>
        <v>44348</v>
      </c>
      <c r="AD269" s="343" t="n">
        <f aca="false">+AA269*(VLOOKUP(AC269,CURVECALC!$C$6:$J$312,4,0)+AE$5)</f>
        <v>0</v>
      </c>
      <c r="AE269" s="350" t="n">
        <f aca="false">-W269*INDEX(ship_curves,MATCH(AC269,'SHIP CURVES'!$A$9:$A$316,0),MATCH(CONCATENATE(AG$4,AG$5,AG$6,AG$7),'SHIP CURVES'!$A$9:$AZ$9,0))</f>
        <v>-0</v>
      </c>
      <c r="AF269" s="351" t="n">
        <f aca="false">-Y269*INDEX(port_processing_fee,MATCH(AC269,PORTS!$H$626:$H$933,0),MATCH(AG$5,PORTS!$H$626:$Z$626,0))</f>
        <v>-0</v>
      </c>
      <c r="AG269" s="352" t="n">
        <f aca="false">(((VLOOKUP(AC269,curvecalc,4,0))*IF(W269=0,0,AA269/W269)-INDEX(ship_curves,MATCH(AC269,'SHIP CURVES'!$A$9:$A$316,0),MATCH(CONCATENATE(AG$4,AG$5,AG$6,AG$7),'SHIP CURVES'!$A$9:$Z$9,0))-INDEX(terminal_curves,MATCH(AC269,'TERMINAL CURVES'!$A$4:$A$313,0),MATCH(AG$5,'TERMINAL CURVES'!$A$4:$N$4,0))*IF(W269=0,0,Y269/W269))-(AE$8)*((AE$7-$N$5)-(INDEX(ship_curves,MATCH(AC269,'SHIP CURVES'!$A$9:$A$316,0),MATCH(CONCATENATE(AG$4,AG$5,AG$6,AG$7),'SHIP CURVES'!$A$9:$Z$9,0))-INDEX(ship_curves,MATCH(AC269,'SHIP CURVES'!$A$9:$A$316,0),MATCH(CONCATENATE(AG$4,AE$6,AG$6,AG$7),'SHIP CURVES'!$A$9:$Z$9,0)))-(INDEX(terminal_curves,MATCH(AC269,'TERMINAL CURVES'!$A$4:$A$313,0),MATCH(AG$5,'TERMINAL CURVES'!$A$4:$N$4,0))-INDEX(terminal_curves,MATCH(AC269,'TERMINAL CURVES'!$A$4:$A$313,0),MATCH(AE$6,'TERMINAL CURVES'!$A$4:$N$4,0)))*IF(W269=0,0,Y269/W269)))*-W269</f>
        <v>0</v>
      </c>
      <c r="AH269" s="356" t="n">
        <f aca="false">SUM(AE269:AG269)</f>
        <v>0</v>
      </c>
      <c r="AI269" s="357" t="n">
        <f aca="false">(-Y269/((HLOOKUP(AG$5,port_specs,2,0)/(365.25))*(AC270-AC269)))*(INDEX(fixed_capacity_charge,MATCH(AC269,PORTS!$H$11:$H$317,0),MATCH(AG$5,PORTS!$H$11:$N$11,0))+INDEX(variable_om_charge,MATCH(AC269,PORTS!$H$318:$H$625,0),MATCH(AG$5,PORTS!$H$318:$N$318,0)))</f>
        <v>-0</v>
      </c>
      <c r="AJ269" s="343" t="n">
        <f aca="false">+AI269+AH269</f>
        <v>0</v>
      </c>
      <c r="AK269" s="355" t="n">
        <f aca="false">+AJ269+AD269</f>
        <v>0</v>
      </c>
      <c r="AM269" s="346" t="n">
        <f aca="false">+DATE(YEAR(AM268),MONTH(AM268)+1,1)</f>
        <v>44348</v>
      </c>
      <c r="AN269" s="327" t="n">
        <f aca="false">+AP269/(1-HLOOKUP(AO$6,SHIPS,7,0)*INDEX(LADEN_VOYAGE_DAYS,MATCH(CONCATENATE(AO$4,AO$5),LADEN_VOYAGE_ROUTES,0),MATCH(AO$6,LADEN_VOYAGE_SHIPS,0)))</f>
        <v>0</v>
      </c>
      <c r="AO269" s="347" t="n">
        <f aca="false">+AP269-AN269</f>
        <v>0</v>
      </c>
      <c r="AP269" s="348" t="n">
        <f aca="false">+IF(AND(AO$8&lt;=AM269,AO$9&gt;=AM269),+MIN($B269-SUMIF($H$17:AO$17,AP$17,$H269:AO269),((INDEX(ROUTE_PER_DAY_BY_SHIP,MATCH(CONCATENATE(AO$4,AO$5,AO$7),ROUTE_PER_DAY_ROUTES,0),MATCH(AO$6,ROUTE_PER_DAY_SHIPS,0))*(AM270-AM269))-(INDEX(ROUTE_PER_DAY_BY_SHIP,MATCH(CONCATENATE(AO$4,AO$5,AO$7),ROUTE_PER_DAY_ROUTES,0),MATCH(AO$6,ROUTE_PER_DAY_SHIPS,0))*(AM270-AM269))*HLOOKUP(AO$6,SHIPS,7,0)*INDEX(LADEN_VOYAGE_DAYS,MATCH(CONCATENATE(AO$4,AO$5,AO$7),LADEN_VOYAGE_ROUTES,0),MATCH(AO$6,LADEN_VOYAGE_SHIPS,0)))),0)</f>
        <v>0</v>
      </c>
      <c r="AQ269" s="349" t="n">
        <f aca="false">-(AP269)*PORTS!$I$6</f>
        <v>-0</v>
      </c>
      <c r="AR269" s="327" t="n">
        <f aca="false">+AP269+AQ269</f>
        <v>0</v>
      </c>
      <c r="AS269" s="333"/>
      <c r="AT269" s="346" t="n">
        <f aca="false">+DATE(YEAR(AT268),MONTH(AT268)+1,1)</f>
        <v>44348</v>
      </c>
      <c r="AU269" s="343" t="n">
        <f aca="false">+AR269*(VLOOKUP(AT269,CURVECALC!$C$6:$J$312,4,0)+AV$5)</f>
        <v>0</v>
      </c>
      <c r="AV269" s="350" t="n">
        <f aca="false">-AN269*INDEX(ship_curves,MATCH(AT269,'SHIP CURVES'!$A$9:$A$316,0),MATCH(CONCATENATE(AX$4,AX$5,AX$6,AX$7),'SHIP CURVES'!$A$9:$AZ$9,0))</f>
        <v>-0</v>
      </c>
      <c r="AW269" s="351" t="n">
        <f aca="false">-AP269*INDEX(port_processing_fee,MATCH(AT269,PORTS!$H$626:$H$933,0),MATCH(AX$5,PORTS!$H$626:$Z$626,0))</f>
        <v>-0</v>
      </c>
      <c r="AX269" s="352" t="n">
        <f aca="false">(((VLOOKUP(AT269,curvecalc,4,0))*IF(AN269=0,0,AR269/AN269)-INDEX(ship_curves,MATCH(AT269,'SHIP CURVES'!$A$9:$A$316,0),MATCH(CONCATENATE(AX$4,AX$5,AX$6,AX$7),'SHIP CURVES'!$A$9:$Z$9,0))-INDEX(terminal_curves,MATCH(AT269,'TERMINAL CURVES'!$A$4:$A$313,0),MATCH(AX$5,'TERMINAL CURVES'!$A$4:$N$4,0))*IF(AN269=0,0,AP269/AN269))-(AV$8)*((AV$7-$N$5)-(INDEX(ship_curves,MATCH(AT269,'SHIP CURVES'!$A$9:$A$316,0),MATCH(CONCATENATE(AX$4,AX$5,AX$6,AX$7),'SHIP CURVES'!$A$9:$Z$9,0))-INDEX(ship_curves,MATCH(AT269,'SHIP CURVES'!$A$9:$A$316,0),MATCH(CONCATENATE(AX$4,AV$6,AX$6,AX$7),'SHIP CURVES'!$A$9:$Z$9,0)))-(INDEX(terminal_curves,MATCH(AT269,'TERMINAL CURVES'!$A$4:$A$313,0),MATCH(AX$5,'TERMINAL CURVES'!$A$4:$N$4,0))-INDEX(terminal_curves,MATCH(AT269,'TERMINAL CURVES'!$A$4:$A$313,0),MATCH(AV$6,'TERMINAL CURVES'!$A$4:$N$4,0)))*IF(AN269=0,0,AP269/AN269)))*-AN269</f>
        <v>0</v>
      </c>
      <c r="AY269" s="356" t="n">
        <f aca="false">SUM(AV269:AX269)</f>
        <v>0</v>
      </c>
      <c r="AZ269" s="357" t="n">
        <f aca="false">(-AP269/((HLOOKUP(AX$5,port_specs,2,0)/(365.25))*(AT270-AT269)))*(INDEX(fixed_capacity_charge,MATCH(AT269,PORTS!$H$11:$H$317,0),MATCH(AX$5,PORTS!$H$11:$N$11,0))+INDEX(variable_om_charge,MATCH(AT269,PORTS!$H$318:$H$625,0),MATCH(AX$5,PORTS!$H$318:$N$318,0)))</f>
        <v>-0</v>
      </c>
      <c r="BA269" s="343" t="n">
        <f aca="false">+AZ269+AY269</f>
        <v>0</v>
      </c>
      <c r="BB269" s="355" t="n">
        <f aca="false">+BA269+AU269</f>
        <v>0</v>
      </c>
      <c r="BC269" s="99"/>
      <c r="BD269" s="357" t="n">
        <f aca="false">+PORTS!I263+PORTS!I571</f>
        <v>0</v>
      </c>
    </row>
    <row r="270" customFormat="false" ht="12.75" hidden="false" customHeight="false" outlineLevel="0" collapsed="false">
      <c r="A270" s="346" t="n">
        <f aca="false">+DATE(YEAR(A269),MONTH(A269)+1,1)</f>
        <v>44378</v>
      </c>
      <c r="B270" s="327" t="n">
        <f aca="false">+IF(AND($A270&gt;=$C$8,$A270&lt;=$C$9),1,0)*PORTS!$I$5/(365.25)*(A271-A270)</f>
        <v>0</v>
      </c>
      <c r="C270" s="328" t="n">
        <f aca="false">+B270-(SUMIF($F$17:$IV$17,$H$17,$F270:$IV270))</f>
        <v>0</v>
      </c>
      <c r="D270" s="0" t="n">
        <f aca="false">+YEAR(E270)</f>
        <v>2021</v>
      </c>
      <c r="E270" s="346" t="n">
        <f aca="false">+DATE(YEAR(E269),MONTH(E269)+1,1)</f>
        <v>44378</v>
      </c>
      <c r="F270" s="327" t="n">
        <f aca="false">+IF(AND(G$8&lt;=E270,G$9&gt;=E270),INDEX(ROUTE_PER_DAY_BY_SHIP,MATCH(CONCATENATE(G$4,G$5,G$7),ROUTE_PER_DAY_ROUTES,0),MATCH(G$6,ROUTE_PER_DAY_SHIPS,0))*(E271-E270),0)</f>
        <v>0</v>
      </c>
      <c r="G270" s="347" t="n">
        <f aca="false">-F270*HLOOKUP(G$6,SHIPS,7,0)*INDEX(LADEN_VOYAGE_DAYS,MATCH(CONCATENATE(G$4,G$5,G$7),LADEN_VOYAGE_ROUTES,0),MATCH(G$6,LADEN_VOYAGE_SHIPS,0))</f>
        <v>-0</v>
      </c>
      <c r="H270" s="348" t="n">
        <f aca="false">SUM(F270:G270)</f>
        <v>0</v>
      </c>
      <c r="I270" s="349" t="n">
        <f aca="false">-(H270)*HLOOKUP(G$5,TERMINAL_CHARGES,3,0)</f>
        <v>-0</v>
      </c>
      <c r="J270" s="327" t="n">
        <f aca="false">+H270+I270</f>
        <v>0</v>
      </c>
      <c r="K270" s="333"/>
      <c r="L270" s="346" t="n">
        <f aca="false">+DATE(YEAR(L269),MONTH(L269)+1,1)</f>
        <v>44378</v>
      </c>
      <c r="M270" s="334" t="n">
        <f aca="false">+J270*(VLOOKUP(L270,CURVECALC!$C$6:$J$312,4,0)+N$5)</f>
        <v>0</v>
      </c>
      <c r="N270" s="350" t="n">
        <f aca="false">-F270*INDEX(ship_curves,MATCH(L270,'SHIP CURVES'!$A$9:$A$316,0),MATCH(CONCATENATE(P$4,P$5,P$6,P$7),'SHIP CURVES'!$A$9:$AZ$9,0))</f>
        <v>-0</v>
      </c>
      <c r="O270" s="351" t="n">
        <f aca="false">-H270*INDEX(port_processing_fee,MATCH(L270,PORTS!$H$626:$H$933,0),MATCH(P$5,PORTS!$H$626:$Z$626,0))</f>
        <v>-0</v>
      </c>
      <c r="P270" s="352" t="n">
        <f aca="false">(((VLOOKUP(L270,curvecalc,4,0))*IF(F270=0,0,J270/F270)-INDEX(ship_curves,MATCH(L270,'SHIP CURVES'!$A$9:$A$316,0),MATCH(CONCATENATE(P$4,P$5,P$6,P$7),'SHIP CURVES'!$A$9:$Z$9,0))-INDEX(terminal_curves,MATCH(L270,'TERMINAL CURVES'!$A$4:$A$313,0),MATCH(P$5,'TERMINAL CURVES'!$A$4:$N$4,0))*IF(F270=0,0,H270/F270))-(N$8)*((N$7-$N$5)-(INDEX(ship_curves,MATCH(L270,'SHIP CURVES'!$A$9:$A$316,0),MATCH(CONCATENATE(P$4,P$5,P$6,P$7),'SHIP CURVES'!$A$9:$Z$9,0))-INDEX(ship_curves,MATCH(L270,'SHIP CURVES'!$A$9:$A$316,0),MATCH(CONCATENATE(P$4,N$6,P$6,P$7),'SHIP CURVES'!$A$9:$Z$9,0)))-(INDEX(terminal_curves,MATCH(L270,'TERMINAL CURVES'!$A$4:$A$313,0),MATCH(P$5,'TERMINAL CURVES'!$A$4:$N$4,0))-INDEX(terminal_curves,MATCH(L270,'TERMINAL CURVES'!$A$4:$A$313,0),MATCH(N$6,'TERMINAL CURVES'!$A$4:$N$4,0)))*IF(F270=0,0,H270/F270)))*-F270</f>
        <v>0</v>
      </c>
      <c r="Q270" s="353" t="n">
        <f aca="false">SUM(N270:P270)</f>
        <v>0</v>
      </c>
      <c r="R270" s="357" t="n">
        <f aca="false">(-H270/((HLOOKUP(P$5,port_specs,2,0)/(365.25))*(L271-L270)))*(INDEX(fixed_capacity_charge,MATCH(L270,PORTS!$H$11:$H$317,0),MATCH(P$5,PORTS!$H$11:$N$11,0))+INDEX(variable_om_charge,MATCH(L270,PORTS!$H$318:$H$625,0),MATCH(P$5,PORTS!$H$318:$N$318,0)))</f>
        <v>-0</v>
      </c>
      <c r="S270" s="343" t="n">
        <f aca="false">+R270+Q270</f>
        <v>0</v>
      </c>
      <c r="T270" s="355" t="n">
        <f aca="false">+S270+M270</f>
        <v>0</v>
      </c>
      <c r="V270" s="346" t="n">
        <f aca="false">+DATE(YEAR(V269),MONTH(V269)+1,1)</f>
        <v>44378</v>
      </c>
      <c r="W270" s="327" t="n">
        <f aca="false">+Y270/(1-HLOOKUP(X$6,SHIPS,7,0)*INDEX(LADEN_VOYAGE_DAYS,MATCH(CONCATENATE(X$4,X$5),LADEN_VOYAGE_ROUTES,0),MATCH(X$6,LADEN_VOYAGE_SHIPS,0)))</f>
        <v>0</v>
      </c>
      <c r="X270" s="347" t="n">
        <f aca="false">+Y270-W270</f>
        <v>0</v>
      </c>
      <c r="Y270" s="348" t="n">
        <f aca="false">+IF(AND(X$8&lt;=V270,X$9&gt;=V270),+MIN($B270-SUMIF($H$17:X$17,Y$17,$H270:X270),((INDEX(ROUTE_PER_DAY_BY_SHIP,MATCH(CONCATENATE(X$4,X$5,X$7),ROUTE_PER_DAY_ROUTES,0),MATCH(X$6,ROUTE_PER_DAY_SHIPS,0))*(V271-V270))-(INDEX(ROUTE_PER_DAY_BY_SHIP,MATCH(CONCATENATE(X$4,X$5,X$7),ROUTE_PER_DAY_ROUTES,0),MATCH(X$6,ROUTE_PER_DAY_SHIPS,0))*(V271-V270))*HLOOKUP(X$6,SHIPS,7,0)*INDEX(LADEN_VOYAGE_DAYS,MATCH(CONCATENATE(X$4,X$5,X$7),LADEN_VOYAGE_ROUTES,0),MATCH(X$6,LADEN_VOYAGE_SHIPS,0)))),0)</f>
        <v>0</v>
      </c>
      <c r="Z270" s="349" t="n">
        <f aca="false">-(Y270)*HLOOKUP(X$5,TERMINAL_CHARGES,3,0)</f>
        <v>-0</v>
      </c>
      <c r="AA270" s="327" t="n">
        <f aca="false">+Y270+Z270</f>
        <v>0</v>
      </c>
      <c r="AB270" s="333"/>
      <c r="AC270" s="346" t="n">
        <f aca="false">+DATE(YEAR(AC269),MONTH(AC269)+1,1)</f>
        <v>44378</v>
      </c>
      <c r="AD270" s="343" t="n">
        <f aca="false">+AA270*(VLOOKUP(AC270,CURVECALC!$C$6:$J$312,4,0)+AE$5)</f>
        <v>0</v>
      </c>
      <c r="AE270" s="350" t="n">
        <f aca="false">-W270*INDEX(ship_curves,MATCH(AC270,'SHIP CURVES'!$A$9:$A$316,0),MATCH(CONCATENATE(AG$4,AG$5,AG$6,AG$7),'SHIP CURVES'!$A$9:$AZ$9,0))</f>
        <v>-0</v>
      </c>
      <c r="AF270" s="351" t="n">
        <f aca="false">-Y270*INDEX(port_processing_fee,MATCH(AC270,PORTS!$H$626:$H$933,0),MATCH(AG$5,PORTS!$H$626:$Z$626,0))</f>
        <v>-0</v>
      </c>
      <c r="AG270" s="352" t="n">
        <f aca="false">(((VLOOKUP(AC270,curvecalc,4,0))*IF(W270=0,0,AA270/W270)-INDEX(ship_curves,MATCH(AC270,'SHIP CURVES'!$A$9:$A$316,0),MATCH(CONCATENATE(AG$4,AG$5,AG$6,AG$7),'SHIP CURVES'!$A$9:$Z$9,0))-INDEX(terminal_curves,MATCH(AC270,'TERMINAL CURVES'!$A$4:$A$313,0),MATCH(AG$5,'TERMINAL CURVES'!$A$4:$N$4,0))*IF(W270=0,0,Y270/W270))-(AE$8)*((AE$7-$N$5)-(INDEX(ship_curves,MATCH(AC270,'SHIP CURVES'!$A$9:$A$316,0),MATCH(CONCATENATE(AG$4,AG$5,AG$6,AG$7),'SHIP CURVES'!$A$9:$Z$9,0))-INDEX(ship_curves,MATCH(AC270,'SHIP CURVES'!$A$9:$A$316,0),MATCH(CONCATENATE(AG$4,AE$6,AG$6,AG$7),'SHIP CURVES'!$A$9:$Z$9,0)))-(INDEX(terminal_curves,MATCH(AC270,'TERMINAL CURVES'!$A$4:$A$313,0),MATCH(AG$5,'TERMINAL CURVES'!$A$4:$N$4,0))-INDEX(terminal_curves,MATCH(AC270,'TERMINAL CURVES'!$A$4:$A$313,0),MATCH(AE$6,'TERMINAL CURVES'!$A$4:$N$4,0)))*IF(W270=0,0,Y270/W270)))*-W270</f>
        <v>0</v>
      </c>
      <c r="AH270" s="356" t="n">
        <f aca="false">SUM(AE270:AG270)</f>
        <v>0</v>
      </c>
      <c r="AI270" s="357" t="n">
        <f aca="false">(-Y270/((HLOOKUP(AG$5,port_specs,2,0)/(365.25))*(AC271-AC270)))*(INDEX(fixed_capacity_charge,MATCH(AC270,PORTS!$H$11:$H$317,0),MATCH(AG$5,PORTS!$H$11:$N$11,0))+INDEX(variable_om_charge,MATCH(AC270,PORTS!$H$318:$H$625,0),MATCH(AG$5,PORTS!$H$318:$N$318,0)))</f>
        <v>-0</v>
      </c>
      <c r="AJ270" s="343" t="n">
        <f aca="false">+AI270+AH270</f>
        <v>0</v>
      </c>
      <c r="AK270" s="355" t="n">
        <f aca="false">+AJ270+AD270</f>
        <v>0</v>
      </c>
      <c r="AM270" s="346" t="n">
        <f aca="false">+DATE(YEAR(AM269),MONTH(AM269)+1,1)</f>
        <v>44378</v>
      </c>
      <c r="AN270" s="327" t="n">
        <f aca="false">+AP270/(1-HLOOKUP(AO$6,SHIPS,7,0)*INDEX(LADEN_VOYAGE_DAYS,MATCH(CONCATENATE(AO$4,AO$5),LADEN_VOYAGE_ROUTES,0),MATCH(AO$6,LADEN_VOYAGE_SHIPS,0)))</f>
        <v>0</v>
      </c>
      <c r="AO270" s="347" t="n">
        <f aca="false">+AP270-AN270</f>
        <v>0</v>
      </c>
      <c r="AP270" s="348" t="n">
        <f aca="false">+IF(AND(AO$8&lt;=AM270,AO$9&gt;=AM270),+MIN($B270-SUMIF($H$17:AO$17,AP$17,$H270:AO270),((INDEX(ROUTE_PER_DAY_BY_SHIP,MATCH(CONCATENATE(AO$4,AO$5,AO$7),ROUTE_PER_DAY_ROUTES,0),MATCH(AO$6,ROUTE_PER_DAY_SHIPS,0))*(AM271-AM270))-(INDEX(ROUTE_PER_DAY_BY_SHIP,MATCH(CONCATENATE(AO$4,AO$5,AO$7),ROUTE_PER_DAY_ROUTES,0),MATCH(AO$6,ROUTE_PER_DAY_SHIPS,0))*(AM271-AM270))*HLOOKUP(AO$6,SHIPS,7,0)*INDEX(LADEN_VOYAGE_DAYS,MATCH(CONCATENATE(AO$4,AO$5,AO$7),LADEN_VOYAGE_ROUTES,0),MATCH(AO$6,LADEN_VOYAGE_SHIPS,0)))),0)</f>
        <v>0</v>
      </c>
      <c r="AQ270" s="349" t="n">
        <f aca="false">-(AP270)*PORTS!$I$6</f>
        <v>-0</v>
      </c>
      <c r="AR270" s="327" t="n">
        <f aca="false">+AP270+AQ270</f>
        <v>0</v>
      </c>
      <c r="AS270" s="333"/>
      <c r="AT270" s="346" t="n">
        <f aca="false">+DATE(YEAR(AT269),MONTH(AT269)+1,1)</f>
        <v>44378</v>
      </c>
      <c r="AU270" s="343" t="n">
        <f aca="false">+AR270*(VLOOKUP(AT270,CURVECALC!$C$6:$J$312,4,0)+AV$5)</f>
        <v>0</v>
      </c>
      <c r="AV270" s="350" t="n">
        <f aca="false">-AN270*INDEX(ship_curves,MATCH(AT270,'SHIP CURVES'!$A$9:$A$316,0),MATCH(CONCATENATE(AX$4,AX$5,AX$6,AX$7),'SHIP CURVES'!$A$9:$AZ$9,0))</f>
        <v>-0</v>
      </c>
      <c r="AW270" s="351" t="n">
        <f aca="false">-AP270*INDEX(port_processing_fee,MATCH(AT270,PORTS!$H$626:$H$933,0),MATCH(AX$5,PORTS!$H$626:$Z$626,0))</f>
        <v>-0</v>
      </c>
      <c r="AX270" s="352" t="n">
        <f aca="false">(((VLOOKUP(AT270,curvecalc,4,0))*IF(AN270=0,0,AR270/AN270)-INDEX(ship_curves,MATCH(AT270,'SHIP CURVES'!$A$9:$A$316,0),MATCH(CONCATENATE(AX$4,AX$5,AX$6,AX$7),'SHIP CURVES'!$A$9:$Z$9,0))-INDEX(terminal_curves,MATCH(AT270,'TERMINAL CURVES'!$A$4:$A$313,0),MATCH(AX$5,'TERMINAL CURVES'!$A$4:$N$4,0))*IF(AN270=0,0,AP270/AN270))-(AV$8)*((AV$7-$N$5)-(INDEX(ship_curves,MATCH(AT270,'SHIP CURVES'!$A$9:$A$316,0),MATCH(CONCATENATE(AX$4,AX$5,AX$6,AX$7),'SHIP CURVES'!$A$9:$Z$9,0))-INDEX(ship_curves,MATCH(AT270,'SHIP CURVES'!$A$9:$A$316,0),MATCH(CONCATENATE(AX$4,AV$6,AX$6,AX$7),'SHIP CURVES'!$A$9:$Z$9,0)))-(INDEX(terminal_curves,MATCH(AT270,'TERMINAL CURVES'!$A$4:$A$313,0),MATCH(AX$5,'TERMINAL CURVES'!$A$4:$N$4,0))-INDEX(terminal_curves,MATCH(AT270,'TERMINAL CURVES'!$A$4:$A$313,0),MATCH(AV$6,'TERMINAL CURVES'!$A$4:$N$4,0)))*IF(AN270=0,0,AP270/AN270)))*-AN270</f>
        <v>0</v>
      </c>
      <c r="AY270" s="356" t="n">
        <f aca="false">SUM(AV270:AX270)</f>
        <v>0</v>
      </c>
      <c r="AZ270" s="357" t="n">
        <f aca="false">(-AP270/((HLOOKUP(AX$5,port_specs,2,0)/(365.25))*(AT271-AT270)))*(INDEX(fixed_capacity_charge,MATCH(AT270,PORTS!$H$11:$H$317,0),MATCH(AX$5,PORTS!$H$11:$N$11,0))+INDEX(variable_om_charge,MATCH(AT270,PORTS!$H$318:$H$625,0),MATCH(AX$5,PORTS!$H$318:$N$318,0)))</f>
        <v>-0</v>
      </c>
      <c r="BA270" s="343" t="n">
        <f aca="false">+AZ270+AY270</f>
        <v>0</v>
      </c>
      <c r="BB270" s="355" t="n">
        <f aca="false">+BA270+AU270</f>
        <v>0</v>
      </c>
      <c r="BC270" s="99"/>
      <c r="BD270" s="357" t="n">
        <f aca="false">+PORTS!I264+PORTS!I572</f>
        <v>0</v>
      </c>
    </row>
    <row r="271" customFormat="false" ht="12.75" hidden="false" customHeight="false" outlineLevel="0" collapsed="false">
      <c r="A271" s="346" t="n">
        <f aca="false">+DATE(YEAR(A270),MONTH(A270)+1,1)</f>
        <v>44409</v>
      </c>
      <c r="B271" s="327" t="n">
        <f aca="false">+IF(AND($A271&gt;=$C$8,$A271&lt;=$C$9),1,0)*PORTS!$I$5/(365.25)*(A272-A271)</f>
        <v>0</v>
      </c>
      <c r="C271" s="328" t="n">
        <f aca="false">+B271-(SUMIF($F$17:$IV$17,$H$17,$F271:$IV271))</f>
        <v>0</v>
      </c>
      <c r="D271" s="0" t="n">
        <f aca="false">+YEAR(E271)</f>
        <v>2021</v>
      </c>
      <c r="E271" s="346" t="n">
        <f aca="false">+DATE(YEAR(E270),MONTH(E270)+1,1)</f>
        <v>44409</v>
      </c>
      <c r="F271" s="327" t="n">
        <f aca="false">+IF(AND(G$8&lt;=E271,G$9&gt;=E271),INDEX(ROUTE_PER_DAY_BY_SHIP,MATCH(CONCATENATE(G$4,G$5,G$7),ROUTE_PER_DAY_ROUTES,0),MATCH(G$6,ROUTE_PER_DAY_SHIPS,0))*(E272-E271),0)</f>
        <v>0</v>
      </c>
      <c r="G271" s="347" t="n">
        <f aca="false">-F271*HLOOKUP(G$6,SHIPS,7,0)*INDEX(LADEN_VOYAGE_DAYS,MATCH(CONCATENATE(G$4,G$5,G$7),LADEN_VOYAGE_ROUTES,0),MATCH(G$6,LADEN_VOYAGE_SHIPS,0))</f>
        <v>-0</v>
      </c>
      <c r="H271" s="348" t="n">
        <f aca="false">SUM(F271:G271)</f>
        <v>0</v>
      </c>
      <c r="I271" s="349" t="n">
        <f aca="false">-(H271)*HLOOKUP(G$5,TERMINAL_CHARGES,3,0)</f>
        <v>-0</v>
      </c>
      <c r="J271" s="327" t="n">
        <f aca="false">+H271+I271</f>
        <v>0</v>
      </c>
      <c r="K271" s="333"/>
      <c r="L271" s="346" t="n">
        <f aca="false">+DATE(YEAR(L270),MONTH(L270)+1,1)</f>
        <v>44409</v>
      </c>
      <c r="M271" s="334" t="n">
        <f aca="false">+J271*(VLOOKUP(L271,CURVECALC!$C$6:$J$312,4,0)+N$5)</f>
        <v>0</v>
      </c>
      <c r="N271" s="350" t="n">
        <f aca="false">-F271*INDEX(ship_curves,MATCH(L271,'SHIP CURVES'!$A$9:$A$316,0),MATCH(CONCATENATE(P$4,P$5,P$6,P$7),'SHIP CURVES'!$A$9:$AZ$9,0))</f>
        <v>-0</v>
      </c>
      <c r="O271" s="351" t="n">
        <f aca="false">-H271*INDEX(port_processing_fee,MATCH(L271,PORTS!$H$626:$H$933,0),MATCH(P$5,PORTS!$H$626:$Z$626,0))</f>
        <v>-0</v>
      </c>
      <c r="P271" s="352" t="n">
        <f aca="false">(((VLOOKUP(L271,curvecalc,4,0))*IF(F271=0,0,J271/F271)-INDEX(ship_curves,MATCH(L271,'SHIP CURVES'!$A$9:$A$316,0),MATCH(CONCATENATE(P$4,P$5,P$6,P$7),'SHIP CURVES'!$A$9:$Z$9,0))-INDEX(terminal_curves,MATCH(L271,'TERMINAL CURVES'!$A$4:$A$313,0),MATCH(P$5,'TERMINAL CURVES'!$A$4:$N$4,0))*IF(F271=0,0,H271/F271))-(N$8)*((N$7-$N$5)-(INDEX(ship_curves,MATCH(L271,'SHIP CURVES'!$A$9:$A$316,0),MATCH(CONCATENATE(P$4,P$5,P$6,P$7),'SHIP CURVES'!$A$9:$Z$9,0))-INDEX(ship_curves,MATCH(L271,'SHIP CURVES'!$A$9:$A$316,0),MATCH(CONCATENATE(P$4,N$6,P$6,P$7),'SHIP CURVES'!$A$9:$Z$9,0)))-(INDEX(terminal_curves,MATCH(L271,'TERMINAL CURVES'!$A$4:$A$313,0),MATCH(P$5,'TERMINAL CURVES'!$A$4:$N$4,0))-INDEX(terminal_curves,MATCH(L271,'TERMINAL CURVES'!$A$4:$A$313,0),MATCH(N$6,'TERMINAL CURVES'!$A$4:$N$4,0)))*IF(F271=0,0,H271/F271)))*-F271</f>
        <v>0</v>
      </c>
      <c r="Q271" s="353" t="n">
        <f aca="false">SUM(N271:P271)</f>
        <v>0</v>
      </c>
      <c r="R271" s="357" t="n">
        <f aca="false">(-H271/((HLOOKUP(P$5,port_specs,2,0)/(365.25))*(L272-L271)))*(INDEX(fixed_capacity_charge,MATCH(L271,PORTS!$H$11:$H$317,0),MATCH(P$5,PORTS!$H$11:$N$11,0))+INDEX(variable_om_charge,MATCH(L271,PORTS!$H$318:$H$625,0),MATCH(P$5,PORTS!$H$318:$N$318,0)))</f>
        <v>-0</v>
      </c>
      <c r="S271" s="343" t="n">
        <f aca="false">+R271+Q271</f>
        <v>0</v>
      </c>
      <c r="T271" s="355" t="n">
        <f aca="false">+S271+M271</f>
        <v>0</v>
      </c>
      <c r="V271" s="346" t="n">
        <f aca="false">+DATE(YEAR(V270),MONTH(V270)+1,1)</f>
        <v>44409</v>
      </c>
      <c r="W271" s="327" t="n">
        <f aca="false">+Y271/(1-HLOOKUP(X$6,SHIPS,7,0)*INDEX(LADEN_VOYAGE_DAYS,MATCH(CONCATENATE(X$4,X$5),LADEN_VOYAGE_ROUTES,0),MATCH(X$6,LADEN_VOYAGE_SHIPS,0)))</f>
        <v>0</v>
      </c>
      <c r="X271" s="347" t="n">
        <f aca="false">+Y271-W271</f>
        <v>0</v>
      </c>
      <c r="Y271" s="348" t="n">
        <f aca="false">+IF(AND(X$8&lt;=V271,X$9&gt;=V271),+MIN($B271-SUMIF($H$17:X$17,Y$17,$H271:X271),((INDEX(ROUTE_PER_DAY_BY_SHIP,MATCH(CONCATENATE(X$4,X$5,X$7),ROUTE_PER_DAY_ROUTES,0),MATCH(X$6,ROUTE_PER_DAY_SHIPS,0))*(V272-V271))-(INDEX(ROUTE_PER_DAY_BY_SHIP,MATCH(CONCATENATE(X$4,X$5,X$7),ROUTE_PER_DAY_ROUTES,0),MATCH(X$6,ROUTE_PER_DAY_SHIPS,0))*(V272-V271))*HLOOKUP(X$6,SHIPS,7,0)*INDEX(LADEN_VOYAGE_DAYS,MATCH(CONCATENATE(X$4,X$5,X$7),LADEN_VOYAGE_ROUTES,0),MATCH(X$6,LADEN_VOYAGE_SHIPS,0)))),0)</f>
        <v>0</v>
      </c>
      <c r="Z271" s="349" t="n">
        <f aca="false">-(Y271)*HLOOKUP(X$5,TERMINAL_CHARGES,3,0)</f>
        <v>-0</v>
      </c>
      <c r="AA271" s="327" t="n">
        <f aca="false">+Y271+Z271</f>
        <v>0</v>
      </c>
      <c r="AB271" s="333"/>
      <c r="AC271" s="346" t="n">
        <f aca="false">+DATE(YEAR(AC270),MONTH(AC270)+1,1)</f>
        <v>44409</v>
      </c>
      <c r="AD271" s="343" t="n">
        <f aca="false">+AA271*(VLOOKUP(AC271,CURVECALC!$C$6:$J$312,4,0)+AE$5)</f>
        <v>0</v>
      </c>
      <c r="AE271" s="350" t="n">
        <f aca="false">-W271*INDEX(ship_curves,MATCH(AC271,'SHIP CURVES'!$A$9:$A$316,0),MATCH(CONCATENATE(AG$4,AG$5,AG$6,AG$7),'SHIP CURVES'!$A$9:$AZ$9,0))</f>
        <v>-0</v>
      </c>
      <c r="AF271" s="351" t="n">
        <f aca="false">-Y271*INDEX(port_processing_fee,MATCH(AC271,PORTS!$H$626:$H$933,0),MATCH(AG$5,PORTS!$H$626:$Z$626,0))</f>
        <v>-0</v>
      </c>
      <c r="AG271" s="352" t="n">
        <f aca="false">(((VLOOKUP(AC271,curvecalc,4,0))*IF(W271=0,0,AA271/W271)-INDEX(ship_curves,MATCH(AC271,'SHIP CURVES'!$A$9:$A$316,0),MATCH(CONCATENATE(AG$4,AG$5,AG$6,AG$7),'SHIP CURVES'!$A$9:$Z$9,0))-INDEX(terminal_curves,MATCH(AC271,'TERMINAL CURVES'!$A$4:$A$313,0),MATCH(AG$5,'TERMINAL CURVES'!$A$4:$N$4,0))*IF(W271=0,0,Y271/W271))-(AE$8)*((AE$7-$N$5)-(INDEX(ship_curves,MATCH(AC271,'SHIP CURVES'!$A$9:$A$316,0),MATCH(CONCATENATE(AG$4,AG$5,AG$6,AG$7),'SHIP CURVES'!$A$9:$Z$9,0))-INDEX(ship_curves,MATCH(AC271,'SHIP CURVES'!$A$9:$A$316,0),MATCH(CONCATENATE(AG$4,AE$6,AG$6,AG$7),'SHIP CURVES'!$A$9:$Z$9,0)))-(INDEX(terminal_curves,MATCH(AC271,'TERMINAL CURVES'!$A$4:$A$313,0),MATCH(AG$5,'TERMINAL CURVES'!$A$4:$N$4,0))-INDEX(terminal_curves,MATCH(AC271,'TERMINAL CURVES'!$A$4:$A$313,0),MATCH(AE$6,'TERMINAL CURVES'!$A$4:$N$4,0)))*IF(W271=0,0,Y271/W271)))*-W271</f>
        <v>0</v>
      </c>
      <c r="AH271" s="356" t="n">
        <f aca="false">SUM(AE271:AG271)</f>
        <v>0</v>
      </c>
      <c r="AI271" s="357" t="n">
        <f aca="false">(-Y271/((HLOOKUP(AG$5,port_specs,2,0)/(365.25))*(AC272-AC271)))*(INDEX(fixed_capacity_charge,MATCH(AC271,PORTS!$H$11:$H$317,0),MATCH(AG$5,PORTS!$H$11:$N$11,0))+INDEX(variable_om_charge,MATCH(AC271,PORTS!$H$318:$H$625,0),MATCH(AG$5,PORTS!$H$318:$N$318,0)))</f>
        <v>-0</v>
      </c>
      <c r="AJ271" s="343" t="n">
        <f aca="false">+AI271+AH271</f>
        <v>0</v>
      </c>
      <c r="AK271" s="355" t="n">
        <f aca="false">+AJ271+AD271</f>
        <v>0</v>
      </c>
      <c r="AM271" s="346" t="n">
        <f aca="false">+DATE(YEAR(AM270),MONTH(AM270)+1,1)</f>
        <v>44409</v>
      </c>
      <c r="AN271" s="327" t="n">
        <f aca="false">+AP271/(1-HLOOKUP(AO$6,SHIPS,7,0)*INDEX(LADEN_VOYAGE_DAYS,MATCH(CONCATENATE(AO$4,AO$5),LADEN_VOYAGE_ROUTES,0),MATCH(AO$6,LADEN_VOYAGE_SHIPS,0)))</f>
        <v>0</v>
      </c>
      <c r="AO271" s="347" t="n">
        <f aca="false">+AP271-AN271</f>
        <v>0</v>
      </c>
      <c r="AP271" s="348" t="n">
        <f aca="false">+IF(AND(AO$8&lt;=AM271,AO$9&gt;=AM271),+MIN($B271-SUMIF($H$17:AO$17,AP$17,$H271:AO271),((INDEX(ROUTE_PER_DAY_BY_SHIP,MATCH(CONCATENATE(AO$4,AO$5,AO$7),ROUTE_PER_DAY_ROUTES,0),MATCH(AO$6,ROUTE_PER_DAY_SHIPS,0))*(AM272-AM271))-(INDEX(ROUTE_PER_DAY_BY_SHIP,MATCH(CONCATENATE(AO$4,AO$5,AO$7),ROUTE_PER_DAY_ROUTES,0),MATCH(AO$6,ROUTE_PER_DAY_SHIPS,0))*(AM272-AM271))*HLOOKUP(AO$6,SHIPS,7,0)*INDEX(LADEN_VOYAGE_DAYS,MATCH(CONCATENATE(AO$4,AO$5,AO$7),LADEN_VOYAGE_ROUTES,0),MATCH(AO$6,LADEN_VOYAGE_SHIPS,0)))),0)</f>
        <v>0</v>
      </c>
      <c r="AQ271" s="349" t="n">
        <f aca="false">-(AP271)*PORTS!$I$6</f>
        <v>-0</v>
      </c>
      <c r="AR271" s="327" t="n">
        <f aca="false">+AP271+AQ271</f>
        <v>0</v>
      </c>
      <c r="AS271" s="333"/>
      <c r="AT271" s="346" t="n">
        <f aca="false">+DATE(YEAR(AT270),MONTH(AT270)+1,1)</f>
        <v>44409</v>
      </c>
      <c r="AU271" s="343" t="n">
        <f aca="false">+AR271*(VLOOKUP(AT271,CURVECALC!$C$6:$J$312,4,0)+AV$5)</f>
        <v>0</v>
      </c>
      <c r="AV271" s="350" t="n">
        <f aca="false">-AN271*INDEX(ship_curves,MATCH(AT271,'SHIP CURVES'!$A$9:$A$316,0),MATCH(CONCATENATE(AX$4,AX$5,AX$6,AX$7),'SHIP CURVES'!$A$9:$AZ$9,0))</f>
        <v>-0</v>
      </c>
      <c r="AW271" s="351" t="n">
        <f aca="false">-AP271*INDEX(port_processing_fee,MATCH(AT271,PORTS!$H$626:$H$933,0),MATCH(AX$5,PORTS!$H$626:$Z$626,0))</f>
        <v>-0</v>
      </c>
      <c r="AX271" s="352" t="n">
        <f aca="false">(((VLOOKUP(AT271,curvecalc,4,0))*IF(AN271=0,0,AR271/AN271)-INDEX(ship_curves,MATCH(AT271,'SHIP CURVES'!$A$9:$A$316,0),MATCH(CONCATENATE(AX$4,AX$5,AX$6,AX$7),'SHIP CURVES'!$A$9:$Z$9,0))-INDEX(terminal_curves,MATCH(AT271,'TERMINAL CURVES'!$A$4:$A$313,0),MATCH(AX$5,'TERMINAL CURVES'!$A$4:$N$4,0))*IF(AN271=0,0,AP271/AN271))-(AV$8)*((AV$7-$N$5)-(INDEX(ship_curves,MATCH(AT271,'SHIP CURVES'!$A$9:$A$316,0),MATCH(CONCATENATE(AX$4,AX$5,AX$6,AX$7),'SHIP CURVES'!$A$9:$Z$9,0))-INDEX(ship_curves,MATCH(AT271,'SHIP CURVES'!$A$9:$A$316,0),MATCH(CONCATENATE(AX$4,AV$6,AX$6,AX$7),'SHIP CURVES'!$A$9:$Z$9,0)))-(INDEX(terminal_curves,MATCH(AT271,'TERMINAL CURVES'!$A$4:$A$313,0),MATCH(AX$5,'TERMINAL CURVES'!$A$4:$N$4,0))-INDEX(terminal_curves,MATCH(AT271,'TERMINAL CURVES'!$A$4:$A$313,0),MATCH(AV$6,'TERMINAL CURVES'!$A$4:$N$4,0)))*IF(AN271=0,0,AP271/AN271)))*-AN271</f>
        <v>0</v>
      </c>
      <c r="AY271" s="356" t="n">
        <f aca="false">SUM(AV271:AX271)</f>
        <v>0</v>
      </c>
      <c r="AZ271" s="357" t="n">
        <f aca="false">(-AP271/((HLOOKUP(AX$5,port_specs,2,0)/(365.25))*(AT272-AT271)))*(INDEX(fixed_capacity_charge,MATCH(AT271,PORTS!$H$11:$H$317,0),MATCH(AX$5,PORTS!$H$11:$N$11,0))+INDEX(variable_om_charge,MATCH(AT271,PORTS!$H$318:$H$625,0),MATCH(AX$5,PORTS!$H$318:$N$318,0)))</f>
        <v>-0</v>
      </c>
      <c r="BA271" s="343" t="n">
        <f aca="false">+AZ271+AY271</f>
        <v>0</v>
      </c>
      <c r="BB271" s="355" t="n">
        <f aca="false">+BA271+AU271</f>
        <v>0</v>
      </c>
      <c r="BC271" s="99"/>
      <c r="BD271" s="357" t="n">
        <f aca="false">+PORTS!I265+PORTS!I573</f>
        <v>0</v>
      </c>
    </row>
    <row r="272" customFormat="false" ht="12.75" hidden="false" customHeight="false" outlineLevel="0" collapsed="false">
      <c r="A272" s="346" t="n">
        <f aca="false">+DATE(YEAR(A271),MONTH(A271)+1,1)</f>
        <v>44440</v>
      </c>
      <c r="B272" s="327" t="n">
        <f aca="false">+IF(AND($A272&gt;=$C$8,$A272&lt;=$C$9),1,0)*PORTS!$I$5/(365.25)*(A273-A272)</f>
        <v>0</v>
      </c>
      <c r="C272" s="328" t="n">
        <f aca="false">+B272-(SUMIF($F$17:$IV$17,$H$17,$F272:$IV272))</f>
        <v>0</v>
      </c>
      <c r="D272" s="0" t="n">
        <f aca="false">+YEAR(E272)</f>
        <v>2021</v>
      </c>
      <c r="E272" s="346" t="n">
        <f aca="false">+DATE(YEAR(E271),MONTH(E271)+1,1)</f>
        <v>44440</v>
      </c>
      <c r="F272" s="327" t="n">
        <f aca="false">+IF(AND(G$8&lt;=E272,G$9&gt;=E272),INDEX(ROUTE_PER_DAY_BY_SHIP,MATCH(CONCATENATE(G$4,G$5,G$7),ROUTE_PER_DAY_ROUTES,0),MATCH(G$6,ROUTE_PER_DAY_SHIPS,0))*(E273-E272),0)</f>
        <v>0</v>
      </c>
      <c r="G272" s="347" t="n">
        <f aca="false">-F272*HLOOKUP(G$6,SHIPS,7,0)*INDEX(LADEN_VOYAGE_DAYS,MATCH(CONCATENATE(G$4,G$5,G$7),LADEN_VOYAGE_ROUTES,0),MATCH(G$6,LADEN_VOYAGE_SHIPS,0))</f>
        <v>-0</v>
      </c>
      <c r="H272" s="348" t="n">
        <f aca="false">SUM(F272:G272)</f>
        <v>0</v>
      </c>
      <c r="I272" s="349" t="n">
        <f aca="false">-(H272)*HLOOKUP(G$5,TERMINAL_CHARGES,3,0)</f>
        <v>-0</v>
      </c>
      <c r="J272" s="327" t="n">
        <f aca="false">+H272+I272</f>
        <v>0</v>
      </c>
      <c r="K272" s="333"/>
      <c r="L272" s="346" t="n">
        <f aca="false">+DATE(YEAR(L271),MONTH(L271)+1,1)</f>
        <v>44440</v>
      </c>
      <c r="M272" s="334" t="n">
        <f aca="false">+J272*(VLOOKUP(L272,CURVECALC!$C$6:$J$312,4,0)+N$5)</f>
        <v>0</v>
      </c>
      <c r="N272" s="350" t="n">
        <f aca="false">-F272*INDEX(ship_curves,MATCH(L272,'SHIP CURVES'!$A$9:$A$316,0),MATCH(CONCATENATE(P$4,P$5,P$6,P$7),'SHIP CURVES'!$A$9:$AZ$9,0))</f>
        <v>-0</v>
      </c>
      <c r="O272" s="351" t="n">
        <f aca="false">-H272*INDEX(port_processing_fee,MATCH(L272,PORTS!$H$626:$H$933,0),MATCH(P$5,PORTS!$H$626:$Z$626,0))</f>
        <v>-0</v>
      </c>
      <c r="P272" s="352" t="n">
        <f aca="false">(((VLOOKUP(L272,curvecalc,4,0))*IF(F272=0,0,J272/F272)-INDEX(ship_curves,MATCH(L272,'SHIP CURVES'!$A$9:$A$316,0),MATCH(CONCATENATE(P$4,P$5,P$6,P$7),'SHIP CURVES'!$A$9:$Z$9,0))-INDEX(terminal_curves,MATCH(L272,'TERMINAL CURVES'!$A$4:$A$313,0),MATCH(P$5,'TERMINAL CURVES'!$A$4:$N$4,0))*IF(F272=0,0,H272/F272))-(N$8)*((N$7-$N$5)-(INDEX(ship_curves,MATCH(L272,'SHIP CURVES'!$A$9:$A$316,0),MATCH(CONCATENATE(P$4,P$5,P$6,P$7),'SHIP CURVES'!$A$9:$Z$9,0))-INDEX(ship_curves,MATCH(L272,'SHIP CURVES'!$A$9:$A$316,0),MATCH(CONCATENATE(P$4,N$6,P$6,P$7),'SHIP CURVES'!$A$9:$Z$9,0)))-(INDEX(terminal_curves,MATCH(L272,'TERMINAL CURVES'!$A$4:$A$313,0),MATCH(P$5,'TERMINAL CURVES'!$A$4:$N$4,0))-INDEX(terminal_curves,MATCH(L272,'TERMINAL CURVES'!$A$4:$A$313,0),MATCH(N$6,'TERMINAL CURVES'!$A$4:$N$4,0)))*IF(F272=0,0,H272/F272)))*-F272</f>
        <v>0</v>
      </c>
      <c r="Q272" s="353" t="n">
        <f aca="false">SUM(N272:P272)</f>
        <v>0</v>
      </c>
      <c r="R272" s="357" t="n">
        <f aca="false">(-H272/((HLOOKUP(P$5,port_specs,2,0)/(365.25))*(L273-L272)))*(INDEX(fixed_capacity_charge,MATCH(L272,PORTS!$H$11:$H$317,0),MATCH(P$5,PORTS!$H$11:$N$11,0))+INDEX(variable_om_charge,MATCH(L272,PORTS!$H$318:$H$625,0),MATCH(P$5,PORTS!$H$318:$N$318,0)))</f>
        <v>-0</v>
      </c>
      <c r="S272" s="343" t="n">
        <f aca="false">+R272+Q272</f>
        <v>0</v>
      </c>
      <c r="T272" s="355" t="n">
        <f aca="false">+S272+M272</f>
        <v>0</v>
      </c>
      <c r="V272" s="346" t="n">
        <f aca="false">+DATE(YEAR(V271),MONTH(V271)+1,1)</f>
        <v>44440</v>
      </c>
      <c r="W272" s="327" t="n">
        <f aca="false">+Y272/(1-HLOOKUP(X$6,SHIPS,7,0)*INDEX(LADEN_VOYAGE_DAYS,MATCH(CONCATENATE(X$4,X$5),LADEN_VOYAGE_ROUTES,0),MATCH(X$6,LADEN_VOYAGE_SHIPS,0)))</f>
        <v>0</v>
      </c>
      <c r="X272" s="347" t="n">
        <f aca="false">+Y272-W272</f>
        <v>0</v>
      </c>
      <c r="Y272" s="348" t="n">
        <f aca="false">+IF(AND(X$8&lt;=V272,X$9&gt;=V272),+MIN($B272-SUMIF($H$17:X$17,Y$17,$H272:X272),((INDEX(ROUTE_PER_DAY_BY_SHIP,MATCH(CONCATENATE(X$4,X$5,X$7),ROUTE_PER_DAY_ROUTES,0),MATCH(X$6,ROUTE_PER_DAY_SHIPS,0))*(V273-V272))-(INDEX(ROUTE_PER_DAY_BY_SHIP,MATCH(CONCATENATE(X$4,X$5,X$7),ROUTE_PER_DAY_ROUTES,0),MATCH(X$6,ROUTE_PER_DAY_SHIPS,0))*(V273-V272))*HLOOKUP(X$6,SHIPS,7,0)*INDEX(LADEN_VOYAGE_DAYS,MATCH(CONCATENATE(X$4,X$5,X$7),LADEN_VOYAGE_ROUTES,0),MATCH(X$6,LADEN_VOYAGE_SHIPS,0)))),0)</f>
        <v>0</v>
      </c>
      <c r="Z272" s="349" t="n">
        <f aca="false">-(Y272)*HLOOKUP(X$5,TERMINAL_CHARGES,3,0)</f>
        <v>-0</v>
      </c>
      <c r="AA272" s="327" t="n">
        <f aca="false">+Y272+Z272</f>
        <v>0</v>
      </c>
      <c r="AB272" s="333"/>
      <c r="AC272" s="346" t="n">
        <f aca="false">+DATE(YEAR(AC271),MONTH(AC271)+1,1)</f>
        <v>44440</v>
      </c>
      <c r="AD272" s="343" t="n">
        <f aca="false">+AA272*(VLOOKUP(AC272,CURVECALC!$C$6:$J$312,4,0)+AE$5)</f>
        <v>0</v>
      </c>
      <c r="AE272" s="350" t="n">
        <f aca="false">-W272*INDEX(ship_curves,MATCH(AC272,'SHIP CURVES'!$A$9:$A$316,0),MATCH(CONCATENATE(AG$4,AG$5,AG$6,AG$7),'SHIP CURVES'!$A$9:$AZ$9,0))</f>
        <v>-0</v>
      </c>
      <c r="AF272" s="351" t="n">
        <f aca="false">-Y272*INDEX(port_processing_fee,MATCH(AC272,PORTS!$H$626:$H$933,0),MATCH(AG$5,PORTS!$H$626:$Z$626,0))</f>
        <v>-0</v>
      </c>
      <c r="AG272" s="352" t="n">
        <f aca="false">(((VLOOKUP(AC272,curvecalc,4,0))*IF(W272=0,0,AA272/W272)-INDEX(ship_curves,MATCH(AC272,'SHIP CURVES'!$A$9:$A$316,0),MATCH(CONCATENATE(AG$4,AG$5,AG$6,AG$7),'SHIP CURVES'!$A$9:$Z$9,0))-INDEX(terminal_curves,MATCH(AC272,'TERMINAL CURVES'!$A$4:$A$313,0),MATCH(AG$5,'TERMINAL CURVES'!$A$4:$N$4,0))*IF(W272=0,0,Y272/W272))-(AE$8)*((AE$7-$N$5)-(INDEX(ship_curves,MATCH(AC272,'SHIP CURVES'!$A$9:$A$316,0),MATCH(CONCATENATE(AG$4,AG$5,AG$6,AG$7),'SHIP CURVES'!$A$9:$Z$9,0))-INDEX(ship_curves,MATCH(AC272,'SHIP CURVES'!$A$9:$A$316,0),MATCH(CONCATENATE(AG$4,AE$6,AG$6,AG$7),'SHIP CURVES'!$A$9:$Z$9,0)))-(INDEX(terminal_curves,MATCH(AC272,'TERMINAL CURVES'!$A$4:$A$313,0),MATCH(AG$5,'TERMINAL CURVES'!$A$4:$N$4,0))-INDEX(terminal_curves,MATCH(AC272,'TERMINAL CURVES'!$A$4:$A$313,0),MATCH(AE$6,'TERMINAL CURVES'!$A$4:$N$4,0)))*IF(W272=0,0,Y272/W272)))*-W272</f>
        <v>0</v>
      </c>
      <c r="AH272" s="356" t="n">
        <f aca="false">SUM(AE272:AG272)</f>
        <v>0</v>
      </c>
      <c r="AI272" s="357" t="n">
        <f aca="false">(-Y272/((HLOOKUP(AG$5,port_specs,2,0)/(365.25))*(AC273-AC272)))*(INDEX(fixed_capacity_charge,MATCH(AC272,PORTS!$H$11:$H$317,0),MATCH(AG$5,PORTS!$H$11:$N$11,0))+INDEX(variable_om_charge,MATCH(AC272,PORTS!$H$318:$H$625,0),MATCH(AG$5,PORTS!$H$318:$N$318,0)))</f>
        <v>-0</v>
      </c>
      <c r="AJ272" s="343" t="n">
        <f aca="false">+AI272+AH272</f>
        <v>0</v>
      </c>
      <c r="AK272" s="355" t="n">
        <f aca="false">+AJ272+AD272</f>
        <v>0</v>
      </c>
      <c r="AM272" s="346" t="n">
        <f aca="false">+DATE(YEAR(AM271),MONTH(AM271)+1,1)</f>
        <v>44440</v>
      </c>
      <c r="AN272" s="327" t="n">
        <f aca="false">+AP272/(1-HLOOKUP(AO$6,SHIPS,7,0)*INDEX(LADEN_VOYAGE_DAYS,MATCH(CONCATENATE(AO$4,AO$5),LADEN_VOYAGE_ROUTES,0),MATCH(AO$6,LADEN_VOYAGE_SHIPS,0)))</f>
        <v>0</v>
      </c>
      <c r="AO272" s="347" t="n">
        <f aca="false">+AP272-AN272</f>
        <v>0</v>
      </c>
      <c r="AP272" s="348" t="n">
        <f aca="false">+IF(AND(AO$8&lt;=AM272,AO$9&gt;=AM272),+MIN($B272-SUMIF($H$17:AO$17,AP$17,$H272:AO272),((INDEX(ROUTE_PER_DAY_BY_SHIP,MATCH(CONCATENATE(AO$4,AO$5,AO$7),ROUTE_PER_DAY_ROUTES,0),MATCH(AO$6,ROUTE_PER_DAY_SHIPS,0))*(AM273-AM272))-(INDEX(ROUTE_PER_DAY_BY_SHIP,MATCH(CONCATENATE(AO$4,AO$5,AO$7),ROUTE_PER_DAY_ROUTES,0),MATCH(AO$6,ROUTE_PER_DAY_SHIPS,0))*(AM273-AM272))*HLOOKUP(AO$6,SHIPS,7,0)*INDEX(LADEN_VOYAGE_DAYS,MATCH(CONCATENATE(AO$4,AO$5,AO$7),LADEN_VOYAGE_ROUTES,0),MATCH(AO$6,LADEN_VOYAGE_SHIPS,0)))),0)</f>
        <v>0</v>
      </c>
      <c r="AQ272" s="349" t="n">
        <f aca="false">-(AP272)*PORTS!$I$6</f>
        <v>-0</v>
      </c>
      <c r="AR272" s="327" t="n">
        <f aca="false">+AP272+AQ272</f>
        <v>0</v>
      </c>
      <c r="AS272" s="333"/>
      <c r="AT272" s="346" t="n">
        <f aca="false">+DATE(YEAR(AT271),MONTH(AT271)+1,1)</f>
        <v>44440</v>
      </c>
      <c r="AU272" s="343" t="n">
        <f aca="false">+AR272*(VLOOKUP(AT272,CURVECALC!$C$6:$J$312,4,0)+AV$5)</f>
        <v>0</v>
      </c>
      <c r="AV272" s="350" t="n">
        <f aca="false">-AN272*INDEX(ship_curves,MATCH(AT272,'SHIP CURVES'!$A$9:$A$316,0),MATCH(CONCATENATE(AX$4,AX$5,AX$6,AX$7),'SHIP CURVES'!$A$9:$AZ$9,0))</f>
        <v>-0</v>
      </c>
      <c r="AW272" s="351" t="n">
        <f aca="false">-AP272*INDEX(port_processing_fee,MATCH(AT272,PORTS!$H$626:$H$933,0),MATCH(AX$5,PORTS!$H$626:$Z$626,0))</f>
        <v>-0</v>
      </c>
      <c r="AX272" s="352" t="n">
        <f aca="false">(((VLOOKUP(AT272,curvecalc,4,0))*IF(AN272=0,0,AR272/AN272)-INDEX(ship_curves,MATCH(AT272,'SHIP CURVES'!$A$9:$A$316,0),MATCH(CONCATENATE(AX$4,AX$5,AX$6,AX$7),'SHIP CURVES'!$A$9:$Z$9,0))-INDEX(terminal_curves,MATCH(AT272,'TERMINAL CURVES'!$A$4:$A$313,0),MATCH(AX$5,'TERMINAL CURVES'!$A$4:$N$4,0))*IF(AN272=0,0,AP272/AN272))-(AV$8)*((AV$7-$N$5)-(INDEX(ship_curves,MATCH(AT272,'SHIP CURVES'!$A$9:$A$316,0),MATCH(CONCATENATE(AX$4,AX$5,AX$6,AX$7),'SHIP CURVES'!$A$9:$Z$9,0))-INDEX(ship_curves,MATCH(AT272,'SHIP CURVES'!$A$9:$A$316,0),MATCH(CONCATENATE(AX$4,AV$6,AX$6,AX$7),'SHIP CURVES'!$A$9:$Z$9,0)))-(INDEX(terminal_curves,MATCH(AT272,'TERMINAL CURVES'!$A$4:$A$313,0),MATCH(AX$5,'TERMINAL CURVES'!$A$4:$N$4,0))-INDEX(terminal_curves,MATCH(AT272,'TERMINAL CURVES'!$A$4:$A$313,0),MATCH(AV$6,'TERMINAL CURVES'!$A$4:$N$4,0)))*IF(AN272=0,0,AP272/AN272)))*-AN272</f>
        <v>0</v>
      </c>
      <c r="AY272" s="356" t="n">
        <f aca="false">SUM(AV272:AX272)</f>
        <v>0</v>
      </c>
      <c r="AZ272" s="357" t="n">
        <f aca="false">(-AP272/((HLOOKUP(AX$5,port_specs,2,0)/(365.25))*(AT273-AT272)))*(INDEX(fixed_capacity_charge,MATCH(AT272,PORTS!$H$11:$H$317,0),MATCH(AX$5,PORTS!$H$11:$N$11,0))+INDEX(variable_om_charge,MATCH(AT272,PORTS!$H$318:$H$625,0),MATCH(AX$5,PORTS!$H$318:$N$318,0)))</f>
        <v>-0</v>
      </c>
      <c r="BA272" s="343" t="n">
        <f aca="false">+AZ272+AY272</f>
        <v>0</v>
      </c>
      <c r="BB272" s="355" t="n">
        <f aca="false">+BA272+AU272</f>
        <v>0</v>
      </c>
      <c r="BC272" s="99"/>
      <c r="BD272" s="357" t="n">
        <f aca="false">+PORTS!I266+PORTS!I574</f>
        <v>0</v>
      </c>
    </row>
    <row r="273" customFormat="false" ht="12.75" hidden="false" customHeight="false" outlineLevel="0" collapsed="false">
      <c r="A273" s="346" t="n">
        <f aca="false">+DATE(YEAR(A272),MONTH(A272)+1,1)</f>
        <v>44470</v>
      </c>
      <c r="B273" s="327" t="n">
        <f aca="false">+IF(AND($A273&gt;=$C$8,$A273&lt;=$C$9),1,0)*PORTS!$I$5/(365.25)*(A274-A273)</f>
        <v>0</v>
      </c>
      <c r="C273" s="328" t="n">
        <f aca="false">+B273-(SUMIF($F$17:$IV$17,$H$17,$F273:$IV273))</f>
        <v>0</v>
      </c>
      <c r="D273" s="0" t="n">
        <f aca="false">+YEAR(E273)</f>
        <v>2021</v>
      </c>
      <c r="E273" s="346" t="n">
        <f aca="false">+DATE(YEAR(E272),MONTH(E272)+1,1)</f>
        <v>44470</v>
      </c>
      <c r="F273" s="327" t="n">
        <f aca="false">+IF(AND(G$8&lt;=E273,G$9&gt;=E273),INDEX(ROUTE_PER_DAY_BY_SHIP,MATCH(CONCATENATE(G$4,G$5,G$7),ROUTE_PER_DAY_ROUTES,0),MATCH(G$6,ROUTE_PER_DAY_SHIPS,0))*(E274-E273),0)</f>
        <v>0</v>
      </c>
      <c r="G273" s="347" t="n">
        <f aca="false">-F273*HLOOKUP(G$6,SHIPS,7,0)*INDEX(LADEN_VOYAGE_DAYS,MATCH(CONCATENATE(G$4,G$5,G$7),LADEN_VOYAGE_ROUTES,0),MATCH(G$6,LADEN_VOYAGE_SHIPS,0))</f>
        <v>-0</v>
      </c>
      <c r="H273" s="348" t="n">
        <f aca="false">SUM(F273:G273)</f>
        <v>0</v>
      </c>
      <c r="I273" s="349" t="n">
        <f aca="false">-(H273)*HLOOKUP(G$5,TERMINAL_CHARGES,3,0)</f>
        <v>-0</v>
      </c>
      <c r="J273" s="327" t="n">
        <f aca="false">+H273+I273</f>
        <v>0</v>
      </c>
      <c r="K273" s="333"/>
      <c r="L273" s="346" t="n">
        <f aca="false">+DATE(YEAR(L272),MONTH(L272)+1,1)</f>
        <v>44470</v>
      </c>
      <c r="M273" s="334" t="n">
        <f aca="false">+J273*(VLOOKUP(L273,CURVECALC!$C$6:$J$312,4,0)+N$5)</f>
        <v>0</v>
      </c>
      <c r="N273" s="350" t="n">
        <f aca="false">-F273*INDEX(ship_curves,MATCH(L273,'SHIP CURVES'!$A$9:$A$316,0),MATCH(CONCATENATE(P$4,P$5,P$6,P$7),'SHIP CURVES'!$A$9:$AZ$9,0))</f>
        <v>-0</v>
      </c>
      <c r="O273" s="351" t="n">
        <f aca="false">-H273*INDEX(port_processing_fee,MATCH(L273,PORTS!$H$626:$H$933,0),MATCH(P$5,PORTS!$H$626:$Z$626,0))</f>
        <v>-0</v>
      </c>
      <c r="P273" s="352" t="n">
        <f aca="false">(((VLOOKUP(L273,curvecalc,4,0))*IF(F273=0,0,J273/F273)-INDEX(ship_curves,MATCH(L273,'SHIP CURVES'!$A$9:$A$316,0),MATCH(CONCATENATE(P$4,P$5,P$6,P$7),'SHIP CURVES'!$A$9:$Z$9,0))-INDEX(terminal_curves,MATCH(L273,'TERMINAL CURVES'!$A$4:$A$313,0),MATCH(P$5,'TERMINAL CURVES'!$A$4:$N$4,0))*IF(F273=0,0,H273/F273))-(N$8)*((N$7-$N$5)-(INDEX(ship_curves,MATCH(L273,'SHIP CURVES'!$A$9:$A$316,0),MATCH(CONCATENATE(P$4,P$5,P$6,P$7),'SHIP CURVES'!$A$9:$Z$9,0))-INDEX(ship_curves,MATCH(L273,'SHIP CURVES'!$A$9:$A$316,0),MATCH(CONCATENATE(P$4,N$6,P$6,P$7),'SHIP CURVES'!$A$9:$Z$9,0)))-(INDEX(terminal_curves,MATCH(L273,'TERMINAL CURVES'!$A$4:$A$313,0),MATCH(P$5,'TERMINAL CURVES'!$A$4:$N$4,0))-INDEX(terminal_curves,MATCH(L273,'TERMINAL CURVES'!$A$4:$A$313,0),MATCH(N$6,'TERMINAL CURVES'!$A$4:$N$4,0)))*IF(F273=0,0,H273/F273)))*-F273</f>
        <v>0</v>
      </c>
      <c r="Q273" s="353" t="n">
        <f aca="false">SUM(N273:P273)</f>
        <v>0</v>
      </c>
      <c r="R273" s="357" t="n">
        <f aca="false">(-H273/((HLOOKUP(P$5,port_specs,2,0)/(365.25))*(L274-L273)))*(INDEX(fixed_capacity_charge,MATCH(L273,PORTS!$H$11:$H$317,0),MATCH(P$5,PORTS!$H$11:$N$11,0))+INDEX(variable_om_charge,MATCH(L273,PORTS!$H$318:$H$625,0),MATCH(P$5,PORTS!$H$318:$N$318,0)))</f>
        <v>-0</v>
      </c>
      <c r="S273" s="343" t="n">
        <f aca="false">+R273+Q273</f>
        <v>0</v>
      </c>
      <c r="T273" s="355" t="n">
        <f aca="false">+S273+M273</f>
        <v>0</v>
      </c>
      <c r="V273" s="346" t="n">
        <f aca="false">+DATE(YEAR(V272),MONTH(V272)+1,1)</f>
        <v>44470</v>
      </c>
      <c r="W273" s="327" t="n">
        <f aca="false">+Y273/(1-HLOOKUP(X$6,SHIPS,7,0)*INDEX(LADEN_VOYAGE_DAYS,MATCH(CONCATENATE(X$4,X$5),LADEN_VOYAGE_ROUTES,0),MATCH(X$6,LADEN_VOYAGE_SHIPS,0)))</f>
        <v>0</v>
      </c>
      <c r="X273" s="347" t="n">
        <f aca="false">+Y273-W273</f>
        <v>0</v>
      </c>
      <c r="Y273" s="348" t="n">
        <f aca="false">+IF(AND(X$8&lt;=V273,X$9&gt;=V273),+MIN($B273-SUMIF($H$17:X$17,Y$17,$H273:X273),((INDEX(ROUTE_PER_DAY_BY_SHIP,MATCH(CONCATENATE(X$4,X$5,X$7),ROUTE_PER_DAY_ROUTES,0),MATCH(X$6,ROUTE_PER_DAY_SHIPS,0))*(V274-V273))-(INDEX(ROUTE_PER_DAY_BY_SHIP,MATCH(CONCATENATE(X$4,X$5,X$7),ROUTE_PER_DAY_ROUTES,0),MATCH(X$6,ROUTE_PER_DAY_SHIPS,0))*(V274-V273))*HLOOKUP(X$6,SHIPS,7,0)*INDEX(LADEN_VOYAGE_DAYS,MATCH(CONCATENATE(X$4,X$5,X$7),LADEN_VOYAGE_ROUTES,0),MATCH(X$6,LADEN_VOYAGE_SHIPS,0)))),0)</f>
        <v>0</v>
      </c>
      <c r="Z273" s="349" t="n">
        <f aca="false">-(Y273)*HLOOKUP(X$5,TERMINAL_CHARGES,3,0)</f>
        <v>-0</v>
      </c>
      <c r="AA273" s="327" t="n">
        <f aca="false">+Y273+Z273</f>
        <v>0</v>
      </c>
      <c r="AB273" s="333"/>
      <c r="AC273" s="346" t="n">
        <f aca="false">+DATE(YEAR(AC272),MONTH(AC272)+1,1)</f>
        <v>44470</v>
      </c>
      <c r="AD273" s="343" t="n">
        <f aca="false">+AA273*(VLOOKUP(AC273,CURVECALC!$C$6:$J$312,4,0)+AE$5)</f>
        <v>0</v>
      </c>
      <c r="AE273" s="350" t="n">
        <f aca="false">-W273*INDEX(ship_curves,MATCH(AC273,'SHIP CURVES'!$A$9:$A$316,0),MATCH(CONCATENATE(AG$4,AG$5,AG$6,AG$7),'SHIP CURVES'!$A$9:$AZ$9,0))</f>
        <v>-0</v>
      </c>
      <c r="AF273" s="351" t="n">
        <f aca="false">-Y273*INDEX(port_processing_fee,MATCH(AC273,PORTS!$H$626:$H$933,0),MATCH(AG$5,PORTS!$H$626:$Z$626,0))</f>
        <v>-0</v>
      </c>
      <c r="AG273" s="352" t="n">
        <f aca="false">(((VLOOKUP(AC273,curvecalc,4,0))*IF(W273=0,0,AA273/W273)-INDEX(ship_curves,MATCH(AC273,'SHIP CURVES'!$A$9:$A$316,0),MATCH(CONCATENATE(AG$4,AG$5,AG$6,AG$7),'SHIP CURVES'!$A$9:$Z$9,0))-INDEX(terminal_curves,MATCH(AC273,'TERMINAL CURVES'!$A$4:$A$313,0),MATCH(AG$5,'TERMINAL CURVES'!$A$4:$N$4,0))*IF(W273=0,0,Y273/W273))-(AE$8)*((AE$7-$N$5)-(INDEX(ship_curves,MATCH(AC273,'SHIP CURVES'!$A$9:$A$316,0),MATCH(CONCATENATE(AG$4,AG$5,AG$6,AG$7),'SHIP CURVES'!$A$9:$Z$9,0))-INDEX(ship_curves,MATCH(AC273,'SHIP CURVES'!$A$9:$A$316,0),MATCH(CONCATENATE(AG$4,AE$6,AG$6,AG$7),'SHIP CURVES'!$A$9:$Z$9,0)))-(INDEX(terminal_curves,MATCH(AC273,'TERMINAL CURVES'!$A$4:$A$313,0),MATCH(AG$5,'TERMINAL CURVES'!$A$4:$N$4,0))-INDEX(terminal_curves,MATCH(AC273,'TERMINAL CURVES'!$A$4:$A$313,0),MATCH(AE$6,'TERMINAL CURVES'!$A$4:$N$4,0)))*IF(W273=0,0,Y273/W273)))*-W273</f>
        <v>0</v>
      </c>
      <c r="AH273" s="356" t="n">
        <f aca="false">SUM(AE273:AG273)</f>
        <v>0</v>
      </c>
      <c r="AI273" s="357" t="n">
        <f aca="false">(-Y273/((HLOOKUP(AG$5,port_specs,2,0)/(365.25))*(AC274-AC273)))*(INDEX(fixed_capacity_charge,MATCH(AC273,PORTS!$H$11:$H$317,0),MATCH(AG$5,PORTS!$H$11:$N$11,0))+INDEX(variable_om_charge,MATCH(AC273,PORTS!$H$318:$H$625,0),MATCH(AG$5,PORTS!$H$318:$N$318,0)))</f>
        <v>-0</v>
      </c>
      <c r="AJ273" s="343" t="n">
        <f aca="false">+AI273+AH273</f>
        <v>0</v>
      </c>
      <c r="AK273" s="355" t="n">
        <f aca="false">+AJ273+AD273</f>
        <v>0</v>
      </c>
      <c r="AM273" s="346" t="n">
        <f aca="false">+DATE(YEAR(AM272),MONTH(AM272)+1,1)</f>
        <v>44470</v>
      </c>
      <c r="AN273" s="327" t="n">
        <f aca="false">+AP273/(1-HLOOKUP(AO$6,SHIPS,7,0)*INDEX(LADEN_VOYAGE_DAYS,MATCH(CONCATENATE(AO$4,AO$5),LADEN_VOYAGE_ROUTES,0),MATCH(AO$6,LADEN_VOYAGE_SHIPS,0)))</f>
        <v>0</v>
      </c>
      <c r="AO273" s="347" t="n">
        <f aca="false">+AP273-AN273</f>
        <v>0</v>
      </c>
      <c r="AP273" s="348" t="n">
        <f aca="false">+IF(AND(AO$8&lt;=AM273,AO$9&gt;=AM273),+MIN($B273-SUMIF($H$17:AO$17,AP$17,$H273:AO273),((INDEX(ROUTE_PER_DAY_BY_SHIP,MATCH(CONCATENATE(AO$4,AO$5,AO$7),ROUTE_PER_DAY_ROUTES,0),MATCH(AO$6,ROUTE_PER_DAY_SHIPS,0))*(AM274-AM273))-(INDEX(ROUTE_PER_DAY_BY_SHIP,MATCH(CONCATENATE(AO$4,AO$5,AO$7),ROUTE_PER_DAY_ROUTES,0),MATCH(AO$6,ROUTE_PER_DAY_SHIPS,0))*(AM274-AM273))*HLOOKUP(AO$6,SHIPS,7,0)*INDEX(LADEN_VOYAGE_DAYS,MATCH(CONCATENATE(AO$4,AO$5,AO$7),LADEN_VOYAGE_ROUTES,0),MATCH(AO$6,LADEN_VOYAGE_SHIPS,0)))),0)</f>
        <v>0</v>
      </c>
      <c r="AQ273" s="349" t="n">
        <f aca="false">-(AP273)*PORTS!$I$6</f>
        <v>-0</v>
      </c>
      <c r="AR273" s="327" t="n">
        <f aca="false">+AP273+AQ273</f>
        <v>0</v>
      </c>
      <c r="AS273" s="333"/>
      <c r="AT273" s="346" t="n">
        <f aca="false">+DATE(YEAR(AT272),MONTH(AT272)+1,1)</f>
        <v>44470</v>
      </c>
      <c r="AU273" s="343" t="n">
        <f aca="false">+AR273*(VLOOKUP(AT273,CURVECALC!$C$6:$J$312,4,0)+AV$5)</f>
        <v>0</v>
      </c>
      <c r="AV273" s="350" t="n">
        <f aca="false">-AN273*INDEX(ship_curves,MATCH(AT273,'SHIP CURVES'!$A$9:$A$316,0),MATCH(CONCATENATE(AX$4,AX$5,AX$6,AX$7),'SHIP CURVES'!$A$9:$AZ$9,0))</f>
        <v>-0</v>
      </c>
      <c r="AW273" s="351" t="n">
        <f aca="false">-AP273*INDEX(port_processing_fee,MATCH(AT273,PORTS!$H$626:$H$933,0),MATCH(AX$5,PORTS!$H$626:$Z$626,0))</f>
        <v>-0</v>
      </c>
      <c r="AX273" s="352" t="n">
        <f aca="false">(((VLOOKUP(AT273,curvecalc,4,0))*IF(AN273=0,0,AR273/AN273)-INDEX(ship_curves,MATCH(AT273,'SHIP CURVES'!$A$9:$A$316,0),MATCH(CONCATENATE(AX$4,AX$5,AX$6,AX$7),'SHIP CURVES'!$A$9:$Z$9,0))-INDEX(terminal_curves,MATCH(AT273,'TERMINAL CURVES'!$A$4:$A$313,0),MATCH(AX$5,'TERMINAL CURVES'!$A$4:$N$4,0))*IF(AN273=0,0,AP273/AN273))-(AV$8)*((AV$7-$N$5)-(INDEX(ship_curves,MATCH(AT273,'SHIP CURVES'!$A$9:$A$316,0),MATCH(CONCATENATE(AX$4,AX$5,AX$6,AX$7),'SHIP CURVES'!$A$9:$Z$9,0))-INDEX(ship_curves,MATCH(AT273,'SHIP CURVES'!$A$9:$A$316,0),MATCH(CONCATENATE(AX$4,AV$6,AX$6,AX$7),'SHIP CURVES'!$A$9:$Z$9,0)))-(INDEX(terminal_curves,MATCH(AT273,'TERMINAL CURVES'!$A$4:$A$313,0),MATCH(AX$5,'TERMINAL CURVES'!$A$4:$N$4,0))-INDEX(terminal_curves,MATCH(AT273,'TERMINAL CURVES'!$A$4:$A$313,0),MATCH(AV$6,'TERMINAL CURVES'!$A$4:$N$4,0)))*IF(AN273=0,0,AP273/AN273)))*-AN273</f>
        <v>0</v>
      </c>
      <c r="AY273" s="356" t="n">
        <f aca="false">SUM(AV273:AX273)</f>
        <v>0</v>
      </c>
      <c r="AZ273" s="357" t="n">
        <f aca="false">(-AP273/((HLOOKUP(AX$5,port_specs,2,0)/(365.25))*(AT274-AT273)))*(INDEX(fixed_capacity_charge,MATCH(AT273,PORTS!$H$11:$H$317,0),MATCH(AX$5,PORTS!$H$11:$N$11,0))+INDEX(variable_om_charge,MATCH(AT273,PORTS!$H$318:$H$625,0),MATCH(AX$5,PORTS!$H$318:$N$318,0)))</f>
        <v>-0</v>
      </c>
      <c r="BA273" s="343" t="n">
        <f aca="false">+AZ273+AY273</f>
        <v>0</v>
      </c>
      <c r="BB273" s="355" t="n">
        <f aca="false">+BA273+AU273</f>
        <v>0</v>
      </c>
      <c r="BC273" s="99"/>
      <c r="BD273" s="357" t="n">
        <f aca="false">+PORTS!I267+PORTS!I575</f>
        <v>0</v>
      </c>
    </row>
    <row r="274" customFormat="false" ht="12.75" hidden="false" customHeight="false" outlineLevel="0" collapsed="false">
      <c r="A274" s="346" t="n">
        <f aca="false">+DATE(YEAR(A273),MONTH(A273)+1,1)</f>
        <v>44501</v>
      </c>
      <c r="B274" s="327" t="n">
        <f aca="false">+IF(AND($A274&gt;=$C$8,$A274&lt;=$C$9),1,0)*PORTS!$I$5/(365.25)*(A275-A274)</f>
        <v>0</v>
      </c>
      <c r="C274" s="328" t="n">
        <f aca="false">+B274-(SUMIF($F$17:$IV$17,$H$17,$F274:$IV274))</f>
        <v>0</v>
      </c>
      <c r="D274" s="0" t="n">
        <f aca="false">+YEAR(E274)</f>
        <v>2021</v>
      </c>
      <c r="E274" s="346" t="n">
        <f aca="false">+DATE(YEAR(E273),MONTH(E273)+1,1)</f>
        <v>44501</v>
      </c>
      <c r="F274" s="327" t="n">
        <f aca="false">+IF(AND(G$8&lt;=E274,G$9&gt;=E274),INDEX(ROUTE_PER_DAY_BY_SHIP,MATCH(CONCATENATE(G$4,G$5,G$7),ROUTE_PER_DAY_ROUTES,0),MATCH(G$6,ROUTE_PER_DAY_SHIPS,0))*(E275-E274),0)</f>
        <v>0</v>
      </c>
      <c r="G274" s="347" t="n">
        <f aca="false">-F274*HLOOKUP(G$6,SHIPS,7,0)*INDEX(LADEN_VOYAGE_DAYS,MATCH(CONCATENATE(G$4,G$5,G$7),LADEN_VOYAGE_ROUTES,0),MATCH(G$6,LADEN_VOYAGE_SHIPS,0))</f>
        <v>-0</v>
      </c>
      <c r="H274" s="348" t="n">
        <f aca="false">SUM(F274:G274)</f>
        <v>0</v>
      </c>
      <c r="I274" s="349" t="n">
        <f aca="false">-(H274)*HLOOKUP(G$5,TERMINAL_CHARGES,3,0)</f>
        <v>-0</v>
      </c>
      <c r="J274" s="327" t="n">
        <f aca="false">+H274+I274</f>
        <v>0</v>
      </c>
      <c r="K274" s="333"/>
      <c r="L274" s="346" t="n">
        <f aca="false">+DATE(YEAR(L273),MONTH(L273)+1,1)</f>
        <v>44501</v>
      </c>
      <c r="M274" s="334" t="n">
        <f aca="false">+J274*(VLOOKUP(L274,CURVECALC!$C$6:$J$312,4,0)+N$5)</f>
        <v>0</v>
      </c>
      <c r="N274" s="350" t="n">
        <f aca="false">-F274*INDEX(ship_curves,MATCH(L274,'SHIP CURVES'!$A$9:$A$316,0),MATCH(CONCATENATE(P$4,P$5,P$6,P$7),'SHIP CURVES'!$A$9:$AZ$9,0))</f>
        <v>-0</v>
      </c>
      <c r="O274" s="351" t="n">
        <f aca="false">-H274*INDEX(port_processing_fee,MATCH(L274,PORTS!$H$626:$H$933,0),MATCH(P$5,PORTS!$H$626:$Z$626,0))</f>
        <v>-0</v>
      </c>
      <c r="P274" s="352" t="n">
        <f aca="false">(((VLOOKUP(L274,curvecalc,4,0))*IF(F274=0,0,J274/F274)-INDEX(ship_curves,MATCH(L274,'SHIP CURVES'!$A$9:$A$316,0),MATCH(CONCATENATE(P$4,P$5,P$6,P$7),'SHIP CURVES'!$A$9:$Z$9,0))-INDEX(terminal_curves,MATCH(L274,'TERMINAL CURVES'!$A$4:$A$313,0),MATCH(P$5,'TERMINAL CURVES'!$A$4:$N$4,0))*IF(F274=0,0,H274/F274))-(N$8)*((N$7-$N$5)-(INDEX(ship_curves,MATCH(L274,'SHIP CURVES'!$A$9:$A$316,0),MATCH(CONCATENATE(P$4,P$5,P$6,P$7),'SHIP CURVES'!$A$9:$Z$9,0))-INDEX(ship_curves,MATCH(L274,'SHIP CURVES'!$A$9:$A$316,0),MATCH(CONCATENATE(P$4,N$6,P$6,P$7),'SHIP CURVES'!$A$9:$Z$9,0)))-(INDEX(terminal_curves,MATCH(L274,'TERMINAL CURVES'!$A$4:$A$313,0),MATCH(P$5,'TERMINAL CURVES'!$A$4:$N$4,0))-INDEX(terminal_curves,MATCH(L274,'TERMINAL CURVES'!$A$4:$A$313,0),MATCH(N$6,'TERMINAL CURVES'!$A$4:$N$4,0)))*IF(F274=0,0,H274/F274)))*-F274</f>
        <v>0</v>
      </c>
      <c r="Q274" s="353" t="n">
        <f aca="false">SUM(N274:P274)</f>
        <v>0</v>
      </c>
      <c r="R274" s="357" t="n">
        <f aca="false">(-H274/((HLOOKUP(P$5,port_specs,2,0)/(365.25))*(L275-L274)))*(INDEX(fixed_capacity_charge,MATCH(L274,PORTS!$H$11:$H$317,0),MATCH(P$5,PORTS!$H$11:$N$11,0))+INDEX(variable_om_charge,MATCH(L274,PORTS!$H$318:$H$625,0),MATCH(P$5,PORTS!$H$318:$N$318,0)))</f>
        <v>-0</v>
      </c>
      <c r="S274" s="343" t="n">
        <f aca="false">+R274+Q274</f>
        <v>0</v>
      </c>
      <c r="T274" s="355" t="n">
        <f aca="false">+S274+M274</f>
        <v>0</v>
      </c>
      <c r="V274" s="346" t="n">
        <f aca="false">+DATE(YEAR(V273),MONTH(V273)+1,1)</f>
        <v>44501</v>
      </c>
      <c r="W274" s="327" t="n">
        <f aca="false">+Y274/(1-HLOOKUP(X$6,SHIPS,7,0)*INDEX(LADEN_VOYAGE_DAYS,MATCH(CONCATENATE(X$4,X$5),LADEN_VOYAGE_ROUTES,0),MATCH(X$6,LADEN_VOYAGE_SHIPS,0)))</f>
        <v>0</v>
      </c>
      <c r="X274" s="347" t="n">
        <f aca="false">+Y274-W274</f>
        <v>0</v>
      </c>
      <c r="Y274" s="348" t="n">
        <f aca="false">+IF(AND(X$8&lt;=V274,X$9&gt;=V274),+MIN($B274-SUMIF($H$17:X$17,Y$17,$H274:X274),((INDEX(ROUTE_PER_DAY_BY_SHIP,MATCH(CONCATENATE(X$4,X$5,X$7),ROUTE_PER_DAY_ROUTES,0),MATCH(X$6,ROUTE_PER_DAY_SHIPS,0))*(V275-V274))-(INDEX(ROUTE_PER_DAY_BY_SHIP,MATCH(CONCATENATE(X$4,X$5,X$7),ROUTE_PER_DAY_ROUTES,0),MATCH(X$6,ROUTE_PER_DAY_SHIPS,0))*(V275-V274))*HLOOKUP(X$6,SHIPS,7,0)*INDEX(LADEN_VOYAGE_DAYS,MATCH(CONCATENATE(X$4,X$5,X$7),LADEN_VOYAGE_ROUTES,0),MATCH(X$6,LADEN_VOYAGE_SHIPS,0)))),0)</f>
        <v>0</v>
      </c>
      <c r="Z274" s="349" t="n">
        <f aca="false">-(Y274)*HLOOKUP(X$5,TERMINAL_CHARGES,3,0)</f>
        <v>-0</v>
      </c>
      <c r="AA274" s="327" t="n">
        <f aca="false">+Y274+Z274</f>
        <v>0</v>
      </c>
      <c r="AB274" s="333"/>
      <c r="AC274" s="346" t="n">
        <f aca="false">+DATE(YEAR(AC273),MONTH(AC273)+1,1)</f>
        <v>44501</v>
      </c>
      <c r="AD274" s="343" t="n">
        <f aca="false">+AA274*(VLOOKUP(AC274,CURVECALC!$C$6:$J$312,4,0)+AE$5)</f>
        <v>0</v>
      </c>
      <c r="AE274" s="350" t="n">
        <f aca="false">-W274*INDEX(ship_curves,MATCH(AC274,'SHIP CURVES'!$A$9:$A$316,0),MATCH(CONCATENATE(AG$4,AG$5,AG$6,AG$7),'SHIP CURVES'!$A$9:$AZ$9,0))</f>
        <v>-0</v>
      </c>
      <c r="AF274" s="351" t="n">
        <f aca="false">-Y274*INDEX(port_processing_fee,MATCH(AC274,PORTS!$H$626:$H$933,0),MATCH(AG$5,PORTS!$H$626:$Z$626,0))</f>
        <v>-0</v>
      </c>
      <c r="AG274" s="352" t="n">
        <f aca="false">(((VLOOKUP(AC274,curvecalc,4,0))*IF(W274=0,0,AA274/W274)-INDEX(ship_curves,MATCH(AC274,'SHIP CURVES'!$A$9:$A$316,0),MATCH(CONCATENATE(AG$4,AG$5,AG$6,AG$7),'SHIP CURVES'!$A$9:$Z$9,0))-INDEX(terminal_curves,MATCH(AC274,'TERMINAL CURVES'!$A$4:$A$313,0),MATCH(AG$5,'TERMINAL CURVES'!$A$4:$N$4,0))*IF(W274=0,0,Y274/W274))-(AE$8)*((AE$7-$N$5)-(INDEX(ship_curves,MATCH(AC274,'SHIP CURVES'!$A$9:$A$316,0),MATCH(CONCATENATE(AG$4,AG$5,AG$6,AG$7),'SHIP CURVES'!$A$9:$Z$9,0))-INDEX(ship_curves,MATCH(AC274,'SHIP CURVES'!$A$9:$A$316,0),MATCH(CONCATENATE(AG$4,AE$6,AG$6,AG$7),'SHIP CURVES'!$A$9:$Z$9,0)))-(INDEX(terminal_curves,MATCH(AC274,'TERMINAL CURVES'!$A$4:$A$313,0),MATCH(AG$5,'TERMINAL CURVES'!$A$4:$N$4,0))-INDEX(terminal_curves,MATCH(AC274,'TERMINAL CURVES'!$A$4:$A$313,0),MATCH(AE$6,'TERMINAL CURVES'!$A$4:$N$4,0)))*IF(W274=0,0,Y274/W274)))*-W274</f>
        <v>0</v>
      </c>
      <c r="AH274" s="356" t="n">
        <f aca="false">SUM(AE274:AG274)</f>
        <v>0</v>
      </c>
      <c r="AI274" s="357" t="n">
        <f aca="false">(-Y274/((HLOOKUP(AG$5,port_specs,2,0)/(365.25))*(AC275-AC274)))*(INDEX(fixed_capacity_charge,MATCH(AC274,PORTS!$H$11:$H$317,0),MATCH(AG$5,PORTS!$H$11:$N$11,0))+INDEX(variable_om_charge,MATCH(AC274,PORTS!$H$318:$H$625,0),MATCH(AG$5,PORTS!$H$318:$N$318,0)))</f>
        <v>-0</v>
      </c>
      <c r="AJ274" s="343" t="n">
        <f aca="false">+AI274+AH274</f>
        <v>0</v>
      </c>
      <c r="AK274" s="355" t="n">
        <f aca="false">+AJ274+AD274</f>
        <v>0</v>
      </c>
      <c r="AM274" s="346" t="n">
        <f aca="false">+DATE(YEAR(AM273),MONTH(AM273)+1,1)</f>
        <v>44501</v>
      </c>
      <c r="AN274" s="327" t="n">
        <f aca="false">+AP274/(1-HLOOKUP(AO$6,SHIPS,7,0)*INDEX(LADEN_VOYAGE_DAYS,MATCH(CONCATENATE(AO$4,AO$5),LADEN_VOYAGE_ROUTES,0),MATCH(AO$6,LADEN_VOYAGE_SHIPS,0)))</f>
        <v>0</v>
      </c>
      <c r="AO274" s="347" t="n">
        <f aca="false">+AP274-AN274</f>
        <v>0</v>
      </c>
      <c r="AP274" s="348" t="n">
        <f aca="false">+IF(AND(AO$8&lt;=AM274,AO$9&gt;=AM274),+MIN($B274-SUMIF($H$17:AO$17,AP$17,$H274:AO274),((INDEX(ROUTE_PER_DAY_BY_SHIP,MATCH(CONCATENATE(AO$4,AO$5,AO$7),ROUTE_PER_DAY_ROUTES,0),MATCH(AO$6,ROUTE_PER_DAY_SHIPS,0))*(AM275-AM274))-(INDEX(ROUTE_PER_DAY_BY_SHIP,MATCH(CONCATENATE(AO$4,AO$5,AO$7),ROUTE_PER_DAY_ROUTES,0),MATCH(AO$6,ROUTE_PER_DAY_SHIPS,0))*(AM275-AM274))*HLOOKUP(AO$6,SHIPS,7,0)*INDEX(LADEN_VOYAGE_DAYS,MATCH(CONCATENATE(AO$4,AO$5,AO$7),LADEN_VOYAGE_ROUTES,0),MATCH(AO$6,LADEN_VOYAGE_SHIPS,0)))),0)</f>
        <v>0</v>
      </c>
      <c r="AQ274" s="349" t="n">
        <f aca="false">-(AP274)*PORTS!$I$6</f>
        <v>-0</v>
      </c>
      <c r="AR274" s="327" t="n">
        <f aca="false">+AP274+AQ274</f>
        <v>0</v>
      </c>
      <c r="AS274" s="333"/>
      <c r="AT274" s="346" t="n">
        <f aca="false">+DATE(YEAR(AT273),MONTH(AT273)+1,1)</f>
        <v>44501</v>
      </c>
      <c r="AU274" s="343" t="n">
        <f aca="false">+AR274*(VLOOKUP(AT274,CURVECALC!$C$6:$J$312,4,0)+AV$5)</f>
        <v>0</v>
      </c>
      <c r="AV274" s="350" t="n">
        <f aca="false">-AN274*INDEX(ship_curves,MATCH(AT274,'SHIP CURVES'!$A$9:$A$316,0),MATCH(CONCATENATE(AX$4,AX$5,AX$6,AX$7),'SHIP CURVES'!$A$9:$AZ$9,0))</f>
        <v>-0</v>
      </c>
      <c r="AW274" s="351" t="n">
        <f aca="false">-AP274*INDEX(port_processing_fee,MATCH(AT274,PORTS!$H$626:$H$933,0),MATCH(AX$5,PORTS!$H$626:$Z$626,0))</f>
        <v>-0</v>
      </c>
      <c r="AX274" s="352" t="n">
        <f aca="false">(((VLOOKUP(AT274,curvecalc,4,0))*IF(AN274=0,0,AR274/AN274)-INDEX(ship_curves,MATCH(AT274,'SHIP CURVES'!$A$9:$A$316,0),MATCH(CONCATENATE(AX$4,AX$5,AX$6,AX$7),'SHIP CURVES'!$A$9:$Z$9,0))-INDEX(terminal_curves,MATCH(AT274,'TERMINAL CURVES'!$A$4:$A$313,0),MATCH(AX$5,'TERMINAL CURVES'!$A$4:$N$4,0))*IF(AN274=0,0,AP274/AN274))-(AV$8)*((AV$7-$N$5)-(INDEX(ship_curves,MATCH(AT274,'SHIP CURVES'!$A$9:$A$316,0),MATCH(CONCATENATE(AX$4,AX$5,AX$6,AX$7),'SHIP CURVES'!$A$9:$Z$9,0))-INDEX(ship_curves,MATCH(AT274,'SHIP CURVES'!$A$9:$A$316,0),MATCH(CONCATENATE(AX$4,AV$6,AX$6,AX$7),'SHIP CURVES'!$A$9:$Z$9,0)))-(INDEX(terminal_curves,MATCH(AT274,'TERMINAL CURVES'!$A$4:$A$313,0),MATCH(AX$5,'TERMINAL CURVES'!$A$4:$N$4,0))-INDEX(terminal_curves,MATCH(AT274,'TERMINAL CURVES'!$A$4:$A$313,0),MATCH(AV$6,'TERMINAL CURVES'!$A$4:$N$4,0)))*IF(AN274=0,0,AP274/AN274)))*-AN274</f>
        <v>0</v>
      </c>
      <c r="AY274" s="356" t="n">
        <f aca="false">SUM(AV274:AX274)</f>
        <v>0</v>
      </c>
      <c r="AZ274" s="357" t="n">
        <f aca="false">(-AP274/((HLOOKUP(AX$5,port_specs,2,0)/(365.25))*(AT275-AT274)))*(INDEX(fixed_capacity_charge,MATCH(AT274,PORTS!$H$11:$H$317,0),MATCH(AX$5,PORTS!$H$11:$N$11,0))+INDEX(variable_om_charge,MATCH(AT274,PORTS!$H$318:$H$625,0),MATCH(AX$5,PORTS!$H$318:$N$318,0)))</f>
        <v>-0</v>
      </c>
      <c r="BA274" s="343" t="n">
        <f aca="false">+AZ274+AY274</f>
        <v>0</v>
      </c>
      <c r="BB274" s="355" t="n">
        <f aca="false">+BA274+AU274</f>
        <v>0</v>
      </c>
      <c r="BC274" s="99"/>
      <c r="BD274" s="357" t="n">
        <f aca="false">+PORTS!I268+PORTS!I576</f>
        <v>0</v>
      </c>
    </row>
    <row r="275" customFormat="false" ht="12.75" hidden="false" customHeight="false" outlineLevel="0" collapsed="false">
      <c r="A275" s="346" t="n">
        <f aca="false">+DATE(YEAR(A274),MONTH(A274)+1,1)</f>
        <v>44531</v>
      </c>
      <c r="B275" s="327" t="n">
        <f aca="false">+IF(AND($A275&gt;=$C$8,$A275&lt;=$C$9),1,0)*PORTS!$I$5/(365.25)*(A276-A275)</f>
        <v>0</v>
      </c>
      <c r="C275" s="328" t="n">
        <f aca="false">+B275-(SUMIF($F$17:$IV$17,$H$17,$F275:$IV275))</f>
        <v>0</v>
      </c>
      <c r="D275" s="0" t="n">
        <f aca="false">+YEAR(E275)</f>
        <v>2021</v>
      </c>
      <c r="E275" s="346" t="n">
        <f aca="false">+DATE(YEAR(E274),MONTH(E274)+1,1)</f>
        <v>44531</v>
      </c>
      <c r="F275" s="327" t="n">
        <f aca="false">+IF(AND(G$8&lt;=E275,G$9&gt;=E275),INDEX(ROUTE_PER_DAY_BY_SHIP,MATCH(CONCATENATE(G$4,G$5,G$7),ROUTE_PER_DAY_ROUTES,0),MATCH(G$6,ROUTE_PER_DAY_SHIPS,0))*(E276-E275),0)</f>
        <v>0</v>
      </c>
      <c r="G275" s="347" t="n">
        <f aca="false">-F275*HLOOKUP(G$6,SHIPS,7,0)*INDEX(LADEN_VOYAGE_DAYS,MATCH(CONCATENATE(G$4,G$5,G$7),LADEN_VOYAGE_ROUTES,0),MATCH(G$6,LADEN_VOYAGE_SHIPS,0))</f>
        <v>-0</v>
      </c>
      <c r="H275" s="348" t="n">
        <f aca="false">SUM(F275:G275)</f>
        <v>0</v>
      </c>
      <c r="I275" s="349" t="n">
        <f aca="false">-(H275)*HLOOKUP(G$5,TERMINAL_CHARGES,3,0)</f>
        <v>-0</v>
      </c>
      <c r="J275" s="327" t="n">
        <f aca="false">+H275+I275</f>
        <v>0</v>
      </c>
      <c r="K275" s="333"/>
      <c r="L275" s="346" t="n">
        <f aca="false">+DATE(YEAR(L274),MONTH(L274)+1,1)</f>
        <v>44531</v>
      </c>
      <c r="M275" s="334" t="n">
        <f aca="false">+J275*(VLOOKUP(L275,CURVECALC!$C$6:$J$312,4,0)+N$5)</f>
        <v>0</v>
      </c>
      <c r="N275" s="350" t="n">
        <f aca="false">-F275*INDEX(ship_curves,MATCH(L275,'SHIP CURVES'!$A$9:$A$316,0),MATCH(CONCATENATE(P$4,P$5,P$6,P$7),'SHIP CURVES'!$A$9:$AZ$9,0))</f>
        <v>-0</v>
      </c>
      <c r="O275" s="351" t="n">
        <f aca="false">-H275*INDEX(port_processing_fee,MATCH(L275,PORTS!$H$626:$H$933,0),MATCH(P$5,PORTS!$H$626:$Z$626,0))</f>
        <v>-0</v>
      </c>
      <c r="P275" s="352" t="n">
        <f aca="false">(((VLOOKUP(L275,curvecalc,4,0))*IF(F275=0,0,J275/F275)-INDEX(ship_curves,MATCH(L275,'SHIP CURVES'!$A$9:$A$316,0),MATCH(CONCATENATE(P$4,P$5,P$6,P$7),'SHIP CURVES'!$A$9:$Z$9,0))-INDEX(terminal_curves,MATCH(L275,'TERMINAL CURVES'!$A$4:$A$313,0),MATCH(P$5,'TERMINAL CURVES'!$A$4:$N$4,0))*IF(F275=0,0,H275/F275))-(N$8)*((N$7-$N$5)-(INDEX(ship_curves,MATCH(L275,'SHIP CURVES'!$A$9:$A$316,0),MATCH(CONCATENATE(P$4,P$5,P$6,P$7),'SHIP CURVES'!$A$9:$Z$9,0))-INDEX(ship_curves,MATCH(L275,'SHIP CURVES'!$A$9:$A$316,0),MATCH(CONCATENATE(P$4,N$6,P$6,P$7),'SHIP CURVES'!$A$9:$Z$9,0)))-(INDEX(terminal_curves,MATCH(L275,'TERMINAL CURVES'!$A$4:$A$313,0),MATCH(P$5,'TERMINAL CURVES'!$A$4:$N$4,0))-INDEX(terminal_curves,MATCH(L275,'TERMINAL CURVES'!$A$4:$A$313,0),MATCH(N$6,'TERMINAL CURVES'!$A$4:$N$4,0)))*IF(F275=0,0,H275/F275)))*-F275</f>
        <v>0</v>
      </c>
      <c r="Q275" s="353" t="n">
        <f aca="false">SUM(N275:P275)</f>
        <v>0</v>
      </c>
      <c r="R275" s="357" t="n">
        <f aca="false">(-H275/((HLOOKUP(P$5,port_specs,2,0)/(365.25))*(L276-L275)))*(INDEX(fixed_capacity_charge,MATCH(L275,PORTS!$H$11:$H$317,0),MATCH(P$5,PORTS!$H$11:$N$11,0))+INDEX(variable_om_charge,MATCH(L275,PORTS!$H$318:$H$625,0),MATCH(P$5,PORTS!$H$318:$N$318,0)))</f>
        <v>-0</v>
      </c>
      <c r="S275" s="343" t="n">
        <f aca="false">+R275+Q275</f>
        <v>0</v>
      </c>
      <c r="T275" s="355" t="n">
        <f aca="false">+S275+M275</f>
        <v>0</v>
      </c>
      <c r="V275" s="346" t="n">
        <f aca="false">+DATE(YEAR(V274),MONTH(V274)+1,1)</f>
        <v>44531</v>
      </c>
      <c r="W275" s="327" t="n">
        <f aca="false">+Y275/(1-HLOOKUP(X$6,SHIPS,7,0)*INDEX(LADEN_VOYAGE_DAYS,MATCH(CONCATENATE(X$4,X$5),LADEN_VOYAGE_ROUTES,0),MATCH(X$6,LADEN_VOYAGE_SHIPS,0)))</f>
        <v>0</v>
      </c>
      <c r="X275" s="347" t="n">
        <f aca="false">+Y275-W275</f>
        <v>0</v>
      </c>
      <c r="Y275" s="348" t="n">
        <f aca="false">+IF(AND(X$8&lt;=V275,X$9&gt;=V275),+MIN($B275-SUMIF($H$17:X$17,Y$17,$H275:X275),((INDEX(ROUTE_PER_DAY_BY_SHIP,MATCH(CONCATENATE(X$4,X$5,X$7),ROUTE_PER_DAY_ROUTES,0),MATCH(X$6,ROUTE_PER_DAY_SHIPS,0))*(V276-V275))-(INDEX(ROUTE_PER_DAY_BY_SHIP,MATCH(CONCATENATE(X$4,X$5,X$7),ROUTE_PER_DAY_ROUTES,0),MATCH(X$6,ROUTE_PER_DAY_SHIPS,0))*(V276-V275))*HLOOKUP(X$6,SHIPS,7,0)*INDEX(LADEN_VOYAGE_DAYS,MATCH(CONCATENATE(X$4,X$5,X$7),LADEN_VOYAGE_ROUTES,0),MATCH(X$6,LADEN_VOYAGE_SHIPS,0)))),0)</f>
        <v>0</v>
      </c>
      <c r="Z275" s="349" t="n">
        <f aca="false">-(Y275)*HLOOKUP(X$5,TERMINAL_CHARGES,3,0)</f>
        <v>-0</v>
      </c>
      <c r="AA275" s="327" t="n">
        <f aca="false">+Y275+Z275</f>
        <v>0</v>
      </c>
      <c r="AB275" s="333"/>
      <c r="AC275" s="346" t="n">
        <f aca="false">+DATE(YEAR(AC274),MONTH(AC274)+1,1)</f>
        <v>44531</v>
      </c>
      <c r="AD275" s="343" t="n">
        <f aca="false">+AA275*(VLOOKUP(AC275,CURVECALC!$C$6:$J$312,4,0)+AE$5)</f>
        <v>0</v>
      </c>
      <c r="AE275" s="350" t="n">
        <f aca="false">-W275*INDEX(ship_curves,MATCH(AC275,'SHIP CURVES'!$A$9:$A$316,0),MATCH(CONCATENATE(AG$4,AG$5,AG$6,AG$7),'SHIP CURVES'!$A$9:$AZ$9,0))</f>
        <v>-0</v>
      </c>
      <c r="AF275" s="351" t="n">
        <f aca="false">-Y275*INDEX(port_processing_fee,MATCH(AC275,PORTS!$H$626:$H$933,0),MATCH(AG$5,PORTS!$H$626:$Z$626,0))</f>
        <v>-0</v>
      </c>
      <c r="AG275" s="352" t="n">
        <f aca="false">(((VLOOKUP(AC275,curvecalc,4,0))*IF(W275=0,0,AA275/W275)-INDEX(ship_curves,MATCH(AC275,'SHIP CURVES'!$A$9:$A$316,0),MATCH(CONCATENATE(AG$4,AG$5,AG$6,AG$7),'SHIP CURVES'!$A$9:$Z$9,0))-INDEX(terminal_curves,MATCH(AC275,'TERMINAL CURVES'!$A$4:$A$313,0),MATCH(AG$5,'TERMINAL CURVES'!$A$4:$N$4,0))*IF(W275=0,0,Y275/W275))-(AE$8)*((AE$7-$N$5)-(INDEX(ship_curves,MATCH(AC275,'SHIP CURVES'!$A$9:$A$316,0),MATCH(CONCATENATE(AG$4,AG$5,AG$6,AG$7),'SHIP CURVES'!$A$9:$Z$9,0))-INDEX(ship_curves,MATCH(AC275,'SHIP CURVES'!$A$9:$A$316,0),MATCH(CONCATENATE(AG$4,AE$6,AG$6,AG$7),'SHIP CURVES'!$A$9:$Z$9,0)))-(INDEX(terminal_curves,MATCH(AC275,'TERMINAL CURVES'!$A$4:$A$313,0),MATCH(AG$5,'TERMINAL CURVES'!$A$4:$N$4,0))-INDEX(terminal_curves,MATCH(AC275,'TERMINAL CURVES'!$A$4:$A$313,0),MATCH(AE$6,'TERMINAL CURVES'!$A$4:$N$4,0)))*IF(W275=0,0,Y275/W275)))*-W275</f>
        <v>0</v>
      </c>
      <c r="AH275" s="356" t="n">
        <f aca="false">SUM(AE275:AG275)</f>
        <v>0</v>
      </c>
      <c r="AI275" s="357" t="n">
        <f aca="false">(-Y275/((HLOOKUP(AG$5,port_specs,2,0)/(365.25))*(AC276-AC275)))*(INDEX(fixed_capacity_charge,MATCH(AC275,PORTS!$H$11:$H$317,0),MATCH(AG$5,PORTS!$H$11:$N$11,0))+INDEX(variable_om_charge,MATCH(AC275,PORTS!$H$318:$H$625,0),MATCH(AG$5,PORTS!$H$318:$N$318,0)))</f>
        <v>-0</v>
      </c>
      <c r="AJ275" s="343" t="n">
        <f aca="false">+AI275+AH275</f>
        <v>0</v>
      </c>
      <c r="AK275" s="355" t="n">
        <f aca="false">+AJ275+AD275</f>
        <v>0</v>
      </c>
      <c r="AM275" s="346" t="n">
        <f aca="false">+DATE(YEAR(AM274),MONTH(AM274)+1,1)</f>
        <v>44531</v>
      </c>
      <c r="AN275" s="327" t="n">
        <f aca="false">+AP275/(1-HLOOKUP(AO$6,SHIPS,7,0)*INDEX(LADEN_VOYAGE_DAYS,MATCH(CONCATENATE(AO$4,AO$5),LADEN_VOYAGE_ROUTES,0),MATCH(AO$6,LADEN_VOYAGE_SHIPS,0)))</f>
        <v>0</v>
      </c>
      <c r="AO275" s="347" t="n">
        <f aca="false">+AP275-AN275</f>
        <v>0</v>
      </c>
      <c r="AP275" s="348" t="n">
        <f aca="false">+IF(AND(AO$8&lt;=AM275,AO$9&gt;=AM275),+MIN($B275-SUMIF($H$17:AO$17,AP$17,$H275:AO275),((INDEX(ROUTE_PER_DAY_BY_SHIP,MATCH(CONCATENATE(AO$4,AO$5,AO$7),ROUTE_PER_DAY_ROUTES,0),MATCH(AO$6,ROUTE_PER_DAY_SHIPS,0))*(AM276-AM275))-(INDEX(ROUTE_PER_DAY_BY_SHIP,MATCH(CONCATENATE(AO$4,AO$5,AO$7),ROUTE_PER_DAY_ROUTES,0),MATCH(AO$6,ROUTE_PER_DAY_SHIPS,0))*(AM276-AM275))*HLOOKUP(AO$6,SHIPS,7,0)*INDEX(LADEN_VOYAGE_DAYS,MATCH(CONCATENATE(AO$4,AO$5,AO$7),LADEN_VOYAGE_ROUTES,0),MATCH(AO$6,LADEN_VOYAGE_SHIPS,0)))),0)</f>
        <v>0</v>
      </c>
      <c r="AQ275" s="349" t="n">
        <f aca="false">-(AP275)*PORTS!$I$6</f>
        <v>-0</v>
      </c>
      <c r="AR275" s="327" t="n">
        <f aca="false">+AP275+AQ275</f>
        <v>0</v>
      </c>
      <c r="AS275" s="333"/>
      <c r="AT275" s="346" t="n">
        <f aca="false">+DATE(YEAR(AT274),MONTH(AT274)+1,1)</f>
        <v>44531</v>
      </c>
      <c r="AU275" s="343" t="n">
        <f aca="false">+AR275*(VLOOKUP(AT275,CURVECALC!$C$6:$J$312,4,0)+AV$5)</f>
        <v>0</v>
      </c>
      <c r="AV275" s="350" t="n">
        <f aca="false">-AN275*INDEX(ship_curves,MATCH(AT275,'SHIP CURVES'!$A$9:$A$316,0),MATCH(CONCATENATE(AX$4,AX$5,AX$6,AX$7),'SHIP CURVES'!$A$9:$AZ$9,0))</f>
        <v>-0</v>
      </c>
      <c r="AW275" s="351" t="n">
        <f aca="false">-AP275*INDEX(port_processing_fee,MATCH(AT275,PORTS!$H$626:$H$933,0),MATCH(AX$5,PORTS!$H$626:$Z$626,0))</f>
        <v>-0</v>
      </c>
      <c r="AX275" s="352" t="n">
        <f aca="false">(((VLOOKUP(AT275,curvecalc,4,0))*IF(AN275=0,0,AR275/AN275)-INDEX(ship_curves,MATCH(AT275,'SHIP CURVES'!$A$9:$A$316,0),MATCH(CONCATENATE(AX$4,AX$5,AX$6,AX$7),'SHIP CURVES'!$A$9:$Z$9,0))-INDEX(terminal_curves,MATCH(AT275,'TERMINAL CURVES'!$A$4:$A$313,0),MATCH(AX$5,'TERMINAL CURVES'!$A$4:$N$4,0))*IF(AN275=0,0,AP275/AN275))-(AV$8)*((AV$7-$N$5)-(INDEX(ship_curves,MATCH(AT275,'SHIP CURVES'!$A$9:$A$316,0),MATCH(CONCATENATE(AX$4,AX$5,AX$6,AX$7),'SHIP CURVES'!$A$9:$Z$9,0))-INDEX(ship_curves,MATCH(AT275,'SHIP CURVES'!$A$9:$A$316,0),MATCH(CONCATENATE(AX$4,AV$6,AX$6,AX$7),'SHIP CURVES'!$A$9:$Z$9,0)))-(INDEX(terminal_curves,MATCH(AT275,'TERMINAL CURVES'!$A$4:$A$313,0),MATCH(AX$5,'TERMINAL CURVES'!$A$4:$N$4,0))-INDEX(terminal_curves,MATCH(AT275,'TERMINAL CURVES'!$A$4:$A$313,0),MATCH(AV$6,'TERMINAL CURVES'!$A$4:$N$4,0)))*IF(AN275=0,0,AP275/AN275)))*-AN275</f>
        <v>0</v>
      </c>
      <c r="AY275" s="356" t="n">
        <f aca="false">SUM(AV275:AX275)</f>
        <v>0</v>
      </c>
      <c r="AZ275" s="357" t="n">
        <f aca="false">(-AP275/((HLOOKUP(AX$5,port_specs,2,0)/(365.25))*(AT276-AT275)))*(INDEX(fixed_capacity_charge,MATCH(AT275,PORTS!$H$11:$H$317,0),MATCH(AX$5,PORTS!$H$11:$N$11,0))+INDEX(variable_om_charge,MATCH(AT275,PORTS!$H$318:$H$625,0),MATCH(AX$5,PORTS!$H$318:$N$318,0)))</f>
        <v>-0</v>
      </c>
      <c r="BA275" s="343" t="n">
        <f aca="false">+AZ275+AY275</f>
        <v>0</v>
      </c>
      <c r="BB275" s="355" t="n">
        <f aca="false">+BA275+AU275</f>
        <v>0</v>
      </c>
      <c r="BC275" s="99"/>
      <c r="BD275" s="357" t="n">
        <f aca="false">+PORTS!I269+PORTS!I577</f>
        <v>0</v>
      </c>
    </row>
    <row r="276" customFormat="false" ht="12.75" hidden="false" customHeight="false" outlineLevel="0" collapsed="false">
      <c r="A276" s="346" t="n">
        <f aca="false">+DATE(YEAR(A275),MONTH(A275)+1,1)</f>
        <v>44562</v>
      </c>
      <c r="B276" s="327" t="n">
        <f aca="false">+IF(AND($A276&gt;=$C$8,$A276&lt;=$C$9),1,0)*PORTS!$I$5/(365.25)*(A277-A276)</f>
        <v>0</v>
      </c>
      <c r="C276" s="328" t="n">
        <f aca="false">+B276-(SUMIF($F$17:$IV$17,$H$17,$F276:$IV276))</f>
        <v>0</v>
      </c>
      <c r="D276" s="0" t="n">
        <f aca="false">+YEAR(E276)</f>
        <v>2022</v>
      </c>
      <c r="E276" s="346" t="n">
        <f aca="false">+DATE(YEAR(E275),MONTH(E275)+1,1)</f>
        <v>44562</v>
      </c>
      <c r="F276" s="327" t="n">
        <f aca="false">+IF(AND(G$8&lt;=E276,G$9&gt;=E276),INDEX(ROUTE_PER_DAY_BY_SHIP,MATCH(CONCATENATE(G$4,G$5,G$7),ROUTE_PER_DAY_ROUTES,0),MATCH(G$6,ROUTE_PER_DAY_SHIPS,0))*(E277-E276),0)</f>
        <v>0</v>
      </c>
      <c r="G276" s="347" t="n">
        <f aca="false">-F276*HLOOKUP(G$6,SHIPS,7,0)*INDEX(LADEN_VOYAGE_DAYS,MATCH(CONCATENATE(G$4,G$5,G$7),LADEN_VOYAGE_ROUTES,0),MATCH(G$6,LADEN_VOYAGE_SHIPS,0))</f>
        <v>-0</v>
      </c>
      <c r="H276" s="348" t="n">
        <f aca="false">SUM(F276:G276)</f>
        <v>0</v>
      </c>
      <c r="I276" s="349" t="n">
        <f aca="false">-(H276)*HLOOKUP(G$5,TERMINAL_CHARGES,3,0)</f>
        <v>-0</v>
      </c>
      <c r="J276" s="327" t="n">
        <f aca="false">+H276+I276</f>
        <v>0</v>
      </c>
      <c r="K276" s="333"/>
      <c r="L276" s="346" t="n">
        <f aca="false">+DATE(YEAR(L275),MONTH(L275)+1,1)</f>
        <v>44562</v>
      </c>
      <c r="M276" s="334" t="n">
        <f aca="false">+J276*(VLOOKUP(L276,CURVECALC!$C$6:$J$312,4,0)+N$5)</f>
        <v>0</v>
      </c>
      <c r="N276" s="350" t="n">
        <f aca="false">-F276*INDEX(ship_curves,MATCH(L276,'SHIP CURVES'!$A$9:$A$316,0),MATCH(CONCATENATE(P$4,P$5,P$6,P$7),'SHIP CURVES'!$A$9:$AZ$9,0))</f>
        <v>-0</v>
      </c>
      <c r="O276" s="351" t="n">
        <f aca="false">-H276*INDEX(port_processing_fee,MATCH(L276,PORTS!$H$626:$H$933,0),MATCH(P$5,PORTS!$H$626:$Z$626,0))</f>
        <v>-0</v>
      </c>
      <c r="P276" s="352" t="n">
        <f aca="false">(((VLOOKUP(L276,curvecalc,4,0))*IF(F276=0,0,J276/F276)-INDEX(ship_curves,MATCH(L276,'SHIP CURVES'!$A$9:$A$316,0),MATCH(CONCATENATE(P$4,P$5,P$6,P$7),'SHIP CURVES'!$A$9:$Z$9,0))-INDEX(terminal_curves,MATCH(L276,'TERMINAL CURVES'!$A$4:$A$313,0),MATCH(P$5,'TERMINAL CURVES'!$A$4:$N$4,0))*IF(F276=0,0,H276/F276))-(N$8)*((N$7-$N$5)-(INDEX(ship_curves,MATCH(L276,'SHIP CURVES'!$A$9:$A$316,0),MATCH(CONCATENATE(P$4,P$5,P$6,P$7),'SHIP CURVES'!$A$9:$Z$9,0))-INDEX(ship_curves,MATCH(L276,'SHIP CURVES'!$A$9:$A$316,0),MATCH(CONCATENATE(P$4,N$6,P$6,P$7),'SHIP CURVES'!$A$9:$Z$9,0)))-(INDEX(terminal_curves,MATCH(L276,'TERMINAL CURVES'!$A$4:$A$313,0),MATCH(P$5,'TERMINAL CURVES'!$A$4:$N$4,0))-INDEX(terminal_curves,MATCH(L276,'TERMINAL CURVES'!$A$4:$A$313,0),MATCH(N$6,'TERMINAL CURVES'!$A$4:$N$4,0)))*IF(F276=0,0,H276/F276)))*-F276</f>
        <v>0</v>
      </c>
      <c r="Q276" s="353" t="n">
        <f aca="false">SUM(N276:P276)</f>
        <v>0</v>
      </c>
      <c r="R276" s="357" t="n">
        <f aca="false">(-H276/((HLOOKUP(P$5,port_specs,2,0)/(365.25))*(L277-L276)))*(INDEX(fixed_capacity_charge,MATCH(L276,PORTS!$H$11:$H$317,0),MATCH(P$5,PORTS!$H$11:$N$11,0))+INDEX(variable_om_charge,MATCH(L276,PORTS!$H$318:$H$625,0),MATCH(P$5,PORTS!$H$318:$N$318,0)))</f>
        <v>-0</v>
      </c>
      <c r="S276" s="343" t="n">
        <f aca="false">+R276+Q276</f>
        <v>0</v>
      </c>
      <c r="T276" s="355" t="n">
        <f aca="false">+S276+M276</f>
        <v>0</v>
      </c>
      <c r="V276" s="346" t="n">
        <f aca="false">+DATE(YEAR(V275),MONTH(V275)+1,1)</f>
        <v>44562</v>
      </c>
      <c r="W276" s="327" t="n">
        <f aca="false">+Y276/(1-HLOOKUP(X$6,SHIPS,7,0)*INDEX(LADEN_VOYAGE_DAYS,MATCH(CONCATENATE(X$4,X$5),LADEN_VOYAGE_ROUTES,0),MATCH(X$6,LADEN_VOYAGE_SHIPS,0)))</f>
        <v>0</v>
      </c>
      <c r="X276" s="347" t="n">
        <f aca="false">+Y276-W276</f>
        <v>0</v>
      </c>
      <c r="Y276" s="348" t="n">
        <f aca="false">+IF(AND(X$8&lt;=V276,X$9&gt;=V276),+MIN($B276-SUMIF($H$17:X$17,Y$17,$H276:X276),((INDEX(ROUTE_PER_DAY_BY_SHIP,MATCH(CONCATENATE(X$4,X$5,X$7),ROUTE_PER_DAY_ROUTES,0),MATCH(X$6,ROUTE_PER_DAY_SHIPS,0))*(V277-V276))-(INDEX(ROUTE_PER_DAY_BY_SHIP,MATCH(CONCATENATE(X$4,X$5,X$7),ROUTE_PER_DAY_ROUTES,0),MATCH(X$6,ROUTE_PER_DAY_SHIPS,0))*(V277-V276))*HLOOKUP(X$6,SHIPS,7,0)*INDEX(LADEN_VOYAGE_DAYS,MATCH(CONCATENATE(X$4,X$5,X$7),LADEN_VOYAGE_ROUTES,0),MATCH(X$6,LADEN_VOYAGE_SHIPS,0)))),0)</f>
        <v>0</v>
      </c>
      <c r="Z276" s="349" t="n">
        <f aca="false">-(Y276)*HLOOKUP(X$5,TERMINAL_CHARGES,3,0)</f>
        <v>-0</v>
      </c>
      <c r="AA276" s="327" t="n">
        <f aca="false">+Y276+Z276</f>
        <v>0</v>
      </c>
      <c r="AB276" s="333"/>
      <c r="AC276" s="346" t="n">
        <f aca="false">+DATE(YEAR(AC275),MONTH(AC275)+1,1)</f>
        <v>44562</v>
      </c>
      <c r="AD276" s="343" t="n">
        <f aca="false">+AA276*(VLOOKUP(AC276,CURVECALC!$C$6:$J$312,4,0)+AE$5)</f>
        <v>0</v>
      </c>
      <c r="AE276" s="350" t="n">
        <f aca="false">-W276*INDEX(ship_curves,MATCH(AC276,'SHIP CURVES'!$A$9:$A$316,0),MATCH(CONCATENATE(AG$4,AG$5,AG$6,AG$7),'SHIP CURVES'!$A$9:$AZ$9,0))</f>
        <v>-0</v>
      </c>
      <c r="AF276" s="351" t="n">
        <f aca="false">-Y276*INDEX(port_processing_fee,MATCH(AC276,PORTS!$H$626:$H$933,0),MATCH(AG$5,PORTS!$H$626:$Z$626,0))</f>
        <v>-0</v>
      </c>
      <c r="AG276" s="352" t="n">
        <f aca="false">(((VLOOKUP(AC276,curvecalc,4,0))*IF(W276=0,0,AA276/W276)-INDEX(ship_curves,MATCH(AC276,'SHIP CURVES'!$A$9:$A$316,0),MATCH(CONCATENATE(AG$4,AG$5,AG$6,AG$7),'SHIP CURVES'!$A$9:$Z$9,0))-INDEX(terminal_curves,MATCH(AC276,'TERMINAL CURVES'!$A$4:$A$313,0),MATCH(AG$5,'TERMINAL CURVES'!$A$4:$N$4,0))*IF(W276=0,0,Y276/W276))-(AE$8)*((AE$7-$N$5)-(INDEX(ship_curves,MATCH(AC276,'SHIP CURVES'!$A$9:$A$316,0),MATCH(CONCATENATE(AG$4,AG$5,AG$6,AG$7),'SHIP CURVES'!$A$9:$Z$9,0))-INDEX(ship_curves,MATCH(AC276,'SHIP CURVES'!$A$9:$A$316,0),MATCH(CONCATENATE(AG$4,AE$6,AG$6,AG$7),'SHIP CURVES'!$A$9:$Z$9,0)))-(INDEX(terminal_curves,MATCH(AC276,'TERMINAL CURVES'!$A$4:$A$313,0),MATCH(AG$5,'TERMINAL CURVES'!$A$4:$N$4,0))-INDEX(terminal_curves,MATCH(AC276,'TERMINAL CURVES'!$A$4:$A$313,0),MATCH(AE$6,'TERMINAL CURVES'!$A$4:$N$4,0)))*IF(W276=0,0,Y276/W276)))*-W276</f>
        <v>0</v>
      </c>
      <c r="AH276" s="356" t="n">
        <f aca="false">SUM(AE276:AG276)</f>
        <v>0</v>
      </c>
      <c r="AI276" s="357" t="n">
        <f aca="false">(-Y276/((HLOOKUP(AG$5,port_specs,2,0)/(365.25))*(AC277-AC276)))*(INDEX(fixed_capacity_charge,MATCH(AC276,PORTS!$H$11:$H$317,0),MATCH(AG$5,PORTS!$H$11:$N$11,0))+INDEX(variable_om_charge,MATCH(AC276,PORTS!$H$318:$H$625,0),MATCH(AG$5,PORTS!$H$318:$N$318,0)))</f>
        <v>-0</v>
      </c>
      <c r="AJ276" s="343" t="n">
        <f aca="false">+AI276+AH276</f>
        <v>0</v>
      </c>
      <c r="AK276" s="355" t="n">
        <f aca="false">+AJ276+AD276</f>
        <v>0</v>
      </c>
      <c r="AM276" s="346" t="n">
        <f aca="false">+DATE(YEAR(AM275),MONTH(AM275)+1,1)</f>
        <v>44562</v>
      </c>
      <c r="AN276" s="327" t="n">
        <f aca="false">+AP276/(1-HLOOKUP(AO$6,SHIPS,7,0)*INDEX(LADEN_VOYAGE_DAYS,MATCH(CONCATENATE(AO$4,AO$5),LADEN_VOYAGE_ROUTES,0),MATCH(AO$6,LADEN_VOYAGE_SHIPS,0)))</f>
        <v>0</v>
      </c>
      <c r="AO276" s="347" t="n">
        <f aca="false">+AP276-AN276</f>
        <v>0</v>
      </c>
      <c r="AP276" s="348" t="n">
        <f aca="false">+IF(AND(AO$8&lt;=AM276,AO$9&gt;=AM276),+MIN($B276-SUMIF($H$17:AO$17,AP$17,$H276:AO276),((INDEX(ROUTE_PER_DAY_BY_SHIP,MATCH(CONCATENATE(AO$4,AO$5,AO$7),ROUTE_PER_DAY_ROUTES,0),MATCH(AO$6,ROUTE_PER_DAY_SHIPS,0))*(AM277-AM276))-(INDEX(ROUTE_PER_DAY_BY_SHIP,MATCH(CONCATENATE(AO$4,AO$5,AO$7),ROUTE_PER_DAY_ROUTES,0),MATCH(AO$6,ROUTE_PER_DAY_SHIPS,0))*(AM277-AM276))*HLOOKUP(AO$6,SHIPS,7,0)*INDEX(LADEN_VOYAGE_DAYS,MATCH(CONCATENATE(AO$4,AO$5,AO$7),LADEN_VOYAGE_ROUTES,0),MATCH(AO$6,LADEN_VOYAGE_SHIPS,0)))),0)</f>
        <v>0</v>
      </c>
      <c r="AQ276" s="349" t="n">
        <f aca="false">-(AP276)*PORTS!$I$6</f>
        <v>-0</v>
      </c>
      <c r="AR276" s="327" t="n">
        <f aca="false">+AP276+AQ276</f>
        <v>0</v>
      </c>
      <c r="AS276" s="333"/>
      <c r="AT276" s="346" t="n">
        <f aca="false">+DATE(YEAR(AT275),MONTH(AT275)+1,1)</f>
        <v>44562</v>
      </c>
      <c r="AU276" s="343" t="n">
        <f aca="false">+AR276*(VLOOKUP(AT276,CURVECALC!$C$6:$J$312,4,0)+AV$5)</f>
        <v>0</v>
      </c>
      <c r="AV276" s="350" t="n">
        <f aca="false">-AN276*INDEX(ship_curves,MATCH(AT276,'SHIP CURVES'!$A$9:$A$316,0),MATCH(CONCATENATE(AX$4,AX$5,AX$6,AX$7),'SHIP CURVES'!$A$9:$AZ$9,0))</f>
        <v>-0</v>
      </c>
      <c r="AW276" s="351" t="n">
        <f aca="false">-AP276*INDEX(port_processing_fee,MATCH(AT276,PORTS!$H$626:$H$933,0),MATCH(AX$5,PORTS!$H$626:$Z$626,0))</f>
        <v>-0</v>
      </c>
      <c r="AX276" s="352" t="n">
        <f aca="false">(((VLOOKUP(AT276,curvecalc,4,0))*IF(AN276=0,0,AR276/AN276)-INDEX(ship_curves,MATCH(AT276,'SHIP CURVES'!$A$9:$A$316,0),MATCH(CONCATENATE(AX$4,AX$5,AX$6,AX$7),'SHIP CURVES'!$A$9:$Z$9,0))-INDEX(terminal_curves,MATCH(AT276,'TERMINAL CURVES'!$A$4:$A$313,0),MATCH(AX$5,'TERMINAL CURVES'!$A$4:$N$4,0))*IF(AN276=0,0,AP276/AN276))-(AV$8)*((AV$7-$N$5)-(INDEX(ship_curves,MATCH(AT276,'SHIP CURVES'!$A$9:$A$316,0),MATCH(CONCATENATE(AX$4,AX$5,AX$6,AX$7),'SHIP CURVES'!$A$9:$Z$9,0))-INDEX(ship_curves,MATCH(AT276,'SHIP CURVES'!$A$9:$A$316,0),MATCH(CONCATENATE(AX$4,AV$6,AX$6,AX$7),'SHIP CURVES'!$A$9:$Z$9,0)))-(INDEX(terminal_curves,MATCH(AT276,'TERMINAL CURVES'!$A$4:$A$313,0),MATCH(AX$5,'TERMINAL CURVES'!$A$4:$N$4,0))-INDEX(terminal_curves,MATCH(AT276,'TERMINAL CURVES'!$A$4:$A$313,0),MATCH(AV$6,'TERMINAL CURVES'!$A$4:$N$4,0)))*IF(AN276=0,0,AP276/AN276)))*-AN276</f>
        <v>0</v>
      </c>
      <c r="AY276" s="356" t="n">
        <f aca="false">SUM(AV276:AX276)</f>
        <v>0</v>
      </c>
      <c r="AZ276" s="357" t="n">
        <f aca="false">(-AP276/((HLOOKUP(AX$5,port_specs,2,0)/(365.25))*(AT277-AT276)))*(INDEX(fixed_capacity_charge,MATCH(AT276,PORTS!$H$11:$H$317,0),MATCH(AX$5,PORTS!$H$11:$N$11,0))+INDEX(variable_om_charge,MATCH(AT276,PORTS!$H$318:$H$625,0),MATCH(AX$5,PORTS!$H$318:$N$318,0)))</f>
        <v>-0</v>
      </c>
      <c r="BA276" s="343" t="n">
        <f aca="false">+AZ276+AY276</f>
        <v>0</v>
      </c>
      <c r="BB276" s="355" t="n">
        <f aca="false">+BA276+AU276</f>
        <v>0</v>
      </c>
      <c r="BC276" s="99"/>
      <c r="BD276" s="357" t="n">
        <f aca="false">+PORTS!I270+PORTS!I578</f>
        <v>0</v>
      </c>
    </row>
    <row r="277" customFormat="false" ht="12.75" hidden="false" customHeight="false" outlineLevel="0" collapsed="false">
      <c r="A277" s="346" t="n">
        <f aca="false">+DATE(YEAR(A276),MONTH(A276)+1,1)</f>
        <v>44593</v>
      </c>
      <c r="B277" s="327" t="n">
        <f aca="false">+IF(AND($A277&gt;=$C$8,$A277&lt;=$C$9),1,0)*PORTS!$I$5/(365.25)*(A278-A277)</f>
        <v>0</v>
      </c>
      <c r="C277" s="328" t="n">
        <f aca="false">+B277-(SUMIF($F$17:$IV$17,$H$17,$F277:$IV277))</f>
        <v>0</v>
      </c>
      <c r="D277" s="0" t="n">
        <f aca="false">+YEAR(E277)</f>
        <v>2022</v>
      </c>
      <c r="E277" s="346" t="n">
        <f aca="false">+DATE(YEAR(E276),MONTH(E276)+1,1)</f>
        <v>44593</v>
      </c>
      <c r="F277" s="327" t="n">
        <f aca="false">+IF(AND(G$8&lt;=E277,G$9&gt;=E277),INDEX(ROUTE_PER_DAY_BY_SHIP,MATCH(CONCATENATE(G$4,G$5,G$7),ROUTE_PER_DAY_ROUTES,0),MATCH(G$6,ROUTE_PER_DAY_SHIPS,0))*(E278-E277),0)</f>
        <v>0</v>
      </c>
      <c r="G277" s="347" t="n">
        <f aca="false">-F277*HLOOKUP(G$6,SHIPS,7,0)*INDEX(LADEN_VOYAGE_DAYS,MATCH(CONCATENATE(G$4,G$5,G$7),LADEN_VOYAGE_ROUTES,0),MATCH(G$6,LADEN_VOYAGE_SHIPS,0))</f>
        <v>-0</v>
      </c>
      <c r="H277" s="348" t="n">
        <f aca="false">SUM(F277:G277)</f>
        <v>0</v>
      </c>
      <c r="I277" s="349" t="n">
        <f aca="false">-(H277)*HLOOKUP(G$5,TERMINAL_CHARGES,3,0)</f>
        <v>-0</v>
      </c>
      <c r="J277" s="327" t="n">
        <f aca="false">+H277+I277</f>
        <v>0</v>
      </c>
      <c r="K277" s="333"/>
      <c r="L277" s="346" t="n">
        <f aca="false">+DATE(YEAR(L276),MONTH(L276)+1,1)</f>
        <v>44593</v>
      </c>
      <c r="M277" s="334" t="n">
        <f aca="false">+J277*(VLOOKUP(L277,CURVECALC!$C$6:$J$312,4,0)+N$5)</f>
        <v>0</v>
      </c>
      <c r="N277" s="350" t="n">
        <f aca="false">-F277*INDEX(ship_curves,MATCH(L277,'SHIP CURVES'!$A$9:$A$316,0),MATCH(CONCATENATE(P$4,P$5,P$6,P$7),'SHIP CURVES'!$A$9:$AZ$9,0))</f>
        <v>-0</v>
      </c>
      <c r="O277" s="351" t="n">
        <f aca="false">-H277*INDEX(port_processing_fee,MATCH(L277,PORTS!$H$626:$H$933,0),MATCH(P$5,PORTS!$H$626:$Z$626,0))</f>
        <v>-0</v>
      </c>
      <c r="P277" s="352" t="n">
        <f aca="false">(((VLOOKUP(L277,curvecalc,4,0))*IF(F277=0,0,J277/F277)-INDEX(ship_curves,MATCH(L277,'SHIP CURVES'!$A$9:$A$316,0),MATCH(CONCATENATE(P$4,P$5,P$6,P$7),'SHIP CURVES'!$A$9:$Z$9,0))-INDEX(terminal_curves,MATCH(L277,'TERMINAL CURVES'!$A$4:$A$313,0),MATCH(P$5,'TERMINAL CURVES'!$A$4:$N$4,0))*IF(F277=0,0,H277/F277))-(N$8)*((N$7-$N$5)-(INDEX(ship_curves,MATCH(L277,'SHIP CURVES'!$A$9:$A$316,0),MATCH(CONCATENATE(P$4,P$5,P$6,P$7),'SHIP CURVES'!$A$9:$Z$9,0))-INDEX(ship_curves,MATCH(L277,'SHIP CURVES'!$A$9:$A$316,0),MATCH(CONCATENATE(P$4,N$6,P$6,P$7),'SHIP CURVES'!$A$9:$Z$9,0)))-(INDEX(terminal_curves,MATCH(L277,'TERMINAL CURVES'!$A$4:$A$313,0),MATCH(P$5,'TERMINAL CURVES'!$A$4:$N$4,0))-INDEX(terminal_curves,MATCH(L277,'TERMINAL CURVES'!$A$4:$A$313,0),MATCH(N$6,'TERMINAL CURVES'!$A$4:$N$4,0)))*IF(F277=0,0,H277/F277)))*-F277</f>
        <v>0</v>
      </c>
      <c r="Q277" s="353" t="n">
        <f aca="false">SUM(N277:P277)</f>
        <v>0</v>
      </c>
      <c r="R277" s="357" t="n">
        <f aca="false">(-H277/((HLOOKUP(P$5,port_specs,2,0)/(365.25))*(L278-L277)))*(INDEX(fixed_capacity_charge,MATCH(L277,PORTS!$H$11:$H$317,0),MATCH(P$5,PORTS!$H$11:$N$11,0))+INDEX(variable_om_charge,MATCH(L277,PORTS!$H$318:$H$625,0),MATCH(P$5,PORTS!$H$318:$N$318,0)))</f>
        <v>-0</v>
      </c>
      <c r="S277" s="343" t="n">
        <f aca="false">+R277+Q277</f>
        <v>0</v>
      </c>
      <c r="T277" s="355" t="n">
        <f aca="false">+S277+M277</f>
        <v>0</v>
      </c>
      <c r="V277" s="346" t="n">
        <f aca="false">+DATE(YEAR(V276),MONTH(V276)+1,1)</f>
        <v>44593</v>
      </c>
      <c r="W277" s="327" t="n">
        <f aca="false">+Y277/(1-HLOOKUP(X$6,SHIPS,7,0)*INDEX(LADEN_VOYAGE_DAYS,MATCH(CONCATENATE(X$4,X$5),LADEN_VOYAGE_ROUTES,0),MATCH(X$6,LADEN_VOYAGE_SHIPS,0)))</f>
        <v>0</v>
      </c>
      <c r="X277" s="347" t="n">
        <f aca="false">+Y277-W277</f>
        <v>0</v>
      </c>
      <c r="Y277" s="348" t="n">
        <f aca="false">+IF(AND(X$8&lt;=V277,X$9&gt;=V277),+MIN($B277-SUMIF($H$17:X$17,Y$17,$H277:X277),((INDEX(ROUTE_PER_DAY_BY_SHIP,MATCH(CONCATENATE(X$4,X$5,X$7),ROUTE_PER_DAY_ROUTES,0),MATCH(X$6,ROUTE_PER_DAY_SHIPS,0))*(V278-V277))-(INDEX(ROUTE_PER_DAY_BY_SHIP,MATCH(CONCATENATE(X$4,X$5,X$7),ROUTE_PER_DAY_ROUTES,0),MATCH(X$6,ROUTE_PER_DAY_SHIPS,0))*(V278-V277))*HLOOKUP(X$6,SHIPS,7,0)*INDEX(LADEN_VOYAGE_DAYS,MATCH(CONCATENATE(X$4,X$5,X$7),LADEN_VOYAGE_ROUTES,0),MATCH(X$6,LADEN_VOYAGE_SHIPS,0)))),0)</f>
        <v>0</v>
      </c>
      <c r="Z277" s="349" t="n">
        <f aca="false">-(Y277)*HLOOKUP(X$5,TERMINAL_CHARGES,3,0)</f>
        <v>-0</v>
      </c>
      <c r="AA277" s="327" t="n">
        <f aca="false">+Y277+Z277</f>
        <v>0</v>
      </c>
      <c r="AB277" s="333"/>
      <c r="AC277" s="346" t="n">
        <f aca="false">+DATE(YEAR(AC276),MONTH(AC276)+1,1)</f>
        <v>44593</v>
      </c>
      <c r="AD277" s="343" t="n">
        <f aca="false">+AA277*(VLOOKUP(AC277,CURVECALC!$C$6:$J$312,4,0)+AE$5)</f>
        <v>0</v>
      </c>
      <c r="AE277" s="350" t="n">
        <f aca="false">-W277*INDEX(ship_curves,MATCH(AC277,'SHIP CURVES'!$A$9:$A$316,0),MATCH(CONCATENATE(AG$4,AG$5,AG$6,AG$7),'SHIP CURVES'!$A$9:$AZ$9,0))</f>
        <v>-0</v>
      </c>
      <c r="AF277" s="351" t="n">
        <f aca="false">-Y277*INDEX(port_processing_fee,MATCH(AC277,PORTS!$H$626:$H$933,0),MATCH(AG$5,PORTS!$H$626:$Z$626,0))</f>
        <v>-0</v>
      </c>
      <c r="AG277" s="352" t="n">
        <f aca="false">(((VLOOKUP(AC277,curvecalc,4,0))*IF(W277=0,0,AA277/W277)-INDEX(ship_curves,MATCH(AC277,'SHIP CURVES'!$A$9:$A$316,0),MATCH(CONCATENATE(AG$4,AG$5,AG$6,AG$7),'SHIP CURVES'!$A$9:$Z$9,0))-INDEX(terminal_curves,MATCH(AC277,'TERMINAL CURVES'!$A$4:$A$313,0),MATCH(AG$5,'TERMINAL CURVES'!$A$4:$N$4,0))*IF(W277=0,0,Y277/W277))-(AE$8)*((AE$7-$N$5)-(INDEX(ship_curves,MATCH(AC277,'SHIP CURVES'!$A$9:$A$316,0),MATCH(CONCATENATE(AG$4,AG$5,AG$6,AG$7),'SHIP CURVES'!$A$9:$Z$9,0))-INDEX(ship_curves,MATCH(AC277,'SHIP CURVES'!$A$9:$A$316,0),MATCH(CONCATENATE(AG$4,AE$6,AG$6,AG$7),'SHIP CURVES'!$A$9:$Z$9,0)))-(INDEX(terminal_curves,MATCH(AC277,'TERMINAL CURVES'!$A$4:$A$313,0),MATCH(AG$5,'TERMINAL CURVES'!$A$4:$N$4,0))-INDEX(terminal_curves,MATCH(AC277,'TERMINAL CURVES'!$A$4:$A$313,0),MATCH(AE$6,'TERMINAL CURVES'!$A$4:$N$4,0)))*IF(W277=0,0,Y277/W277)))*-W277</f>
        <v>0</v>
      </c>
      <c r="AH277" s="356" t="n">
        <f aca="false">SUM(AE277:AG277)</f>
        <v>0</v>
      </c>
      <c r="AI277" s="357" t="n">
        <f aca="false">(-Y277/((HLOOKUP(AG$5,port_specs,2,0)/(365.25))*(AC278-AC277)))*(INDEX(fixed_capacity_charge,MATCH(AC277,PORTS!$H$11:$H$317,0),MATCH(AG$5,PORTS!$H$11:$N$11,0))+INDEX(variable_om_charge,MATCH(AC277,PORTS!$H$318:$H$625,0),MATCH(AG$5,PORTS!$H$318:$N$318,0)))</f>
        <v>-0</v>
      </c>
      <c r="AJ277" s="343" t="n">
        <f aca="false">+AI277+AH277</f>
        <v>0</v>
      </c>
      <c r="AK277" s="355" t="n">
        <f aca="false">+AJ277+AD277</f>
        <v>0</v>
      </c>
      <c r="AM277" s="346" t="n">
        <f aca="false">+DATE(YEAR(AM276),MONTH(AM276)+1,1)</f>
        <v>44593</v>
      </c>
      <c r="AN277" s="327" t="n">
        <f aca="false">+AP277/(1-HLOOKUP(AO$6,SHIPS,7,0)*INDEX(LADEN_VOYAGE_DAYS,MATCH(CONCATENATE(AO$4,AO$5),LADEN_VOYAGE_ROUTES,0),MATCH(AO$6,LADEN_VOYAGE_SHIPS,0)))</f>
        <v>0</v>
      </c>
      <c r="AO277" s="347" t="n">
        <f aca="false">+AP277-AN277</f>
        <v>0</v>
      </c>
      <c r="AP277" s="348" t="n">
        <f aca="false">+IF(AND(AO$8&lt;=AM277,AO$9&gt;=AM277),+MIN($B277-SUMIF($H$17:AO$17,AP$17,$H277:AO277),((INDEX(ROUTE_PER_DAY_BY_SHIP,MATCH(CONCATENATE(AO$4,AO$5,AO$7),ROUTE_PER_DAY_ROUTES,0),MATCH(AO$6,ROUTE_PER_DAY_SHIPS,0))*(AM278-AM277))-(INDEX(ROUTE_PER_DAY_BY_SHIP,MATCH(CONCATENATE(AO$4,AO$5,AO$7),ROUTE_PER_DAY_ROUTES,0),MATCH(AO$6,ROUTE_PER_DAY_SHIPS,0))*(AM278-AM277))*HLOOKUP(AO$6,SHIPS,7,0)*INDEX(LADEN_VOYAGE_DAYS,MATCH(CONCATENATE(AO$4,AO$5,AO$7),LADEN_VOYAGE_ROUTES,0),MATCH(AO$6,LADEN_VOYAGE_SHIPS,0)))),0)</f>
        <v>0</v>
      </c>
      <c r="AQ277" s="349" t="n">
        <f aca="false">-(AP277)*PORTS!$I$6</f>
        <v>-0</v>
      </c>
      <c r="AR277" s="327" t="n">
        <f aca="false">+AP277+AQ277</f>
        <v>0</v>
      </c>
      <c r="AS277" s="333"/>
      <c r="AT277" s="346" t="n">
        <f aca="false">+DATE(YEAR(AT276),MONTH(AT276)+1,1)</f>
        <v>44593</v>
      </c>
      <c r="AU277" s="343" t="n">
        <f aca="false">+AR277*(VLOOKUP(AT277,CURVECALC!$C$6:$J$312,4,0)+AV$5)</f>
        <v>0</v>
      </c>
      <c r="AV277" s="350" t="n">
        <f aca="false">-AN277*INDEX(ship_curves,MATCH(AT277,'SHIP CURVES'!$A$9:$A$316,0),MATCH(CONCATENATE(AX$4,AX$5,AX$6,AX$7),'SHIP CURVES'!$A$9:$AZ$9,0))</f>
        <v>-0</v>
      </c>
      <c r="AW277" s="351" t="n">
        <f aca="false">-AP277*INDEX(port_processing_fee,MATCH(AT277,PORTS!$H$626:$H$933,0),MATCH(AX$5,PORTS!$H$626:$Z$626,0))</f>
        <v>-0</v>
      </c>
      <c r="AX277" s="352" t="n">
        <f aca="false">(((VLOOKUP(AT277,curvecalc,4,0))*IF(AN277=0,0,AR277/AN277)-INDEX(ship_curves,MATCH(AT277,'SHIP CURVES'!$A$9:$A$316,0),MATCH(CONCATENATE(AX$4,AX$5,AX$6,AX$7),'SHIP CURVES'!$A$9:$Z$9,0))-INDEX(terminal_curves,MATCH(AT277,'TERMINAL CURVES'!$A$4:$A$313,0),MATCH(AX$5,'TERMINAL CURVES'!$A$4:$N$4,0))*IF(AN277=0,0,AP277/AN277))-(AV$8)*((AV$7-$N$5)-(INDEX(ship_curves,MATCH(AT277,'SHIP CURVES'!$A$9:$A$316,0),MATCH(CONCATENATE(AX$4,AX$5,AX$6,AX$7),'SHIP CURVES'!$A$9:$Z$9,0))-INDEX(ship_curves,MATCH(AT277,'SHIP CURVES'!$A$9:$A$316,0),MATCH(CONCATENATE(AX$4,AV$6,AX$6,AX$7),'SHIP CURVES'!$A$9:$Z$9,0)))-(INDEX(terminal_curves,MATCH(AT277,'TERMINAL CURVES'!$A$4:$A$313,0),MATCH(AX$5,'TERMINAL CURVES'!$A$4:$N$4,0))-INDEX(terminal_curves,MATCH(AT277,'TERMINAL CURVES'!$A$4:$A$313,0),MATCH(AV$6,'TERMINAL CURVES'!$A$4:$N$4,0)))*IF(AN277=0,0,AP277/AN277)))*-AN277</f>
        <v>0</v>
      </c>
      <c r="AY277" s="356" t="n">
        <f aca="false">SUM(AV277:AX277)</f>
        <v>0</v>
      </c>
      <c r="AZ277" s="357" t="n">
        <f aca="false">(-AP277/((HLOOKUP(AX$5,port_specs,2,0)/(365.25))*(AT278-AT277)))*(INDEX(fixed_capacity_charge,MATCH(AT277,PORTS!$H$11:$H$317,0),MATCH(AX$5,PORTS!$H$11:$N$11,0))+INDEX(variable_om_charge,MATCH(AT277,PORTS!$H$318:$H$625,0),MATCH(AX$5,PORTS!$H$318:$N$318,0)))</f>
        <v>-0</v>
      </c>
      <c r="BA277" s="343" t="n">
        <f aca="false">+AZ277+AY277</f>
        <v>0</v>
      </c>
      <c r="BB277" s="355" t="n">
        <f aca="false">+BA277+AU277</f>
        <v>0</v>
      </c>
      <c r="BC277" s="99"/>
      <c r="BD277" s="357" t="n">
        <f aca="false">+PORTS!I271+PORTS!I579</f>
        <v>0</v>
      </c>
    </row>
    <row r="278" customFormat="false" ht="12.75" hidden="false" customHeight="false" outlineLevel="0" collapsed="false">
      <c r="A278" s="346" t="n">
        <f aca="false">+DATE(YEAR(A277),MONTH(A277)+1,1)</f>
        <v>44621</v>
      </c>
      <c r="B278" s="327" t="n">
        <f aca="false">+IF(AND($A278&gt;=$C$8,$A278&lt;=$C$9),1,0)*PORTS!$I$5/(365.25)*(A279-A278)</f>
        <v>0</v>
      </c>
      <c r="C278" s="328" t="n">
        <f aca="false">+B278-(SUMIF($F$17:$IV$17,$H$17,$F278:$IV278))</f>
        <v>0</v>
      </c>
      <c r="D278" s="0" t="n">
        <f aca="false">+YEAR(E278)</f>
        <v>2022</v>
      </c>
      <c r="E278" s="346" t="n">
        <f aca="false">+DATE(YEAR(E277),MONTH(E277)+1,1)</f>
        <v>44621</v>
      </c>
      <c r="F278" s="327" t="n">
        <f aca="false">+IF(AND(G$8&lt;=E278,G$9&gt;=E278),INDEX(ROUTE_PER_DAY_BY_SHIP,MATCH(CONCATENATE(G$4,G$5,G$7),ROUTE_PER_DAY_ROUTES,0),MATCH(G$6,ROUTE_PER_DAY_SHIPS,0))*(E279-E278),0)</f>
        <v>0</v>
      </c>
      <c r="G278" s="347" t="n">
        <f aca="false">-F278*HLOOKUP(G$6,SHIPS,7,0)*INDEX(LADEN_VOYAGE_DAYS,MATCH(CONCATENATE(G$4,G$5,G$7),LADEN_VOYAGE_ROUTES,0),MATCH(G$6,LADEN_VOYAGE_SHIPS,0))</f>
        <v>-0</v>
      </c>
      <c r="H278" s="348" t="n">
        <f aca="false">SUM(F278:G278)</f>
        <v>0</v>
      </c>
      <c r="I278" s="349" t="n">
        <f aca="false">-(H278)*HLOOKUP(G$5,TERMINAL_CHARGES,3,0)</f>
        <v>-0</v>
      </c>
      <c r="J278" s="327" t="n">
        <f aca="false">+H278+I278</f>
        <v>0</v>
      </c>
      <c r="K278" s="333"/>
      <c r="L278" s="346" t="n">
        <f aca="false">+DATE(YEAR(L277),MONTH(L277)+1,1)</f>
        <v>44621</v>
      </c>
      <c r="M278" s="334" t="n">
        <f aca="false">+J278*(VLOOKUP(L278,CURVECALC!$C$6:$J$312,4,0)+N$5)</f>
        <v>0</v>
      </c>
      <c r="N278" s="350" t="n">
        <f aca="false">-F278*INDEX(ship_curves,MATCH(L278,'SHIP CURVES'!$A$9:$A$316,0),MATCH(CONCATENATE(P$4,P$5,P$6,P$7),'SHIP CURVES'!$A$9:$AZ$9,0))</f>
        <v>-0</v>
      </c>
      <c r="O278" s="351" t="n">
        <f aca="false">-H278*INDEX(port_processing_fee,MATCH(L278,PORTS!$H$626:$H$933,0),MATCH(P$5,PORTS!$H$626:$Z$626,0))</f>
        <v>-0</v>
      </c>
      <c r="P278" s="352" t="n">
        <f aca="false">(((VLOOKUP(L278,curvecalc,4,0))*IF(F278=0,0,J278/F278)-INDEX(ship_curves,MATCH(L278,'SHIP CURVES'!$A$9:$A$316,0),MATCH(CONCATENATE(P$4,P$5,P$6,P$7),'SHIP CURVES'!$A$9:$Z$9,0))-INDEX(terminal_curves,MATCH(L278,'TERMINAL CURVES'!$A$4:$A$313,0),MATCH(P$5,'TERMINAL CURVES'!$A$4:$N$4,0))*IF(F278=0,0,H278/F278))-(N$8)*((N$7-$N$5)-(INDEX(ship_curves,MATCH(L278,'SHIP CURVES'!$A$9:$A$316,0),MATCH(CONCATENATE(P$4,P$5,P$6,P$7),'SHIP CURVES'!$A$9:$Z$9,0))-INDEX(ship_curves,MATCH(L278,'SHIP CURVES'!$A$9:$A$316,0),MATCH(CONCATENATE(P$4,N$6,P$6,P$7),'SHIP CURVES'!$A$9:$Z$9,0)))-(INDEX(terminal_curves,MATCH(L278,'TERMINAL CURVES'!$A$4:$A$313,0),MATCH(P$5,'TERMINAL CURVES'!$A$4:$N$4,0))-INDEX(terminal_curves,MATCH(L278,'TERMINAL CURVES'!$A$4:$A$313,0),MATCH(N$6,'TERMINAL CURVES'!$A$4:$N$4,0)))*IF(F278=0,0,H278/F278)))*-F278</f>
        <v>0</v>
      </c>
      <c r="Q278" s="353" t="n">
        <f aca="false">SUM(N278:P278)</f>
        <v>0</v>
      </c>
      <c r="R278" s="357" t="n">
        <f aca="false">(-H278/((HLOOKUP(P$5,port_specs,2,0)/(365.25))*(L279-L278)))*(INDEX(fixed_capacity_charge,MATCH(L278,PORTS!$H$11:$H$317,0),MATCH(P$5,PORTS!$H$11:$N$11,0))+INDEX(variable_om_charge,MATCH(L278,PORTS!$H$318:$H$625,0),MATCH(P$5,PORTS!$H$318:$N$318,0)))</f>
        <v>-0</v>
      </c>
      <c r="S278" s="343" t="n">
        <f aca="false">+R278+Q278</f>
        <v>0</v>
      </c>
      <c r="T278" s="355" t="n">
        <f aca="false">+S278+M278</f>
        <v>0</v>
      </c>
      <c r="V278" s="346" t="n">
        <f aca="false">+DATE(YEAR(V277),MONTH(V277)+1,1)</f>
        <v>44621</v>
      </c>
      <c r="W278" s="327" t="n">
        <f aca="false">+Y278/(1-HLOOKUP(X$6,SHIPS,7,0)*INDEX(LADEN_VOYAGE_DAYS,MATCH(CONCATENATE(X$4,X$5),LADEN_VOYAGE_ROUTES,0),MATCH(X$6,LADEN_VOYAGE_SHIPS,0)))</f>
        <v>0</v>
      </c>
      <c r="X278" s="347" t="n">
        <f aca="false">+Y278-W278</f>
        <v>0</v>
      </c>
      <c r="Y278" s="348" t="n">
        <f aca="false">+IF(AND(X$8&lt;=V278,X$9&gt;=V278),+MIN($B278-SUMIF($H$17:X$17,Y$17,$H278:X278),((INDEX(ROUTE_PER_DAY_BY_SHIP,MATCH(CONCATENATE(X$4,X$5,X$7),ROUTE_PER_DAY_ROUTES,0),MATCH(X$6,ROUTE_PER_DAY_SHIPS,0))*(V279-V278))-(INDEX(ROUTE_PER_DAY_BY_SHIP,MATCH(CONCATENATE(X$4,X$5,X$7),ROUTE_PER_DAY_ROUTES,0),MATCH(X$6,ROUTE_PER_DAY_SHIPS,0))*(V279-V278))*HLOOKUP(X$6,SHIPS,7,0)*INDEX(LADEN_VOYAGE_DAYS,MATCH(CONCATENATE(X$4,X$5,X$7),LADEN_VOYAGE_ROUTES,0),MATCH(X$6,LADEN_VOYAGE_SHIPS,0)))),0)</f>
        <v>0</v>
      </c>
      <c r="Z278" s="349" t="n">
        <f aca="false">-(Y278)*HLOOKUP(X$5,TERMINAL_CHARGES,3,0)</f>
        <v>-0</v>
      </c>
      <c r="AA278" s="327" t="n">
        <f aca="false">+Y278+Z278</f>
        <v>0</v>
      </c>
      <c r="AB278" s="333"/>
      <c r="AC278" s="346" t="n">
        <f aca="false">+DATE(YEAR(AC277),MONTH(AC277)+1,1)</f>
        <v>44621</v>
      </c>
      <c r="AD278" s="343" t="n">
        <f aca="false">+AA278*(VLOOKUP(AC278,CURVECALC!$C$6:$J$312,4,0)+AE$5)</f>
        <v>0</v>
      </c>
      <c r="AE278" s="350" t="n">
        <f aca="false">-W278*INDEX(ship_curves,MATCH(AC278,'SHIP CURVES'!$A$9:$A$316,0),MATCH(CONCATENATE(AG$4,AG$5,AG$6,AG$7),'SHIP CURVES'!$A$9:$AZ$9,0))</f>
        <v>-0</v>
      </c>
      <c r="AF278" s="351" t="n">
        <f aca="false">-Y278*INDEX(port_processing_fee,MATCH(AC278,PORTS!$H$626:$H$933,0),MATCH(AG$5,PORTS!$H$626:$Z$626,0))</f>
        <v>-0</v>
      </c>
      <c r="AG278" s="352" t="n">
        <f aca="false">(((VLOOKUP(AC278,curvecalc,4,0))*IF(W278=0,0,AA278/W278)-INDEX(ship_curves,MATCH(AC278,'SHIP CURVES'!$A$9:$A$316,0),MATCH(CONCATENATE(AG$4,AG$5,AG$6,AG$7),'SHIP CURVES'!$A$9:$Z$9,0))-INDEX(terminal_curves,MATCH(AC278,'TERMINAL CURVES'!$A$4:$A$313,0),MATCH(AG$5,'TERMINAL CURVES'!$A$4:$N$4,0))*IF(W278=0,0,Y278/W278))-(AE$8)*((AE$7-$N$5)-(INDEX(ship_curves,MATCH(AC278,'SHIP CURVES'!$A$9:$A$316,0),MATCH(CONCATENATE(AG$4,AG$5,AG$6,AG$7),'SHIP CURVES'!$A$9:$Z$9,0))-INDEX(ship_curves,MATCH(AC278,'SHIP CURVES'!$A$9:$A$316,0),MATCH(CONCATENATE(AG$4,AE$6,AG$6,AG$7),'SHIP CURVES'!$A$9:$Z$9,0)))-(INDEX(terminal_curves,MATCH(AC278,'TERMINAL CURVES'!$A$4:$A$313,0),MATCH(AG$5,'TERMINAL CURVES'!$A$4:$N$4,0))-INDEX(terminal_curves,MATCH(AC278,'TERMINAL CURVES'!$A$4:$A$313,0),MATCH(AE$6,'TERMINAL CURVES'!$A$4:$N$4,0)))*IF(W278=0,0,Y278/W278)))*-W278</f>
        <v>0</v>
      </c>
      <c r="AH278" s="356" t="n">
        <f aca="false">SUM(AE278:AG278)</f>
        <v>0</v>
      </c>
      <c r="AI278" s="357" t="n">
        <f aca="false">(-Y278/((HLOOKUP(AG$5,port_specs,2,0)/(365.25))*(AC279-AC278)))*(INDEX(fixed_capacity_charge,MATCH(AC278,PORTS!$H$11:$H$317,0),MATCH(AG$5,PORTS!$H$11:$N$11,0))+INDEX(variable_om_charge,MATCH(AC278,PORTS!$H$318:$H$625,0),MATCH(AG$5,PORTS!$H$318:$N$318,0)))</f>
        <v>-0</v>
      </c>
      <c r="AJ278" s="343" t="n">
        <f aca="false">+AI278+AH278</f>
        <v>0</v>
      </c>
      <c r="AK278" s="355" t="n">
        <f aca="false">+AJ278+AD278</f>
        <v>0</v>
      </c>
      <c r="AM278" s="346" t="n">
        <f aca="false">+DATE(YEAR(AM277),MONTH(AM277)+1,1)</f>
        <v>44621</v>
      </c>
      <c r="AN278" s="327" t="n">
        <f aca="false">+AP278/(1-HLOOKUP(AO$6,SHIPS,7,0)*INDEX(LADEN_VOYAGE_DAYS,MATCH(CONCATENATE(AO$4,AO$5),LADEN_VOYAGE_ROUTES,0),MATCH(AO$6,LADEN_VOYAGE_SHIPS,0)))</f>
        <v>0</v>
      </c>
      <c r="AO278" s="347" t="n">
        <f aca="false">+AP278-AN278</f>
        <v>0</v>
      </c>
      <c r="AP278" s="348" t="n">
        <f aca="false">+IF(AND(AO$8&lt;=AM278,AO$9&gt;=AM278),+MIN($B278-SUMIF($H$17:AO$17,AP$17,$H278:AO278),((INDEX(ROUTE_PER_DAY_BY_SHIP,MATCH(CONCATENATE(AO$4,AO$5,AO$7),ROUTE_PER_DAY_ROUTES,0),MATCH(AO$6,ROUTE_PER_DAY_SHIPS,0))*(AM279-AM278))-(INDEX(ROUTE_PER_DAY_BY_SHIP,MATCH(CONCATENATE(AO$4,AO$5,AO$7),ROUTE_PER_DAY_ROUTES,0),MATCH(AO$6,ROUTE_PER_DAY_SHIPS,0))*(AM279-AM278))*HLOOKUP(AO$6,SHIPS,7,0)*INDEX(LADEN_VOYAGE_DAYS,MATCH(CONCATENATE(AO$4,AO$5,AO$7),LADEN_VOYAGE_ROUTES,0),MATCH(AO$6,LADEN_VOYAGE_SHIPS,0)))),0)</f>
        <v>0</v>
      </c>
      <c r="AQ278" s="349" t="n">
        <f aca="false">-(AP278)*PORTS!$I$6</f>
        <v>-0</v>
      </c>
      <c r="AR278" s="327" t="n">
        <f aca="false">+AP278+AQ278</f>
        <v>0</v>
      </c>
      <c r="AS278" s="333"/>
      <c r="AT278" s="346" t="n">
        <f aca="false">+DATE(YEAR(AT277),MONTH(AT277)+1,1)</f>
        <v>44621</v>
      </c>
      <c r="AU278" s="343" t="n">
        <f aca="false">+AR278*(VLOOKUP(AT278,CURVECALC!$C$6:$J$312,4,0)+AV$5)</f>
        <v>0</v>
      </c>
      <c r="AV278" s="350" t="n">
        <f aca="false">-AN278*INDEX(ship_curves,MATCH(AT278,'SHIP CURVES'!$A$9:$A$316,0),MATCH(CONCATENATE(AX$4,AX$5,AX$6,AX$7),'SHIP CURVES'!$A$9:$AZ$9,0))</f>
        <v>-0</v>
      </c>
      <c r="AW278" s="351" t="n">
        <f aca="false">-AP278*INDEX(port_processing_fee,MATCH(AT278,PORTS!$H$626:$H$933,0),MATCH(AX$5,PORTS!$H$626:$Z$626,0))</f>
        <v>-0</v>
      </c>
      <c r="AX278" s="352" t="n">
        <f aca="false">(((VLOOKUP(AT278,curvecalc,4,0))*IF(AN278=0,0,AR278/AN278)-INDEX(ship_curves,MATCH(AT278,'SHIP CURVES'!$A$9:$A$316,0),MATCH(CONCATENATE(AX$4,AX$5,AX$6,AX$7),'SHIP CURVES'!$A$9:$Z$9,0))-INDEX(terminal_curves,MATCH(AT278,'TERMINAL CURVES'!$A$4:$A$313,0),MATCH(AX$5,'TERMINAL CURVES'!$A$4:$N$4,0))*IF(AN278=0,0,AP278/AN278))-(AV$8)*((AV$7-$N$5)-(INDEX(ship_curves,MATCH(AT278,'SHIP CURVES'!$A$9:$A$316,0),MATCH(CONCATENATE(AX$4,AX$5,AX$6,AX$7),'SHIP CURVES'!$A$9:$Z$9,0))-INDEX(ship_curves,MATCH(AT278,'SHIP CURVES'!$A$9:$A$316,0),MATCH(CONCATENATE(AX$4,AV$6,AX$6,AX$7),'SHIP CURVES'!$A$9:$Z$9,0)))-(INDEX(terminal_curves,MATCH(AT278,'TERMINAL CURVES'!$A$4:$A$313,0),MATCH(AX$5,'TERMINAL CURVES'!$A$4:$N$4,0))-INDEX(terminal_curves,MATCH(AT278,'TERMINAL CURVES'!$A$4:$A$313,0),MATCH(AV$6,'TERMINAL CURVES'!$A$4:$N$4,0)))*IF(AN278=0,0,AP278/AN278)))*-AN278</f>
        <v>0</v>
      </c>
      <c r="AY278" s="356" t="n">
        <f aca="false">SUM(AV278:AX278)</f>
        <v>0</v>
      </c>
      <c r="AZ278" s="357" t="n">
        <f aca="false">(-AP278/((HLOOKUP(AX$5,port_specs,2,0)/(365.25))*(AT279-AT278)))*(INDEX(fixed_capacity_charge,MATCH(AT278,PORTS!$H$11:$H$317,0),MATCH(AX$5,PORTS!$H$11:$N$11,0))+INDEX(variable_om_charge,MATCH(AT278,PORTS!$H$318:$H$625,0),MATCH(AX$5,PORTS!$H$318:$N$318,0)))</f>
        <v>-0</v>
      </c>
      <c r="BA278" s="343" t="n">
        <f aca="false">+AZ278+AY278</f>
        <v>0</v>
      </c>
      <c r="BB278" s="355" t="n">
        <f aca="false">+BA278+AU278</f>
        <v>0</v>
      </c>
      <c r="BC278" s="99"/>
      <c r="BD278" s="357" t="n">
        <f aca="false">+PORTS!I272+PORTS!I580</f>
        <v>0</v>
      </c>
    </row>
    <row r="279" customFormat="false" ht="12.75" hidden="false" customHeight="false" outlineLevel="0" collapsed="false">
      <c r="A279" s="346" t="n">
        <f aca="false">+DATE(YEAR(A278),MONTH(A278)+1,1)</f>
        <v>44652</v>
      </c>
      <c r="B279" s="327" t="n">
        <f aca="false">+IF(AND($A279&gt;=$C$8,$A279&lt;=$C$9),1,0)*PORTS!$I$5/(365.25)*(A280-A279)</f>
        <v>0</v>
      </c>
      <c r="C279" s="328" t="n">
        <f aca="false">+B279-(SUMIF($F$17:$IV$17,$H$17,$F279:$IV279))</f>
        <v>0</v>
      </c>
      <c r="D279" s="0" t="n">
        <f aca="false">+YEAR(E279)</f>
        <v>2022</v>
      </c>
      <c r="E279" s="346" t="n">
        <f aca="false">+DATE(YEAR(E278),MONTH(E278)+1,1)</f>
        <v>44652</v>
      </c>
      <c r="F279" s="327" t="n">
        <f aca="false">+IF(AND(G$8&lt;=E279,G$9&gt;=E279),INDEX(ROUTE_PER_DAY_BY_SHIP,MATCH(CONCATENATE(G$4,G$5,G$7),ROUTE_PER_DAY_ROUTES,0),MATCH(G$6,ROUTE_PER_DAY_SHIPS,0))*(E280-E279),0)</f>
        <v>0</v>
      </c>
      <c r="G279" s="347" t="n">
        <f aca="false">-F279*HLOOKUP(G$6,SHIPS,7,0)*INDEX(LADEN_VOYAGE_DAYS,MATCH(CONCATENATE(G$4,G$5,G$7),LADEN_VOYAGE_ROUTES,0),MATCH(G$6,LADEN_VOYAGE_SHIPS,0))</f>
        <v>-0</v>
      </c>
      <c r="H279" s="348" t="n">
        <f aca="false">SUM(F279:G279)</f>
        <v>0</v>
      </c>
      <c r="I279" s="349" t="n">
        <f aca="false">-(H279)*HLOOKUP(G$5,TERMINAL_CHARGES,3,0)</f>
        <v>-0</v>
      </c>
      <c r="J279" s="327" t="n">
        <f aca="false">+H279+I279</f>
        <v>0</v>
      </c>
      <c r="K279" s="333"/>
      <c r="L279" s="346" t="n">
        <f aca="false">+DATE(YEAR(L278),MONTH(L278)+1,1)</f>
        <v>44652</v>
      </c>
      <c r="M279" s="334" t="n">
        <f aca="false">+J279*(VLOOKUP(L279,CURVECALC!$C$6:$J$312,4,0)+N$5)</f>
        <v>0</v>
      </c>
      <c r="N279" s="350" t="n">
        <f aca="false">-F279*INDEX(ship_curves,MATCH(L279,'SHIP CURVES'!$A$9:$A$316,0),MATCH(CONCATENATE(P$4,P$5,P$6,P$7),'SHIP CURVES'!$A$9:$AZ$9,0))</f>
        <v>-0</v>
      </c>
      <c r="O279" s="351" t="n">
        <f aca="false">-H279*INDEX(port_processing_fee,MATCH(L279,PORTS!$H$626:$H$933,0),MATCH(P$5,PORTS!$H$626:$Z$626,0))</f>
        <v>-0</v>
      </c>
      <c r="P279" s="352" t="n">
        <f aca="false">(((VLOOKUP(L279,curvecalc,4,0))*IF(F279=0,0,J279/F279)-INDEX(ship_curves,MATCH(L279,'SHIP CURVES'!$A$9:$A$316,0),MATCH(CONCATENATE(P$4,P$5,P$6,P$7),'SHIP CURVES'!$A$9:$Z$9,0))-INDEX(terminal_curves,MATCH(L279,'TERMINAL CURVES'!$A$4:$A$313,0),MATCH(P$5,'TERMINAL CURVES'!$A$4:$N$4,0))*IF(F279=0,0,H279/F279))-(N$8)*((N$7-$N$5)-(INDEX(ship_curves,MATCH(L279,'SHIP CURVES'!$A$9:$A$316,0),MATCH(CONCATENATE(P$4,P$5,P$6,P$7),'SHIP CURVES'!$A$9:$Z$9,0))-INDEX(ship_curves,MATCH(L279,'SHIP CURVES'!$A$9:$A$316,0),MATCH(CONCATENATE(P$4,N$6,P$6,P$7),'SHIP CURVES'!$A$9:$Z$9,0)))-(INDEX(terminal_curves,MATCH(L279,'TERMINAL CURVES'!$A$4:$A$313,0),MATCH(P$5,'TERMINAL CURVES'!$A$4:$N$4,0))-INDEX(terminal_curves,MATCH(L279,'TERMINAL CURVES'!$A$4:$A$313,0),MATCH(N$6,'TERMINAL CURVES'!$A$4:$N$4,0)))*IF(F279=0,0,H279/F279)))*-F279</f>
        <v>0</v>
      </c>
      <c r="Q279" s="353" t="n">
        <f aca="false">SUM(N279:P279)</f>
        <v>0</v>
      </c>
      <c r="R279" s="357" t="n">
        <f aca="false">(-H279/((HLOOKUP(P$5,port_specs,2,0)/(365.25))*(L280-L279)))*(INDEX(fixed_capacity_charge,MATCH(L279,PORTS!$H$11:$H$317,0),MATCH(P$5,PORTS!$H$11:$N$11,0))+INDEX(variable_om_charge,MATCH(L279,PORTS!$H$318:$H$625,0),MATCH(P$5,PORTS!$H$318:$N$318,0)))</f>
        <v>-0</v>
      </c>
      <c r="S279" s="343" t="n">
        <f aca="false">+R279+Q279</f>
        <v>0</v>
      </c>
      <c r="T279" s="355" t="n">
        <f aca="false">+S279+M279</f>
        <v>0</v>
      </c>
      <c r="V279" s="346" t="n">
        <f aca="false">+DATE(YEAR(V278),MONTH(V278)+1,1)</f>
        <v>44652</v>
      </c>
      <c r="W279" s="327" t="n">
        <f aca="false">+Y279/(1-HLOOKUP(X$6,SHIPS,7,0)*INDEX(LADEN_VOYAGE_DAYS,MATCH(CONCATENATE(X$4,X$5),LADEN_VOYAGE_ROUTES,0),MATCH(X$6,LADEN_VOYAGE_SHIPS,0)))</f>
        <v>0</v>
      </c>
      <c r="X279" s="347" t="n">
        <f aca="false">+Y279-W279</f>
        <v>0</v>
      </c>
      <c r="Y279" s="348" t="n">
        <f aca="false">+IF(AND(X$8&lt;=V279,X$9&gt;=V279),+MIN($B279-SUMIF($H$17:X$17,Y$17,$H279:X279),((INDEX(ROUTE_PER_DAY_BY_SHIP,MATCH(CONCATENATE(X$4,X$5,X$7),ROUTE_PER_DAY_ROUTES,0),MATCH(X$6,ROUTE_PER_DAY_SHIPS,0))*(V280-V279))-(INDEX(ROUTE_PER_DAY_BY_SHIP,MATCH(CONCATENATE(X$4,X$5,X$7),ROUTE_PER_DAY_ROUTES,0),MATCH(X$6,ROUTE_PER_DAY_SHIPS,0))*(V280-V279))*HLOOKUP(X$6,SHIPS,7,0)*INDEX(LADEN_VOYAGE_DAYS,MATCH(CONCATENATE(X$4,X$5,X$7),LADEN_VOYAGE_ROUTES,0),MATCH(X$6,LADEN_VOYAGE_SHIPS,0)))),0)</f>
        <v>0</v>
      </c>
      <c r="Z279" s="349" t="n">
        <f aca="false">-(Y279)*HLOOKUP(X$5,TERMINAL_CHARGES,3,0)</f>
        <v>-0</v>
      </c>
      <c r="AA279" s="327" t="n">
        <f aca="false">+Y279+Z279</f>
        <v>0</v>
      </c>
      <c r="AB279" s="333"/>
      <c r="AC279" s="346" t="n">
        <f aca="false">+DATE(YEAR(AC278),MONTH(AC278)+1,1)</f>
        <v>44652</v>
      </c>
      <c r="AD279" s="343" t="n">
        <f aca="false">+AA279*(VLOOKUP(AC279,CURVECALC!$C$6:$J$312,4,0)+AE$5)</f>
        <v>0</v>
      </c>
      <c r="AE279" s="350" t="n">
        <f aca="false">-W279*INDEX(ship_curves,MATCH(AC279,'SHIP CURVES'!$A$9:$A$316,0),MATCH(CONCATENATE(AG$4,AG$5,AG$6,AG$7),'SHIP CURVES'!$A$9:$AZ$9,0))</f>
        <v>-0</v>
      </c>
      <c r="AF279" s="351" t="n">
        <f aca="false">-Y279*INDEX(port_processing_fee,MATCH(AC279,PORTS!$H$626:$H$933,0),MATCH(AG$5,PORTS!$H$626:$Z$626,0))</f>
        <v>-0</v>
      </c>
      <c r="AG279" s="352" t="n">
        <f aca="false">(((VLOOKUP(AC279,curvecalc,4,0))*IF(W279=0,0,AA279/W279)-INDEX(ship_curves,MATCH(AC279,'SHIP CURVES'!$A$9:$A$316,0),MATCH(CONCATENATE(AG$4,AG$5,AG$6,AG$7),'SHIP CURVES'!$A$9:$Z$9,0))-INDEX(terminal_curves,MATCH(AC279,'TERMINAL CURVES'!$A$4:$A$313,0),MATCH(AG$5,'TERMINAL CURVES'!$A$4:$N$4,0))*IF(W279=0,0,Y279/W279))-(AE$8)*((AE$7-$N$5)-(INDEX(ship_curves,MATCH(AC279,'SHIP CURVES'!$A$9:$A$316,0),MATCH(CONCATENATE(AG$4,AG$5,AG$6,AG$7),'SHIP CURVES'!$A$9:$Z$9,0))-INDEX(ship_curves,MATCH(AC279,'SHIP CURVES'!$A$9:$A$316,0),MATCH(CONCATENATE(AG$4,AE$6,AG$6,AG$7),'SHIP CURVES'!$A$9:$Z$9,0)))-(INDEX(terminal_curves,MATCH(AC279,'TERMINAL CURVES'!$A$4:$A$313,0),MATCH(AG$5,'TERMINAL CURVES'!$A$4:$N$4,0))-INDEX(terminal_curves,MATCH(AC279,'TERMINAL CURVES'!$A$4:$A$313,0),MATCH(AE$6,'TERMINAL CURVES'!$A$4:$N$4,0)))*IF(W279=0,0,Y279/W279)))*-W279</f>
        <v>0</v>
      </c>
      <c r="AH279" s="356" t="n">
        <f aca="false">SUM(AE279:AG279)</f>
        <v>0</v>
      </c>
      <c r="AI279" s="357" t="n">
        <f aca="false">(-Y279/((HLOOKUP(AG$5,port_specs,2,0)/(365.25))*(AC280-AC279)))*(INDEX(fixed_capacity_charge,MATCH(AC279,PORTS!$H$11:$H$317,0),MATCH(AG$5,PORTS!$H$11:$N$11,0))+INDEX(variable_om_charge,MATCH(AC279,PORTS!$H$318:$H$625,0),MATCH(AG$5,PORTS!$H$318:$N$318,0)))</f>
        <v>-0</v>
      </c>
      <c r="AJ279" s="343" t="n">
        <f aca="false">+AI279+AH279</f>
        <v>0</v>
      </c>
      <c r="AK279" s="355" t="n">
        <f aca="false">+AJ279+AD279</f>
        <v>0</v>
      </c>
      <c r="AM279" s="346" t="n">
        <f aca="false">+DATE(YEAR(AM278),MONTH(AM278)+1,1)</f>
        <v>44652</v>
      </c>
      <c r="AN279" s="327" t="n">
        <f aca="false">+AP279/(1-HLOOKUP(AO$6,SHIPS,7,0)*INDEX(LADEN_VOYAGE_DAYS,MATCH(CONCATENATE(AO$4,AO$5),LADEN_VOYAGE_ROUTES,0),MATCH(AO$6,LADEN_VOYAGE_SHIPS,0)))</f>
        <v>0</v>
      </c>
      <c r="AO279" s="347" t="n">
        <f aca="false">+AP279-AN279</f>
        <v>0</v>
      </c>
      <c r="AP279" s="348" t="n">
        <f aca="false">+IF(AND(AO$8&lt;=AM279,AO$9&gt;=AM279),+MIN($B279-SUMIF($H$17:AO$17,AP$17,$H279:AO279),((INDEX(ROUTE_PER_DAY_BY_SHIP,MATCH(CONCATENATE(AO$4,AO$5,AO$7),ROUTE_PER_DAY_ROUTES,0),MATCH(AO$6,ROUTE_PER_DAY_SHIPS,0))*(AM280-AM279))-(INDEX(ROUTE_PER_DAY_BY_SHIP,MATCH(CONCATENATE(AO$4,AO$5,AO$7),ROUTE_PER_DAY_ROUTES,0),MATCH(AO$6,ROUTE_PER_DAY_SHIPS,0))*(AM280-AM279))*HLOOKUP(AO$6,SHIPS,7,0)*INDEX(LADEN_VOYAGE_DAYS,MATCH(CONCATENATE(AO$4,AO$5,AO$7),LADEN_VOYAGE_ROUTES,0),MATCH(AO$6,LADEN_VOYAGE_SHIPS,0)))),0)</f>
        <v>0</v>
      </c>
      <c r="AQ279" s="349" t="n">
        <f aca="false">-(AP279)*PORTS!$I$6</f>
        <v>-0</v>
      </c>
      <c r="AR279" s="327" t="n">
        <f aca="false">+AP279+AQ279</f>
        <v>0</v>
      </c>
      <c r="AS279" s="333"/>
      <c r="AT279" s="346" t="n">
        <f aca="false">+DATE(YEAR(AT278),MONTH(AT278)+1,1)</f>
        <v>44652</v>
      </c>
      <c r="AU279" s="343" t="n">
        <f aca="false">+AR279*(VLOOKUP(AT279,CURVECALC!$C$6:$J$312,4,0)+AV$5)</f>
        <v>0</v>
      </c>
      <c r="AV279" s="350" t="n">
        <f aca="false">-AN279*INDEX(ship_curves,MATCH(AT279,'SHIP CURVES'!$A$9:$A$316,0),MATCH(CONCATENATE(AX$4,AX$5,AX$6,AX$7),'SHIP CURVES'!$A$9:$AZ$9,0))</f>
        <v>-0</v>
      </c>
      <c r="AW279" s="351" t="n">
        <f aca="false">-AP279*INDEX(port_processing_fee,MATCH(AT279,PORTS!$H$626:$H$933,0),MATCH(AX$5,PORTS!$H$626:$Z$626,0))</f>
        <v>-0</v>
      </c>
      <c r="AX279" s="352" t="n">
        <f aca="false">(((VLOOKUP(AT279,curvecalc,4,0))*IF(AN279=0,0,AR279/AN279)-INDEX(ship_curves,MATCH(AT279,'SHIP CURVES'!$A$9:$A$316,0),MATCH(CONCATENATE(AX$4,AX$5,AX$6,AX$7),'SHIP CURVES'!$A$9:$Z$9,0))-INDEX(terminal_curves,MATCH(AT279,'TERMINAL CURVES'!$A$4:$A$313,0),MATCH(AX$5,'TERMINAL CURVES'!$A$4:$N$4,0))*IF(AN279=0,0,AP279/AN279))-(AV$8)*((AV$7-$N$5)-(INDEX(ship_curves,MATCH(AT279,'SHIP CURVES'!$A$9:$A$316,0),MATCH(CONCATENATE(AX$4,AX$5,AX$6,AX$7),'SHIP CURVES'!$A$9:$Z$9,0))-INDEX(ship_curves,MATCH(AT279,'SHIP CURVES'!$A$9:$A$316,0),MATCH(CONCATENATE(AX$4,AV$6,AX$6,AX$7),'SHIP CURVES'!$A$9:$Z$9,0)))-(INDEX(terminal_curves,MATCH(AT279,'TERMINAL CURVES'!$A$4:$A$313,0),MATCH(AX$5,'TERMINAL CURVES'!$A$4:$N$4,0))-INDEX(terminal_curves,MATCH(AT279,'TERMINAL CURVES'!$A$4:$A$313,0),MATCH(AV$6,'TERMINAL CURVES'!$A$4:$N$4,0)))*IF(AN279=0,0,AP279/AN279)))*-AN279</f>
        <v>0</v>
      </c>
      <c r="AY279" s="356" t="n">
        <f aca="false">SUM(AV279:AX279)</f>
        <v>0</v>
      </c>
      <c r="AZ279" s="357" t="n">
        <f aca="false">(-AP279/((HLOOKUP(AX$5,port_specs,2,0)/(365.25))*(AT280-AT279)))*(INDEX(fixed_capacity_charge,MATCH(AT279,PORTS!$H$11:$H$317,0),MATCH(AX$5,PORTS!$H$11:$N$11,0))+INDEX(variable_om_charge,MATCH(AT279,PORTS!$H$318:$H$625,0),MATCH(AX$5,PORTS!$H$318:$N$318,0)))</f>
        <v>-0</v>
      </c>
      <c r="BA279" s="343" t="n">
        <f aca="false">+AZ279+AY279</f>
        <v>0</v>
      </c>
      <c r="BB279" s="355" t="n">
        <f aca="false">+BA279+AU279</f>
        <v>0</v>
      </c>
      <c r="BC279" s="99"/>
      <c r="BD279" s="357" t="n">
        <f aca="false">+PORTS!I273+PORTS!I581</f>
        <v>0</v>
      </c>
    </row>
    <row r="280" customFormat="false" ht="12.75" hidden="false" customHeight="false" outlineLevel="0" collapsed="false">
      <c r="A280" s="346" t="n">
        <f aca="false">+DATE(YEAR(A279),MONTH(A279)+1,1)</f>
        <v>44682</v>
      </c>
      <c r="B280" s="327" t="n">
        <f aca="false">+IF(AND($A280&gt;=$C$8,$A280&lt;=$C$9),1,0)*PORTS!$I$5/(365.25)*(A281-A280)</f>
        <v>0</v>
      </c>
      <c r="C280" s="328" t="n">
        <f aca="false">+B280-(SUMIF($F$17:$IV$17,$H$17,$F280:$IV280))</f>
        <v>0</v>
      </c>
      <c r="D280" s="0" t="n">
        <f aca="false">+YEAR(E280)</f>
        <v>2022</v>
      </c>
      <c r="E280" s="346" t="n">
        <f aca="false">+DATE(YEAR(E279),MONTH(E279)+1,1)</f>
        <v>44682</v>
      </c>
      <c r="F280" s="327" t="n">
        <f aca="false">+IF(AND(G$8&lt;=E280,G$9&gt;=E280),INDEX(ROUTE_PER_DAY_BY_SHIP,MATCH(CONCATENATE(G$4,G$5,G$7),ROUTE_PER_DAY_ROUTES,0),MATCH(G$6,ROUTE_PER_DAY_SHIPS,0))*(E281-E280),0)</f>
        <v>0</v>
      </c>
      <c r="G280" s="347" t="n">
        <f aca="false">-F280*HLOOKUP(G$6,SHIPS,7,0)*INDEX(LADEN_VOYAGE_DAYS,MATCH(CONCATENATE(G$4,G$5,G$7),LADEN_VOYAGE_ROUTES,0),MATCH(G$6,LADEN_VOYAGE_SHIPS,0))</f>
        <v>-0</v>
      </c>
      <c r="H280" s="348" t="n">
        <f aca="false">SUM(F280:G280)</f>
        <v>0</v>
      </c>
      <c r="I280" s="349" t="n">
        <f aca="false">-(H280)*HLOOKUP(G$5,TERMINAL_CHARGES,3,0)</f>
        <v>-0</v>
      </c>
      <c r="J280" s="327" t="n">
        <f aca="false">+H280+I280</f>
        <v>0</v>
      </c>
      <c r="K280" s="333"/>
      <c r="L280" s="346" t="n">
        <f aca="false">+DATE(YEAR(L279),MONTH(L279)+1,1)</f>
        <v>44682</v>
      </c>
      <c r="M280" s="334" t="n">
        <f aca="false">+J280*(VLOOKUP(L280,CURVECALC!$C$6:$J$312,4,0)+N$5)</f>
        <v>0</v>
      </c>
      <c r="N280" s="350" t="n">
        <f aca="false">-F280*INDEX(ship_curves,MATCH(L280,'SHIP CURVES'!$A$9:$A$316,0),MATCH(CONCATENATE(P$4,P$5,P$6,P$7),'SHIP CURVES'!$A$9:$AZ$9,0))</f>
        <v>-0</v>
      </c>
      <c r="O280" s="351" t="n">
        <f aca="false">-H280*INDEX(port_processing_fee,MATCH(L280,PORTS!$H$626:$H$933,0),MATCH(P$5,PORTS!$H$626:$Z$626,0))</f>
        <v>-0</v>
      </c>
      <c r="P280" s="352" t="n">
        <f aca="false">(((VLOOKUP(L280,curvecalc,4,0))*IF(F280=0,0,J280/F280)-INDEX(ship_curves,MATCH(L280,'SHIP CURVES'!$A$9:$A$316,0),MATCH(CONCATENATE(P$4,P$5,P$6,P$7),'SHIP CURVES'!$A$9:$Z$9,0))-INDEX(terminal_curves,MATCH(L280,'TERMINAL CURVES'!$A$4:$A$313,0),MATCH(P$5,'TERMINAL CURVES'!$A$4:$N$4,0))*IF(F280=0,0,H280/F280))-(N$8)*((N$7-$N$5)-(INDEX(ship_curves,MATCH(L280,'SHIP CURVES'!$A$9:$A$316,0),MATCH(CONCATENATE(P$4,P$5,P$6,P$7),'SHIP CURVES'!$A$9:$Z$9,0))-INDEX(ship_curves,MATCH(L280,'SHIP CURVES'!$A$9:$A$316,0),MATCH(CONCATENATE(P$4,N$6,P$6,P$7),'SHIP CURVES'!$A$9:$Z$9,0)))-(INDEX(terminal_curves,MATCH(L280,'TERMINAL CURVES'!$A$4:$A$313,0),MATCH(P$5,'TERMINAL CURVES'!$A$4:$N$4,0))-INDEX(terminal_curves,MATCH(L280,'TERMINAL CURVES'!$A$4:$A$313,0),MATCH(N$6,'TERMINAL CURVES'!$A$4:$N$4,0)))*IF(F280=0,0,H280/F280)))*-F280</f>
        <v>0</v>
      </c>
      <c r="Q280" s="353" t="n">
        <f aca="false">SUM(N280:P280)</f>
        <v>0</v>
      </c>
      <c r="R280" s="357" t="n">
        <f aca="false">(-H280/((HLOOKUP(P$5,port_specs,2,0)/(365.25))*(L281-L280)))*(INDEX(fixed_capacity_charge,MATCH(L280,PORTS!$H$11:$H$317,0),MATCH(P$5,PORTS!$H$11:$N$11,0))+INDEX(variable_om_charge,MATCH(L280,PORTS!$H$318:$H$625,0),MATCH(P$5,PORTS!$H$318:$N$318,0)))</f>
        <v>-0</v>
      </c>
      <c r="S280" s="343" t="n">
        <f aca="false">+R280+Q280</f>
        <v>0</v>
      </c>
      <c r="T280" s="355" t="n">
        <f aca="false">+S280+M280</f>
        <v>0</v>
      </c>
      <c r="V280" s="346" t="n">
        <f aca="false">+DATE(YEAR(V279),MONTH(V279)+1,1)</f>
        <v>44682</v>
      </c>
      <c r="W280" s="327" t="n">
        <f aca="false">+Y280/(1-HLOOKUP(X$6,SHIPS,7,0)*INDEX(LADEN_VOYAGE_DAYS,MATCH(CONCATENATE(X$4,X$5),LADEN_VOYAGE_ROUTES,0),MATCH(X$6,LADEN_VOYAGE_SHIPS,0)))</f>
        <v>0</v>
      </c>
      <c r="X280" s="347" t="n">
        <f aca="false">+Y280-W280</f>
        <v>0</v>
      </c>
      <c r="Y280" s="348" t="n">
        <f aca="false">+IF(AND(X$8&lt;=V280,X$9&gt;=V280),+MIN($B280-SUMIF($H$17:X$17,Y$17,$H280:X280),((INDEX(ROUTE_PER_DAY_BY_SHIP,MATCH(CONCATENATE(X$4,X$5,X$7),ROUTE_PER_DAY_ROUTES,0),MATCH(X$6,ROUTE_PER_DAY_SHIPS,0))*(V281-V280))-(INDEX(ROUTE_PER_DAY_BY_SHIP,MATCH(CONCATENATE(X$4,X$5,X$7),ROUTE_PER_DAY_ROUTES,0),MATCH(X$6,ROUTE_PER_DAY_SHIPS,0))*(V281-V280))*HLOOKUP(X$6,SHIPS,7,0)*INDEX(LADEN_VOYAGE_DAYS,MATCH(CONCATENATE(X$4,X$5,X$7),LADEN_VOYAGE_ROUTES,0),MATCH(X$6,LADEN_VOYAGE_SHIPS,0)))),0)</f>
        <v>0</v>
      </c>
      <c r="Z280" s="349" t="n">
        <f aca="false">-(Y280)*HLOOKUP(X$5,TERMINAL_CHARGES,3,0)</f>
        <v>-0</v>
      </c>
      <c r="AA280" s="327" t="n">
        <f aca="false">+Y280+Z280</f>
        <v>0</v>
      </c>
      <c r="AB280" s="333"/>
      <c r="AC280" s="346" t="n">
        <f aca="false">+DATE(YEAR(AC279),MONTH(AC279)+1,1)</f>
        <v>44682</v>
      </c>
      <c r="AD280" s="343" t="n">
        <f aca="false">+AA280*(VLOOKUP(AC280,CURVECALC!$C$6:$J$312,4,0)+AE$5)</f>
        <v>0</v>
      </c>
      <c r="AE280" s="350" t="n">
        <f aca="false">-W280*INDEX(ship_curves,MATCH(AC280,'SHIP CURVES'!$A$9:$A$316,0),MATCH(CONCATENATE(AG$4,AG$5,AG$6,AG$7),'SHIP CURVES'!$A$9:$AZ$9,0))</f>
        <v>-0</v>
      </c>
      <c r="AF280" s="351" t="n">
        <f aca="false">-Y280*INDEX(port_processing_fee,MATCH(AC280,PORTS!$H$626:$H$933,0),MATCH(AG$5,PORTS!$H$626:$Z$626,0))</f>
        <v>-0</v>
      </c>
      <c r="AG280" s="352" t="n">
        <f aca="false">(((VLOOKUP(AC280,curvecalc,4,0))*IF(W280=0,0,AA280/W280)-INDEX(ship_curves,MATCH(AC280,'SHIP CURVES'!$A$9:$A$316,0),MATCH(CONCATENATE(AG$4,AG$5,AG$6,AG$7),'SHIP CURVES'!$A$9:$Z$9,0))-INDEX(terminal_curves,MATCH(AC280,'TERMINAL CURVES'!$A$4:$A$313,0),MATCH(AG$5,'TERMINAL CURVES'!$A$4:$N$4,0))*IF(W280=0,0,Y280/W280))-(AE$8)*((AE$7-$N$5)-(INDEX(ship_curves,MATCH(AC280,'SHIP CURVES'!$A$9:$A$316,0),MATCH(CONCATENATE(AG$4,AG$5,AG$6,AG$7),'SHIP CURVES'!$A$9:$Z$9,0))-INDEX(ship_curves,MATCH(AC280,'SHIP CURVES'!$A$9:$A$316,0),MATCH(CONCATENATE(AG$4,AE$6,AG$6,AG$7),'SHIP CURVES'!$A$9:$Z$9,0)))-(INDEX(terminal_curves,MATCH(AC280,'TERMINAL CURVES'!$A$4:$A$313,0),MATCH(AG$5,'TERMINAL CURVES'!$A$4:$N$4,0))-INDEX(terminal_curves,MATCH(AC280,'TERMINAL CURVES'!$A$4:$A$313,0),MATCH(AE$6,'TERMINAL CURVES'!$A$4:$N$4,0)))*IF(W280=0,0,Y280/W280)))*-W280</f>
        <v>0</v>
      </c>
      <c r="AH280" s="356" t="n">
        <f aca="false">SUM(AE280:AG280)</f>
        <v>0</v>
      </c>
      <c r="AI280" s="357" t="n">
        <f aca="false">(-Y280/((HLOOKUP(AG$5,port_specs,2,0)/(365.25))*(AC281-AC280)))*(INDEX(fixed_capacity_charge,MATCH(AC280,PORTS!$H$11:$H$317,0),MATCH(AG$5,PORTS!$H$11:$N$11,0))+INDEX(variable_om_charge,MATCH(AC280,PORTS!$H$318:$H$625,0),MATCH(AG$5,PORTS!$H$318:$N$318,0)))</f>
        <v>-0</v>
      </c>
      <c r="AJ280" s="343" t="n">
        <f aca="false">+AI280+AH280</f>
        <v>0</v>
      </c>
      <c r="AK280" s="355" t="n">
        <f aca="false">+AJ280+AD280</f>
        <v>0</v>
      </c>
      <c r="AM280" s="346" t="n">
        <f aca="false">+DATE(YEAR(AM279),MONTH(AM279)+1,1)</f>
        <v>44682</v>
      </c>
      <c r="AN280" s="327" t="n">
        <f aca="false">+AP280/(1-HLOOKUP(AO$6,SHIPS,7,0)*INDEX(LADEN_VOYAGE_DAYS,MATCH(CONCATENATE(AO$4,AO$5),LADEN_VOYAGE_ROUTES,0),MATCH(AO$6,LADEN_VOYAGE_SHIPS,0)))</f>
        <v>0</v>
      </c>
      <c r="AO280" s="347" t="n">
        <f aca="false">+AP280-AN280</f>
        <v>0</v>
      </c>
      <c r="AP280" s="348" t="n">
        <f aca="false">+IF(AND(AO$8&lt;=AM280,AO$9&gt;=AM280),+MIN($B280-SUMIF($H$17:AO$17,AP$17,$H280:AO280),((INDEX(ROUTE_PER_DAY_BY_SHIP,MATCH(CONCATENATE(AO$4,AO$5,AO$7),ROUTE_PER_DAY_ROUTES,0),MATCH(AO$6,ROUTE_PER_DAY_SHIPS,0))*(AM281-AM280))-(INDEX(ROUTE_PER_DAY_BY_SHIP,MATCH(CONCATENATE(AO$4,AO$5,AO$7),ROUTE_PER_DAY_ROUTES,0),MATCH(AO$6,ROUTE_PER_DAY_SHIPS,0))*(AM281-AM280))*HLOOKUP(AO$6,SHIPS,7,0)*INDEX(LADEN_VOYAGE_DAYS,MATCH(CONCATENATE(AO$4,AO$5,AO$7),LADEN_VOYAGE_ROUTES,0),MATCH(AO$6,LADEN_VOYAGE_SHIPS,0)))),0)</f>
        <v>0</v>
      </c>
      <c r="AQ280" s="349" t="n">
        <f aca="false">-(AP280)*PORTS!$I$6</f>
        <v>-0</v>
      </c>
      <c r="AR280" s="327" t="n">
        <f aca="false">+AP280+AQ280</f>
        <v>0</v>
      </c>
      <c r="AS280" s="333"/>
      <c r="AT280" s="346" t="n">
        <f aca="false">+DATE(YEAR(AT279),MONTH(AT279)+1,1)</f>
        <v>44682</v>
      </c>
      <c r="AU280" s="343" t="n">
        <f aca="false">+AR280*(VLOOKUP(AT280,CURVECALC!$C$6:$J$312,4,0)+AV$5)</f>
        <v>0</v>
      </c>
      <c r="AV280" s="350" t="n">
        <f aca="false">-AN280*INDEX(ship_curves,MATCH(AT280,'SHIP CURVES'!$A$9:$A$316,0),MATCH(CONCATENATE(AX$4,AX$5,AX$6,AX$7),'SHIP CURVES'!$A$9:$AZ$9,0))</f>
        <v>-0</v>
      </c>
      <c r="AW280" s="351" t="n">
        <f aca="false">-AP280*INDEX(port_processing_fee,MATCH(AT280,PORTS!$H$626:$H$933,0),MATCH(AX$5,PORTS!$H$626:$Z$626,0))</f>
        <v>-0</v>
      </c>
      <c r="AX280" s="352" t="n">
        <f aca="false">(((VLOOKUP(AT280,curvecalc,4,0))*IF(AN280=0,0,AR280/AN280)-INDEX(ship_curves,MATCH(AT280,'SHIP CURVES'!$A$9:$A$316,0),MATCH(CONCATENATE(AX$4,AX$5,AX$6,AX$7),'SHIP CURVES'!$A$9:$Z$9,0))-INDEX(terminal_curves,MATCH(AT280,'TERMINAL CURVES'!$A$4:$A$313,0),MATCH(AX$5,'TERMINAL CURVES'!$A$4:$N$4,0))*IF(AN280=0,0,AP280/AN280))-(AV$8)*((AV$7-$N$5)-(INDEX(ship_curves,MATCH(AT280,'SHIP CURVES'!$A$9:$A$316,0),MATCH(CONCATENATE(AX$4,AX$5,AX$6,AX$7),'SHIP CURVES'!$A$9:$Z$9,0))-INDEX(ship_curves,MATCH(AT280,'SHIP CURVES'!$A$9:$A$316,0),MATCH(CONCATENATE(AX$4,AV$6,AX$6,AX$7),'SHIP CURVES'!$A$9:$Z$9,0)))-(INDEX(terminal_curves,MATCH(AT280,'TERMINAL CURVES'!$A$4:$A$313,0),MATCH(AX$5,'TERMINAL CURVES'!$A$4:$N$4,0))-INDEX(terminal_curves,MATCH(AT280,'TERMINAL CURVES'!$A$4:$A$313,0),MATCH(AV$6,'TERMINAL CURVES'!$A$4:$N$4,0)))*IF(AN280=0,0,AP280/AN280)))*-AN280</f>
        <v>0</v>
      </c>
      <c r="AY280" s="356" t="n">
        <f aca="false">SUM(AV280:AX280)</f>
        <v>0</v>
      </c>
      <c r="AZ280" s="357" t="n">
        <f aca="false">(-AP280/((HLOOKUP(AX$5,port_specs,2,0)/(365.25))*(AT281-AT280)))*(INDEX(fixed_capacity_charge,MATCH(AT280,PORTS!$H$11:$H$317,0),MATCH(AX$5,PORTS!$H$11:$N$11,0))+INDEX(variable_om_charge,MATCH(AT280,PORTS!$H$318:$H$625,0),MATCH(AX$5,PORTS!$H$318:$N$318,0)))</f>
        <v>-0</v>
      </c>
      <c r="BA280" s="343" t="n">
        <f aca="false">+AZ280+AY280</f>
        <v>0</v>
      </c>
      <c r="BB280" s="355" t="n">
        <f aca="false">+BA280+AU280</f>
        <v>0</v>
      </c>
      <c r="BC280" s="99"/>
      <c r="BD280" s="357" t="n">
        <f aca="false">+PORTS!I274+PORTS!I582</f>
        <v>0</v>
      </c>
    </row>
    <row r="281" customFormat="false" ht="12.75" hidden="false" customHeight="false" outlineLevel="0" collapsed="false">
      <c r="A281" s="346" t="n">
        <f aca="false">+DATE(YEAR(A280),MONTH(A280)+1,1)</f>
        <v>44713</v>
      </c>
      <c r="B281" s="327" t="n">
        <f aca="false">+IF(AND($A281&gt;=$C$8,$A281&lt;=$C$9),1,0)*PORTS!$I$5/(365.25)*(A282-A281)</f>
        <v>0</v>
      </c>
      <c r="C281" s="328" t="n">
        <f aca="false">+B281-(SUMIF($F$17:$IV$17,$H$17,$F281:$IV281))</f>
        <v>0</v>
      </c>
      <c r="D281" s="0" t="n">
        <f aca="false">+YEAR(E281)</f>
        <v>2022</v>
      </c>
      <c r="E281" s="346" t="n">
        <f aca="false">+DATE(YEAR(E280),MONTH(E280)+1,1)</f>
        <v>44713</v>
      </c>
      <c r="F281" s="327" t="n">
        <f aca="false">+IF(AND(G$8&lt;=E281,G$9&gt;=E281),INDEX(ROUTE_PER_DAY_BY_SHIP,MATCH(CONCATENATE(G$4,G$5,G$7),ROUTE_PER_DAY_ROUTES,0),MATCH(G$6,ROUTE_PER_DAY_SHIPS,0))*(E282-E281),0)</f>
        <v>0</v>
      </c>
      <c r="G281" s="347" t="n">
        <f aca="false">-F281*HLOOKUP(G$6,SHIPS,7,0)*INDEX(LADEN_VOYAGE_DAYS,MATCH(CONCATENATE(G$4,G$5,G$7),LADEN_VOYAGE_ROUTES,0),MATCH(G$6,LADEN_VOYAGE_SHIPS,0))</f>
        <v>-0</v>
      </c>
      <c r="H281" s="348" t="n">
        <f aca="false">SUM(F281:G281)</f>
        <v>0</v>
      </c>
      <c r="I281" s="349" t="n">
        <f aca="false">-(H281)*HLOOKUP(G$5,TERMINAL_CHARGES,3,0)</f>
        <v>-0</v>
      </c>
      <c r="J281" s="327" t="n">
        <f aca="false">+H281+I281</f>
        <v>0</v>
      </c>
      <c r="K281" s="333"/>
      <c r="L281" s="346" t="n">
        <f aca="false">+DATE(YEAR(L280),MONTH(L280)+1,1)</f>
        <v>44713</v>
      </c>
      <c r="M281" s="334" t="n">
        <f aca="false">+J281*(VLOOKUP(L281,CURVECALC!$C$6:$J$312,4,0)+N$5)</f>
        <v>0</v>
      </c>
      <c r="N281" s="350" t="n">
        <f aca="false">-F281*INDEX(ship_curves,MATCH(L281,'SHIP CURVES'!$A$9:$A$316,0),MATCH(CONCATENATE(P$4,P$5,P$6,P$7),'SHIP CURVES'!$A$9:$AZ$9,0))</f>
        <v>-0</v>
      </c>
      <c r="O281" s="351" t="n">
        <f aca="false">-H281*INDEX(port_processing_fee,MATCH(L281,PORTS!$H$626:$H$933,0),MATCH(P$5,PORTS!$H$626:$Z$626,0))</f>
        <v>-0</v>
      </c>
      <c r="P281" s="352" t="n">
        <f aca="false">(((VLOOKUP(L281,curvecalc,4,0))*IF(F281=0,0,J281/F281)-INDEX(ship_curves,MATCH(L281,'SHIP CURVES'!$A$9:$A$316,0),MATCH(CONCATENATE(P$4,P$5,P$6,P$7),'SHIP CURVES'!$A$9:$Z$9,0))-INDEX(terminal_curves,MATCH(L281,'TERMINAL CURVES'!$A$4:$A$313,0),MATCH(P$5,'TERMINAL CURVES'!$A$4:$N$4,0))*IF(F281=0,0,H281/F281))-(N$8)*((N$7-$N$5)-(INDEX(ship_curves,MATCH(L281,'SHIP CURVES'!$A$9:$A$316,0),MATCH(CONCATENATE(P$4,P$5,P$6,P$7),'SHIP CURVES'!$A$9:$Z$9,0))-INDEX(ship_curves,MATCH(L281,'SHIP CURVES'!$A$9:$A$316,0),MATCH(CONCATENATE(P$4,N$6,P$6,P$7),'SHIP CURVES'!$A$9:$Z$9,0)))-(INDEX(terminal_curves,MATCH(L281,'TERMINAL CURVES'!$A$4:$A$313,0),MATCH(P$5,'TERMINAL CURVES'!$A$4:$N$4,0))-INDEX(terminal_curves,MATCH(L281,'TERMINAL CURVES'!$A$4:$A$313,0),MATCH(N$6,'TERMINAL CURVES'!$A$4:$N$4,0)))*IF(F281=0,0,H281/F281)))*-F281</f>
        <v>0</v>
      </c>
      <c r="Q281" s="353" t="n">
        <f aca="false">SUM(N281:P281)</f>
        <v>0</v>
      </c>
      <c r="R281" s="357" t="n">
        <f aca="false">(-H281/((HLOOKUP(P$5,port_specs,2,0)/(365.25))*(L282-L281)))*(INDEX(fixed_capacity_charge,MATCH(L281,PORTS!$H$11:$H$317,0),MATCH(P$5,PORTS!$H$11:$N$11,0))+INDEX(variable_om_charge,MATCH(L281,PORTS!$H$318:$H$625,0),MATCH(P$5,PORTS!$H$318:$N$318,0)))</f>
        <v>-0</v>
      </c>
      <c r="S281" s="343" t="n">
        <f aca="false">+R281+Q281</f>
        <v>0</v>
      </c>
      <c r="T281" s="355" t="n">
        <f aca="false">+S281+M281</f>
        <v>0</v>
      </c>
      <c r="V281" s="346" t="n">
        <f aca="false">+DATE(YEAR(V280),MONTH(V280)+1,1)</f>
        <v>44713</v>
      </c>
      <c r="W281" s="327" t="n">
        <f aca="false">+Y281/(1-HLOOKUP(X$6,SHIPS,7,0)*INDEX(LADEN_VOYAGE_DAYS,MATCH(CONCATENATE(X$4,X$5),LADEN_VOYAGE_ROUTES,0),MATCH(X$6,LADEN_VOYAGE_SHIPS,0)))</f>
        <v>0</v>
      </c>
      <c r="X281" s="347" t="n">
        <f aca="false">+Y281-W281</f>
        <v>0</v>
      </c>
      <c r="Y281" s="348" t="n">
        <f aca="false">+IF(AND(X$8&lt;=V281,X$9&gt;=V281),+MIN($B281-SUMIF($H$17:X$17,Y$17,$H281:X281),((INDEX(ROUTE_PER_DAY_BY_SHIP,MATCH(CONCATENATE(X$4,X$5,X$7),ROUTE_PER_DAY_ROUTES,0),MATCH(X$6,ROUTE_PER_DAY_SHIPS,0))*(V282-V281))-(INDEX(ROUTE_PER_DAY_BY_SHIP,MATCH(CONCATENATE(X$4,X$5,X$7),ROUTE_PER_DAY_ROUTES,0),MATCH(X$6,ROUTE_PER_DAY_SHIPS,0))*(V282-V281))*HLOOKUP(X$6,SHIPS,7,0)*INDEX(LADEN_VOYAGE_DAYS,MATCH(CONCATENATE(X$4,X$5,X$7),LADEN_VOYAGE_ROUTES,0),MATCH(X$6,LADEN_VOYAGE_SHIPS,0)))),0)</f>
        <v>0</v>
      </c>
      <c r="Z281" s="349" t="n">
        <f aca="false">-(Y281)*HLOOKUP(X$5,TERMINAL_CHARGES,3,0)</f>
        <v>-0</v>
      </c>
      <c r="AA281" s="327" t="n">
        <f aca="false">+Y281+Z281</f>
        <v>0</v>
      </c>
      <c r="AB281" s="333"/>
      <c r="AC281" s="346" t="n">
        <f aca="false">+DATE(YEAR(AC280),MONTH(AC280)+1,1)</f>
        <v>44713</v>
      </c>
      <c r="AD281" s="343" t="n">
        <f aca="false">+AA281*(VLOOKUP(AC281,CURVECALC!$C$6:$J$312,4,0)+AE$5)</f>
        <v>0</v>
      </c>
      <c r="AE281" s="350" t="n">
        <f aca="false">-W281*INDEX(ship_curves,MATCH(AC281,'SHIP CURVES'!$A$9:$A$316,0),MATCH(CONCATENATE(AG$4,AG$5,AG$6,AG$7),'SHIP CURVES'!$A$9:$AZ$9,0))</f>
        <v>-0</v>
      </c>
      <c r="AF281" s="351" t="n">
        <f aca="false">-Y281*INDEX(port_processing_fee,MATCH(AC281,PORTS!$H$626:$H$933,0),MATCH(AG$5,PORTS!$H$626:$Z$626,0))</f>
        <v>-0</v>
      </c>
      <c r="AG281" s="352" t="n">
        <f aca="false">(((VLOOKUP(AC281,curvecalc,4,0))*IF(W281=0,0,AA281/W281)-INDEX(ship_curves,MATCH(AC281,'SHIP CURVES'!$A$9:$A$316,0),MATCH(CONCATENATE(AG$4,AG$5,AG$6,AG$7),'SHIP CURVES'!$A$9:$Z$9,0))-INDEX(terminal_curves,MATCH(AC281,'TERMINAL CURVES'!$A$4:$A$313,0),MATCH(AG$5,'TERMINAL CURVES'!$A$4:$N$4,0))*IF(W281=0,0,Y281/W281))-(AE$8)*((AE$7-$N$5)-(INDEX(ship_curves,MATCH(AC281,'SHIP CURVES'!$A$9:$A$316,0),MATCH(CONCATENATE(AG$4,AG$5,AG$6,AG$7),'SHIP CURVES'!$A$9:$Z$9,0))-INDEX(ship_curves,MATCH(AC281,'SHIP CURVES'!$A$9:$A$316,0),MATCH(CONCATENATE(AG$4,AE$6,AG$6,AG$7),'SHIP CURVES'!$A$9:$Z$9,0)))-(INDEX(terminal_curves,MATCH(AC281,'TERMINAL CURVES'!$A$4:$A$313,0),MATCH(AG$5,'TERMINAL CURVES'!$A$4:$N$4,0))-INDEX(terminal_curves,MATCH(AC281,'TERMINAL CURVES'!$A$4:$A$313,0),MATCH(AE$6,'TERMINAL CURVES'!$A$4:$N$4,0)))*IF(W281=0,0,Y281/W281)))*-W281</f>
        <v>0</v>
      </c>
      <c r="AH281" s="356" t="n">
        <f aca="false">SUM(AE281:AG281)</f>
        <v>0</v>
      </c>
      <c r="AI281" s="357" t="n">
        <f aca="false">(-Y281/((HLOOKUP(AG$5,port_specs,2,0)/(365.25))*(AC282-AC281)))*(INDEX(fixed_capacity_charge,MATCH(AC281,PORTS!$H$11:$H$317,0),MATCH(AG$5,PORTS!$H$11:$N$11,0))+INDEX(variable_om_charge,MATCH(AC281,PORTS!$H$318:$H$625,0),MATCH(AG$5,PORTS!$H$318:$N$318,0)))</f>
        <v>-0</v>
      </c>
      <c r="AJ281" s="343" t="n">
        <f aca="false">+AI281+AH281</f>
        <v>0</v>
      </c>
      <c r="AK281" s="355" t="n">
        <f aca="false">+AJ281+AD281</f>
        <v>0</v>
      </c>
      <c r="AM281" s="346" t="n">
        <f aca="false">+DATE(YEAR(AM280),MONTH(AM280)+1,1)</f>
        <v>44713</v>
      </c>
      <c r="AN281" s="327" t="n">
        <f aca="false">+AP281/(1-HLOOKUP(AO$6,SHIPS,7,0)*INDEX(LADEN_VOYAGE_DAYS,MATCH(CONCATENATE(AO$4,AO$5),LADEN_VOYAGE_ROUTES,0),MATCH(AO$6,LADEN_VOYAGE_SHIPS,0)))</f>
        <v>0</v>
      </c>
      <c r="AO281" s="347" t="n">
        <f aca="false">+AP281-AN281</f>
        <v>0</v>
      </c>
      <c r="AP281" s="348" t="n">
        <f aca="false">+IF(AND(AO$8&lt;=AM281,AO$9&gt;=AM281),+MIN($B281-SUMIF($H$17:AO$17,AP$17,$H281:AO281),((INDEX(ROUTE_PER_DAY_BY_SHIP,MATCH(CONCATENATE(AO$4,AO$5,AO$7),ROUTE_PER_DAY_ROUTES,0),MATCH(AO$6,ROUTE_PER_DAY_SHIPS,0))*(AM282-AM281))-(INDEX(ROUTE_PER_DAY_BY_SHIP,MATCH(CONCATENATE(AO$4,AO$5,AO$7),ROUTE_PER_DAY_ROUTES,0),MATCH(AO$6,ROUTE_PER_DAY_SHIPS,0))*(AM282-AM281))*HLOOKUP(AO$6,SHIPS,7,0)*INDEX(LADEN_VOYAGE_DAYS,MATCH(CONCATENATE(AO$4,AO$5,AO$7),LADEN_VOYAGE_ROUTES,0),MATCH(AO$6,LADEN_VOYAGE_SHIPS,0)))),0)</f>
        <v>0</v>
      </c>
      <c r="AQ281" s="349" t="n">
        <f aca="false">-(AP281)*PORTS!$I$6</f>
        <v>-0</v>
      </c>
      <c r="AR281" s="327" t="n">
        <f aca="false">+AP281+AQ281</f>
        <v>0</v>
      </c>
      <c r="AS281" s="333"/>
      <c r="AT281" s="346" t="n">
        <f aca="false">+DATE(YEAR(AT280),MONTH(AT280)+1,1)</f>
        <v>44713</v>
      </c>
      <c r="AU281" s="343" t="n">
        <f aca="false">+AR281*(VLOOKUP(AT281,CURVECALC!$C$6:$J$312,4,0)+AV$5)</f>
        <v>0</v>
      </c>
      <c r="AV281" s="350" t="n">
        <f aca="false">-AN281*INDEX(ship_curves,MATCH(AT281,'SHIP CURVES'!$A$9:$A$316,0),MATCH(CONCATENATE(AX$4,AX$5,AX$6,AX$7),'SHIP CURVES'!$A$9:$AZ$9,0))</f>
        <v>-0</v>
      </c>
      <c r="AW281" s="351" t="n">
        <f aca="false">-AP281*INDEX(port_processing_fee,MATCH(AT281,PORTS!$H$626:$H$933,0),MATCH(AX$5,PORTS!$H$626:$Z$626,0))</f>
        <v>-0</v>
      </c>
      <c r="AX281" s="352" t="n">
        <f aca="false">(((VLOOKUP(AT281,curvecalc,4,0))*IF(AN281=0,0,AR281/AN281)-INDEX(ship_curves,MATCH(AT281,'SHIP CURVES'!$A$9:$A$316,0),MATCH(CONCATENATE(AX$4,AX$5,AX$6,AX$7),'SHIP CURVES'!$A$9:$Z$9,0))-INDEX(terminal_curves,MATCH(AT281,'TERMINAL CURVES'!$A$4:$A$313,0),MATCH(AX$5,'TERMINAL CURVES'!$A$4:$N$4,0))*IF(AN281=0,0,AP281/AN281))-(AV$8)*((AV$7-$N$5)-(INDEX(ship_curves,MATCH(AT281,'SHIP CURVES'!$A$9:$A$316,0),MATCH(CONCATENATE(AX$4,AX$5,AX$6,AX$7),'SHIP CURVES'!$A$9:$Z$9,0))-INDEX(ship_curves,MATCH(AT281,'SHIP CURVES'!$A$9:$A$316,0),MATCH(CONCATENATE(AX$4,AV$6,AX$6,AX$7),'SHIP CURVES'!$A$9:$Z$9,0)))-(INDEX(terminal_curves,MATCH(AT281,'TERMINAL CURVES'!$A$4:$A$313,0),MATCH(AX$5,'TERMINAL CURVES'!$A$4:$N$4,0))-INDEX(terminal_curves,MATCH(AT281,'TERMINAL CURVES'!$A$4:$A$313,0),MATCH(AV$6,'TERMINAL CURVES'!$A$4:$N$4,0)))*IF(AN281=0,0,AP281/AN281)))*-AN281</f>
        <v>0</v>
      </c>
      <c r="AY281" s="356" t="n">
        <f aca="false">SUM(AV281:AX281)</f>
        <v>0</v>
      </c>
      <c r="AZ281" s="357" t="n">
        <f aca="false">(-AP281/((HLOOKUP(AX$5,port_specs,2,0)/(365.25))*(AT282-AT281)))*(INDEX(fixed_capacity_charge,MATCH(AT281,PORTS!$H$11:$H$317,0),MATCH(AX$5,PORTS!$H$11:$N$11,0))+INDEX(variable_om_charge,MATCH(AT281,PORTS!$H$318:$H$625,0),MATCH(AX$5,PORTS!$H$318:$N$318,0)))</f>
        <v>-0</v>
      </c>
      <c r="BA281" s="343" t="n">
        <f aca="false">+AZ281+AY281</f>
        <v>0</v>
      </c>
      <c r="BB281" s="355" t="n">
        <f aca="false">+BA281+AU281</f>
        <v>0</v>
      </c>
      <c r="BC281" s="99"/>
      <c r="BD281" s="357" t="n">
        <f aca="false">+PORTS!I275+PORTS!I583</f>
        <v>0</v>
      </c>
    </row>
    <row r="282" customFormat="false" ht="12.75" hidden="false" customHeight="false" outlineLevel="0" collapsed="false">
      <c r="A282" s="346" t="n">
        <f aca="false">+DATE(YEAR(A281),MONTH(A281)+1,1)</f>
        <v>44743</v>
      </c>
      <c r="B282" s="327" t="n">
        <f aca="false">+IF(AND($A282&gt;=$C$8,$A282&lt;=$C$9),1,0)*PORTS!$I$5/(365.25)*(A283-A282)</f>
        <v>0</v>
      </c>
      <c r="C282" s="328" t="n">
        <f aca="false">+B282-(SUMIF($F$17:$IV$17,$H$17,$F282:$IV282))</f>
        <v>0</v>
      </c>
      <c r="D282" s="0" t="n">
        <f aca="false">+YEAR(E282)</f>
        <v>2022</v>
      </c>
      <c r="E282" s="346" t="n">
        <f aca="false">+DATE(YEAR(E281),MONTH(E281)+1,1)</f>
        <v>44743</v>
      </c>
      <c r="F282" s="327" t="n">
        <f aca="false">+IF(AND(G$8&lt;=E282,G$9&gt;=E282),INDEX(ROUTE_PER_DAY_BY_SHIP,MATCH(CONCATENATE(G$4,G$5,G$7),ROUTE_PER_DAY_ROUTES,0),MATCH(G$6,ROUTE_PER_DAY_SHIPS,0))*(E283-E282),0)</f>
        <v>0</v>
      </c>
      <c r="G282" s="347" t="n">
        <f aca="false">-F282*HLOOKUP(G$6,SHIPS,7,0)*INDEX(LADEN_VOYAGE_DAYS,MATCH(CONCATENATE(G$4,G$5,G$7),LADEN_VOYAGE_ROUTES,0),MATCH(G$6,LADEN_VOYAGE_SHIPS,0))</f>
        <v>-0</v>
      </c>
      <c r="H282" s="348" t="n">
        <f aca="false">SUM(F282:G282)</f>
        <v>0</v>
      </c>
      <c r="I282" s="349" t="n">
        <f aca="false">-(H282)*HLOOKUP(G$5,TERMINAL_CHARGES,3,0)</f>
        <v>-0</v>
      </c>
      <c r="J282" s="327" t="n">
        <f aca="false">+H282+I282</f>
        <v>0</v>
      </c>
      <c r="K282" s="333"/>
      <c r="L282" s="346" t="n">
        <f aca="false">+DATE(YEAR(L281),MONTH(L281)+1,1)</f>
        <v>44743</v>
      </c>
      <c r="M282" s="334" t="n">
        <f aca="false">+J282*(VLOOKUP(L282,CURVECALC!$C$6:$J$312,4,0)+N$5)</f>
        <v>0</v>
      </c>
      <c r="N282" s="350" t="n">
        <f aca="false">-F282*INDEX(ship_curves,MATCH(L282,'SHIP CURVES'!$A$9:$A$316,0),MATCH(CONCATENATE(P$4,P$5,P$6,P$7),'SHIP CURVES'!$A$9:$AZ$9,0))</f>
        <v>-0</v>
      </c>
      <c r="O282" s="351" t="n">
        <f aca="false">-H282*INDEX(port_processing_fee,MATCH(L282,PORTS!$H$626:$H$933,0),MATCH(P$5,PORTS!$H$626:$Z$626,0))</f>
        <v>-0</v>
      </c>
      <c r="P282" s="352" t="n">
        <f aca="false">(((VLOOKUP(L282,curvecalc,4,0))*IF(F282=0,0,J282/F282)-INDEX(ship_curves,MATCH(L282,'SHIP CURVES'!$A$9:$A$316,0),MATCH(CONCATENATE(P$4,P$5,P$6,P$7),'SHIP CURVES'!$A$9:$Z$9,0))-INDEX(terminal_curves,MATCH(L282,'TERMINAL CURVES'!$A$4:$A$313,0),MATCH(P$5,'TERMINAL CURVES'!$A$4:$N$4,0))*IF(F282=0,0,H282/F282))-(N$8)*((N$7-$N$5)-(INDEX(ship_curves,MATCH(L282,'SHIP CURVES'!$A$9:$A$316,0),MATCH(CONCATENATE(P$4,P$5,P$6,P$7),'SHIP CURVES'!$A$9:$Z$9,0))-INDEX(ship_curves,MATCH(L282,'SHIP CURVES'!$A$9:$A$316,0),MATCH(CONCATENATE(P$4,N$6,P$6,P$7),'SHIP CURVES'!$A$9:$Z$9,0)))-(INDEX(terminal_curves,MATCH(L282,'TERMINAL CURVES'!$A$4:$A$313,0),MATCH(P$5,'TERMINAL CURVES'!$A$4:$N$4,0))-INDEX(terminal_curves,MATCH(L282,'TERMINAL CURVES'!$A$4:$A$313,0),MATCH(N$6,'TERMINAL CURVES'!$A$4:$N$4,0)))*IF(F282=0,0,H282/F282)))*-F282</f>
        <v>0</v>
      </c>
      <c r="Q282" s="353" t="n">
        <f aca="false">SUM(N282:P282)</f>
        <v>0</v>
      </c>
      <c r="R282" s="357" t="n">
        <f aca="false">(-H282/((HLOOKUP(P$5,port_specs,2,0)/(365.25))*(L283-L282)))*(INDEX(fixed_capacity_charge,MATCH(L282,PORTS!$H$11:$H$317,0),MATCH(P$5,PORTS!$H$11:$N$11,0))+INDEX(variable_om_charge,MATCH(L282,PORTS!$H$318:$H$625,0),MATCH(P$5,PORTS!$H$318:$N$318,0)))</f>
        <v>-0</v>
      </c>
      <c r="S282" s="343" t="n">
        <f aca="false">+R282+Q282</f>
        <v>0</v>
      </c>
      <c r="T282" s="355" t="n">
        <f aca="false">+S282+M282</f>
        <v>0</v>
      </c>
      <c r="V282" s="346" t="n">
        <f aca="false">+DATE(YEAR(V281),MONTH(V281)+1,1)</f>
        <v>44743</v>
      </c>
      <c r="W282" s="327" t="n">
        <f aca="false">+Y282/(1-HLOOKUP(X$6,SHIPS,7,0)*INDEX(LADEN_VOYAGE_DAYS,MATCH(CONCATENATE(X$4,X$5),LADEN_VOYAGE_ROUTES,0),MATCH(X$6,LADEN_VOYAGE_SHIPS,0)))</f>
        <v>0</v>
      </c>
      <c r="X282" s="347" t="n">
        <f aca="false">+Y282-W282</f>
        <v>0</v>
      </c>
      <c r="Y282" s="348" t="n">
        <f aca="false">+IF(AND(X$8&lt;=V282,X$9&gt;=V282),+MIN($B282-SUMIF($H$17:X$17,Y$17,$H282:X282),((INDEX(ROUTE_PER_DAY_BY_SHIP,MATCH(CONCATENATE(X$4,X$5,X$7),ROUTE_PER_DAY_ROUTES,0),MATCH(X$6,ROUTE_PER_DAY_SHIPS,0))*(V283-V282))-(INDEX(ROUTE_PER_DAY_BY_SHIP,MATCH(CONCATENATE(X$4,X$5,X$7),ROUTE_PER_DAY_ROUTES,0),MATCH(X$6,ROUTE_PER_DAY_SHIPS,0))*(V283-V282))*HLOOKUP(X$6,SHIPS,7,0)*INDEX(LADEN_VOYAGE_DAYS,MATCH(CONCATENATE(X$4,X$5,X$7),LADEN_VOYAGE_ROUTES,0),MATCH(X$6,LADEN_VOYAGE_SHIPS,0)))),0)</f>
        <v>0</v>
      </c>
      <c r="Z282" s="349" t="n">
        <f aca="false">-(Y282)*HLOOKUP(X$5,TERMINAL_CHARGES,3,0)</f>
        <v>-0</v>
      </c>
      <c r="AA282" s="327" t="n">
        <f aca="false">+Y282+Z282</f>
        <v>0</v>
      </c>
      <c r="AB282" s="333"/>
      <c r="AC282" s="346" t="n">
        <f aca="false">+DATE(YEAR(AC281),MONTH(AC281)+1,1)</f>
        <v>44743</v>
      </c>
      <c r="AD282" s="343" t="n">
        <f aca="false">+AA282*(VLOOKUP(AC282,CURVECALC!$C$6:$J$312,4,0)+AE$5)</f>
        <v>0</v>
      </c>
      <c r="AE282" s="350" t="n">
        <f aca="false">-W282*INDEX(ship_curves,MATCH(AC282,'SHIP CURVES'!$A$9:$A$316,0),MATCH(CONCATENATE(AG$4,AG$5,AG$6,AG$7),'SHIP CURVES'!$A$9:$AZ$9,0))</f>
        <v>-0</v>
      </c>
      <c r="AF282" s="351" t="n">
        <f aca="false">-Y282*INDEX(port_processing_fee,MATCH(AC282,PORTS!$H$626:$H$933,0),MATCH(AG$5,PORTS!$H$626:$Z$626,0))</f>
        <v>-0</v>
      </c>
      <c r="AG282" s="352" t="n">
        <f aca="false">(((VLOOKUP(AC282,curvecalc,4,0))*IF(W282=0,0,AA282/W282)-INDEX(ship_curves,MATCH(AC282,'SHIP CURVES'!$A$9:$A$316,0),MATCH(CONCATENATE(AG$4,AG$5,AG$6,AG$7),'SHIP CURVES'!$A$9:$Z$9,0))-INDEX(terminal_curves,MATCH(AC282,'TERMINAL CURVES'!$A$4:$A$313,0),MATCH(AG$5,'TERMINAL CURVES'!$A$4:$N$4,0))*IF(W282=0,0,Y282/W282))-(AE$8)*((AE$7-$N$5)-(INDEX(ship_curves,MATCH(AC282,'SHIP CURVES'!$A$9:$A$316,0),MATCH(CONCATENATE(AG$4,AG$5,AG$6,AG$7),'SHIP CURVES'!$A$9:$Z$9,0))-INDEX(ship_curves,MATCH(AC282,'SHIP CURVES'!$A$9:$A$316,0),MATCH(CONCATENATE(AG$4,AE$6,AG$6,AG$7),'SHIP CURVES'!$A$9:$Z$9,0)))-(INDEX(terminal_curves,MATCH(AC282,'TERMINAL CURVES'!$A$4:$A$313,0),MATCH(AG$5,'TERMINAL CURVES'!$A$4:$N$4,0))-INDEX(terminal_curves,MATCH(AC282,'TERMINAL CURVES'!$A$4:$A$313,0),MATCH(AE$6,'TERMINAL CURVES'!$A$4:$N$4,0)))*IF(W282=0,0,Y282/W282)))*-W282</f>
        <v>0</v>
      </c>
      <c r="AH282" s="356" t="n">
        <f aca="false">SUM(AE282:AG282)</f>
        <v>0</v>
      </c>
      <c r="AI282" s="357" t="n">
        <f aca="false">(-Y282/((HLOOKUP(AG$5,port_specs,2,0)/(365.25))*(AC283-AC282)))*(INDEX(fixed_capacity_charge,MATCH(AC282,PORTS!$H$11:$H$317,0),MATCH(AG$5,PORTS!$H$11:$N$11,0))+INDEX(variable_om_charge,MATCH(AC282,PORTS!$H$318:$H$625,0),MATCH(AG$5,PORTS!$H$318:$N$318,0)))</f>
        <v>-0</v>
      </c>
      <c r="AJ282" s="343" t="n">
        <f aca="false">+AI282+AH282</f>
        <v>0</v>
      </c>
      <c r="AK282" s="355" t="n">
        <f aca="false">+AJ282+AD282</f>
        <v>0</v>
      </c>
      <c r="AM282" s="346" t="n">
        <f aca="false">+DATE(YEAR(AM281),MONTH(AM281)+1,1)</f>
        <v>44743</v>
      </c>
      <c r="AN282" s="327" t="n">
        <f aca="false">+AP282/(1-HLOOKUP(AO$6,SHIPS,7,0)*INDEX(LADEN_VOYAGE_DAYS,MATCH(CONCATENATE(AO$4,AO$5),LADEN_VOYAGE_ROUTES,0),MATCH(AO$6,LADEN_VOYAGE_SHIPS,0)))</f>
        <v>0</v>
      </c>
      <c r="AO282" s="347" t="n">
        <f aca="false">+AP282-AN282</f>
        <v>0</v>
      </c>
      <c r="AP282" s="348" t="n">
        <f aca="false">+IF(AND(AO$8&lt;=AM282,AO$9&gt;=AM282),+MIN($B282-SUMIF($H$17:AO$17,AP$17,$H282:AO282),((INDEX(ROUTE_PER_DAY_BY_SHIP,MATCH(CONCATENATE(AO$4,AO$5,AO$7),ROUTE_PER_DAY_ROUTES,0),MATCH(AO$6,ROUTE_PER_DAY_SHIPS,0))*(AM283-AM282))-(INDEX(ROUTE_PER_DAY_BY_SHIP,MATCH(CONCATENATE(AO$4,AO$5,AO$7),ROUTE_PER_DAY_ROUTES,0),MATCH(AO$6,ROUTE_PER_DAY_SHIPS,0))*(AM283-AM282))*HLOOKUP(AO$6,SHIPS,7,0)*INDEX(LADEN_VOYAGE_DAYS,MATCH(CONCATENATE(AO$4,AO$5,AO$7),LADEN_VOYAGE_ROUTES,0),MATCH(AO$6,LADEN_VOYAGE_SHIPS,0)))),0)</f>
        <v>0</v>
      </c>
      <c r="AQ282" s="349" t="n">
        <f aca="false">-(AP282)*PORTS!$I$6</f>
        <v>-0</v>
      </c>
      <c r="AR282" s="327" t="n">
        <f aca="false">+AP282+AQ282</f>
        <v>0</v>
      </c>
      <c r="AS282" s="333"/>
      <c r="AT282" s="346" t="n">
        <f aca="false">+DATE(YEAR(AT281),MONTH(AT281)+1,1)</f>
        <v>44743</v>
      </c>
      <c r="AU282" s="343" t="n">
        <f aca="false">+AR282*(VLOOKUP(AT282,CURVECALC!$C$6:$J$312,4,0)+AV$5)</f>
        <v>0</v>
      </c>
      <c r="AV282" s="350" t="n">
        <f aca="false">-AN282*INDEX(ship_curves,MATCH(AT282,'SHIP CURVES'!$A$9:$A$316,0),MATCH(CONCATENATE(AX$4,AX$5,AX$6,AX$7),'SHIP CURVES'!$A$9:$AZ$9,0))</f>
        <v>-0</v>
      </c>
      <c r="AW282" s="351" t="n">
        <f aca="false">-AP282*INDEX(port_processing_fee,MATCH(AT282,PORTS!$H$626:$H$933,0),MATCH(AX$5,PORTS!$H$626:$Z$626,0))</f>
        <v>-0</v>
      </c>
      <c r="AX282" s="352" t="n">
        <f aca="false">(((VLOOKUP(AT282,curvecalc,4,0))*IF(AN282=0,0,AR282/AN282)-INDEX(ship_curves,MATCH(AT282,'SHIP CURVES'!$A$9:$A$316,0),MATCH(CONCATENATE(AX$4,AX$5,AX$6,AX$7),'SHIP CURVES'!$A$9:$Z$9,0))-INDEX(terminal_curves,MATCH(AT282,'TERMINAL CURVES'!$A$4:$A$313,0),MATCH(AX$5,'TERMINAL CURVES'!$A$4:$N$4,0))*IF(AN282=0,0,AP282/AN282))-(AV$8)*((AV$7-$N$5)-(INDEX(ship_curves,MATCH(AT282,'SHIP CURVES'!$A$9:$A$316,0),MATCH(CONCATENATE(AX$4,AX$5,AX$6,AX$7),'SHIP CURVES'!$A$9:$Z$9,0))-INDEX(ship_curves,MATCH(AT282,'SHIP CURVES'!$A$9:$A$316,0),MATCH(CONCATENATE(AX$4,AV$6,AX$6,AX$7),'SHIP CURVES'!$A$9:$Z$9,0)))-(INDEX(terminal_curves,MATCH(AT282,'TERMINAL CURVES'!$A$4:$A$313,0),MATCH(AX$5,'TERMINAL CURVES'!$A$4:$N$4,0))-INDEX(terminal_curves,MATCH(AT282,'TERMINAL CURVES'!$A$4:$A$313,0),MATCH(AV$6,'TERMINAL CURVES'!$A$4:$N$4,0)))*IF(AN282=0,0,AP282/AN282)))*-AN282</f>
        <v>0</v>
      </c>
      <c r="AY282" s="356" t="n">
        <f aca="false">SUM(AV282:AX282)</f>
        <v>0</v>
      </c>
      <c r="AZ282" s="357" t="n">
        <f aca="false">(-AP282/((HLOOKUP(AX$5,port_specs,2,0)/(365.25))*(AT283-AT282)))*(INDEX(fixed_capacity_charge,MATCH(AT282,PORTS!$H$11:$H$317,0),MATCH(AX$5,PORTS!$H$11:$N$11,0))+INDEX(variable_om_charge,MATCH(AT282,PORTS!$H$318:$H$625,0),MATCH(AX$5,PORTS!$H$318:$N$318,0)))</f>
        <v>-0</v>
      </c>
      <c r="BA282" s="343" t="n">
        <f aca="false">+AZ282+AY282</f>
        <v>0</v>
      </c>
      <c r="BB282" s="355" t="n">
        <f aca="false">+BA282+AU282</f>
        <v>0</v>
      </c>
      <c r="BC282" s="99"/>
      <c r="BD282" s="357" t="n">
        <f aca="false">+PORTS!I276+PORTS!I584</f>
        <v>0</v>
      </c>
    </row>
    <row r="283" customFormat="false" ht="12.75" hidden="false" customHeight="false" outlineLevel="0" collapsed="false">
      <c r="A283" s="346" t="n">
        <f aca="false">+DATE(YEAR(A282),MONTH(A282)+1,1)</f>
        <v>44774</v>
      </c>
      <c r="B283" s="327" t="n">
        <f aca="false">+IF(AND($A283&gt;=$C$8,$A283&lt;=$C$9),1,0)*PORTS!$I$5/(365.25)*(A284-A283)</f>
        <v>0</v>
      </c>
      <c r="C283" s="328" t="n">
        <f aca="false">+B283-(SUMIF($F$17:$IV$17,$H$17,$F283:$IV283))</f>
        <v>0</v>
      </c>
      <c r="D283" s="0" t="n">
        <f aca="false">+YEAR(E283)</f>
        <v>2022</v>
      </c>
      <c r="E283" s="346" t="n">
        <f aca="false">+DATE(YEAR(E282),MONTH(E282)+1,1)</f>
        <v>44774</v>
      </c>
      <c r="F283" s="327" t="n">
        <f aca="false">+IF(AND(G$8&lt;=E283,G$9&gt;=E283),INDEX(ROUTE_PER_DAY_BY_SHIP,MATCH(CONCATENATE(G$4,G$5,G$7),ROUTE_PER_DAY_ROUTES,0),MATCH(G$6,ROUTE_PER_DAY_SHIPS,0))*(E284-E283),0)</f>
        <v>0</v>
      </c>
      <c r="G283" s="347" t="n">
        <f aca="false">-F283*HLOOKUP(G$6,SHIPS,7,0)*INDEX(LADEN_VOYAGE_DAYS,MATCH(CONCATENATE(G$4,G$5,G$7),LADEN_VOYAGE_ROUTES,0),MATCH(G$6,LADEN_VOYAGE_SHIPS,0))</f>
        <v>-0</v>
      </c>
      <c r="H283" s="348" t="n">
        <f aca="false">SUM(F283:G283)</f>
        <v>0</v>
      </c>
      <c r="I283" s="349" t="n">
        <f aca="false">-(H283)*HLOOKUP(G$5,TERMINAL_CHARGES,3,0)</f>
        <v>-0</v>
      </c>
      <c r="J283" s="327" t="n">
        <f aca="false">+H283+I283</f>
        <v>0</v>
      </c>
      <c r="K283" s="333"/>
      <c r="L283" s="346" t="n">
        <f aca="false">+DATE(YEAR(L282),MONTH(L282)+1,1)</f>
        <v>44774</v>
      </c>
      <c r="M283" s="334" t="n">
        <f aca="false">+J283*(VLOOKUP(L283,CURVECALC!$C$6:$J$312,4,0)+N$5)</f>
        <v>0</v>
      </c>
      <c r="N283" s="350" t="n">
        <f aca="false">-F283*INDEX(ship_curves,MATCH(L283,'SHIP CURVES'!$A$9:$A$316,0),MATCH(CONCATENATE(P$4,P$5,P$6,P$7),'SHIP CURVES'!$A$9:$AZ$9,0))</f>
        <v>-0</v>
      </c>
      <c r="O283" s="351" t="n">
        <f aca="false">-H283*INDEX(port_processing_fee,MATCH(L283,PORTS!$H$626:$H$933,0),MATCH(P$5,PORTS!$H$626:$Z$626,0))</f>
        <v>-0</v>
      </c>
      <c r="P283" s="352" t="n">
        <f aca="false">(((VLOOKUP(L283,curvecalc,4,0))*IF(F283=0,0,J283/F283)-INDEX(ship_curves,MATCH(L283,'SHIP CURVES'!$A$9:$A$316,0),MATCH(CONCATENATE(P$4,P$5,P$6,P$7),'SHIP CURVES'!$A$9:$Z$9,0))-INDEX(terminal_curves,MATCH(L283,'TERMINAL CURVES'!$A$4:$A$313,0),MATCH(P$5,'TERMINAL CURVES'!$A$4:$N$4,0))*IF(F283=0,0,H283/F283))-(N$8)*((N$7-$N$5)-(INDEX(ship_curves,MATCH(L283,'SHIP CURVES'!$A$9:$A$316,0),MATCH(CONCATENATE(P$4,P$5,P$6,P$7),'SHIP CURVES'!$A$9:$Z$9,0))-INDEX(ship_curves,MATCH(L283,'SHIP CURVES'!$A$9:$A$316,0),MATCH(CONCATENATE(P$4,N$6,P$6,P$7),'SHIP CURVES'!$A$9:$Z$9,0)))-(INDEX(terminal_curves,MATCH(L283,'TERMINAL CURVES'!$A$4:$A$313,0),MATCH(P$5,'TERMINAL CURVES'!$A$4:$N$4,0))-INDEX(terminal_curves,MATCH(L283,'TERMINAL CURVES'!$A$4:$A$313,0),MATCH(N$6,'TERMINAL CURVES'!$A$4:$N$4,0)))*IF(F283=0,0,H283/F283)))*-F283</f>
        <v>0</v>
      </c>
      <c r="Q283" s="353" t="n">
        <f aca="false">SUM(N283:P283)</f>
        <v>0</v>
      </c>
      <c r="R283" s="357" t="n">
        <f aca="false">(-H283/((HLOOKUP(P$5,port_specs,2,0)/(365.25))*(L284-L283)))*(INDEX(fixed_capacity_charge,MATCH(L283,PORTS!$H$11:$H$317,0),MATCH(P$5,PORTS!$H$11:$N$11,0))+INDEX(variable_om_charge,MATCH(L283,PORTS!$H$318:$H$625,0),MATCH(P$5,PORTS!$H$318:$N$318,0)))</f>
        <v>-0</v>
      </c>
      <c r="S283" s="343" t="n">
        <f aca="false">+R283+Q283</f>
        <v>0</v>
      </c>
      <c r="T283" s="355" t="n">
        <f aca="false">+S283+M283</f>
        <v>0</v>
      </c>
      <c r="V283" s="346" t="n">
        <f aca="false">+DATE(YEAR(V282),MONTH(V282)+1,1)</f>
        <v>44774</v>
      </c>
      <c r="W283" s="327" t="n">
        <f aca="false">+Y283/(1-HLOOKUP(X$6,SHIPS,7,0)*INDEX(LADEN_VOYAGE_DAYS,MATCH(CONCATENATE(X$4,X$5),LADEN_VOYAGE_ROUTES,0),MATCH(X$6,LADEN_VOYAGE_SHIPS,0)))</f>
        <v>0</v>
      </c>
      <c r="X283" s="347" t="n">
        <f aca="false">+Y283-W283</f>
        <v>0</v>
      </c>
      <c r="Y283" s="348" t="n">
        <f aca="false">+IF(AND(X$8&lt;=V283,X$9&gt;=V283),+MIN($B283-SUMIF($H$17:X$17,Y$17,$H283:X283),((INDEX(ROUTE_PER_DAY_BY_SHIP,MATCH(CONCATENATE(X$4,X$5,X$7),ROUTE_PER_DAY_ROUTES,0),MATCH(X$6,ROUTE_PER_DAY_SHIPS,0))*(V284-V283))-(INDEX(ROUTE_PER_DAY_BY_SHIP,MATCH(CONCATENATE(X$4,X$5,X$7),ROUTE_PER_DAY_ROUTES,0),MATCH(X$6,ROUTE_PER_DAY_SHIPS,0))*(V284-V283))*HLOOKUP(X$6,SHIPS,7,0)*INDEX(LADEN_VOYAGE_DAYS,MATCH(CONCATENATE(X$4,X$5,X$7),LADEN_VOYAGE_ROUTES,0),MATCH(X$6,LADEN_VOYAGE_SHIPS,0)))),0)</f>
        <v>0</v>
      </c>
      <c r="Z283" s="349" t="n">
        <f aca="false">-(Y283)*HLOOKUP(X$5,TERMINAL_CHARGES,3,0)</f>
        <v>-0</v>
      </c>
      <c r="AA283" s="327" t="n">
        <f aca="false">+Y283+Z283</f>
        <v>0</v>
      </c>
      <c r="AB283" s="333"/>
      <c r="AC283" s="346" t="n">
        <f aca="false">+DATE(YEAR(AC282),MONTH(AC282)+1,1)</f>
        <v>44774</v>
      </c>
      <c r="AD283" s="343" t="n">
        <f aca="false">+AA283*(VLOOKUP(AC283,CURVECALC!$C$6:$J$312,4,0)+AE$5)</f>
        <v>0</v>
      </c>
      <c r="AE283" s="350" t="n">
        <f aca="false">-W283*INDEX(ship_curves,MATCH(AC283,'SHIP CURVES'!$A$9:$A$316,0),MATCH(CONCATENATE(AG$4,AG$5,AG$6,AG$7),'SHIP CURVES'!$A$9:$AZ$9,0))</f>
        <v>-0</v>
      </c>
      <c r="AF283" s="351" t="n">
        <f aca="false">-Y283*INDEX(port_processing_fee,MATCH(AC283,PORTS!$H$626:$H$933,0),MATCH(AG$5,PORTS!$H$626:$Z$626,0))</f>
        <v>-0</v>
      </c>
      <c r="AG283" s="352" t="n">
        <f aca="false">(((VLOOKUP(AC283,curvecalc,4,0))*IF(W283=0,0,AA283/W283)-INDEX(ship_curves,MATCH(AC283,'SHIP CURVES'!$A$9:$A$316,0),MATCH(CONCATENATE(AG$4,AG$5,AG$6,AG$7),'SHIP CURVES'!$A$9:$Z$9,0))-INDEX(terminal_curves,MATCH(AC283,'TERMINAL CURVES'!$A$4:$A$313,0),MATCH(AG$5,'TERMINAL CURVES'!$A$4:$N$4,0))*IF(W283=0,0,Y283/W283))-(AE$8)*((AE$7-$N$5)-(INDEX(ship_curves,MATCH(AC283,'SHIP CURVES'!$A$9:$A$316,0),MATCH(CONCATENATE(AG$4,AG$5,AG$6,AG$7),'SHIP CURVES'!$A$9:$Z$9,0))-INDEX(ship_curves,MATCH(AC283,'SHIP CURVES'!$A$9:$A$316,0),MATCH(CONCATENATE(AG$4,AE$6,AG$6,AG$7),'SHIP CURVES'!$A$9:$Z$9,0)))-(INDEX(terminal_curves,MATCH(AC283,'TERMINAL CURVES'!$A$4:$A$313,0),MATCH(AG$5,'TERMINAL CURVES'!$A$4:$N$4,0))-INDEX(terminal_curves,MATCH(AC283,'TERMINAL CURVES'!$A$4:$A$313,0),MATCH(AE$6,'TERMINAL CURVES'!$A$4:$N$4,0)))*IF(W283=0,0,Y283/W283)))*-W283</f>
        <v>0</v>
      </c>
      <c r="AH283" s="356" t="n">
        <f aca="false">SUM(AE283:AG283)</f>
        <v>0</v>
      </c>
      <c r="AI283" s="357" t="n">
        <f aca="false">(-Y283/((HLOOKUP(AG$5,port_specs,2,0)/(365.25))*(AC284-AC283)))*(INDEX(fixed_capacity_charge,MATCH(AC283,PORTS!$H$11:$H$317,0),MATCH(AG$5,PORTS!$H$11:$N$11,0))+INDEX(variable_om_charge,MATCH(AC283,PORTS!$H$318:$H$625,0),MATCH(AG$5,PORTS!$H$318:$N$318,0)))</f>
        <v>-0</v>
      </c>
      <c r="AJ283" s="343" t="n">
        <f aca="false">+AI283+AH283</f>
        <v>0</v>
      </c>
      <c r="AK283" s="355" t="n">
        <f aca="false">+AJ283+AD283</f>
        <v>0</v>
      </c>
      <c r="AM283" s="346" t="n">
        <f aca="false">+DATE(YEAR(AM282),MONTH(AM282)+1,1)</f>
        <v>44774</v>
      </c>
      <c r="AN283" s="327" t="n">
        <f aca="false">+AP283/(1-HLOOKUP(AO$6,SHIPS,7,0)*INDEX(LADEN_VOYAGE_DAYS,MATCH(CONCATENATE(AO$4,AO$5),LADEN_VOYAGE_ROUTES,0),MATCH(AO$6,LADEN_VOYAGE_SHIPS,0)))</f>
        <v>0</v>
      </c>
      <c r="AO283" s="347" t="n">
        <f aca="false">+AP283-AN283</f>
        <v>0</v>
      </c>
      <c r="AP283" s="348" t="n">
        <f aca="false">+IF(AND(AO$8&lt;=AM283,AO$9&gt;=AM283),+MIN($B283-SUMIF($H$17:AO$17,AP$17,$H283:AO283),((INDEX(ROUTE_PER_DAY_BY_SHIP,MATCH(CONCATENATE(AO$4,AO$5,AO$7),ROUTE_PER_DAY_ROUTES,0),MATCH(AO$6,ROUTE_PER_DAY_SHIPS,0))*(AM284-AM283))-(INDEX(ROUTE_PER_DAY_BY_SHIP,MATCH(CONCATENATE(AO$4,AO$5,AO$7),ROUTE_PER_DAY_ROUTES,0),MATCH(AO$6,ROUTE_PER_DAY_SHIPS,0))*(AM284-AM283))*HLOOKUP(AO$6,SHIPS,7,0)*INDEX(LADEN_VOYAGE_DAYS,MATCH(CONCATENATE(AO$4,AO$5,AO$7),LADEN_VOYAGE_ROUTES,0),MATCH(AO$6,LADEN_VOYAGE_SHIPS,0)))),0)</f>
        <v>0</v>
      </c>
      <c r="AQ283" s="349" t="n">
        <f aca="false">-(AP283)*PORTS!$I$6</f>
        <v>-0</v>
      </c>
      <c r="AR283" s="327" t="n">
        <f aca="false">+AP283+AQ283</f>
        <v>0</v>
      </c>
      <c r="AS283" s="333"/>
      <c r="AT283" s="346" t="n">
        <f aca="false">+DATE(YEAR(AT282),MONTH(AT282)+1,1)</f>
        <v>44774</v>
      </c>
      <c r="AU283" s="343" t="n">
        <f aca="false">+AR283*(VLOOKUP(AT283,CURVECALC!$C$6:$J$312,4,0)+AV$5)</f>
        <v>0</v>
      </c>
      <c r="AV283" s="350" t="n">
        <f aca="false">-AN283*INDEX(ship_curves,MATCH(AT283,'SHIP CURVES'!$A$9:$A$316,0),MATCH(CONCATENATE(AX$4,AX$5,AX$6,AX$7),'SHIP CURVES'!$A$9:$AZ$9,0))</f>
        <v>-0</v>
      </c>
      <c r="AW283" s="351" t="n">
        <f aca="false">-AP283*INDEX(port_processing_fee,MATCH(AT283,PORTS!$H$626:$H$933,0),MATCH(AX$5,PORTS!$H$626:$Z$626,0))</f>
        <v>-0</v>
      </c>
      <c r="AX283" s="352" t="n">
        <f aca="false">(((VLOOKUP(AT283,curvecalc,4,0))*IF(AN283=0,0,AR283/AN283)-INDEX(ship_curves,MATCH(AT283,'SHIP CURVES'!$A$9:$A$316,0),MATCH(CONCATENATE(AX$4,AX$5,AX$6,AX$7),'SHIP CURVES'!$A$9:$Z$9,0))-INDEX(terminal_curves,MATCH(AT283,'TERMINAL CURVES'!$A$4:$A$313,0),MATCH(AX$5,'TERMINAL CURVES'!$A$4:$N$4,0))*IF(AN283=0,0,AP283/AN283))-(AV$8)*((AV$7-$N$5)-(INDEX(ship_curves,MATCH(AT283,'SHIP CURVES'!$A$9:$A$316,0),MATCH(CONCATENATE(AX$4,AX$5,AX$6,AX$7),'SHIP CURVES'!$A$9:$Z$9,0))-INDEX(ship_curves,MATCH(AT283,'SHIP CURVES'!$A$9:$A$316,0),MATCH(CONCATENATE(AX$4,AV$6,AX$6,AX$7),'SHIP CURVES'!$A$9:$Z$9,0)))-(INDEX(terminal_curves,MATCH(AT283,'TERMINAL CURVES'!$A$4:$A$313,0),MATCH(AX$5,'TERMINAL CURVES'!$A$4:$N$4,0))-INDEX(terminal_curves,MATCH(AT283,'TERMINAL CURVES'!$A$4:$A$313,0),MATCH(AV$6,'TERMINAL CURVES'!$A$4:$N$4,0)))*IF(AN283=0,0,AP283/AN283)))*-AN283</f>
        <v>0</v>
      </c>
      <c r="AY283" s="356" t="n">
        <f aca="false">SUM(AV283:AX283)</f>
        <v>0</v>
      </c>
      <c r="AZ283" s="357" t="n">
        <f aca="false">(-AP283/((HLOOKUP(AX$5,port_specs,2,0)/(365.25))*(AT284-AT283)))*(INDEX(fixed_capacity_charge,MATCH(AT283,PORTS!$H$11:$H$317,0),MATCH(AX$5,PORTS!$H$11:$N$11,0))+INDEX(variable_om_charge,MATCH(AT283,PORTS!$H$318:$H$625,0),MATCH(AX$5,PORTS!$H$318:$N$318,0)))</f>
        <v>-0</v>
      </c>
      <c r="BA283" s="343" t="n">
        <f aca="false">+AZ283+AY283</f>
        <v>0</v>
      </c>
      <c r="BB283" s="355" t="n">
        <f aca="false">+BA283+AU283</f>
        <v>0</v>
      </c>
      <c r="BC283" s="99"/>
      <c r="BD283" s="357" t="n">
        <f aca="false">+PORTS!I277+PORTS!I585</f>
        <v>0</v>
      </c>
    </row>
    <row r="284" customFormat="false" ht="12.75" hidden="false" customHeight="false" outlineLevel="0" collapsed="false">
      <c r="A284" s="346" t="n">
        <f aca="false">+DATE(YEAR(A283),MONTH(A283)+1,1)</f>
        <v>44805</v>
      </c>
      <c r="B284" s="327" t="n">
        <f aca="false">+IF(AND($A284&gt;=$C$8,$A284&lt;=$C$9),1,0)*PORTS!$I$5/(365.25)*(A285-A284)</f>
        <v>0</v>
      </c>
      <c r="C284" s="328" t="n">
        <f aca="false">+B284-(SUMIF($F$17:$IV$17,$H$17,$F284:$IV284))</f>
        <v>0</v>
      </c>
      <c r="D284" s="0" t="n">
        <f aca="false">+YEAR(E284)</f>
        <v>2022</v>
      </c>
      <c r="E284" s="346" t="n">
        <f aca="false">+DATE(YEAR(E283),MONTH(E283)+1,1)</f>
        <v>44805</v>
      </c>
      <c r="F284" s="327" t="n">
        <f aca="false">+IF(AND(G$8&lt;=E284,G$9&gt;=E284),INDEX(ROUTE_PER_DAY_BY_SHIP,MATCH(CONCATENATE(G$4,G$5,G$7),ROUTE_PER_DAY_ROUTES,0),MATCH(G$6,ROUTE_PER_DAY_SHIPS,0))*(E285-E284),0)</f>
        <v>0</v>
      </c>
      <c r="G284" s="347" t="n">
        <f aca="false">-F284*HLOOKUP(G$6,SHIPS,7,0)*INDEX(LADEN_VOYAGE_DAYS,MATCH(CONCATENATE(G$4,G$5,G$7),LADEN_VOYAGE_ROUTES,0),MATCH(G$6,LADEN_VOYAGE_SHIPS,0))</f>
        <v>-0</v>
      </c>
      <c r="H284" s="348" t="n">
        <f aca="false">SUM(F284:G284)</f>
        <v>0</v>
      </c>
      <c r="I284" s="349" t="n">
        <f aca="false">-(H284)*HLOOKUP(G$5,TERMINAL_CHARGES,3,0)</f>
        <v>-0</v>
      </c>
      <c r="J284" s="327" t="n">
        <f aca="false">+H284+I284</f>
        <v>0</v>
      </c>
      <c r="K284" s="333"/>
      <c r="L284" s="346" t="n">
        <f aca="false">+DATE(YEAR(L283),MONTH(L283)+1,1)</f>
        <v>44805</v>
      </c>
      <c r="M284" s="334" t="n">
        <f aca="false">+J284*(VLOOKUP(L284,CURVECALC!$C$6:$J$312,4,0)+N$5)</f>
        <v>0</v>
      </c>
      <c r="N284" s="350" t="n">
        <f aca="false">-F284*INDEX(ship_curves,MATCH(L284,'SHIP CURVES'!$A$9:$A$316,0),MATCH(CONCATENATE(P$4,P$5,P$6,P$7),'SHIP CURVES'!$A$9:$AZ$9,0))</f>
        <v>-0</v>
      </c>
      <c r="O284" s="351" t="n">
        <f aca="false">-H284*INDEX(port_processing_fee,MATCH(L284,PORTS!$H$626:$H$933,0),MATCH(P$5,PORTS!$H$626:$Z$626,0))</f>
        <v>-0</v>
      </c>
      <c r="P284" s="352" t="n">
        <f aca="false">(((VLOOKUP(L284,curvecalc,4,0))*IF(F284=0,0,J284/F284)-INDEX(ship_curves,MATCH(L284,'SHIP CURVES'!$A$9:$A$316,0),MATCH(CONCATENATE(P$4,P$5,P$6,P$7),'SHIP CURVES'!$A$9:$Z$9,0))-INDEX(terminal_curves,MATCH(L284,'TERMINAL CURVES'!$A$4:$A$313,0),MATCH(P$5,'TERMINAL CURVES'!$A$4:$N$4,0))*IF(F284=0,0,H284/F284))-(N$8)*((N$7-$N$5)-(INDEX(ship_curves,MATCH(L284,'SHIP CURVES'!$A$9:$A$316,0),MATCH(CONCATENATE(P$4,P$5,P$6,P$7),'SHIP CURVES'!$A$9:$Z$9,0))-INDEX(ship_curves,MATCH(L284,'SHIP CURVES'!$A$9:$A$316,0),MATCH(CONCATENATE(P$4,N$6,P$6,P$7),'SHIP CURVES'!$A$9:$Z$9,0)))-(INDEX(terminal_curves,MATCH(L284,'TERMINAL CURVES'!$A$4:$A$313,0),MATCH(P$5,'TERMINAL CURVES'!$A$4:$N$4,0))-INDEX(terminal_curves,MATCH(L284,'TERMINAL CURVES'!$A$4:$A$313,0),MATCH(N$6,'TERMINAL CURVES'!$A$4:$N$4,0)))*IF(F284=0,0,H284/F284)))*-F284</f>
        <v>0</v>
      </c>
      <c r="Q284" s="353" t="n">
        <f aca="false">SUM(N284:P284)</f>
        <v>0</v>
      </c>
      <c r="R284" s="357" t="n">
        <f aca="false">(-H284/((HLOOKUP(P$5,port_specs,2,0)/(365.25))*(L285-L284)))*(INDEX(fixed_capacity_charge,MATCH(L284,PORTS!$H$11:$H$317,0),MATCH(P$5,PORTS!$H$11:$N$11,0))+INDEX(variable_om_charge,MATCH(L284,PORTS!$H$318:$H$625,0),MATCH(P$5,PORTS!$H$318:$N$318,0)))</f>
        <v>-0</v>
      </c>
      <c r="S284" s="343" t="n">
        <f aca="false">+R284+Q284</f>
        <v>0</v>
      </c>
      <c r="T284" s="355" t="n">
        <f aca="false">+S284+M284</f>
        <v>0</v>
      </c>
      <c r="V284" s="346" t="n">
        <f aca="false">+DATE(YEAR(V283),MONTH(V283)+1,1)</f>
        <v>44805</v>
      </c>
      <c r="W284" s="327" t="n">
        <f aca="false">+Y284/(1-HLOOKUP(X$6,SHIPS,7,0)*INDEX(LADEN_VOYAGE_DAYS,MATCH(CONCATENATE(X$4,X$5),LADEN_VOYAGE_ROUTES,0),MATCH(X$6,LADEN_VOYAGE_SHIPS,0)))</f>
        <v>0</v>
      </c>
      <c r="X284" s="347" t="n">
        <f aca="false">+Y284-W284</f>
        <v>0</v>
      </c>
      <c r="Y284" s="348" t="n">
        <f aca="false">+IF(AND(X$8&lt;=V284,X$9&gt;=V284),+MIN($B284-SUMIF($H$17:X$17,Y$17,$H284:X284),((INDEX(ROUTE_PER_DAY_BY_SHIP,MATCH(CONCATENATE(X$4,X$5,X$7),ROUTE_PER_DAY_ROUTES,0),MATCH(X$6,ROUTE_PER_DAY_SHIPS,0))*(V285-V284))-(INDEX(ROUTE_PER_DAY_BY_SHIP,MATCH(CONCATENATE(X$4,X$5,X$7),ROUTE_PER_DAY_ROUTES,0),MATCH(X$6,ROUTE_PER_DAY_SHIPS,0))*(V285-V284))*HLOOKUP(X$6,SHIPS,7,0)*INDEX(LADEN_VOYAGE_DAYS,MATCH(CONCATENATE(X$4,X$5,X$7),LADEN_VOYAGE_ROUTES,0),MATCH(X$6,LADEN_VOYAGE_SHIPS,0)))),0)</f>
        <v>0</v>
      </c>
      <c r="Z284" s="349" t="n">
        <f aca="false">-(Y284)*HLOOKUP(X$5,TERMINAL_CHARGES,3,0)</f>
        <v>-0</v>
      </c>
      <c r="AA284" s="327" t="n">
        <f aca="false">+Y284+Z284</f>
        <v>0</v>
      </c>
      <c r="AB284" s="333"/>
      <c r="AC284" s="346" t="n">
        <f aca="false">+DATE(YEAR(AC283),MONTH(AC283)+1,1)</f>
        <v>44805</v>
      </c>
      <c r="AD284" s="343" t="n">
        <f aca="false">+AA284*(VLOOKUP(AC284,CURVECALC!$C$6:$J$312,4,0)+AE$5)</f>
        <v>0</v>
      </c>
      <c r="AE284" s="350" t="n">
        <f aca="false">-W284*INDEX(ship_curves,MATCH(AC284,'SHIP CURVES'!$A$9:$A$316,0),MATCH(CONCATENATE(AG$4,AG$5,AG$6,AG$7),'SHIP CURVES'!$A$9:$AZ$9,0))</f>
        <v>-0</v>
      </c>
      <c r="AF284" s="351" t="n">
        <f aca="false">-Y284*INDEX(port_processing_fee,MATCH(AC284,PORTS!$H$626:$H$933,0),MATCH(AG$5,PORTS!$H$626:$Z$626,0))</f>
        <v>-0</v>
      </c>
      <c r="AG284" s="352" t="n">
        <f aca="false">(((VLOOKUP(AC284,curvecalc,4,0))*IF(W284=0,0,AA284/W284)-INDEX(ship_curves,MATCH(AC284,'SHIP CURVES'!$A$9:$A$316,0),MATCH(CONCATENATE(AG$4,AG$5,AG$6,AG$7),'SHIP CURVES'!$A$9:$Z$9,0))-INDEX(terminal_curves,MATCH(AC284,'TERMINAL CURVES'!$A$4:$A$313,0),MATCH(AG$5,'TERMINAL CURVES'!$A$4:$N$4,0))*IF(W284=0,0,Y284/W284))-(AE$8)*((AE$7-$N$5)-(INDEX(ship_curves,MATCH(AC284,'SHIP CURVES'!$A$9:$A$316,0),MATCH(CONCATENATE(AG$4,AG$5,AG$6,AG$7),'SHIP CURVES'!$A$9:$Z$9,0))-INDEX(ship_curves,MATCH(AC284,'SHIP CURVES'!$A$9:$A$316,0),MATCH(CONCATENATE(AG$4,AE$6,AG$6,AG$7),'SHIP CURVES'!$A$9:$Z$9,0)))-(INDEX(terminal_curves,MATCH(AC284,'TERMINAL CURVES'!$A$4:$A$313,0),MATCH(AG$5,'TERMINAL CURVES'!$A$4:$N$4,0))-INDEX(terminal_curves,MATCH(AC284,'TERMINAL CURVES'!$A$4:$A$313,0),MATCH(AE$6,'TERMINAL CURVES'!$A$4:$N$4,0)))*IF(W284=0,0,Y284/W284)))*-W284</f>
        <v>0</v>
      </c>
      <c r="AH284" s="356" t="n">
        <f aca="false">SUM(AE284:AG284)</f>
        <v>0</v>
      </c>
      <c r="AI284" s="357" t="n">
        <f aca="false">(-Y284/((HLOOKUP(AG$5,port_specs,2,0)/(365.25))*(AC285-AC284)))*(INDEX(fixed_capacity_charge,MATCH(AC284,PORTS!$H$11:$H$317,0),MATCH(AG$5,PORTS!$H$11:$N$11,0))+INDEX(variable_om_charge,MATCH(AC284,PORTS!$H$318:$H$625,0),MATCH(AG$5,PORTS!$H$318:$N$318,0)))</f>
        <v>-0</v>
      </c>
      <c r="AJ284" s="343" t="n">
        <f aca="false">+AI284+AH284</f>
        <v>0</v>
      </c>
      <c r="AK284" s="355" t="n">
        <f aca="false">+AJ284+AD284</f>
        <v>0</v>
      </c>
      <c r="AM284" s="346" t="n">
        <f aca="false">+DATE(YEAR(AM283),MONTH(AM283)+1,1)</f>
        <v>44805</v>
      </c>
      <c r="AN284" s="327" t="n">
        <f aca="false">+AP284/(1-HLOOKUP(AO$6,SHIPS,7,0)*INDEX(LADEN_VOYAGE_DAYS,MATCH(CONCATENATE(AO$4,AO$5),LADEN_VOYAGE_ROUTES,0),MATCH(AO$6,LADEN_VOYAGE_SHIPS,0)))</f>
        <v>0</v>
      </c>
      <c r="AO284" s="347" t="n">
        <f aca="false">+AP284-AN284</f>
        <v>0</v>
      </c>
      <c r="AP284" s="348" t="n">
        <f aca="false">+IF(AND(AO$8&lt;=AM284,AO$9&gt;=AM284),+MIN($B284-SUMIF($H$17:AO$17,AP$17,$H284:AO284),((INDEX(ROUTE_PER_DAY_BY_SHIP,MATCH(CONCATENATE(AO$4,AO$5,AO$7),ROUTE_PER_DAY_ROUTES,0),MATCH(AO$6,ROUTE_PER_DAY_SHIPS,0))*(AM285-AM284))-(INDEX(ROUTE_PER_DAY_BY_SHIP,MATCH(CONCATENATE(AO$4,AO$5,AO$7),ROUTE_PER_DAY_ROUTES,0),MATCH(AO$6,ROUTE_PER_DAY_SHIPS,0))*(AM285-AM284))*HLOOKUP(AO$6,SHIPS,7,0)*INDEX(LADEN_VOYAGE_DAYS,MATCH(CONCATENATE(AO$4,AO$5,AO$7),LADEN_VOYAGE_ROUTES,0),MATCH(AO$6,LADEN_VOYAGE_SHIPS,0)))),0)</f>
        <v>0</v>
      </c>
      <c r="AQ284" s="349" t="n">
        <f aca="false">-(AP284)*PORTS!$I$6</f>
        <v>-0</v>
      </c>
      <c r="AR284" s="327" t="n">
        <f aca="false">+AP284+AQ284</f>
        <v>0</v>
      </c>
      <c r="AS284" s="333"/>
      <c r="AT284" s="346" t="n">
        <f aca="false">+DATE(YEAR(AT283),MONTH(AT283)+1,1)</f>
        <v>44805</v>
      </c>
      <c r="AU284" s="343" t="n">
        <f aca="false">+AR284*(VLOOKUP(AT284,CURVECALC!$C$6:$J$312,4,0)+AV$5)</f>
        <v>0</v>
      </c>
      <c r="AV284" s="350" t="n">
        <f aca="false">-AN284*INDEX(ship_curves,MATCH(AT284,'SHIP CURVES'!$A$9:$A$316,0),MATCH(CONCATENATE(AX$4,AX$5,AX$6,AX$7),'SHIP CURVES'!$A$9:$AZ$9,0))</f>
        <v>-0</v>
      </c>
      <c r="AW284" s="351" t="n">
        <f aca="false">-AP284*INDEX(port_processing_fee,MATCH(AT284,PORTS!$H$626:$H$933,0),MATCH(AX$5,PORTS!$H$626:$Z$626,0))</f>
        <v>-0</v>
      </c>
      <c r="AX284" s="352" t="n">
        <f aca="false">(((VLOOKUP(AT284,curvecalc,4,0))*IF(AN284=0,0,AR284/AN284)-INDEX(ship_curves,MATCH(AT284,'SHIP CURVES'!$A$9:$A$316,0),MATCH(CONCATENATE(AX$4,AX$5,AX$6,AX$7),'SHIP CURVES'!$A$9:$Z$9,0))-INDEX(terminal_curves,MATCH(AT284,'TERMINAL CURVES'!$A$4:$A$313,0),MATCH(AX$5,'TERMINAL CURVES'!$A$4:$N$4,0))*IF(AN284=0,0,AP284/AN284))-(AV$8)*((AV$7-$N$5)-(INDEX(ship_curves,MATCH(AT284,'SHIP CURVES'!$A$9:$A$316,0),MATCH(CONCATENATE(AX$4,AX$5,AX$6,AX$7),'SHIP CURVES'!$A$9:$Z$9,0))-INDEX(ship_curves,MATCH(AT284,'SHIP CURVES'!$A$9:$A$316,0),MATCH(CONCATENATE(AX$4,AV$6,AX$6,AX$7),'SHIP CURVES'!$A$9:$Z$9,0)))-(INDEX(terminal_curves,MATCH(AT284,'TERMINAL CURVES'!$A$4:$A$313,0),MATCH(AX$5,'TERMINAL CURVES'!$A$4:$N$4,0))-INDEX(terminal_curves,MATCH(AT284,'TERMINAL CURVES'!$A$4:$A$313,0),MATCH(AV$6,'TERMINAL CURVES'!$A$4:$N$4,0)))*IF(AN284=0,0,AP284/AN284)))*-AN284</f>
        <v>0</v>
      </c>
      <c r="AY284" s="356" t="n">
        <f aca="false">SUM(AV284:AX284)</f>
        <v>0</v>
      </c>
      <c r="AZ284" s="357" t="n">
        <f aca="false">(-AP284/((HLOOKUP(AX$5,port_specs,2,0)/(365.25))*(AT285-AT284)))*(INDEX(fixed_capacity_charge,MATCH(AT284,PORTS!$H$11:$H$317,0),MATCH(AX$5,PORTS!$H$11:$N$11,0))+INDEX(variable_om_charge,MATCH(AT284,PORTS!$H$318:$H$625,0),MATCH(AX$5,PORTS!$H$318:$N$318,0)))</f>
        <v>-0</v>
      </c>
      <c r="BA284" s="343" t="n">
        <f aca="false">+AZ284+AY284</f>
        <v>0</v>
      </c>
      <c r="BB284" s="355" t="n">
        <f aca="false">+BA284+AU284</f>
        <v>0</v>
      </c>
      <c r="BC284" s="99"/>
      <c r="BD284" s="357" t="n">
        <f aca="false">+PORTS!I278+PORTS!I586</f>
        <v>0</v>
      </c>
    </row>
    <row r="285" customFormat="false" ht="12.75" hidden="false" customHeight="false" outlineLevel="0" collapsed="false">
      <c r="A285" s="346" t="n">
        <f aca="false">+DATE(YEAR(A284),MONTH(A284)+1,1)</f>
        <v>44835</v>
      </c>
      <c r="B285" s="327" t="n">
        <f aca="false">+IF(AND($A285&gt;=$C$8,$A285&lt;=$C$9),1,0)*PORTS!$I$5/(365.25)*(A286-A285)</f>
        <v>0</v>
      </c>
      <c r="C285" s="328" t="n">
        <f aca="false">+B285-(SUMIF($F$17:$IV$17,$H$17,$F285:$IV285))</f>
        <v>0</v>
      </c>
      <c r="D285" s="0" t="n">
        <f aca="false">+YEAR(E285)</f>
        <v>2022</v>
      </c>
      <c r="E285" s="346" t="n">
        <f aca="false">+DATE(YEAR(E284),MONTH(E284)+1,1)</f>
        <v>44835</v>
      </c>
      <c r="F285" s="327" t="n">
        <f aca="false">+IF(AND(G$8&lt;=E285,G$9&gt;=E285),INDEX(ROUTE_PER_DAY_BY_SHIP,MATCH(CONCATENATE(G$4,G$5,G$7),ROUTE_PER_DAY_ROUTES,0),MATCH(G$6,ROUTE_PER_DAY_SHIPS,0))*(E286-E285),0)</f>
        <v>0</v>
      </c>
      <c r="G285" s="347" t="n">
        <f aca="false">-F285*HLOOKUP(G$6,SHIPS,7,0)*INDEX(LADEN_VOYAGE_DAYS,MATCH(CONCATENATE(G$4,G$5,G$7),LADEN_VOYAGE_ROUTES,0),MATCH(G$6,LADEN_VOYAGE_SHIPS,0))</f>
        <v>-0</v>
      </c>
      <c r="H285" s="348" t="n">
        <f aca="false">SUM(F285:G285)</f>
        <v>0</v>
      </c>
      <c r="I285" s="349" t="n">
        <f aca="false">-(H285)*HLOOKUP(G$5,TERMINAL_CHARGES,3,0)</f>
        <v>-0</v>
      </c>
      <c r="J285" s="327" t="n">
        <f aca="false">+H285+I285</f>
        <v>0</v>
      </c>
      <c r="K285" s="333"/>
      <c r="L285" s="346" t="n">
        <f aca="false">+DATE(YEAR(L284),MONTH(L284)+1,1)</f>
        <v>44835</v>
      </c>
      <c r="M285" s="334" t="n">
        <f aca="false">+J285*(VLOOKUP(L285,CURVECALC!$C$6:$J$312,4,0)+N$5)</f>
        <v>0</v>
      </c>
      <c r="N285" s="350" t="n">
        <f aca="false">-F285*INDEX(ship_curves,MATCH(L285,'SHIP CURVES'!$A$9:$A$316,0),MATCH(CONCATENATE(P$4,P$5,P$6,P$7),'SHIP CURVES'!$A$9:$AZ$9,0))</f>
        <v>-0</v>
      </c>
      <c r="O285" s="351" t="n">
        <f aca="false">-H285*INDEX(port_processing_fee,MATCH(L285,PORTS!$H$626:$H$933,0),MATCH(P$5,PORTS!$H$626:$Z$626,0))</f>
        <v>-0</v>
      </c>
      <c r="P285" s="352" t="n">
        <f aca="false">(((VLOOKUP(L285,curvecalc,4,0))*IF(F285=0,0,J285/F285)-INDEX(ship_curves,MATCH(L285,'SHIP CURVES'!$A$9:$A$316,0),MATCH(CONCATENATE(P$4,P$5,P$6,P$7),'SHIP CURVES'!$A$9:$Z$9,0))-INDEX(terminal_curves,MATCH(L285,'TERMINAL CURVES'!$A$4:$A$313,0),MATCH(P$5,'TERMINAL CURVES'!$A$4:$N$4,0))*IF(F285=0,0,H285/F285))-(N$8)*((N$7-$N$5)-(INDEX(ship_curves,MATCH(L285,'SHIP CURVES'!$A$9:$A$316,0),MATCH(CONCATENATE(P$4,P$5,P$6,P$7),'SHIP CURVES'!$A$9:$Z$9,0))-INDEX(ship_curves,MATCH(L285,'SHIP CURVES'!$A$9:$A$316,0),MATCH(CONCATENATE(P$4,N$6,P$6,P$7),'SHIP CURVES'!$A$9:$Z$9,0)))-(INDEX(terminal_curves,MATCH(L285,'TERMINAL CURVES'!$A$4:$A$313,0),MATCH(P$5,'TERMINAL CURVES'!$A$4:$N$4,0))-INDEX(terminal_curves,MATCH(L285,'TERMINAL CURVES'!$A$4:$A$313,0),MATCH(N$6,'TERMINAL CURVES'!$A$4:$N$4,0)))*IF(F285=0,0,H285/F285)))*-F285</f>
        <v>0</v>
      </c>
      <c r="Q285" s="353" t="n">
        <f aca="false">SUM(N285:P285)</f>
        <v>0</v>
      </c>
      <c r="R285" s="357" t="n">
        <f aca="false">(-H285/((HLOOKUP(P$5,port_specs,2,0)/(365.25))*(L286-L285)))*(INDEX(fixed_capacity_charge,MATCH(L285,PORTS!$H$11:$H$317,0),MATCH(P$5,PORTS!$H$11:$N$11,0))+INDEX(variable_om_charge,MATCH(L285,PORTS!$H$318:$H$625,0),MATCH(P$5,PORTS!$H$318:$N$318,0)))</f>
        <v>-0</v>
      </c>
      <c r="S285" s="343" t="n">
        <f aca="false">+R285+Q285</f>
        <v>0</v>
      </c>
      <c r="T285" s="355" t="n">
        <f aca="false">+S285+M285</f>
        <v>0</v>
      </c>
      <c r="V285" s="346" t="n">
        <f aca="false">+DATE(YEAR(V284),MONTH(V284)+1,1)</f>
        <v>44835</v>
      </c>
      <c r="W285" s="327" t="n">
        <f aca="false">+Y285/(1-HLOOKUP(X$6,SHIPS,7,0)*INDEX(LADEN_VOYAGE_DAYS,MATCH(CONCATENATE(X$4,X$5),LADEN_VOYAGE_ROUTES,0),MATCH(X$6,LADEN_VOYAGE_SHIPS,0)))</f>
        <v>0</v>
      </c>
      <c r="X285" s="347" t="n">
        <f aca="false">+Y285-W285</f>
        <v>0</v>
      </c>
      <c r="Y285" s="348" t="n">
        <f aca="false">+IF(AND(X$8&lt;=V285,X$9&gt;=V285),+MIN($B285-SUMIF($H$17:X$17,Y$17,$H285:X285),((INDEX(ROUTE_PER_DAY_BY_SHIP,MATCH(CONCATENATE(X$4,X$5,X$7),ROUTE_PER_DAY_ROUTES,0),MATCH(X$6,ROUTE_PER_DAY_SHIPS,0))*(V286-V285))-(INDEX(ROUTE_PER_DAY_BY_SHIP,MATCH(CONCATENATE(X$4,X$5,X$7),ROUTE_PER_DAY_ROUTES,0),MATCH(X$6,ROUTE_PER_DAY_SHIPS,0))*(V286-V285))*HLOOKUP(X$6,SHIPS,7,0)*INDEX(LADEN_VOYAGE_DAYS,MATCH(CONCATENATE(X$4,X$5,X$7),LADEN_VOYAGE_ROUTES,0),MATCH(X$6,LADEN_VOYAGE_SHIPS,0)))),0)</f>
        <v>0</v>
      </c>
      <c r="Z285" s="349" t="n">
        <f aca="false">-(Y285)*HLOOKUP(X$5,TERMINAL_CHARGES,3,0)</f>
        <v>-0</v>
      </c>
      <c r="AA285" s="327" t="n">
        <f aca="false">+Y285+Z285</f>
        <v>0</v>
      </c>
      <c r="AB285" s="333"/>
      <c r="AC285" s="346" t="n">
        <f aca="false">+DATE(YEAR(AC284),MONTH(AC284)+1,1)</f>
        <v>44835</v>
      </c>
      <c r="AD285" s="343" t="n">
        <f aca="false">+AA285*(VLOOKUP(AC285,CURVECALC!$C$6:$J$312,4,0)+AE$5)</f>
        <v>0</v>
      </c>
      <c r="AE285" s="350" t="n">
        <f aca="false">-W285*INDEX(ship_curves,MATCH(AC285,'SHIP CURVES'!$A$9:$A$316,0),MATCH(CONCATENATE(AG$4,AG$5,AG$6,AG$7),'SHIP CURVES'!$A$9:$AZ$9,0))</f>
        <v>-0</v>
      </c>
      <c r="AF285" s="351" t="n">
        <f aca="false">-Y285*INDEX(port_processing_fee,MATCH(AC285,PORTS!$H$626:$H$933,0),MATCH(AG$5,PORTS!$H$626:$Z$626,0))</f>
        <v>-0</v>
      </c>
      <c r="AG285" s="352" t="n">
        <f aca="false">(((VLOOKUP(AC285,curvecalc,4,0))*IF(W285=0,0,AA285/W285)-INDEX(ship_curves,MATCH(AC285,'SHIP CURVES'!$A$9:$A$316,0),MATCH(CONCATENATE(AG$4,AG$5,AG$6,AG$7),'SHIP CURVES'!$A$9:$Z$9,0))-INDEX(terminal_curves,MATCH(AC285,'TERMINAL CURVES'!$A$4:$A$313,0),MATCH(AG$5,'TERMINAL CURVES'!$A$4:$N$4,0))*IF(W285=0,0,Y285/W285))-(AE$8)*((AE$7-$N$5)-(INDEX(ship_curves,MATCH(AC285,'SHIP CURVES'!$A$9:$A$316,0),MATCH(CONCATENATE(AG$4,AG$5,AG$6,AG$7),'SHIP CURVES'!$A$9:$Z$9,0))-INDEX(ship_curves,MATCH(AC285,'SHIP CURVES'!$A$9:$A$316,0),MATCH(CONCATENATE(AG$4,AE$6,AG$6,AG$7),'SHIP CURVES'!$A$9:$Z$9,0)))-(INDEX(terminal_curves,MATCH(AC285,'TERMINAL CURVES'!$A$4:$A$313,0),MATCH(AG$5,'TERMINAL CURVES'!$A$4:$N$4,0))-INDEX(terminal_curves,MATCH(AC285,'TERMINAL CURVES'!$A$4:$A$313,0),MATCH(AE$6,'TERMINAL CURVES'!$A$4:$N$4,0)))*IF(W285=0,0,Y285/W285)))*-W285</f>
        <v>0</v>
      </c>
      <c r="AH285" s="356" t="n">
        <f aca="false">SUM(AE285:AG285)</f>
        <v>0</v>
      </c>
      <c r="AI285" s="357" t="n">
        <f aca="false">(-Y285/((HLOOKUP(AG$5,port_specs,2,0)/(365.25))*(AC286-AC285)))*(INDEX(fixed_capacity_charge,MATCH(AC285,PORTS!$H$11:$H$317,0),MATCH(AG$5,PORTS!$H$11:$N$11,0))+INDEX(variable_om_charge,MATCH(AC285,PORTS!$H$318:$H$625,0),MATCH(AG$5,PORTS!$H$318:$N$318,0)))</f>
        <v>-0</v>
      </c>
      <c r="AJ285" s="343" t="n">
        <f aca="false">+AI285+AH285</f>
        <v>0</v>
      </c>
      <c r="AK285" s="355" t="n">
        <f aca="false">+AJ285+AD285</f>
        <v>0</v>
      </c>
      <c r="AM285" s="346" t="n">
        <f aca="false">+DATE(YEAR(AM284),MONTH(AM284)+1,1)</f>
        <v>44835</v>
      </c>
      <c r="AN285" s="327" t="n">
        <f aca="false">+AP285/(1-HLOOKUP(AO$6,SHIPS,7,0)*INDEX(LADEN_VOYAGE_DAYS,MATCH(CONCATENATE(AO$4,AO$5),LADEN_VOYAGE_ROUTES,0),MATCH(AO$6,LADEN_VOYAGE_SHIPS,0)))</f>
        <v>0</v>
      </c>
      <c r="AO285" s="347" t="n">
        <f aca="false">+AP285-AN285</f>
        <v>0</v>
      </c>
      <c r="AP285" s="348" t="n">
        <f aca="false">+IF(AND(AO$8&lt;=AM285,AO$9&gt;=AM285),+MIN($B285-SUMIF($H$17:AO$17,AP$17,$H285:AO285),((INDEX(ROUTE_PER_DAY_BY_SHIP,MATCH(CONCATENATE(AO$4,AO$5,AO$7),ROUTE_PER_DAY_ROUTES,0),MATCH(AO$6,ROUTE_PER_DAY_SHIPS,0))*(AM286-AM285))-(INDEX(ROUTE_PER_DAY_BY_SHIP,MATCH(CONCATENATE(AO$4,AO$5,AO$7),ROUTE_PER_DAY_ROUTES,0),MATCH(AO$6,ROUTE_PER_DAY_SHIPS,0))*(AM286-AM285))*HLOOKUP(AO$6,SHIPS,7,0)*INDEX(LADEN_VOYAGE_DAYS,MATCH(CONCATENATE(AO$4,AO$5,AO$7),LADEN_VOYAGE_ROUTES,0),MATCH(AO$6,LADEN_VOYAGE_SHIPS,0)))),0)</f>
        <v>0</v>
      </c>
      <c r="AQ285" s="349" t="n">
        <f aca="false">-(AP285)*PORTS!$I$6</f>
        <v>-0</v>
      </c>
      <c r="AR285" s="327" t="n">
        <f aca="false">+AP285+AQ285</f>
        <v>0</v>
      </c>
      <c r="AS285" s="333"/>
      <c r="AT285" s="346" t="n">
        <f aca="false">+DATE(YEAR(AT284),MONTH(AT284)+1,1)</f>
        <v>44835</v>
      </c>
      <c r="AU285" s="343" t="n">
        <f aca="false">+AR285*(VLOOKUP(AT285,CURVECALC!$C$6:$J$312,4,0)+AV$5)</f>
        <v>0</v>
      </c>
      <c r="AV285" s="350" t="n">
        <f aca="false">-AN285*INDEX(ship_curves,MATCH(AT285,'SHIP CURVES'!$A$9:$A$316,0),MATCH(CONCATENATE(AX$4,AX$5,AX$6,AX$7),'SHIP CURVES'!$A$9:$AZ$9,0))</f>
        <v>-0</v>
      </c>
      <c r="AW285" s="351" t="n">
        <f aca="false">-AP285*INDEX(port_processing_fee,MATCH(AT285,PORTS!$H$626:$H$933,0),MATCH(AX$5,PORTS!$H$626:$Z$626,0))</f>
        <v>-0</v>
      </c>
      <c r="AX285" s="352" t="n">
        <f aca="false">(((VLOOKUP(AT285,curvecalc,4,0))*IF(AN285=0,0,AR285/AN285)-INDEX(ship_curves,MATCH(AT285,'SHIP CURVES'!$A$9:$A$316,0),MATCH(CONCATENATE(AX$4,AX$5,AX$6,AX$7),'SHIP CURVES'!$A$9:$Z$9,0))-INDEX(terminal_curves,MATCH(AT285,'TERMINAL CURVES'!$A$4:$A$313,0),MATCH(AX$5,'TERMINAL CURVES'!$A$4:$N$4,0))*IF(AN285=0,0,AP285/AN285))-(AV$8)*((AV$7-$N$5)-(INDEX(ship_curves,MATCH(AT285,'SHIP CURVES'!$A$9:$A$316,0),MATCH(CONCATENATE(AX$4,AX$5,AX$6,AX$7),'SHIP CURVES'!$A$9:$Z$9,0))-INDEX(ship_curves,MATCH(AT285,'SHIP CURVES'!$A$9:$A$316,0),MATCH(CONCATENATE(AX$4,AV$6,AX$6,AX$7),'SHIP CURVES'!$A$9:$Z$9,0)))-(INDEX(terminal_curves,MATCH(AT285,'TERMINAL CURVES'!$A$4:$A$313,0),MATCH(AX$5,'TERMINAL CURVES'!$A$4:$N$4,0))-INDEX(terminal_curves,MATCH(AT285,'TERMINAL CURVES'!$A$4:$A$313,0),MATCH(AV$6,'TERMINAL CURVES'!$A$4:$N$4,0)))*IF(AN285=0,0,AP285/AN285)))*-AN285</f>
        <v>0</v>
      </c>
      <c r="AY285" s="356" t="n">
        <f aca="false">SUM(AV285:AX285)</f>
        <v>0</v>
      </c>
      <c r="AZ285" s="357" t="n">
        <f aca="false">(-AP285/((HLOOKUP(AX$5,port_specs,2,0)/(365.25))*(AT286-AT285)))*(INDEX(fixed_capacity_charge,MATCH(AT285,PORTS!$H$11:$H$317,0),MATCH(AX$5,PORTS!$H$11:$N$11,0))+INDEX(variable_om_charge,MATCH(AT285,PORTS!$H$318:$H$625,0),MATCH(AX$5,PORTS!$H$318:$N$318,0)))</f>
        <v>-0</v>
      </c>
      <c r="BA285" s="343" t="n">
        <f aca="false">+AZ285+AY285</f>
        <v>0</v>
      </c>
      <c r="BB285" s="355" t="n">
        <f aca="false">+BA285+AU285</f>
        <v>0</v>
      </c>
      <c r="BC285" s="99"/>
      <c r="BD285" s="357" t="n">
        <f aca="false">+PORTS!I279+PORTS!I587</f>
        <v>0</v>
      </c>
    </row>
    <row r="286" customFormat="false" ht="12.75" hidden="false" customHeight="false" outlineLevel="0" collapsed="false">
      <c r="A286" s="346" t="n">
        <f aca="false">+DATE(YEAR(A285),MONTH(A285)+1,1)</f>
        <v>44866</v>
      </c>
      <c r="B286" s="327" t="n">
        <f aca="false">+IF(AND($A286&gt;=$C$8,$A286&lt;=$C$9),1,0)*PORTS!$I$5/(365.25)*(A287-A286)</f>
        <v>0</v>
      </c>
      <c r="C286" s="328" t="n">
        <f aca="false">+B286-(SUMIF($F$17:$IV$17,$H$17,$F286:$IV286))</f>
        <v>0</v>
      </c>
      <c r="D286" s="0" t="n">
        <f aca="false">+YEAR(E286)</f>
        <v>2022</v>
      </c>
      <c r="E286" s="346" t="n">
        <f aca="false">+DATE(YEAR(E285),MONTH(E285)+1,1)</f>
        <v>44866</v>
      </c>
      <c r="F286" s="327" t="n">
        <f aca="false">+IF(AND(G$8&lt;=E286,G$9&gt;=E286),INDEX(ROUTE_PER_DAY_BY_SHIP,MATCH(CONCATENATE(G$4,G$5,G$7),ROUTE_PER_DAY_ROUTES,0),MATCH(G$6,ROUTE_PER_DAY_SHIPS,0))*(E287-E286),0)</f>
        <v>0</v>
      </c>
      <c r="G286" s="347" t="n">
        <f aca="false">-F286*HLOOKUP(G$6,SHIPS,7,0)*INDEX(LADEN_VOYAGE_DAYS,MATCH(CONCATENATE(G$4,G$5,G$7),LADEN_VOYAGE_ROUTES,0),MATCH(G$6,LADEN_VOYAGE_SHIPS,0))</f>
        <v>-0</v>
      </c>
      <c r="H286" s="348" t="n">
        <f aca="false">SUM(F286:G286)</f>
        <v>0</v>
      </c>
      <c r="I286" s="349" t="n">
        <f aca="false">-(H286)*HLOOKUP(G$5,TERMINAL_CHARGES,3,0)</f>
        <v>-0</v>
      </c>
      <c r="J286" s="327" t="n">
        <f aca="false">+H286+I286</f>
        <v>0</v>
      </c>
      <c r="K286" s="333"/>
      <c r="L286" s="346" t="n">
        <f aca="false">+DATE(YEAR(L285),MONTH(L285)+1,1)</f>
        <v>44866</v>
      </c>
      <c r="M286" s="334" t="n">
        <f aca="false">+J286*(VLOOKUP(L286,CURVECALC!$C$6:$J$312,4,0)+N$5)</f>
        <v>0</v>
      </c>
      <c r="N286" s="350" t="n">
        <f aca="false">-F286*INDEX(ship_curves,MATCH(L286,'SHIP CURVES'!$A$9:$A$316,0),MATCH(CONCATENATE(P$4,P$5,P$6,P$7),'SHIP CURVES'!$A$9:$AZ$9,0))</f>
        <v>-0</v>
      </c>
      <c r="O286" s="351" t="n">
        <f aca="false">-H286*INDEX(port_processing_fee,MATCH(L286,PORTS!$H$626:$H$933,0),MATCH(P$5,PORTS!$H$626:$Z$626,0))</f>
        <v>-0</v>
      </c>
      <c r="P286" s="352" t="n">
        <f aca="false">(((VLOOKUP(L286,curvecalc,4,0))*IF(F286=0,0,J286/F286)-INDEX(ship_curves,MATCH(L286,'SHIP CURVES'!$A$9:$A$316,0),MATCH(CONCATENATE(P$4,P$5,P$6,P$7),'SHIP CURVES'!$A$9:$Z$9,0))-INDEX(terminal_curves,MATCH(L286,'TERMINAL CURVES'!$A$4:$A$313,0),MATCH(P$5,'TERMINAL CURVES'!$A$4:$N$4,0))*IF(F286=0,0,H286/F286))-(N$8)*((N$7-$N$5)-(INDEX(ship_curves,MATCH(L286,'SHIP CURVES'!$A$9:$A$316,0),MATCH(CONCATENATE(P$4,P$5,P$6,P$7),'SHIP CURVES'!$A$9:$Z$9,0))-INDEX(ship_curves,MATCH(L286,'SHIP CURVES'!$A$9:$A$316,0),MATCH(CONCATENATE(P$4,N$6,P$6,P$7),'SHIP CURVES'!$A$9:$Z$9,0)))-(INDEX(terminal_curves,MATCH(L286,'TERMINAL CURVES'!$A$4:$A$313,0),MATCH(P$5,'TERMINAL CURVES'!$A$4:$N$4,0))-INDEX(terminal_curves,MATCH(L286,'TERMINAL CURVES'!$A$4:$A$313,0),MATCH(N$6,'TERMINAL CURVES'!$A$4:$N$4,0)))*IF(F286=0,0,H286/F286)))*-F286</f>
        <v>0</v>
      </c>
      <c r="Q286" s="353" t="n">
        <f aca="false">SUM(N286:P286)</f>
        <v>0</v>
      </c>
      <c r="R286" s="357" t="n">
        <f aca="false">(-H286/((HLOOKUP(P$5,port_specs,2,0)/(365.25))*(L287-L286)))*(INDEX(fixed_capacity_charge,MATCH(L286,PORTS!$H$11:$H$317,0),MATCH(P$5,PORTS!$H$11:$N$11,0))+INDEX(variable_om_charge,MATCH(L286,PORTS!$H$318:$H$625,0),MATCH(P$5,PORTS!$H$318:$N$318,0)))</f>
        <v>-0</v>
      </c>
      <c r="S286" s="343" t="n">
        <f aca="false">+R286+Q286</f>
        <v>0</v>
      </c>
      <c r="T286" s="355" t="n">
        <f aca="false">+S286+M286</f>
        <v>0</v>
      </c>
      <c r="V286" s="346" t="n">
        <f aca="false">+DATE(YEAR(V285),MONTH(V285)+1,1)</f>
        <v>44866</v>
      </c>
      <c r="W286" s="327" t="n">
        <f aca="false">+Y286/(1-HLOOKUP(X$6,SHIPS,7,0)*INDEX(LADEN_VOYAGE_DAYS,MATCH(CONCATENATE(X$4,X$5),LADEN_VOYAGE_ROUTES,0),MATCH(X$6,LADEN_VOYAGE_SHIPS,0)))</f>
        <v>0</v>
      </c>
      <c r="X286" s="347" t="n">
        <f aca="false">+Y286-W286</f>
        <v>0</v>
      </c>
      <c r="Y286" s="348" t="n">
        <f aca="false">+IF(AND(X$8&lt;=V286,X$9&gt;=V286),+MIN($B286-SUMIF($H$17:X$17,Y$17,$H286:X286),((INDEX(ROUTE_PER_DAY_BY_SHIP,MATCH(CONCATENATE(X$4,X$5,X$7),ROUTE_PER_DAY_ROUTES,0),MATCH(X$6,ROUTE_PER_DAY_SHIPS,0))*(V287-V286))-(INDEX(ROUTE_PER_DAY_BY_SHIP,MATCH(CONCATENATE(X$4,X$5,X$7),ROUTE_PER_DAY_ROUTES,0),MATCH(X$6,ROUTE_PER_DAY_SHIPS,0))*(V287-V286))*HLOOKUP(X$6,SHIPS,7,0)*INDEX(LADEN_VOYAGE_DAYS,MATCH(CONCATENATE(X$4,X$5,X$7),LADEN_VOYAGE_ROUTES,0),MATCH(X$6,LADEN_VOYAGE_SHIPS,0)))),0)</f>
        <v>0</v>
      </c>
      <c r="Z286" s="349" t="n">
        <f aca="false">-(Y286)*HLOOKUP(X$5,TERMINAL_CHARGES,3,0)</f>
        <v>-0</v>
      </c>
      <c r="AA286" s="327" t="n">
        <f aca="false">+Y286+Z286</f>
        <v>0</v>
      </c>
      <c r="AB286" s="333"/>
      <c r="AC286" s="346" t="n">
        <f aca="false">+DATE(YEAR(AC285),MONTH(AC285)+1,1)</f>
        <v>44866</v>
      </c>
      <c r="AD286" s="343" t="n">
        <f aca="false">+AA286*(VLOOKUP(AC286,CURVECALC!$C$6:$J$312,4,0)+AE$5)</f>
        <v>0</v>
      </c>
      <c r="AE286" s="350" t="n">
        <f aca="false">-W286*INDEX(ship_curves,MATCH(AC286,'SHIP CURVES'!$A$9:$A$316,0),MATCH(CONCATENATE(AG$4,AG$5,AG$6,AG$7),'SHIP CURVES'!$A$9:$AZ$9,0))</f>
        <v>-0</v>
      </c>
      <c r="AF286" s="351" t="n">
        <f aca="false">-Y286*INDEX(port_processing_fee,MATCH(AC286,PORTS!$H$626:$H$933,0),MATCH(AG$5,PORTS!$H$626:$Z$626,0))</f>
        <v>-0</v>
      </c>
      <c r="AG286" s="352" t="n">
        <f aca="false">(((VLOOKUP(AC286,curvecalc,4,0))*IF(W286=0,0,AA286/W286)-INDEX(ship_curves,MATCH(AC286,'SHIP CURVES'!$A$9:$A$316,0),MATCH(CONCATENATE(AG$4,AG$5,AG$6,AG$7),'SHIP CURVES'!$A$9:$Z$9,0))-INDEX(terminal_curves,MATCH(AC286,'TERMINAL CURVES'!$A$4:$A$313,0),MATCH(AG$5,'TERMINAL CURVES'!$A$4:$N$4,0))*IF(W286=0,0,Y286/W286))-(AE$8)*((AE$7-$N$5)-(INDEX(ship_curves,MATCH(AC286,'SHIP CURVES'!$A$9:$A$316,0),MATCH(CONCATENATE(AG$4,AG$5,AG$6,AG$7),'SHIP CURVES'!$A$9:$Z$9,0))-INDEX(ship_curves,MATCH(AC286,'SHIP CURVES'!$A$9:$A$316,0),MATCH(CONCATENATE(AG$4,AE$6,AG$6,AG$7),'SHIP CURVES'!$A$9:$Z$9,0)))-(INDEX(terminal_curves,MATCH(AC286,'TERMINAL CURVES'!$A$4:$A$313,0),MATCH(AG$5,'TERMINAL CURVES'!$A$4:$N$4,0))-INDEX(terminal_curves,MATCH(AC286,'TERMINAL CURVES'!$A$4:$A$313,0),MATCH(AE$6,'TERMINAL CURVES'!$A$4:$N$4,0)))*IF(W286=0,0,Y286/W286)))*-W286</f>
        <v>0</v>
      </c>
      <c r="AH286" s="356" t="n">
        <f aca="false">SUM(AE286:AG286)</f>
        <v>0</v>
      </c>
      <c r="AI286" s="357" t="n">
        <f aca="false">(-Y286/((HLOOKUP(AG$5,port_specs,2,0)/(365.25))*(AC287-AC286)))*(INDEX(fixed_capacity_charge,MATCH(AC286,PORTS!$H$11:$H$317,0),MATCH(AG$5,PORTS!$H$11:$N$11,0))+INDEX(variable_om_charge,MATCH(AC286,PORTS!$H$318:$H$625,0),MATCH(AG$5,PORTS!$H$318:$N$318,0)))</f>
        <v>-0</v>
      </c>
      <c r="AJ286" s="343" t="n">
        <f aca="false">+AI286+AH286</f>
        <v>0</v>
      </c>
      <c r="AK286" s="355" t="n">
        <f aca="false">+AJ286+AD286</f>
        <v>0</v>
      </c>
      <c r="AM286" s="346" t="n">
        <f aca="false">+DATE(YEAR(AM285),MONTH(AM285)+1,1)</f>
        <v>44866</v>
      </c>
      <c r="AN286" s="327" t="n">
        <f aca="false">+AP286/(1-HLOOKUP(AO$6,SHIPS,7,0)*INDEX(LADEN_VOYAGE_DAYS,MATCH(CONCATENATE(AO$4,AO$5),LADEN_VOYAGE_ROUTES,0),MATCH(AO$6,LADEN_VOYAGE_SHIPS,0)))</f>
        <v>0</v>
      </c>
      <c r="AO286" s="347" t="n">
        <f aca="false">+AP286-AN286</f>
        <v>0</v>
      </c>
      <c r="AP286" s="348" t="n">
        <f aca="false">+IF(AND(AO$8&lt;=AM286,AO$9&gt;=AM286),+MIN($B286-SUMIF($H$17:AO$17,AP$17,$H286:AO286),((INDEX(ROUTE_PER_DAY_BY_SHIP,MATCH(CONCATENATE(AO$4,AO$5,AO$7),ROUTE_PER_DAY_ROUTES,0),MATCH(AO$6,ROUTE_PER_DAY_SHIPS,0))*(AM287-AM286))-(INDEX(ROUTE_PER_DAY_BY_SHIP,MATCH(CONCATENATE(AO$4,AO$5,AO$7),ROUTE_PER_DAY_ROUTES,0),MATCH(AO$6,ROUTE_PER_DAY_SHIPS,0))*(AM287-AM286))*HLOOKUP(AO$6,SHIPS,7,0)*INDEX(LADEN_VOYAGE_DAYS,MATCH(CONCATENATE(AO$4,AO$5,AO$7),LADEN_VOYAGE_ROUTES,0),MATCH(AO$6,LADEN_VOYAGE_SHIPS,0)))),0)</f>
        <v>0</v>
      </c>
      <c r="AQ286" s="349" t="n">
        <f aca="false">-(AP286)*PORTS!$I$6</f>
        <v>-0</v>
      </c>
      <c r="AR286" s="327" t="n">
        <f aca="false">+AP286+AQ286</f>
        <v>0</v>
      </c>
      <c r="AS286" s="333"/>
      <c r="AT286" s="346" t="n">
        <f aca="false">+DATE(YEAR(AT285),MONTH(AT285)+1,1)</f>
        <v>44866</v>
      </c>
      <c r="AU286" s="343" t="n">
        <f aca="false">+AR286*(VLOOKUP(AT286,CURVECALC!$C$6:$J$312,4,0)+AV$5)</f>
        <v>0</v>
      </c>
      <c r="AV286" s="350" t="n">
        <f aca="false">-AN286*INDEX(ship_curves,MATCH(AT286,'SHIP CURVES'!$A$9:$A$316,0),MATCH(CONCATENATE(AX$4,AX$5,AX$6,AX$7),'SHIP CURVES'!$A$9:$AZ$9,0))</f>
        <v>-0</v>
      </c>
      <c r="AW286" s="351" t="n">
        <f aca="false">-AP286*INDEX(port_processing_fee,MATCH(AT286,PORTS!$H$626:$H$933,0),MATCH(AX$5,PORTS!$H$626:$Z$626,0))</f>
        <v>-0</v>
      </c>
      <c r="AX286" s="352" t="n">
        <f aca="false">(((VLOOKUP(AT286,curvecalc,4,0))*IF(AN286=0,0,AR286/AN286)-INDEX(ship_curves,MATCH(AT286,'SHIP CURVES'!$A$9:$A$316,0),MATCH(CONCATENATE(AX$4,AX$5,AX$6,AX$7),'SHIP CURVES'!$A$9:$Z$9,0))-INDEX(terminal_curves,MATCH(AT286,'TERMINAL CURVES'!$A$4:$A$313,0),MATCH(AX$5,'TERMINAL CURVES'!$A$4:$N$4,0))*IF(AN286=0,0,AP286/AN286))-(AV$8)*((AV$7-$N$5)-(INDEX(ship_curves,MATCH(AT286,'SHIP CURVES'!$A$9:$A$316,0),MATCH(CONCATENATE(AX$4,AX$5,AX$6,AX$7),'SHIP CURVES'!$A$9:$Z$9,0))-INDEX(ship_curves,MATCH(AT286,'SHIP CURVES'!$A$9:$A$316,0),MATCH(CONCATENATE(AX$4,AV$6,AX$6,AX$7),'SHIP CURVES'!$A$9:$Z$9,0)))-(INDEX(terminal_curves,MATCH(AT286,'TERMINAL CURVES'!$A$4:$A$313,0),MATCH(AX$5,'TERMINAL CURVES'!$A$4:$N$4,0))-INDEX(terminal_curves,MATCH(AT286,'TERMINAL CURVES'!$A$4:$A$313,0),MATCH(AV$6,'TERMINAL CURVES'!$A$4:$N$4,0)))*IF(AN286=0,0,AP286/AN286)))*-AN286</f>
        <v>0</v>
      </c>
      <c r="AY286" s="356" t="n">
        <f aca="false">SUM(AV286:AX286)</f>
        <v>0</v>
      </c>
      <c r="AZ286" s="357" t="n">
        <f aca="false">(-AP286/((HLOOKUP(AX$5,port_specs,2,0)/(365.25))*(AT287-AT286)))*(INDEX(fixed_capacity_charge,MATCH(AT286,PORTS!$H$11:$H$317,0),MATCH(AX$5,PORTS!$H$11:$N$11,0))+INDEX(variable_om_charge,MATCH(AT286,PORTS!$H$318:$H$625,0),MATCH(AX$5,PORTS!$H$318:$N$318,0)))</f>
        <v>-0</v>
      </c>
      <c r="BA286" s="343" t="n">
        <f aca="false">+AZ286+AY286</f>
        <v>0</v>
      </c>
      <c r="BB286" s="355" t="n">
        <f aca="false">+BA286+AU286</f>
        <v>0</v>
      </c>
      <c r="BC286" s="99"/>
      <c r="BD286" s="357" t="n">
        <f aca="false">+PORTS!I280+PORTS!I588</f>
        <v>0</v>
      </c>
    </row>
    <row r="287" customFormat="false" ht="12.75" hidden="false" customHeight="false" outlineLevel="0" collapsed="false">
      <c r="A287" s="346" t="n">
        <f aca="false">+DATE(YEAR(A286),MONTH(A286)+1,1)</f>
        <v>44896</v>
      </c>
      <c r="B287" s="327" t="n">
        <f aca="false">+IF(AND($A287&gt;=$C$8,$A287&lt;=$C$9),1,0)*PORTS!$I$5/(365.25)*(A288-A287)</f>
        <v>0</v>
      </c>
      <c r="C287" s="328" t="n">
        <f aca="false">+B287-(SUMIF($F$17:$IV$17,$H$17,$F287:$IV287))</f>
        <v>0</v>
      </c>
      <c r="D287" s="0" t="n">
        <f aca="false">+YEAR(E287)</f>
        <v>2022</v>
      </c>
      <c r="E287" s="346" t="n">
        <f aca="false">+DATE(YEAR(E286),MONTH(E286)+1,1)</f>
        <v>44896</v>
      </c>
      <c r="F287" s="327" t="n">
        <f aca="false">+IF(AND(G$8&lt;=E287,G$9&gt;=E287),INDEX(ROUTE_PER_DAY_BY_SHIP,MATCH(CONCATENATE(G$4,G$5,G$7),ROUTE_PER_DAY_ROUTES,0),MATCH(G$6,ROUTE_PER_DAY_SHIPS,0))*(E288-E287),0)</f>
        <v>0</v>
      </c>
      <c r="G287" s="347" t="n">
        <f aca="false">-F287*HLOOKUP(G$6,SHIPS,7,0)*INDEX(LADEN_VOYAGE_DAYS,MATCH(CONCATENATE(G$4,G$5,G$7),LADEN_VOYAGE_ROUTES,0),MATCH(G$6,LADEN_VOYAGE_SHIPS,0))</f>
        <v>-0</v>
      </c>
      <c r="H287" s="348" t="n">
        <f aca="false">SUM(F287:G287)</f>
        <v>0</v>
      </c>
      <c r="I287" s="349" t="n">
        <f aca="false">-(H287)*HLOOKUP(G$5,TERMINAL_CHARGES,3,0)</f>
        <v>-0</v>
      </c>
      <c r="J287" s="327" t="n">
        <f aca="false">+H287+I287</f>
        <v>0</v>
      </c>
      <c r="K287" s="333"/>
      <c r="L287" s="346" t="n">
        <f aca="false">+DATE(YEAR(L286),MONTH(L286)+1,1)</f>
        <v>44896</v>
      </c>
      <c r="M287" s="334" t="n">
        <f aca="false">+J287*(VLOOKUP(L287,CURVECALC!$C$6:$J$312,4,0)+N$5)</f>
        <v>0</v>
      </c>
      <c r="N287" s="350" t="n">
        <f aca="false">-F287*INDEX(ship_curves,MATCH(L287,'SHIP CURVES'!$A$9:$A$316,0),MATCH(CONCATENATE(P$4,P$5,P$6,P$7),'SHIP CURVES'!$A$9:$AZ$9,0))</f>
        <v>-0</v>
      </c>
      <c r="O287" s="351" t="n">
        <f aca="false">-H287*INDEX(port_processing_fee,MATCH(L287,PORTS!$H$626:$H$933,0),MATCH(P$5,PORTS!$H$626:$Z$626,0))</f>
        <v>-0</v>
      </c>
      <c r="P287" s="352" t="n">
        <f aca="false">(((VLOOKUP(L287,curvecalc,4,0))*IF(F287=0,0,J287/F287)-INDEX(ship_curves,MATCH(L287,'SHIP CURVES'!$A$9:$A$316,0),MATCH(CONCATENATE(P$4,P$5,P$6,P$7),'SHIP CURVES'!$A$9:$Z$9,0))-INDEX(terminal_curves,MATCH(L287,'TERMINAL CURVES'!$A$4:$A$313,0),MATCH(P$5,'TERMINAL CURVES'!$A$4:$N$4,0))*IF(F287=0,0,H287/F287))-(N$8)*((N$7-$N$5)-(INDEX(ship_curves,MATCH(L287,'SHIP CURVES'!$A$9:$A$316,0),MATCH(CONCATENATE(P$4,P$5,P$6,P$7),'SHIP CURVES'!$A$9:$Z$9,0))-INDEX(ship_curves,MATCH(L287,'SHIP CURVES'!$A$9:$A$316,0),MATCH(CONCATENATE(P$4,N$6,P$6,P$7),'SHIP CURVES'!$A$9:$Z$9,0)))-(INDEX(terminal_curves,MATCH(L287,'TERMINAL CURVES'!$A$4:$A$313,0),MATCH(P$5,'TERMINAL CURVES'!$A$4:$N$4,0))-INDEX(terminal_curves,MATCH(L287,'TERMINAL CURVES'!$A$4:$A$313,0),MATCH(N$6,'TERMINAL CURVES'!$A$4:$N$4,0)))*IF(F287=0,0,H287/F287)))*-F287</f>
        <v>0</v>
      </c>
      <c r="Q287" s="353" t="n">
        <f aca="false">SUM(N287:P287)</f>
        <v>0</v>
      </c>
      <c r="R287" s="357" t="n">
        <f aca="false">(-H287/((HLOOKUP(P$5,port_specs,2,0)/(365.25))*(L288-L287)))*(INDEX(fixed_capacity_charge,MATCH(L287,PORTS!$H$11:$H$317,0),MATCH(P$5,PORTS!$H$11:$N$11,0))+INDEX(variable_om_charge,MATCH(L287,PORTS!$H$318:$H$625,0),MATCH(P$5,PORTS!$H$318:$N$318,0)))</f>
        <v>-0</v>
      </c>
      <c r="S287" s="343" t="n">
        <f aca="false">+R287+Q287</f>
        <v>0</v>
      </c>
      <c r="T287" s="355" t="n">
        <f aca="false">+S287+M287</f>
        <v>0</v>
      </c>
      <c r="V287" s="346" t="n">
        <f aca="false">+DATE(YEAR(V286),MONTH(V286)+1,1)</f>
        <v>44896</v>
      </c>
      <c r="W287" s="327" t="n">
        <f aca="false">+Y287/(1-HLOOKUP(X$6,SHIPS,7,0)*INDEX(LADEN_VOYAGE_DAYS,MATCH(CONCATENATE(X$4,X$5),LADEN_VOYAGE_ROUTES,0),MATCH(X$6,LADEN_VOYAGE_SHIPS,0)))</f>
        <v>0</v>
      </c>
      <c r="X287" s="347" t="n">
        <f aca="false">+Y287-W287</f>
        <v>0</v>
      </c>
      <c r="Y287" s="348" t="n">
        <f aca="false">+IF(AND(X$8&lt;=V287,X$9&gt;=V287),+MIN($B287-SUMIF($H$17:X$17,Y$17,$H287:X287),((INDEX(ROUTE_PER_DAY_BY_SHIP,MATCH(CONCATENATE(X$4,X$5,X$7),ROUTE_PER_DAY_ROUTES,0),MATCH(X$6,ROUTE_PER_DAY_SHIPS,0))*(V288-V287))-(INDEX(ROUTE_PER_DAY_BY_SHIP,MATCH(CONCATENATE(X$4,X$5,X$7),ROUTE_PER_DAY_ROUTES,0),MATCH(X$6,ROUTE_PER_DAY_SHIPS,0))*(V288-V287))*HLOOKUP(X$6,SHIPS,7,0)*INDEX(LADEN_VOYAGE_DAYS,MATCH(CONCATENATE(X$4,X$5,X$7),LADEN_VOYAGE_ROUTES,0),MATCH(X$6,LADEN_VOYAGE_SHIPS,0)))),0)</f>
        <v>0</v>
      </c>
      <c r="Z287" s="349" t="n">
        <f aca="false">-(Y287)*HLOOKUP(X$5,TERMINAL_CHARGES,3,0)</f>
        <v>-0</v>
      </c>
      <c r="AA287" s="327" t="n">
        <f aca="false">+Y287+Z287</f>
        <v>0</v>
      </c>
      <c r="AB287" s="333"/>
      <c r="AC287" s="346" t="n">
        <f aca="false">+DATE(YEAR(AC286),MONTH(AC286)+1,1)</f>
        <v>44896</v>
      </c>
      <c r="AD287" s="343" t="n">
        <f aca="false">+AA287*(VLOOKUP(AC287,CURVECALC!$C$6:$J$312,4,0)+AE$5)</f>
        <v>0</v>
      </c>
      <c r="AE287" s="350" t="n">
        <f aca="false">-W287*INDEX(ship_curves,MATCH(AC287,'SHIP CURVES'!$A$9:$A$316,0),MATCH(CONCATENATE(AG$4,AG$5,AG$6,AG$7),'SHIP CURVES'!$A$9:$AZ$9,0))</f>
        <v>-0</v>
      </c>
      <c r="AF287" s="351" t="n">
        <f aca="false">-Y287*INDEX(port_processing_fee,MATCH(AC287,PORTS!$H$626:$H$933,0),MATCH(AG$5,PORTS!$H$626:$Z$626,0))</f>
        <v>-0</v>
      </c>
      <c r="AG287" s="352" t="n">
        <f aca="false">(((VLOOKUP(AC287,curvecalc,4,0))*IF(W287=0,0,AA287/W287)-INDEX(ship_curves,MATCH(AC287,'SHIP CURVES'!$A$9:$A$316,0),MATCH(CONCATENATE(AG$4,AG$5,AG$6,AG$7),'SHIP CURVES'!$A$9:$Z$9,0))-INDEX(terminal_curves,MATCH(AC287,'TERMINAL CURVES'!$A$4:$A$313,0),MATCH(AG$5,'TERMINAL CURVES'!$A$4:$N$4,0))*IF(W287=0,0,Y287/W287))-(AE$8)*((AE$7-$N$5)-(INDEX(ship_curves,MATCH(AC287,'SHIP CURVES'!$A$9:$A$316,0),MATCH(CONCATENATE(AG$4,AG$5,AG$6,AG$7),'SHIP CURVES'!$A$9:$Z$9,0))-INDEX(ship_curves,MATCH(AC287,'SHIP CURVES'!$A$9:$A$316,0),MATCH(CONCATENATE(AG$4,AE$6,AG$6,AG$7),'SHIP CURVES'!$A$9:$Z$9,0)))-(INDEX(terminal_curves,MATCH(AC287,'TERMINAL CURVES'!$A$4:$A$313,0),MATCH(AG$5,'TERMINAL CURVES'!$A$4:$N$4,0))-INDEX(terminal_curves,MATCH(AC287,'TERMINAL CURVES'!$A$4:$A$313,0),MATCH(AE$6,'TERMINAL CURVES'!$A$4:$N$4,0)))*IF(W287=0,0,Y287/W287)))*-W287</f>
        <v>0</v>
      </c>
      <c r="AH287" s="356" t="n">
        <f aca="false">SUM(AE287:AG287)</f>
        <v>0</v>
      </c>
      <c r="AI287" s="357" t="n">
        <f aca="false">(-Y287/((HLOOKUP(AG$5,port_specs,2,0)/(365.25))*(AC288-AC287)))*(INDEX(fixed_capacity_charge,MATCH(AC287,PORTS!$H$11:$H$317,0),MATCH(AG$5,PORTS!$H$11:$N$11,0))+INDEX(variable_om_charge,MATCH(AC287,PORTS!$H$318:$H$625,0),MATCH(AG$5,PORTS!$H$318:$N$318,0)))</f>
        <v>-0</v>
      </c>
      <c r="AJ287" s="343" t="n">
        <f aca="false">+AI287+AH287</f>
        <v>0</v>
      </c>
      <c r="AK287" s="355" t="n">
        <f aca="false">+AJ287+AD287</f>
        <v>0</v>
      </c>
      <c r="AM287" s="346" t="n">
        <f aca="false">+DATE(YEAR(AM286),MONTH(AM286)+1,1)</f>
        <v>44896</v>
      </c>
      <c r="AN287" s="327" t="n">
        <f aca="false">+AP287/(1-HLOOKUP(AO$6,SHIPS,7,0)*INDEX(LADEN_VOYAGE_DAYS,MATCH(CONCATENATE(AO$4,AO$5),LADEN_VOYAGE_ROUTES,0),MATCH(AO$6,LADEN_VOYAGE_SHIPS,0)))</f>
        <v>0</v>
      </c>
      <c r="AO287" s="347" t="n">
        <f aca="false">+AP287-AN287</f>
        <v>0</v>
      </c>
      <c r="AP287" s="348" t="n">
        <f aca="false">+IF(AND(AO$8&lt;=AM287,AO$9&gt;=AM287),+MIN($B287-SUMIF($H$17:AO$17,AP$17,$H287:AO287),((INDEX(ROUTE_PER_DAY_BY_SHIP,MATCH(CONCATENATE(AO$4,AO$5,AO$7),ROUTE_PER_DAY_ROUTES,0),MATCH(AO$6,ROUTE_PER_DAY_SHIPS,0))*(AM288-AM287))-(INDEX(ROUTE_PER_DAY_BY_SHIP,MATCH(CONCATENATE(AO$4,AO$5,AO$7),ROUTE_PER_DAY_ROUTES,0),MATCH(AO$6,ROUTE_PER_DAY_SHIPS,0))*(AM288-AM287))*HLOOKUP(AO$6,SHIPS,7,0)*INDEX(LADEN_VOYAGE_DAYS,MATCH(CONCATENATE(AO$4,AO$5,AO$7),LADEN_VOYAGE_ROUTES,0),MATCH(AO$6,LADEN_VOYAGE_SHIPS,0)))),0)</f>
        <v>0</v>
      </c>
      <c r="AQ287" s="349" t="n">
        <f aca="false">-(AP287)*PORTS!$I$6</f>
        <v>-0</v>
      </c>
      <c r="AR287" s="327" t="n">
        <f aca="false">+AP287+AQ287</f>
        <v>0</v>
      </c>
      <c r="AS287" s="333"/>
      <c r="AT287" s="346" t="n">
        <f aca="false">+DATE(YEAR(AT286),MONTH(AT286)+1,1)</f>
        <v>44896</v>
      </c>
      <c r="AU287" s="343" t="n">
        <f aca="false">+AR287*(VLOOKUP(AT287,CURVECALC!$C$6:$J$312,4,0)+AV$5)</f>
        <v>0</v>
      </c>
      <c r="AV287" s="350" t="n">
        <f aca="false">-AN287*INDEX(ship_curves,MATCH(AT287,'SHIP CURVES'!$A$9:$A$316,0),MATCH(CONCATENATE(AX$4,AX$5,AX$6,AX$7),'SHIP CURVES'!$A$9:$AZ$9,0))</f>
        <v>-0</v>
      </c>
      <c r="AW287" s="351" t="n">
        <f aca="false">-AP287*INDEX(port_processing_fee,MATCH(AT287,PORTS!$H$626:$H$933,0),MATCH(AX$5,PORTS!$H$626:$Z$626,0))</f>
        <v>-0</v>
      </c>
      <c r="AX287" s="352" t="n">
        <f aca="false">(((VLOOKUP(AT287,curvecalc,4,0))*IF(AN287=0,0,AR287/AN287)-INDEX(ship_curves,MATCH(AT287,'SHIP CURVES'!$A$9:$A$316,0),MATCH(CONCATENATE(AX$4,AX$5,AX$6,AX$7),'SHIP CURVES'!$A$9:$Z$9,0))-INDEX(terminal_curves,MATCH(AT287,'TERMINAL CURVES'!$A$4:$A$313,0),MATCH(AX$5,'TERMINAL CURVES'!$A$4:$N$4,0))*IF(AN287=0,0,AP287/AN287))-(AV$8)*((AV$7-$N$5)-(INDEX(ship_curves,MATCH(AT287,'SHIP CURVES'!$A$9:$A$316,0),MATCH(CONCATENATE(AX$4,AX$5,AX$6,AX$7),'SHIP CURVES'!$A$9:$Z$9,0))-INDEX(ship_curves,MATCH(AT287,'SHIP CURVES'!$A$9:$A$316,0),MATCH(CONCATENATE(AX$4,AV$6,AX$6,AX$7),'SHIP CURVES'!$A$9:$Z$9,0)))-(INDEX(terminal_curves,MATCH(AT287,'TERMINAL CURVES'!$A$4:$A$313,0),MATCH(AX$5,'TERMINAL CURVES'!$A$4:$N$4,0))-INDEX(terminal_curves,MATCH(AT287,'TERMINAL CURVES'!$A$4:$A$313,0),MATCH(AV$6,'TERMINAL CURVES'!$A$4:$N$4,0)))*IF(AN287=0,0,AP287/AN287)))*-AN287</f>
        <v>0</v>
      </c>
      <c r="AY287" s="356" t="n">
        <f aca="false">SUM(AV287:AX287)</f>
        <v>0</v>
      </c>
      <c r="AZ287" s="357" t="n">
        <f aca="false">(-AP287/((HLOOKUP(AX$5,port_specs,2,0)/(365.25))*(AT288-AT287)))*(INDEX(fixed_capacity_charge,MATCH(AT287,PORTS!$H$11:$H$317,0),MATCH(AX$5,PORTS!$H$11:$N$11,0))+INDEX(variable_om_charge,MATCH(AT287,PORTS!$H$318:$H$625,0),MATCH(AX$5,PORTS!$H$318:$N$318,0)))</f>
        <v>-0</v>
      </c>
      <c r="BA287" s="343" t="n">
        <f aca="false">+AZ287+AY287</f>
        <v>0</v>
      </c>
      <c r="BB287" s="355" t="n">
        <f aca="false">+BA287+AU287</f>
        <v>0</v>
      </c>
      <c r="BC287" s="99"/>
      <c r="BD287" s="357" t="n">
        <f aca="false">+PORTS!I281+PORTS!I589</f>
        <v>0</v>
      </c>
    </row>
    <row r="288" customFormat="false" ht="12.75" hidden="false" customHeight="false" outlineLevel="0" collapsed="false">
      <c r="A288" s="346" t="n">
        <f aca="false">+DATE(YEAR(A287),MONTH(A287)+1,1)</f>
        <v>44927</v>
      </c>
      <c r="B288" s="327" t="n">
        <f aca="false">+IF(AND($A288&gt;=$C$8,$A288&lt;=$C$9),1,0)*PORTS!$I$5/(365.25)*(A289-A288)</f>
        <v>0</v>
      </c>
      <c r="C288" s="328" t="n">
        <f aca="false">+B288-(SUMIF($F$17:$IV$17,$H$17,$F288:$IV288))</f>
        <v>0</v>
      </c>
      <c r="D288" s="0" t="n">
        <f aca="false">+YEAR(E288)</f>
        <v>2023</v>
      </c>
      <c r="E288" s="346" t="n">
        <f aca="false">+DATE(YEAR(E287),MONTH(E287)+1,1)</f>
        <v>44927</v>
      </c>
      <c r="F288" s="327" t="n">
        <f aca="false">+IF(AND(G$8&lt;=E288,G$9&gt;=E288),INDEX(ROUTE_PER_DAY_BY_SHIP,MATCH(CONCATENATE(G$4,G$5,G$7),ROUTE_PER_DAY_ROUTES,0),MATCH(G$6,ROUTE_PER_DAY_SHIPS,0))*(E289-E288),0)</f>
        <v>0</v>
      </c>
      <c r="G288" s="347" t="n">
        <f aca="false">-F288*HLOOKUP(G$6,SHIPS,7,0)*INDEX(LADEN_VOYAGE_DAYS,MATCH(CONCATENATE(G$4,G$5,G$7),LADEN_VOYAGE_ROUTES,0),MATCH(G$6,LADEN_VOYAGE_SHIPS,0))</f>
        <v>-0</v>
      </c>
      <c r="H288" s="348" t="n">
        <f aca="false">SUM(F288:G288)</f>
        <v>0</v>
      </c>
      <c r="I288" s="349" t="n">
        <f aca="false">-(H288)*HLOOKUP(G$5,TERMINAL_CHARGES,3,0)</f>
        <v>-0</v>
      </c>
      <c r="J288" s="327" t="n">
        <f aca="false">+H288+I288</f>
        <v>0</v>
      </c>
      <c r="K288" s="333"/>
      <c r="L288" s="346" t="n">
        <f aca="false">+DATE(YEAR(L287),MONTH(L287)+1,1)</f>
        <v>44927</v>
      </c>
      <c r="M288" s="334" t="n">
        <f aca="false">+J288*(VLOOKUP(L288,CURVECALC!$C$6:$J$312,4,0)+N$5)</f>
        <v>0</v>
      </c>
      <c r="N288" s="350" t="n">
        <f aca="false">-F288*INDEX(ship_curves,MATCH(L288,'SHIP CURVES'!$A$9:$A$316,0),MATCH(CONCATENATE(P$4,P$5,P$6,P$7),'SHIP CURVES'!$A$9:$AZ$9,0))</f>
        <v>-0</v>
      </c>
      <c r="O288" s="351" t="n">
        <f aca="false">-H288*INDEX(port_processing_fee,MATCH(L288,PORTS!$H$626:$H$933,0),MATCH(P$5,PORTS!$H$626:$Z$626,0))</f>
        <v>-0</v>
      </c>
      <c r="P288" s="352" t="n">
        <f aca="false">(((VLOOKUP(L288,curvecalc,4,0))*IF(F288=0,0,J288/F288)-INDEX(ship_curves,MATCH(L288,'SHIP CURVES'!$A$9:$A$316,0),MATCH(CONCATENATE(P$4,P$5,P$6,P$7),'SHIP CURVES'!$A$9:$Z$9,0))-INDEX(terminal_curves,MATCH(L288,'TERMINAL CURVES'!$A$4:$A$313,0),MATCH(P$5,'TERMINAL CURVES'!$A$4:$N$4,0))*IF(F288=0,0,H288/F288))-(N$8)*((N$7-$N$5)-(INDEX(ship_curves,MATCH(L288,'SHIP CURVES'!$A$9:$A$316,0),MATCH(CONCATENATE(P$4,P$5,P$6,P$7),'SHIP CURVES'!$A$9:$Z$9,0))-INDEX(ship_curves,MATCH(L288,'SHIP CURVES'!$A$9:$A$316,0),MATCH(CONCATENATE(P$4,N$6,P$6,P$7),'SHIP CURVES'!$A$9:$Z$9,0)))-(INDEX(terminal_curves,MATCH(L288,'TERMINAL CURVES'!$A$4:$A$313,0),MATCH(P$5,'TERMINAL CURVES'!$A$4:$N$4,0))-INDEX(terminal_curves,MATCH(L288,'TERMINAL CURVES'!$A$4:$A$313,0),MATCH(N$6,'TERMINAL CURVES'!$A$4:$N$4,0)))*IF(F288=0,0,H288/F288)))*-F288</f>
        <v>0</v>
      </c>
      <c r="Q288" s="353" t="n">
        <f aca="false">SUM(N288:P288)</f>
        <v>0</v>
      </c>
      <c r="R288" s="357" t="n">
        <f aca="false">(-H288/((HLOOKUP(P$5,port_specs,2,0)/(365.25))*(L289-L288)))*(INDEX(fixed_capacity_charge,MATCH(L288,PORTS!$H$11:$H$317,0),MATCH(P$5,PORTS!$H$11:$N$11,0))+INDEX(variable_om_charge,MATCH(L288,PORTS!$H$318:$H$625,0),MATCH(P$5,PORTS!$H$318:$N$318,0)))</f>
        <v>-0</v>
      </c>
      <c r="S288" s="343" t="n">
        <f aca="false">+R288+Q288</f>
        <v>0</v>
      </c>
      <c r="T288" s="355" t="n">
        <f aca="false">+S288+M288</f>
        <v>0</v>
      </c>
      <c r="V288" s="346" t="n">
        <f aca="false">+DATE(YEAR(V287),MONTH(V287)+1,1)</f>
        <v>44927</v>
      </c>
      <c r="W288" s="327" t="n">
        <f aca="false">+Y288/(1-HLOOKUP(X$6,SHIPS,7,0)*INDEX(LADEN_VOYAGE_DAYS,MATCH(CONCATENATE(X$4,X$5),LADEN_VOYAGE_ROUTES,0),MATCH(X$6,LADEN_VOYAGE_SHIPS,0)))</f>
        <v>0</v>
      </c>
      <c r="X288" s="347" t="n">
        <f aca="false">+Y288-W288</f>
        <v>0</v>
      </c>
      <c r="Y288" s="348" t="n">
        <f aca="false">+IF(AND(X$8&lt;=V288,X$9&gt;=V288),+MIN($B288-SUMIF($H$17:X$17,Y$17,$H288:X288),((INDEX(ROUTE_PER_DAY_BY_SHIP,MATCH(CONCATENATE(X$4,X$5,X$7),ROUTE_PER_DAY_ROUTES,0),MATCH(X$6,ROUTE_PER_DAY_SHIPS,0))*(V289-V288))-(INDEX(ROUTE_PER_DAY_BY_SHIP,MATCH(CONCATENATE(X$4,X$5,X$7),ROUTE_PER_DAY_ROUTES,0),MATCH(X$6,ROUTE_PER_DAY_SHIPS,0))*(V289-V288))*HLOOKUP(X$6,SHIPS,7,0)*INDEX(LADEN_VOYAGE_DAYS,MATCH(CONCATENATE(X$4,X$5,X$7),LADEN_VOYAGE_ROUTES,0),MATCH(X$6,LADEN_VOYAGE_SHIPS,0)))),0)</f>
        <v>0</v>
      </c>
      <c r="Z288" s="349" t="n">
        <f aca="false">-(Y288)*HLOOKUP(X$5,TERMINAL_CHARGES,3,0)</f>
        <v>-0</v>
      </c>
      <c r="AA288" s="327" t="n">
        <f aca="false">+Y288+Z288</f>
        <v>0</v>
      </c>
      <c r="AB288" s="333"/>
      <c r="AC288" s="346" t="n">
        <f aca="false">+DATE(YEAR(AC287),MONTH(AC287)+1,1)</f>
        <v>44927</v>
      </c>
      <c r="AD288" s="343" t="n">
        <f aca="false">+AA288*(VLOOKUP(AC288,CURVECALC!$C$6:$J$312,4,0)+AE$5)</f>
        <v>0</v>
      </c>
      <c r="AE288" s="350" t="n">
        <f aca="false">-W288*INDEX(ship_curves,MATCH(AC288,'SHIP CURVES'!$A$9:$A$316,0),MATCH(CONCATENATE(AG$4,AG$5,AG$6,AG$7),'SHIP CURVES'!$A$9:$AZ$9,0))</f>
        <v>-0</v>
      </c>
      <c r="AF288" s="351" t="n">
        <f aca="false">-Y288*INDEX(port_processing_fee,MATCH(AC288,PORTS!$H$626:$H$933,0),MATCH(AG$5,PORTS!$H$626:$Z$626,0))</f>
        <v>-0</v>
      </c>
      <c r="AG288" s="352" t="n">
        <f aca="false">(((VLOOKUP(AC288,curvecalc,4,0))*IF(W288=0,0,AA288/W288)-INDEX(ship_curves,MATCH(AC288,'SHIP CURVES'!$A$9:$A$316,0),MATCH(CONCATENATE(AG$4,AG$5,AG$6,AG$7),'SHIP CURVES'!$A$9:$Z$9,0))-INDEX(terminal_curves,MATCH(AC288,'TERMINAL CURVES'!$A$4:$A$313,0),MATCH(AG$5,'TERMINAL CURVES'!$A$4:$N$4,0))*IF(W288=0,0,Y288/W288))-(AE$8)*((AE$7-$N$5)-(INDEX(ship_curves,MATCH(AC288,'SHIP CURVES'!$A$9:$A$316,0),MATCH(CONCATENATE(AG$4,AG$5,AG$6,AG$7),'SHIP CURVES'!$A$9:$Z$9,0))-INDEX(ship_curves,MATCH(AC288,'SHIP CURVES'!$A$9:$A$316,0),MATCH(CONCATENATE(AG$4,AE$6,AG$6,AG$7),'SHIP CURVES'!$A$9:$Z$9,0)))-(INDEX(terminal_curves,MATCH(AC288,'TERMINAL CURVES'!$A$4:$A$313,0),MATCH(AG$5,'TERMINAL CURVES'!$A$4:$N$4,0))-INDEX(terminal_curves,MATCH(AC288,'TERMINAL CURVES'!$A$4:$A$313,0),MATCH(AE$6,'TERMINAL CURVES'!$A$4:$N$4,0)))*IF(W288=0,0,Y288/W288)))*-W288</f>
        <v>0</v>
      </c>
      <c r="AH288" s="356" t="n">
        <f aca="false">SUM(AE288:AG288)</f>
        <v>0</v>
      </c>
      <c r="AI288" s="357" t="n">
        <f aca="false">(-Y288/((HLOOKUP(AG$5,port_specs,2,0)/(365.25))*(AC289-AC288)))*(INDEX(fixed_capacity_charge,MATCH(AC288,PORTS!$H$11:$H$317,0),MATCH(AG$5,PORTS!$H$11:$N$11,0))+INDEX(variable_om_charge,MATCH(AC288,PORTS!$H$318:$H$625,0),MATCH(AG$5,PORTS!$H$318:$N$318,0)))</f>
        <v>-0</v>
      </c>
      <c r="AJ288" s="343" t="n">
        <f aca="false">+AI288+AH288</f>
        <v>0</v>
      </c>
      <c r="AK288" s="355" t="n">
        <f aca="false">+AJ288+AD288</f>
        <v>0</v>
      </c>
      <c r="AM288" s="346" t="n">
        <f aca="false">+DATE(YEAR(AM287),MONTH(AM287)+1,1)</f>
        <v>44927</v>
      </c>
      <c r="AN288" s="327" t="n">
        <f aca="false">+AP288/(1-HLOOKUP(AO$6,SHIPS,7,0)*INDEX(LADEN_VOYAGE_DAYS,MATCH(CONCATENATE(AO$4,AO$5),LADEN_VOYAGE_ROUTES,0),MATCH(AO$6,LADEN_VOYAGE_SHIPS,0)))</f>
        <v>0</v>
      </c>
      <c r="AO288" s="347" t="n">
        <f aca="false">+AP288-AN288</f>
        <v>0</v>
      </c>
      <c r="AP288" s="348" t="n">
        <f aca="false">+IF(AND(AO$8&lt;=AM288,AO$9&gt;=AM288),+MIN($B288-SUMIF($H$17:AO$17,AP$17,$H288:AO288),((INDEX(ROUTE_PER_DAY_BY_SHIP,MATCH(CONCATENATE(AO$4,AO$5,AO$7),ROUTE_PER_DAY_ROUTES,0),MATCH(AO$6,ROUTE_PER_DAY_SHIPS,0))*(AM289-AM288))-(INDEX(ROUTE_PER_DAY_BY_SHIP,MATCH(CONCATENATE(AO$4,AO$5,AO$7),ROUTE_PER_DAY_ROUTES,0),MATCH(AO$6,ROUTE_PER_DAY_SHIPS,0))*(AM289-AM288))*HLOOKUP(AO$6,SHIPS,7,0)*INDEX(LADEN_VOYAGE_DAYS,MATCH(CONCATENATE(AO$4,AO$5,AO$7),LADEN_VOYAGE_ROUTES,0),MATCH(AO$6,LADEN_VOYAGE_SHIPS,0)))),0)</f>
        <v>0</v>
      </c>
      <c r="AQ288" s="349" t="n">
        <f aca="false">-(AP288)*PORTS!$I$6</f>
        <v>-0</v>
      </c>
      <c r="AR288" s="327" t="n">
        <f aca="false">+AP288+AQ288</f>
        <v>0</v>
      </c>
      <c r="AS288" s="333"/>
      <c r="AT288" s="346" t="n">
        <f aca="false">+DATE(YEAR(AT287),MONTH(AT287)+1,1)</f>
        <v>44927</v>
      </c>
      <c r="AU288" s="343" t="n">
        <f aca="false">+AR288*(VLOOKUP(AT288,CURVECALC!$C$6:$J$312,4,0)+AV$5)</f>
        <v>0</v>
      </c>
      <c r="AV288" s="350" t="n">
        <f aca="false">-AN288*INDEX(ship_curves,MATCH(AT288,'SHIP CURVES'!$A$9:$A$316,0),MATCH(CONCATENATE(AX$4,AX$5,AX$6,AX$7),'SHIP CURVES'!$A$9:$AZ$9,0))</f>
        <v>-0</v>
      </c>
      <c r="AW288" s="351" t="n">
        <f aca="false">-AP288*INDEX(port_processing_fee,MATCH(AT288,PORTS!$H$626:$H$933,0),MATCH(AX$5,PORTS!$H$626:$Z$626,0))</f>
        <v>-0</v>
      </c>
      <c r="AX288" s="352" t="n">
        <f aca="false">(((VLOOKUP(AT288,curvecalc,4,0))*IF(AN288=0,0,AR288/AN288)-INDEX(ship_curves,MATCH(AT288,'SHIP CURVES'!$A$9:$A$316,0),MATCH(CONCATENATE(AX$4,AX$5,AX$6,AX$7),'SHIP CURVES'!$A$9:$Z$9,0))-INDEX(terminal_curves,MATCH(AT288,'TERMINAL CURVES'!$A$4:$A$313,0),MATCH(AX$5,'TERMINAL CURVES'!$A$4:$N$4,0))*IF(AN288=0,0,AP288/AN288))-(AV$8)*((AV$7-$N$5)-(INDEX(ship_curves,MATCH(AT288,'SHIP CURVES'!$A$9:$A$316,0),MATCH(CONCATENATE(AX$4,AX$5,AX$6,AX$7),'SHIP CURVES'!$A$9:$Z$9,0))-INDEX(ship_curves,MATCH(AT288,'SHIP CURVES'!$A$9:$A$316,0),MATCH(CONCATENATE(AX$4,AV$6,AX$6,AX$7),'SHIP CURVES'!$A$9:$Z$9,0)))-(INDEX(terminal_curves,MATCH(AT288,'TERMINAL CURVES'!$A$4:$A$313,0),MATCH(AX$5,'TERMINAL CURVES'!$A$4:$N$4,0))-INDEX(terminal_curves,MATCH(AT288,'TERMINAL CURVES'!$A$4:$A$313,0),MATCH(AV$6,'TERMINAL CURVES'!$A$4:$N$4,0)))*IF(AN288=0,0,AP288/AN288)))*-AN288</f>
        <v>0</v>
      </c>
      <c r="AY288" s="356" t="n">
        <f aca="false">SUM(AV288:AX288)</f>
        <v>0</v>
      </c>
      <c r="AZ288" s="357" t="n">
        <f aca="false">(-AP288/((HLOOKUP(AX$5,port_specs,2,0)/(365.25))*(AT289-AT288)))*(INDEX(fixed_capacity_charge,MATCH(AT288,PORTS!$H$11:$H$317,0),MATCH(AX$5,PORTS!$H$11:$N$11,0))+INDEX(variable_om_charge,MATCH(AT288,PORTS!$H$318:$H$625,0),MATCH(AX$5,PORTS!$H$318:$N$318,0)))</f>
        <v>-0</v>
      </c>
      <c r="BA288" s="343" t="n">
        <f aca="false">+AZ288+AY288</f>
        <v>0</v>
      </c>
      <c r="BB288" s="355" t="n">
        <f aca="false">+BA288+AU288</f>
        <v>0</v>
      </c>
      <c r="BC288" s="99"/>
      <c r="BD288" s="357" t="n">
        <f aca="false">+PORTS!I282+PORTS!I590</f>
        <v>0</v>
      </c>
    </row>
    <row r="289" customFormat="false" ht="12.75" hidden="false" customHeight="false" outlineLevel="0" collapsed="false">
      <c r="A289" s="346" t="n">
        <f aca="false">+DATE(YEAR(A288),MONTH(A288)+1,1)</f>
        <v>44958</v>
      </c>
      <c r="B289" s="327" t="n">
        <f aca="false">+IF(AND($A289&gt;=$C$8,$A289&lt;=$C$9),1,0)*PORTS!$I$5/(365.25)*(A290-A289)</f>
        <v>0</v>
      </c>
      <c r="C289" s="328" t="n">
        <f aca="false">+B289-(SUMIF($F$17:$IV$17,$H$17,$F289:$IV289))</f>
        <v>0</v>
      </c>
      <c r="D289" s="0" t="n">
        <f aca="false">+YEAR(E289)</f>
        <v>2023</v>
      </c>
      <c r="E289" s="346" t="n">
        <f aca="false">+DATE(YEAR(E288),MONTH(E288)+1,1)</f>
        <v>44958</v>
      </c>
      <c r="F289" s="327" t="n">
        <f aca="false">+IF(AND(G$8&lt;=E289,G$9&gt;=E289),INDEX(ROUTE_PER_DAY_BY_SHIP,MATCH(CONCATENATE(G$4,G$5,G$7),ROUTE_PER_DAY_ROUTES,0),MATCH(G$6,ROUTE_PER_DAY_SHIPS,0))*(E290-E289),0)</f>
        <v>0</v>
      </c>
      <c r="G289" s="347" t="n">
        <f aca="false">-F289*HLOOKUP(G$6,SHIPS,7,0)*INDEX(LADEN_VOYAGE_DAYS,MATCH(CONCATENATE(G$4,G$5,G$7),LADEN_VOYAGE_ROUTES,0),MATCH(G$6,LADEN_VOYAGE_SHIPS,0))</f>
        <v>-0</v>
      </c>
      <c r="H289" s="348" t="n">
        <f aca="false">SUM(F289:G289)</f>
        <v>0</v>
      </c>
      <c r="I289" s="349" t="n">
        <f aca="false">-(H289)*HLOOKUP(G$5,TERMINAL_CHARGES,3,0)</f>
        <v>-0</v>
      </c>
      <c r="J289" s="327" t="n">
        <f aca="false">+H289+I289</f>
        <v>0</v>
      </c>
      <c r="K289" s="333"/>
      <c r="L289" s="346" t="n">
        <f aca="false">+DATE(YEAR(L288),MONTH(L288)+1,1)</f>
        <v>44958</v>
      </c>
      <c r="M289" s="334" t="n">
        <f aca="false">+J289*(VLOOKUP(L289,CURVECALC!$C$6:$J$312,4,0)+N$5)</f>
        <v>0</v>
      </c>
      <c r="N289" s="350" t="n">
        <f aca="false">-F289*INDEX(ship_curves,MATCH(L289,'SHIP CURVES'!$A$9:$A$316,0),MATCH(CONCATENATE(P$4,P$5,P$6,P$7),'SHIP CURVES'!$A$9:$AZ$9,0))</f>
        <v>-0</v>
      </c>
      <c r="O289" s="351" t="n">
        <f aca="false">-H289*INDEX(port_processing_fee,MATCH(L289,PORTS!$H$626:$H$933,0),MATCH(P$5,PORTS!$H$626:$Z$626,0))</f>
        <v>-0</v>
      </c>
      <c r="P289" s="352" t="n">
        <f aca="false">(((VLOOKUP(L289,curvecalc,4,0))*IF(F289=0,0,J289/F289)-INDEX(ship_curves,MATCH(L289,'SHIP CURVES'!$A$9:$A$316,0),MATCH(CONCATENATE(P$4,P$5,P$6,P$7),'SHIP CURVES'!$A$9:$Z$9,0))-INDEX(terminal_curves,MATCH(L289,'TERMINAL CURVES'!$A$4:$A$313,0),MATCH(P$5,'TERMINAL CURVES'!$A$4:$N$4,0))*IF(F289=0,0,H289/F289))-(N$8)*((N$7-$N$5)-(INDEX(ship_curves,MATCH(L289,'SHIP CURVES'!$A$9:$A$316,0),MATCH(CONCATENATE(P$4,P$5,P$6,P$7),'SHIP CURVES'!$A$9:$Z$9,0))-INDEX(ship_curves,MATCH(L289,'SHIP CURVES'!$A$9:$A$316,0),MATCH(CONCATENATE(P$4,N$6,P$6,P$7),'SHIP CURVES'!$A$9:$Z$9,0)))-(INDEX(terminal_curves,MATCH(L289,'TERMINAL CURVES'!$A$4:$A$313,0),MATCH(P$5,'TERMINAL CURVES'!$A$4:$N$4,0))-INDEX(terminal_curves,MATCH(L289,'TERMINAL CURVES'!$A$4:$A$313,0),MATCH(N$6,'TERMINAL CURVES'!$A$4:$N$4,0)))*IF(F289=0,0,H289/F289)))*-F289</f>
        <v>0</v>
      </c>
      <c r="Q289" s="353" t="n">
        <f aca="false">SUM(N289:P289)</f>
        <v>0</v>
      </c>
      <c r="R289" s="357" t="n">
        <f aca="false">(-H289/((HLOOKUP(P$5,port_specs,2,0)/(365.25))*(L290-L289)))*(INDEX(fixed_capacity_charge,MATCH(L289,PORTS!$H$11:$H$317,0),MATCH(P$5,PORTS!$H$11:$N$11,0))+INDEX(variable_om_charge,MATCH(L289,PORTS!$H$318:$H$625,0),MATCH(P$5,PORTS!$H$318:$N$318,0)))</f>
        <v>-0</v>
      </c>
      <c r="S289" s="343" t="n">
        <f aca="false">+R289+Q289</f>
        <v>0</v>
      </c>
      <c r="T289" s="355" t="n">
        <f aca="false">+S289+M289</f>
        <v>0</v>
      </c>
      <c r="V289" s="346" t="n">
        <f aca="false">+DATE(YEAR(V288),MONTH(V288)+1,1)</f>
        <v>44958</v>
      </c>
      <c r="W289" s="327" t="n">
        <f aca="false">+Y289/(1-HLOOKUP(X$6,SHIPS,7,0)*INDEX(LADEN_VOYAGE_DAYS,MATCH(CONCATENATE(X$4,X$5),LADEN_VOYAGE_ROUTES,0),MATCH(X$6,LADEN_VOYAGE_SHIPS,0)))</f>
        <v>0</v>
      </c>
      <c r="X289" s="347" t="n">
        <f aca="false">+Y289-W289</f>
        <v>0</v>
      </c>
      <c r="Y289" s="348" t="n">
        <f aca="false">+IF(AND(X$8&lt;=V289,X$9&gt;=V289),+MIN($B289-SUMIF($H$17:X$17,Y$17,$H289:X289),((INDEX(ROUTE_PER_DAY_BY_SHIP,MATCH(CONCATENATE(X$4,X$5,X$7),ROUTE_PER_DAY_ROUTES,0),MATCH(X$6,ROUTE_PER_DAY_SHIPS,0))*(V290-V289))-(INDEX(ROUTE_PER_DAY_BY_SHIP,MATCH(CONCATENATE(X$4,X$5,X$7),ROUTE_PER_DAY_ROUTES,0),MATCH(X$6,ROUTE_PER_DAY_SHIPS,0))*(V290-V289))*HLOOKUP(X$6,SHIPS,7,0)*INDEX(LADEN_VOYAGE_DAYS,MATCH(CONCATENATE(X$4,X$5,X$7),LADEN_VOYAGE_ROUTES,0),MATCH(X$6,LADEN_VOYAGE_SHIPS,0)))),0)</f>
        <v>0</v>
      </c>
      <c r="Z289" s="349" t="n">
        <f aca="false">-(Y289)*HLOOKUP(X$5,TERMINAL_CHARGES,3,0)</f>
        <v>-0</v>
      </c>
      <c r="AA289" s="327" t="n">
        <f aca="false">+Y289+Z289</f>
        <v>0</v>
      </c>
      <c r="AB289" s="333"/>
      <c r="AC289" s="346" t="n">
        <f aca="false">+DATE(YEAR(AC288),MONTH(AC288)+1,1)</f>
        <v>44958</v>
      </c>
      <c r="AD289" s="343" t="n">
        <f aca="false">+AA289*(VLOOKUP(AC289,CURVECALC!$C$6:$J$312,4,0)+AE$5)</f>
        <v>0</v>
      </c>
      <c r="AE289" s="350" t="n">
        <f aca="false">-W289*INDEX(ship_curves,MATCH(AC289,'SHIP CURVES'!$A$9:$A$316,0),MATCH(CONCATENATE(AG$4,AG$5,AG$6,AG$7),'SHIP CURVES'!$A$9:$AZ$9,0))</f>
        <v>-0</v>
      </c>
      <c r="AF289" s="351" t="n">
        <f aca="false">-Y289*INDEX(port_processing_fee,MATCH(AC289,PORTS!$H$626:$H$933,0),MATCH(AG$5,PORTS!$H$626:$Z$626,0))</f>
        <v>-0</v>
      </c>
      <c r="AG289" s="352" t="n">
        <f aca="false">(((VLOOKUP(AC289,curvecalc,4,0))*IF(W289=0,0,AA289/W289)-INDEX(ship_curves,MATCH(AC289,'SHIP CURVES'!$A$9:$A$316,0),MATCH(CONCATENATE(AG$4,AG$5,AG$6,AG$7),'SHIP CURVES'!$A$9:$Z$9,0))-INDEX(terminal_curves,MATCH(AC289,'TERMINAL CURVES'!$A$4:$A$313,0),MATCH(AG$5,'TERMINAL CURVES'!$A$4:$N$4,0))*IF(W289=0,0,Y289/W289))-(AE$8)*((AE$7-$N$5)-(INDEX(ship_curves,MATCH(AC289,'SHIP CURVES'!$A$9:$A$316,0),MATCH(CONCATENATE(AG$4,AG$5,AG$6,AG$7),'SHIP CURVES'!$A$9:$Z$9,0))-INDEX(ship_curves,MATCH(AC289,'SHIP CURVES'!$A$9:$A$316,0),MATCH(CONCATENATE(AG$4,AE$6,AG$6,AG$7),'SHIP CURVES'!$A$9:$Z$9,0)))-(INDEX(terminal_curves,MATCH(AC289,'TERMINAL CURVES'!$A$4:$A$313,0),MATCH(AG$5,'TERMINAL CURVES'!$A$4:$N$4,0))-INDEX(terminal_curves,MATCH(AC289,'TERMINAL CURVES'!$A$4:$A$313,0),MATCH(AE$6,'TERMINAL CURVES'!$A$4:$N$4,0)))*IF(W289=0,0,Y289/W289)))*-W289</f>
        <v>0</v>
      </c>
      <c r="AH289" s="356" t="n">
        <f aca="false">SUM(AE289:AG289)</f>
        <v>0</v>
      </c>
      <c r="AI289" s="357" t="n">
        <f aca="false">(-Y289/((HLOOKUP(AG$5,port_specs,2,0)/(365.25))*(AC290-AC289)))*(INDEX(fixed_capacity_charge,MATCH(AC289,PORTS!$H$11:$H$317,0),MATCH(AG$5,PORTS!$H$11:$N$11,0))+INDEX(variable_om_charge,MATCH(AC289,PORTS!$H$318:$H$625,0),MATCH(AG$5,PORTS!$H$318:$N$318,0)))</f>
        <v>-0</v>
      </c>
      <c r="AJ289" s="343" t="n">
        <f aca="false">+AI289+AH289</f>
        <v>0</v>
      </c>
      <c r="AK289" s="355" t="n">
        <f aca="false">+AJ289+AD289</f>
        <v>0</v>
      </c>
      <c r="AM289" s="346" t="n">
        <f aca="false">+DATE(YEAR(AM288),MONTH(AM288)+1,1)</f>
        <v>44958</v>
      </c>
      <c r="AN289" s="327" t="n">
        <f aca="false">+AP289/(1-HLOOKUP(AO$6,SHIPS,7,0)*INDEX(LADEN_VOYAGE_DAYS,MATCH(CONCATENATE(AO$4,AO$5),LADEN_VOYAGE_ROUTES,0),MATCH(AO$6,LADEN_VOYAGE_SHIPS,0)))</f>
        <v>0</v>
      </c>
      <c r="AO289" s="347" t="n">
        <f aca="false">+AP289-AN289</f>
        <v>0</v>
      </c>
      <c r="AP289" s="348" t="n">
        <f aca="false">+IF(AND(AO$8&lt;=AM289,AO$9&gt;=AM289),+MIN($B289-SUMIF($H$17:AO$17,AP$17,$H289:AO289),((INDEX(ROUTE_PER_DAY_BY_SHIP,MATCH(CONCATENATE(AO$4,AO$5,AO$7),ROUTE_PER_DAY_ROUTES,0),MATCH(AO$6,ROUTE_PER_DAY_SHIPS,0))*(AM290-AM289))-(INDEX(ROUTE_PER_DAY_BY_SHIP,MATCH(CONCATENATE(AO$4,AO$5,AO$7),ROUTE_PER_DAY_ROUTES,0),MATCH(AO$6,ROUTE_PER_DAY_SHIPS,0))*(AM290-AM289))*HLOOKUP(AO$6,SHIPS,7,0)*INDEX(LADEN_VOYAGE_DAYS,MATCH(CONCATENATE(AO$4,AO$5,AO$7),LADEN_VOYAGE_ROUTES,0),MATCH(AO$6,LADEN_VOYAGE_SHIPS,0)))),0)</f>
        <v>0</v>
      </c>
      <c r="AQ289" s="349" t="n">
        <f aca="false">-(AP289)*PORTS!$I$6</f>
        <v>-0</v>
      </c>
      <c r="AR289" s="327" t="n">
        <f aca="false">+AP289+AQ289</f>
        <v>0</v>
      </c>
      <c r="AS289" s="333"/>
      <c r="AT289" s="346" t="n">
        <f aca="false">+DATE(YEAR(AT288),MONTH(AT288)+1,1)</f>
        <v>44958</v>
      </c>
      <c r="AU289" s="343" t="n">
        <f aca="false">+AR289*(VLOOKUP(AT289,CURVECALC!$C$6:$J$312,4,0)+AV$5)</f>
        <v>0</v>
      </c>
      <c r="AV289" s="350" t="n">
        <f aca="false">-AN289*INDEX(ship_curves,MATCH(AT289,'SHIP CURVES'!$A$9:$A$316,0),MATCH(CONCATENATE(AX$4,AX$5,AX$6,AX$7),'SHIP CURVES'!$A$9:$AZ$9,0))</f>
        <v>-0</v>
      </c>
      <c r="AW289" s="351" t="n">
        <f aca="false">-AP289*INDEX(port_processing_fee,MATCH(AT289,PORTS!$H$626:$H$933,0),MATCH(AX$5,PORTS!$H$626:$Z$626,0))</f>
        <v>-0</v>
      </c>
      <c r="AX289" s="352" t="n">
        <f aca="false">(((VLOOKUP(AT289,curvecalc,4,0))*IF(AN289=0,0,AR289/AN289)-INDEX(ship_curves,MATCH(AT289,'SHIP CURVES'!$A$9:$A$316,0),MATCH(CONCATENATE(AX$4,AX$5,AX$6,AX$7),'SHIP CURVES'!$A$9:$Z$9,0))-INDEX(terminal_curves,MATCH(AT289,'TERMINAL CURVES'!$A$4:$A$313,0),MATCH(AX$5,'TERMINAL CURVES'!$A$4:$N$4,0))*IF(AN289=0,0,AP289/AN289))-(AV$8)*((AV$7-$N$5)-(INDEX(ship_curves,MATCH(AT289,'SHIP CURVES'!$A$9:$A$316,0),MATCH(CONCATENATE(AX$4,AX$5,AX$6,AX$7),'SHIP CURVES'!$A$9:$Z$9,0))-INDEX(ship_curves,MATCH(AT289,'SHIP CURVES'!$A$9:$A$316,0),MATCH(CONCATENATE(AX$4,AV$6,AX$6,AX$7),'SHIP CURVES'!$A$9:$Z$9,0)))-(INDEX(terminal_curves,MATCH(AT289,'TERMINAL CURVES'!$A$4:$A$313,0),MATCH(AX$5,'TERMINAL CURVES'!$A$4:$N$4,0))-INDEX(terminal_curves,MATCH(AT289,'TERMINAL CURVES'!$A$4:$A$313,0),MATCH(AV$6,'TERMINAL CURVES'!$A$4:$N$4,0)))*IF(AN289=0,0,AP289/AN289)))*-AN289</f>
        <v>0</v>
      </c>
      <c r="AY289" s="356" t="n">
        <f aca="false">SUM(AV289:AX289)</f>
        <v>0</v>
      </c>
      <c r="AZ289" s="357" t="n">
        <f aca="false">(-AP289/((HLOOKUP(AX$5,port_specs,2,0)/(365.25))*(AT290-AT289)))*(INDEX(fixed_capacity_charge,MATCH(AT289,PORTS!$H$11:$H$317,0),MATCH(AX$5,PORTS!$H$11:$N$11,0))+INDEX(variable_om_charge,MATCH(AT289,PORTS!$H$318:$H$625,0),MATCH(AX$5,PORTS!$H$318:$N$318,0)))</f>
        <v>-0</v>
      </c>
      <c r="BA289" s="343" t="n">
        <f aca="false">+AZ289+AY289</f>
        <v>0</v>
      </c>
      <c r="BB289" s="355" t="n">
        <f aca="false">+BA289+AU289</f>
        <v>0</v>
      </c>
      <c r="BC289" s="99"/>
      <c r="BD289" s="357" t="n">
        <f aca="false">+PORTS!I283+PORTS!I591</f>
        <v>0</v>
      </c>
    </row>
    <row r="290" customFormat="false" ht="12.75" hidden="false" customHeight="false" outlineLevel="0" collapsed="false">
      <c r="A290" s="346" t="n">
        <f aca="false">+DATE(YEAR(A289),MONTH(A289)+1,1)</f>
        <v>44986</v>
      </c>
      <c r="B290" s="327" t="n">
        <f aca="false">+IF(AND($A290&gt;=$C$8,$A290&lt;=$C$9),1,0)*PORTS!$I$5/(365.25)*(A291-A290)</f>
        <v>0</v>
      </c>
      <c r="C290" s="328" t="n">
        <f aca="false">+B290-(SUMIF($F$17:$IV$17,$H$17,$F290:$IV290))</f>
        <v>0</v>
      </c>
      <c r="D290" s="0" t="n">
        <f aca="false">+YEAR(E290)</f>
        <v>2023</v>
      </c>
      <c r="E290" s="346" t="n">
        <f aca="false">+DATE(YEAR(E289),MONTH(E289)+1,1)</f>
        <v>44986</v>
      </c>
      <c r="F290" s="327" t="n">
        <f aca="false">+IF(AND(G$8&lt;=E290,G$9&gt;=E290),INDEX(ROUTE_PER_DAY_BY_SHIP,MATCH(CONCATENATE(G$4,G$5,G$7),ROUTE_PER_DAY_ROUTES,0),MATCH(G$6,ROUTE_PER_DAY_SHIPS,0))*(E291-E290),0)</f>
        <v>0</v>
      </c>
      <c r="G290" s="347" t="n">
        <f aca="false">-F290*HLOOKUP(G$6,SHIPS,7,0)*INDEX(LADEN_VOYAGE_DAYS,MATCH(CONCATENATE(G$4,G$5,G$7),LADEN_VOYAGE_ROUTES,0),MATCH(G$6,LADEN_VOYAGE_SHIPS,0))</f>
        <v>-0</v>
      </c>
      <c r="H290" s="348" t="n">
        <f aca="false">SUM(F290:G290)</f>
        <v>0</v>
      </c>
      <c r="I290" s="349" t="n">
        <f aca="false">-(H290)*HLOOKUP(G$5,TERMINAL_CHARGES,3,0)</f>
        <v>-0</v>
      </c>
      <c r="J290" s="327" t="n">
        <f aca="false">+H290+I290</f>
        <v>0</v>
      </c>
      <c r="K290" s="333"/>
      <c r="L290" s="346" t="n">
        <f aca="false">+DATE(YEAR(L289),MONTH(L289)+1,1)</f>
        <v>44986</v>
      </c>
      <c r="M290" s="334" t="n">
        <f aca="false">+J290*(VLOOKUP(L290,CURVECALC!$C$6:$J$312,4,0)+N$5)</f>
        <v>0</v>
      </c>
      <c r="N290" s="350" t="n">
        <f aca="false">-F290*INDEX(ship_curves,MATCH(L290,'SHIP CURVES'!$A$9:$A$316,0),MATCH(CONCATENATE(P$4,P$5,P$6,P$7),'SHIP CURVES'!$A$9:$AZ$9,0))</f>
        <v>-0</v>
      </c>
      <c r="O290" s="351" t="n">
        <f aca="false">-H290*INDEX(port_processing_fee,MATCH(L290,PORTS!$H$626:$H$933,0),MATCH(P$5,PORTS!$H$626:$Z$626,0))</f>
        <v>-0</v>
      </c>
      <c r="P290" s="352" t="n">
        <f aca="false">(((VLOOKUP(L290,curvecalc,4,0))*IF(F290=0,0,J290/F290)-INDEX(ship_curves,MATCH(L290,'SHIP CURVES'!$A$9:$A$316,0),MATCH(CONCATENATE(P$4,P$5,P$6,P$7),'SHIP CURVES'!$A$9:$Z$9,0))-INDEX(terminal_curves,MATCH(L290,'TERMINAL CURVES'!$A$4:$A$313,0),MATCH(P$5,'TERMINAL CURVES'!$A$4:$N$4,0))*IF(F290=0,0,H290/F290))-(N$8)*((N$7-$N$5)-(INDEX(ship_curves,MATCH(L290,'SHIP CURVES'!$A$9:$A$316,0),MATCH(CONCATENATE(P$4,P$5,P$6,P$7),'SHIP CURVES'!$A$9:$Z$9,0))-INDEX(ship_curves,MATCH(L290,'SHIP CURVES'!$A$9:$A$316,0),MATCH(CONCATENATE(P$4,N$6,P$6,P$7),'SHIP CURVES'!$A$9:$Z$9,0)))-(INDEX(terminal_curves,MATCH(L290,'TERMINAL CURVES'!$A$4:$A$313,0),MATCH(P$5,'TERMINAL CURVES'!$A$4:$N$4,0))-INDEX(terminal_curves,MATCH(L290,'TERMINAL CURVES'!$A$4:$A$313,0),MATCH(N$6,'TERMINAL CURVES'!$A$4:$N$4,0)))*IF(F290=0,0,H290/F290)))*-F290</f>
        <v>0</v>
      </c>
      <c r="Q290" s="353" t="n">
        <f aca="false">SUM(N290:P290)</f>
        <v>0</v>
      </c>
      <c r="R290" s="357" t="n">
        <f aca="false">(-H290/((HLOOKUP(P$5,port_specs,2,0)/(365.25))*(L291-L290)))*(INDEX(fixed_capacity_charge,MATCH(L290,PORTS!$H$11:$H$317,0),MATCH(P$5,PORTS!$H$11:$N$11,0))+INDEX(variable_om_charge,MATCH(L290,PORTS!$H$318:$H$625,0),MATCH(P$5,PORTS!$H$318:$N$318,0)))</f>
        <v>-0</v>
      </c>
      <c r="S290" s="343" t="n">
        <f aca="false">+R290+Q290</f>
        <v>0</v>
      </c>
      <c r="T290" s="355" t="n">
        <f aca="false">+S290+M290</f>
        <v>0</v>
      </c>
      <c r="V290" s="346" t="n">
        <f aca="false">+DATE(YEAR(V289),MONTH(V289)+1,1)</f>
        <v>44986</v>
      </c>
      <c r="W290" s="327" t="n">
        <f aca="false">+Y290/(1-HLOOKUP(X$6,SHIPS,7,0)*INDEX(LADEN_VOYAGE_DAYS,MATCH(CONCATENATE(X$4,X$5),LADEN_VOYAGE_ROUTES,0),MATCH(X$6,LADEN_VOYAGE_SHIPS,0)))</f>
        <v>0</v>
      </c>
      <c r="X290" s="347" t="n">
        <f aca="false">+Y290-W290</f>
        <v>0</v>
      </c>
      <c r="Y290" s="348" t="n">
        <f aca="false">+IF(AND(X$8&lt;=V290,X$9&gt;=V290),+MIN($B290-SUMIF($H$17:X$17,Y$17,$H290:X290),((INDEX(ROUTE_PER_DAY_BY_SHIP,MATCH(CONCATENATE(X$4,X$5,X$7),ROUTE_PER_DAY_ROUTES,0),MATCH(X$6,ROUTE_PER_DAY_SHIPS,0))*(V291-V290))-(INDEX(ROUTE_PER_DAY_BY_SHIP,MATCH(CONCATENATE(X$4,X$5,X$7),ROUTE_PER_DAY_ROUTES,0),MATCH(X$6,ROUTE_PER_DAY_SHIPS,0))*(V291-V290))*HLOOKUP(X$6,SHIPS,7,0)*INDEX(LADEN_VOYAGE_DAYS,MATCH(CONCATENATE(X$4,X$5,X$7),LADEN_VOYAGE_ROUTES,0),MATCH(X$6,LADEN_VOYAGE_SHIPS,0)))),0)</f>
        <v>0</v>
      </c>
      <c r="Z290" s="349" t="n">
        <f aca="false">-(Y290)*HLOOKUP(X$5,TERMINAL_CHARGES,3,0)</f>
        <v>-0</v>
      </c>
      <c r="AA290" s="327" t="n">
        <f aca="false">+Y290+Z290</f>
        <v>0</v>
      </c>
      <c r="AB290" s="333"/>
      <c r="AC290" s="346" t="n">
        <f aca="false">+DATE(YEAR(AC289),MONTH(AC289)+1,1)</f>
        <v>44986</v>
      </c>
      <c r="AD290" s="343" t="n">
        <f aca="false">+AA290*(VLOOKUP(AC290,CURVECALC!$C$6:$J$312,4,0)+AE$5)</f>
        <v>0</v>
      </c>
      <c r="AE290" s="350" t="n">
        <f aca="false">-W290*INDEX(ship_curves,MATCH(AC290,'SHIP CURVES'!$A$9:$A$316,0),MATCH(CONCATENATE(AG$4,AG$5,AG$6,AG$7),'SHIP CURVES'!$A$9:$AZ$9,0))</f>
        <v>-0</v>
      </c>
      <c r="AF290" s="351" t="n">
        <f aca="false">-Y290*INDEX(port_processing_fee,MATCH(AC290,PORTS!$H$626:$H$933,0),MATCH(AG$5,PORTS!$H$626:$Z$626,0))</f>
        <v>-0</v>
      </c>
      <c r="AG290" s="352" t="n">
        <f aca="false">(((VLOOKUP(AC290,curvecalc,4,0))*IF(W290=0,0,AA290/W290)-INDEX(ship_curves,MATCH(AC290,'SHIP CURVES'!$A$9:$A$316,0),MATCH(CONCATENATE(AG$4,AG$5,AG$6,AG$7),'SHIP CURVES'!$A$9:$Z$9,0))-INDEX(terminal_curves,MATCH(AC290,'TERMINAL CURVES'!$A$4:$A$313,0),MATCH(AG$5,'TERMINAL CURVES'!$A$4:$N$4,0))*IF(W290=0,0,Y290/W290))-(AE$8)*((AE$7-$N$5)-(INDEX(ship_curves,MATCH(AC290,'SHIP CURVES'!$A$9:$A$316,0),MATCH(CONCATENATE(AG$4,AG$5,AG$6,AG$7),'SHIP CURVES'!$A$9:$Z$9,0))-INDEX(ship_curves,MATCH(AC290,'SHIP CURVES'!$A$9:$A$316,0),MATCH(CONCATENATE(AG$4,AE$6,AG$6,AG$7),'SHIP CURVES'!$A$9:$Z$9,0)))-(INDEX(terminal_curves,MATCH(AC290,'TERMINAL CURVES'!$A$4:$A$313,0),MATCH(AG$5,'TERMINAL CURVES'!$A$4:$N$4,0))-INDEX(terminal_curves,MATCH(AC290,'TERMINAL CURVES'!$A$4:$A$313,0),MATCH(AE$6,'TERMINAL CURVES'!$A$4:$N$4,0)))*IF(W290=0,0,Y290/W290)))*-W290</f>
        <v>0</v>
      </c>
      <c r="AH290" s="356" t="n">
        <f aca="false">SUM(AE290:AG290)</f>
        <v>0</v>
      </c>
      <c r="AI290" s="357" t="n">
        <f aca="false">(-Y290/((HLOOKUP(AG$5,port_specs,2,0)/(365.25))*(AC291-AC290)))*(INDEX(fixed_capacity_charge,MATCH(AC290,PORTS!$H$11:$H$317,0),MATCH(AG$5,PORTS!$H$11:$N$11,0))+INDEX(variable_om_charge,MATCH(AC290,PORTS!$H$318:$H$625,0),MATCH(AG$5,PORTS!$H$318:$N$318,0)))</f>
        <v>-0</v>
      </c>
      <c r="AJ290" s="343" t="n">
        <f aca="false">+AI290+AH290</f>
        <v>0</v>
      </c>
      <c r="AK290" s="355" t="n">
        <f aca="false">+AJ290+AD290</f>
        <v>0</v>
      </c>
      <c r="AM290" s="346" t="n">
        <f aca="false">+DATE(YEAR(AM289),MONTH(AM289)+1,1)</f>
        <v>44986</v>
      </c>
      <c r="AN290" s="327" t="n">
        <f aca="false">+AP290/(1-HLOOKUP(AO$6,SHIPS,7,0)*INDEX(LADEN_VOYAGE_DAYS,MATCH(CONCATENATE(AO$4,AO$5),LADEN_VOYAGE_ROUTES,0),MATCH(AO$6,LADEN_VOYAGE_SHIPS,0)))</f>
        <v>0</v>
      </c>
      <c r="AO290" s="347" t="n">
        <f aca="false">+AP290-AN290</f>
        <v>0</v>
      </c>
      <c r="AP290" s="348" t="n">
        <f aca="false">+IF(AND(AO$8&lt;=AM290,AO$9&gt;=AM290),+MIN($B290-SUMIF($H$17:AO$17,AP$17,$H290:AO290),((INDEX(ROUTE_PER_DAY_BY_SHIP,MATCH(CONCATENATE(AO$4,AO$5,AO$7),ROUTE_PER_DAY_ROUTES,0),MATCH(AO$6,ROUTE_PER_DAY_SHIPS,0))*(AM291-AM290))-(INDEX(ROUTE_PER_DAY_BY_SHIP,MATCH(CONCATENATE(AO$4,AO$5,AO$7),ROUTE_PER_DAY_ROUTES,0),MATCH(AO$6,ROUTE_PER_DAY_SHIPS,0))*(AM291-AM290))*HLOOKUP(AO$6,SHIPS,7,0)*INDEX(LADEN_VOYAGE_DAYS,MATCH(CONCATENATE(AO$4,AO$5,AO$7),LADEN_VOYAGE_ROUTES,0),MATCH(AO$6,LADEN_VOYAGE_SHIPS,0)))),0)</f>
        <v>0</v>
      </c>
      <c r="AQ290" s="349" t="n">
        <f aca="false">-(AP290)*PORTS!$I$6</f>
        <v>-0</v>
      </c>
      <c r="AR290" s="327" t="n">
        <f aca="false">+AP290+AQ290</f>
        <v>0</v>
      </c>
      <c r="AS290" s="333"/>
      <c r="AT290" s="346" t="n">
        <f aca="false">+DATE(YEAR(AT289),MONTH(AT289)+1,1)</f>
        <v>44986</v>
      </c>
      <c r="AU290" s="343" t="n">
        <f aca="false">+AR290*(VLOOKUP(AT290,CURVECALC!$C$6:$J$312,4,0)+AV$5)</f>
        <v>0</v>
      </c>
      <c r="AV290" s="350" t="n">
        <f aca="false">-AN290*INDEX(ship_curves,MATCH(AT290,'SHIP CURVES'!$A$9:$A$316,0),MATCH(CONCATENATE(AX$4,AX$5,AX$6,AX$7),'SHIP CURVES'!$A$9:$AZ$9,0))</f>
        <v>-0</v>
      </c>
      <c r="AW290" s="351" t="n">
        <f aca="false">-AP290*INDEX(port_processing_fee,MATCH(AT290,PORTS!$H$626:$H$933,0),MATCH(AX$5,PORTS!$H$626:$Z$626,0))</f>
        <v>-0</v>
      </c>
      <c r="AX290" s="352" t="n">
        <f aca="false">(((VLOOKUP(AT290,curvecalc,4,0))*IF(AN290=0,0,AR290/AN290)-INDEX(ship_curves,MATCH(AT290,'SHIP CURVES'!$A$9:$A$316,0),MATCH(CONCATENATE(AX$4,AX$5,AX$6,AX$7),'SHIP CURVES'!$A$9:$Z$9,0))-INDEX(terminal_curves,MATCH(AT290,'TERMINAL CURVES'!$A$4:$A$313,0),MATCH(AX$5,'TERMINAL CURVES'!$A$4:$N$4,0))*IF(AN290=0,0,AP290/AN290))-(AV$8)*((AV$7-$N$5)-(INDEX(ship_curves,MATCH(AT290,'SHIP CURVES'!$A$9:$A$316,0),MATCH(CONCATENATE(AX$4,AX$5,AX$6,AX$7),'SHIP CURVES'!$A$9:$Z$9,0))-INDEX(ship_curves,MATCH(AT290,'SHIP CURVES'!$A$9:$A$316,0),MATCH(CONCATENATE(AX$4,AV$6,AX$6,AX$7),'SHIP CURVES'!$A$9:$Z$9,0)))-(INDEX(terminal_curves,MATCH(AT290,'TERMINAL CURVES'!$A$4:$A$313,0),MATCH(AX$5,'TERMINAL CURVES'!$A$4:$N$4,0))-INDEX(terminal_curves,MATCH(AT290,'TERMINAL CURVES'!$A$4:$A$313,0),MATCH(AV$6,'TERMINAL CURVES'!$A$4:$N$4,0)))*IF(AN290=0,0,AP290/AN290)))*-AN290</f>
        <v>0</v>
      </c>
      <c r="AY290" s="356" t="n">
        <f aca="false">SUM(AV290:AX290)</f>
        <v>0</v>
      </c>
      <c r="AZ290" s="357" t="n">
        <f aca="false">(-AP290/((HLOOKUP(AX$5,port_specs,2,0)/(365.25))*(AT291-AT290)))*(INDEX(fixed_capacity_charge,MATCH(AT290,PORTS!$H$11:$H$317,0),MATCH(AX$5,PORTS!$H$11:$N$11,0))+INDEX(variable_om_charge,MATCH(AT290,PORTS!$H$318:$H$625,0),MATCH(AX$5,PORTS!$H$318:$N$318,0)))</f>
        <v>-0</v>
      </c>
      <c r="BA290" s="343" t="n">
        <f aca="false">+AZ290+AY290</f>
        <v>0</v>
      </c>
      <c r="BB290" s="355" t="n">
        <f aca="false">+BA290+AU290</f>
        <v>0</v>
      </c>
      <c r="BC290" s="99"/>
      <c r="BD290" s="357" t="n">
        <f aca="false">+PORTS!I284+PORTS!I592</f>
        <v>0</v>
      </c>
    </row>
    <row r="291" customFormat="false" ht="12.75" hidden="false" customHeight="false" outlineLevel="0" collapsed="false">
      <c r="A291" s="346" t="n">
        <f aca="false">+DATE(YEAR(A290),MONTH(A290)+1,1)</f>
        <v>45017</v>
      </c>
      <c r="B291" s="327" t="n">
        <f aca="false">+IF(AND($A291&gt;=$C$8,$A291&lt;=$C$9),1,0)*PORTS!$I$5/(365.25)*(A292-A291)</f>
        <v>0</v>
      </c>
      <c r="C291" s="328" t="n">
        <f aca="false">+B291-(SUMIF($F$17:$IV$17,$H$17,$F291:$IV291))</f>
        <v>0</v>
      </c>
      <c r="D291" s="0" t="n">
        <f aca="false">+YEAR(E291)</f>
        <v>2023</v>
      </c>
      <c r="E291" s="346" t="n">
        <f aca="false">+DATE(YEAR(E290),MONTH(E290)+1,1)</f>
        <v>45017</v>
      </c>
      <c r="F291" s="327" t="n">
        <f aca="false">+IF(AND(G$8&lt;=E291,G$9&gt;=E291),INDEX(ROUTE_PER_DAY_BY_SHIP,MATCH(CONCATENATE(G$4,G$5,G$7),ROUTE_PER_DAY_ROUTES,0),MATCH(G$6,ROUTE_PER_DAY_SHIPS,0))*(E292-E291),0)</f>
        <v>0</v>
      </c>
      <c r="G291" s="347" t="n">
        <f aca="false">-F291*HLOOKUP(G$6,SHIPS,7,0)*INDEX(LADEN_VOYAGE_DAYS,MATCH(CONCATENATE(G$4,G$5,G$7),LADEN_VOYAGE_ROUTES,0),MATCH(G$6,LADEN_VOYAGE_SHIPS,0))</f>
        <v>-0</v>
      </c>
      <c r="H291" s="348" t="n">
        <f aca="false">SUM(F291:G291)</f>
        <v>0</v>
      </c>
      <c r="I291" s="349" t="n">
        <f aca="false">-(H291)*HLOOKUP(G$5,TERMINAL_CHARGES,3,0)</f>
        <v>-0</v>
      </c>
      <c r="J291" s="327" t="n">
        <f aca="false">+H291+I291</f>
        <v>0</v>
      </c>
      <c r="K291" s="333"/>
      <c r="L291" s="346" t="n">
        <f aca="false">+DATE(YEAR(L290),MONTH(L290)+1,1)</f>
        <v>45017</v>
      </c>
      <c r="M291" s="334" t="n">
        <f aca="false">+J291*(VLOOKUP(L291,CURVECALC!$C$6:$J$312,4,0)+N$5)</f>
        <v>0</v>
      </c>
      <c r="N291" s="350" t="n">
        <f aca="false">-F291*INDEX(ship_curves,MATCH(L291,'SHIP CURVES'!$A$9:$A$316,0),MATCH(CONCATENATE(P$4,P$5,P$6,P$7),'SHIP CURVES'!$A$9:$AZ$9,0))</f>
        <v>-0</v>
      </c>
      <c r="O291" s="351" t="n">
        <f aca="false">-H291*INDEX(port_processing_fee,MATCH(L291,PORTS!$H$626:$H$933,0),MATCH(P$5,PORTS!$H$626:$Z$626,0))</f>
        <v>-0</v>
      </c>
      <c r="P291" s="352" t="n">
        <f aca="false">(((VLOOKUP(L291,curvecalc,4,0))*IF(F291=0,0,J291/F291)-INDEX(ship_curves,MATCH(L291,'SHIP CURVES'!$A$9:$A$316,0),MATCH(CONCATENATE(P$4,P$5,P$6,P$7),'SHIP CURVES'!$A$9:$Z$9,0))-INDEX(terminal_curves,MATCH(L291,'TERMINAL CURVES'!$A$4:$A$313,0),MATCH(P$5,'TERMINAL CURVES'!$A$4:$N$4,0))*IF(F291=0,0,H291/F291))-(N$8)*((N$7-$N$5)-(INDEX(ship_curves,MATCH(L291,'SHIP CURVES'!$A$9:$A$316,0),MATCH(CONCATENATE(P$4,P$5,P$6,P$7),'SHIP CURVES'!$A$9:$Z$9,0))-INDEX(ship_curves,MATCH(L291,'SHIP CURVES'!$A$9:$A$316,0),MATCH(CONCATENATE(P$4,N$6,P$6,P$7),'SHIP CURVES'!$A$9:$Z$9,0)))-(INDEX(terminal_curves,MATCH(L291,'TERMINAL CURVES'!$A$4:$A$313,0),MATCH(P$5,'TERMINAL CURVES'!$A$4:$N$4,0))-INDEX(terminal_curves,MATCH(L291,'TERMINAL CURVES'!$A$4:$A$313,0),MATCH(N$6,'TERMINAL CURVES'!$A$4:$N$4,0)))*IF(F291=0,0,H291/F291)))*-F291</f>
        <v>0</v>
      </c>
      <c r="Q291" s="353" t="n">
        <f aca="false">SUM(N291:P291)</f>
        <v>0</v>
      </c>
      <c r="R291" s="357" t="n">
        <f aca="false">(-H291/((HLOOKUP(P$5,port_specs,2,0)/(365.25))*(L292-L291)))*(INDEX(fixed_capacity_charge,MATCH(L291,PORTS!$H$11:$H$317,0),MATCH(P$5,PORTS!$H$11:$N$11,0))+INDEX(variable_om_charge,MATCH(L291,PORTS!$H$318:$H$625,0),MATCH(P$5,PORTS!$H$318:$N$318,0)))</f>
        <v>-0</v>
      </c>
      <c r="S291" s="343" t="n">
        <f aca="false">+R291+Q291</f>
        <v>0</v>
      </c>
      <c r="T291" s="355" t="n">
        <f aca="false">+S291+M291</f>
        <v>0</v>
      </c>
      <c r="V291" s="346" t="n">
        <f aca="false">+DATE(YEAR(V290),MONTH(V290)+1,1)</f>
        <v>45017</v>
      </c>
      <c r="W291" s="327" t="n">
        <f aca="false">+Y291/(1-HLOOKUP(X$6,SHIPS,7,0)*INDEX(LADEN_VOYAGE_DAYS,MATCH(CONCATENATE(X$4,X$5),LADEN_VOYAGE_ROUTES,0),MATCH(X$6,LADEN_VOYAGE_SHIPS,0)))</f>
        <v>0</v>
      </c>
      <c r="X291" s="347" t="n">
        <f aca="false">+Y291-W291</f>
        <v>0</v>
      </c>
      <c r="Y291" s="348" t="n">
        <f aca="false">+IF(AND(X$8&lt;=V291,X$9&gt;=V291),+MIN($B291-SUMIF($H$17:X$17,Y$17,$H291:X291),((INDEX(ROUTE_PER_DAY_BY_SHIP,MATCH(CONCATENATE(X$4,X$5,X$7),ROUTE_PER_DAY_ROUTES,0),MATCH(X$6,ROUTE_PER_DAY_SHIPS,0))*(V292-V291))-(INDEX(ROUTE_PER_DAY_BY_SHIP,MATCH(CONCATENATE(X$4,X$5,X$7),ROUTE_PER_DAY_ROUTES,0),MATCH(X$6,ROUTE_PER_DAY_SHIPS,0))*(V292-V291))*HLOOKUP(X$6,SHIPS,7,0)*INDEX(LADEN_VOYAGE_DAYS,MATCH(CONCATENATE(X$4,X$5,X$7),LADEN_VOYAGE_ROUTES,0),MATCH(X$6,LADEN_VOYAGE_SHIPS,0)))),0)</f>
        <v>0</v>
      </c>
      <c r="Z291" s="349" t="n">
        <f aca="false">-(Y291)*HLOOKUP(X$5,TERMINAL_CHARGES,3,0)</f>
        <v>-0</v>
      </c>
      <c r="AA291" s="327" t="n">
        <f aca="false">+Y291+Z291</f>
        <v>0</v>
      </c>
      <c r="AB291" s="333"/>
      <c r="AC291" s="346" t="n">
        <f aca="false">+DATE(YEAR(AC290),MONTH(AC290)+1,1)</f>
        <v>45017</v>
      </c>
      <c r="AD291" s="343" t="n">
        <f aca="false">+AA291*(VLOOKUP(AC291,CURVECALC!$C$6:$J$312,4,0)+AE$5)</f>
        <v>0</v>
      </c>
      <c r="AE291" s="350" t="n">
        <f aca="false">-W291*INDEX(ship_curves,MATCH(AC291,'SHIP CURVES'!$A$9:$A$316,0),MATCH(CONCATENATE(AG$4,AG$5,AG$6,AG$7),'SHIP CURVES'!$A$9:$AZ$9,0))</f>
        <v>-0</v>
      </c>
      <c r="AF291" s="351" t="n">
        <f aca="false">-Y291*INDEX(port_processing_fee,MATCH(AC291,PORTS!$H$626:$H$933,0),MATCH(AG$5,PORTS!$H$626:$Z$626,0))</f>
        <v>-0</v>
      </c>
      <c r="AG291" s="352" t="n">
        <f aca="false">(((VLOOKUP(AC291,curvecalc,4,0))*IF(W291=0,0,AA291/W291)-INDEX(ship_curves,MATCH(AC291,'SHIP CURVES'!$A$9:$A$316,0),MATCH(CONCATENATE(AG$4,AG$5,AG$6,AG$7),'SHIP CURVES'!$A$9:$Z$9,0))-INDEX(terminal_curves,MATCH(AC291,'TERMINAL CURVES'!$A$4:$A$313,0),MATCH(AG$5,'TERMINAL CURVES'!$A$4:$N$4,0))*IF(W291=0,0,Y291/W291))-(AE$8)*((AE$7-$N$5)-(INDEX(ship_curves,MATCH(AC291,'SHIP CURVES'!$A$9:$A$316,0),MATCH(CONCATENATE(AG$4,AG$5,AG$6,AG$7),'SHIP CURVES'!$A$9:$Z$9,0))-INDEX(ship_curves,MATCH(AC291,'SHIP CURVES'!$A$9:$A$316,0),MATCH(CONCATENATE(AG$4,AE$6,AG$6,AG$7),'SHIP CURVES'!$A$9:$Z$9,0)))-(INDEX(terminal_curves,MATCH(AC291,'TERMINAL CURVES'!$A$4:$A$313,0),MATCH(AG$5,'TERMINAL CURVES'!$A$4:$N$4,0))-INDEX(terminal_curves,MATCH(AC291,'TERMINAL CURVES'!$A$4:$A$313,0),MATCH(AE$6,'TERMINAL CURVES'!$A$4:$N$4,0)))*IF(W291=0,0,Y291/W291)))*-W291</f>
        <v>0</v>
      </c>
      <c r="AH291" s="356" t="n">
        <f aca="false">SUM(AE291:AG291)</f>
        <v>0</v>
      </c>
      <c r="AI291" s="357" t="n">
        <f aca="false">(-Y291/((HLOOKUP(AG$5,port_specs,2,0)/(365.25))*(AC292-AC291)))*(INDEX(fixed_capacity_charge,MATCH(AC291,PORTS!$H$11:$H$317,0),MATCH(AG$5,PORTS!$H$11:$N$11,0))+INDEX(variable_om_charge,MATCH(AC291,PORTS!$H$318:$H$625,0),MATCH(AG$5,PORTS!$H$318:$N$318,0)))</f>
        <v>-0</v>
      </c>
      <c r="AJ291" s="343" t="n">
        <f aca="false">+AI291+AH291</f>
        <v>0</v>
      </c>
      <c r="AK291" s="355" t="n">
        <f aca="false">+AJ291+AD291</f>
        <v>0</v>
      </c>
      <c r="AM291" s="346" t="n">
        <f aca="false">+DATE(YEAR(AM290),MONTH(AM290)+1,1)</f>
        <v>45017</v>
      </c>
      <c r="AN291" s="327" t="n">
        <f aca="false">+AP291/(1-HLOOKUP(AO$6,SHIPS,7,0)*INDEX(LADEN_VOYAGE_DAYS,MATCH(CONCATENATE(AO$4,AO$5),LADEN_VOYAGE_ROUTES,0),MATCH(AO$6,LADEN_VOYAGE_SHIPS,0)))</f>
        <v>0</v>
      </c>
      <c r="AO291" s="347" t="n">
        <f aca="false">+AP291-AN291</f>
        <v>0</v>
      </c>
      <c r="AP291" s="348" t="n">
        <f aca="false">+IF(AND(AO$8&lt;=AM291,AO$9&gt;=AM291),+MIN($B291-SUMIF($H$17:AO$17,AP$17,$H291:AO291),((INDEX(ROUTE_PER_DAY_BY_SHIP,MATCH(CONCATENATE(AO$4,AO$5,AO$7),ROUTE_PER_DAY_ROUTES,0),MATCH(AO$6,ROUTE_PER_DAY_SHIPS,0))*(AM292-AM291))-(INDEX(ROUTE_PER_DAY_BY_SHIP,MATCH(CONCATENATE(AO$4,AO$5,AO$7),ROUTE_PER_DAY_ROUTES,0),MATCH(AO$6,ROUTE_PER_DAY_SHIPS,0))*(AM292-AM291))*HLOOKUP(AO$6,SHIPS,7,0)*INDEX(LADEN_VOYAGE_DAYS,MATCH(CONCATENATE(AO$4,AO$5,AO$7),LADEN_VOYAGE_ROUTES,0),MATCH(AO$6,LADEN_VOYAGE_SHIPS,0)))),0)</f>
        <v>0</v>
      </c>
      <c r="AQ291" s="349" t="n">
        <f aca="false">-(AP291)*PORTS!$I$6</f>
        <v>-0</v>
      </c>
      <c r="AR291" s="327" t="n">
        <f aca="false">+AP291+AQ291</f>
        <v>0</v>
      </c>
      <c r="AS291" s="333"/>
      <c r="AT291" s="346" t="n">
        <f aca="false">+DATE(YEAR(AT290),MONTH(AT290)+1,1)</f>
        <v>45017</v>
      </c>
      <c r="AU291" s="343" t="n">
        <f aca="false">+AR291*(VLOOKUP(AT291,CURVECALC!$C$6:$J$312,4,0)+AV$5)</f>
        <v>0</v>
      </c>
      <c r="AV291" s="350" t="n">
        <f aca="false">-AN291*INDEX(ship_curves,MATCH(AT291,'SHIP CURVES'!$A$9:$A$316,0),MATCH(CONCATENATE(AX$4,AX$5,AX$6,AX$7),'SHIP CURVES'!$A$9:$AZ$9,0))</f>
        <v>-0</v>
      </c>
      <c r="AW291" s="351" t="n">
        <f aca="false">-AP291*INDEX(port_processing_fee,MATCH(AT291,PORTS!$H$626:$H$933,0),MATCH(AX$5,PORTS!$H$626:$Z$626,0))</f>
        <v>-0</v>
      </c>
      <c r="AX291" s="352" t="n">
        <f aca="false">(((VLOOKUP(AT291,curvecalc,4,0))*IF(AN291=0,0,AR291/AN291)-INDEX(ship_curves,MATCH(AT291,'SHIP CURVES'!$A$9:$A$316,0),MATCH(CONCATENATE(AX$4,AX$5,AX$6,AX$7),'SHIP CURVES'!$A$9:$Z$9,0))-INDEX(terminal_curves,MATCH(AT291,'TERMINAL CURVES'!$A$4:$A$313,0),MATCH(AX$5,'TERMINAL CURVES'!$A$4:$N$4,0))*IF(AN291=0,0,AP291/AN291))-(AV$8)*((AV$7-$N$5)-(INDEX(ship_curves,MATCH(AT291,'SHIP CURVES'!$A$9:$A$316,0),MATCH(CONCATENATE(AX$4,AX$5,AX$6,AX$7),'SHIP CURVES'!$A$9:$Z$9,0))-INDEX(ship_curves,MATCH(AT291,'SHIP CURVES'!$A$9:$A$316,0),MATCH(CONCATENATE(AX$4,AV$6,AX$6,AX$7),'SHIP CURVES'!$A$9:$Z$9,0)))-(INDEX(terminal_curves,MATCH(AT291,'TERMINAL CURVES'!$A$4:$A$313,0),MATCH(AX$5,'TERMINAL CURVES'!$A$4:$N$4,0))-INDEX(terminal_curves,MATCH(AT291,'TERMINAL CURVES'!$A$4:$A$313,0),MATCH(AV$6,'TERMINAL CURVES'!$A$4:$N$4,0)))*IF(AN291=0,0,AP291/AN291)))*-AN291</f>
        <v>0</v>
      </c>
      <c r="AY291" s="356" t="n">
        <f aca="false">SUM(AV291:AX291)</f>
        <v>0</v>
      </c>
      <c r="AZ291" s="357" t="n">
        <f aca="false">(-AP291/((HLOOKUP(AX$5,port_specs,2,0)/(365.25))*(AT292-AT291)))*(INDEX(fixed_capacity_charge,MATCH(AT291,PORTS!$H$11:$H$317,0),MATCH(AX$5,PORTS!$H$11:$N$11,0))+INDEX(variable_om_charge,MATCH(AT291,PORTS!$H$318:$H$625,0),MATCH(AX$5,PORTS!$H$318:$N$318,0)))</f>
        <v>-0</v>
      </c>
      <c r="BA291" s="343" t="n">
        <f aca="false">+AZ291+AY291</f>
        <v>0</v>
      </c>
      <c r="BB291" s="355" t="n">
        <f aca="false">+BA291+AU291</f>
        <v>0</v>
      </c>
      <c r="BC291" s="99"/>
      <c r="BD291" s="357" t="n">
        <f aca="false">+PORTS!I285+PORTS!I593</f>
        <v>0</v>
      </c>
    </row>
    <row r="292" customFormat="false" ht="12.75" hidden="false" customHeight="false" outlineLevel="0" collapsed="false">
      <c r="A292" s="346" t="n">
        <f aca="false">+DATE(YEAR(A291),MONTH(A291)+1,1)</f>
        <v>45047</v>
      </c>
      <c r="B292" s="327" t="n">
        <f aca="false">+IF(AND($A292&gt;=$C$8,$A292&lt;=$C$9),1,0)*PORTS!$I$5/(365.25)*(A293-A292)</f>
        <v>0</v>
      </c>
      <c r="C292" s="328" t="n">
        <f aca="false">+B292-(SUMIF($F$17:$IV$17,$H$17,$F292:$IV292))</f>
        <v>0</v>
      </c>
      <c r="D292" s="0" t="n">
        <f aca="false">+YEAR(E292)</f>
        <v>2023</v>
      </c>
      <c r="E292" s="346" t="n">
        <f aca="false">+DATE(YEAR(E291),MONTH(E291)+1,1)</f>
        <v>45047</v>
      </c>
      <c r="F292" s="327" t="n">
        <f aca="false">+IF(AND(G$8&lt;=E292,G$9&gt;=E292),INDEX(ROUTE_PER_DAY_BY_SHIP,MATCH(CONCATENATE(G$4,G$5,G$7),ROUTE_PER_DAY_ROUTES,0),MATCH(G$6,ROUTE_PER_DAY_SHIPS,0))*(E293-E292),0)</f>
        <v>0</v>
      </c>
      <c r="G292" s="347" t="n">
        <f aca="false">-F292*HLOOKUP(G$6,SHIPS,7,0)*INDEX(LADEN_VOYAGE_DAYS,MATCH(CONCATENATE(G$4,G$5,G$7),LADEN_VOYAGE_ROUTES,0),MATCH(G$6,LADEN_VOYAGE_SHIPS,0))</f>
        <v>-0</v>
      </c>
      <c r="H292" s="348" t="n">
        <f aca="false">SUM(F292:G292)</f>
        <v>0</v>
      </c>
      <c r="I292" s="349" t="n">
        <f aca="false">-(H292)*HLOOKUP(G$5,TERMINAL_CHARGES,3,0)</f>
        <v>-0</v>
      </c>
      <c r="J292" s="327" t="n">
        <f aca="false">+H292+I292</f>
        <v>0</v>
      </c>
      <c r="K292" s="333"/>
      <c r="L292" s="346" t="n">
        <f aca="false">+DATE(YEAR(L291),MONTH(L291)+1,1)</f>
        <v>45047</v>
      </c>
      <c r="M292" s="334" t="n">
        <f aca="false">+J292*(VLOOKUP(L292,CURVECALC!$C$6:$J$312,4,0)+N$5)</f>
        <v>0</v>
      </c>
      <c r="N292" s="350" t="n">
        <f aca="false">-F292*INDEX(ship_curves,MATCH(L292,'SHIP CURVES'!$A$9:$A$316,0),MATCH(CONCATENATE(P$4,P$5,P$6,P$7),'SHIP CURVES'!$A$9:$AZ$9,0))</f>
        <v>-0</v>
      </c>
      <c r="O292" s="351" t="n">
        <f aca="false">-H292*INDEX(port_processing_fee,MATCH(L292,PORTS!$H$626:$H$933,0),MATCH(P$5,PORTS!$H$626:$Z$626,0))</f>
        <v>-0</v>
      </c>
      <c r="P292" s="352" t="n">
        <f aca="false">(((VLOOKUP(L292,curvecalc,4,0))*IF(F292=0,0,J292/F292)-INDEX(ship_curves,MATCH(L292,'SHIP CURVES'!$A$9:$A$316,0),MATCH(CONCATENATE(P$4,P$5,P$6,P$7),'SHIP CURVES'!$A$9:$Z$9,0))-INDEX(terminal_curves,MATCH(L292,'TERMINAL CURVES'!$A$4:$A$313,0),MATCH(P$5,'TERMINAL CURVES'!$A$4:$N$4,0))*IF(F292=0,0,H292/F292))-(N$8)*((N$7-$N$5)-(INDEX(ship_curves,MATCH(L292,'SHIP CURVES'!$A$9:$A$316,0),MATCH(CONCATENATE(P$4,P$5,P$6,P$7),'SHIP CURVES'!$A$9:$Z$9,0))-INDEX(ship_curves,MATCH(L292,'SHIP CURVES'!$A$9:$A$316,0),MATCH(CONCATENATE(P$4,N$6,P$6,P$7),'SHIP CURVES'!$A$9:$Z$9,0)))-(INDEX(terminal_curves,MATCH(L292,'TERMINAL CURVES'!$A$4:$A$313,0),MATCH(P$5,'TERMINAL CURVES'!$A$4:$N$4,0))-INDEX(terminal_curves,MATCH(L292,'TERMINAL CURVES'!$A$4:$A$313,0),MATCH(N$6,'TERMINAL CURVES'!$A$4:$N$4,0)))*IF(F292=0,0,H292/F292)))*-F292</f>
        <v>0</v>
      </c>
      <c r="Q292" s="353" t="n">
        <f aca="false">SUM(N292:P292)</f>
        <v>0</v>
      </c>
      <c r="R292" s="357" t="n">
        <f aca="false">(-H292/((HLOOKUP(P$5,port_specs,2,0)/(365.25))*(L293-L292)))*(INDEX(fixed_capacity_charge,MATCH(L292,PORTS!$H$11:$H$317,0),MATCH(P$5,PORTS!$H$11:$N$11,0))+INDEX(variable_om_charge,MATCH(L292,PORTS!$H$318:$H$625,0),MATCH(P$5,PORTS!$H$318:$N$318,0)))</f>
        <v>-0</v>
      </c>
      <c r="S292" s="343" t="n">
        <f aca="false">+R292+Q292</f>
        <v>0</v>
      </c>
      <c r="T292" s="355" t="n">
        <f aca="false">+S292+M292</f>
        <v>0</v>
      </c>
      <c r="V292" s="346" t="n">
        <f aca="false">+DATE(YEAR(V291),MONTH(V291)+1,1)</f>
        <v>45047</v>
      </c>
      <c r="W292" s="327" t="n">
        <f aca="false">+Y292/(1-HLOOKUP(X$6,SHIPS,7,0)*INDEX(LADEN_VOYAGE_DAYS,MATCH(CONCATENATE(X$4,X$5),LADEN_VOYAGE_ROUTES,0),MATCH(X$6,LADEN_VOYAGE_SHIPS,0)))</f>
        <v>0</v>
      </c>
      <c r="X292" s="347" t="n">
        <f aca="false">+Y292-W292</f>
        <v>0</v>
      </c>
      <c r="Y292" s="348" t="n">
        <f aca="false">+IF(AND(X$8&lt;=V292,X$9&gt;=V292),+MIN($B292-SUMIF($H$17:X$17,Y$17,$H292:X292),((INDEX(ROUTE_PER_DAY_BY_SHIP,MATCH(CONCATENATE(X$4,X$5,X$7),ROUTE_PER_DAY_ROUTES,0),MATCH(X$6,ROUTE_PER_DAY_SHIPS,0))*(V293-V292))-(INDEX(ROUTE_PER_DAY_BY_SHIP,MATCH(CONCATENATE(X$4,X$5,X$7),ROUTE_PER_DAY_ROUTES,0),MATCH(X$6,ROUTE_PER_DAY_SHIPS,0))*(V293-V292))*HLOOKUP(X$6,SHIPS,7,0)*INDEX(LADEN_VOYAGE_DAYS,MATCH(CONCATENATE(X$4,X$5,X$7),LADEN_VOYAGE_ROUTES,0),MATCH(X$6,LADEN_VOYAGE_SHIPS,0)))),0)</f>
        <v>0</v>
      </c>
      <c r="Z292" s="349" t="n">
        <f aca="false">-(Y292)*HLOOKUP(X$5,TERMINAL_CHARGES,3,0)</f>
        <v>-0</v>
      </c>
      <c r="AA292" s="327" t="n">
        <f aca="false">+Y292+Z292</f>
        <v>0</v>
      </c>
      <c r="AB292" s="333"/>
      <c r="AC292" s="346" t="n">
        <f aca="false">+DATE(YEAR(AC291),MONTH(AC291)+1,1)</f>
        <v>45047</v>
      </c>
      <c r="AD292" s="343" t="n">
        <f aca="false">+AA292*(VLOOKUP(AC292,CURVECALC!$C$6:$J$312,4,0)+AE$5)</f>
        <v>0</v>
      </c>
      <c r="AE292" s="350" t="n">
        <f aca="false">-W292*INDEX(ship_curves,MATCH(AC292,'SHIP CURVES'!$A$9:$A$316,0),MATCH(CONCATENATE(AG$4,AG$5,AG$6,AG$7),'SHIP CURVES'!$A$9:$AZ$9,0))</f>
        <v>-0</v>
      </c>
      <c r="AF292" s="351" t="n">
        <f aca="false">-Y292*INDEX(port_processing_fee,MATCH(AC292,PORTS!$H$626:$H$933,0),MATCH(AG$5,PORTS!$H$626:$Z$626,0))</f>
        <v>-0</v>
      </c>
      <c r="AG292" s="352" t="n">
        <f aca="false">(((VLOOKUP(AC292,curvecalc,4,0))*IF(W292=0,0,AA292/W292)-INDEX(ship_curves,MATCH(AC292,'SHIP CURVES'!$A$9:$A$316,0),MATCH(CONCATENATE(AG$4,AG$5,AG$6,AG$7),'SHIP CURVES'!$A$9:$Z$9,0))-INDEX(terminal_curves,MATCH(AC292,'TERMINAL CURVES'!$A$4:$A$313,0),MATCH(AG$5,'TERMINAL CURVES'!$A$4:$N$4,0))*IF(W292=0,0,Y292/W292))-(AE$8)*((AE$7-$N$5)-(INDEX(ship_curves,MATCH(AC292,'SHIP CURVES'!$A$9:$A$316,0),MATCH(CONCATENATE(AG$4,AG$5,AG$6,AG$7),'SHIP CURVES'!$A$9:$Z$9,0))-INDEX(ship_curves,MATCH(AC292,'SHIP CURVES'!$A$9:$A$316,0),MATCH(CONCATENATE(AG$4,AE$6,AG$6,AG$7),'SHIP CURVES'!$A$9:$Z$9,0)))-(INDEX(terminal_curves,MATCH(AC292,'TERMINAL CURVES'!$A$4:$A$313,0),MATCH(AG$5,'TERMINAL CURVES'!$A$4:$N$4,0))-INDEX(terminal_curves,MATCH(AC292,'TERMINAL CURVES'!$A$4:$A$313,0),MATCH(AE$6,'TERMINAL CURVES'!$A$4:$N$4,0)))*IF(W292=0,0,Y292/W292)))*-W292</f>
        <v>0</v>
      </c>
      <c r="AH292" s="356" t="n">
        <f aca="false">SUM(AE292:AG292)</f>
        <v>0</v>
      </c>
      <c r="AI292" s="357" t="n">
        <f aca="false">(-Y292/((HLOOKUP(AG$5,port_specs,2,0)/(365.25))*(AC293-AC292)))*(INDEX(fixed_capacity_charge,MATCH(AC292,PORTS!$H$11:$H$317,0),MATCH(AG$5,PORTS!$H$11:$N$11,0))+INDEX(variable_om_charge,MATCH(AC292,PORTS!$H$318:$H$625,0),MATCH(AG$5,PORTS!$H$318:$N$318,0)))</f>
        <v>-0</v>
      </c>
      <c r="AJ292" s="343" t="n">
        <f aca="false">+AI292+AH292</f>
        <v>0</v>
      </c>
      <c r="AK292" s="355" t="n">
        <f aca="false">+AJ292+AD292</f>
        <v>0</v>
      </c>
      <c r="AM292" s="346" t="n">
        <f aca="false">+DATE(YEAR(AM291),MONTH(AM291)+1,1)</f>
        <v>45047</v>
      </c>
      <c r="AN292" s="327" t="n">
        <f aca="false">+AP292/(1-HLOOKUP(AO$6,SHIPS,7,0)*INDEX(LADEN_VOYAGE_DAYS,MATCH(CONCATENATE(AO$4,AO$5),LADEN_VOYAGE_ROUTES,0),MATCH(AO$6,LADEN_VOYAGE_SHIPS,0)))</f>
        <v>0</v>
      </c>
      <c r="AO292" s="347" t="n">
        <f aca="false">+AP292-AN292</f>
        <v>0</v>
      </c>
      <c r="AP292" s="348" t="n">
        <f aca="false">+IF(AND(AO$8&lt;=AM292,AO$9&gt;=AM292),+MIN($B292-SUMIF($H$17:AO$17,AP$17,$H292:AO292),((INDEX(ROUTE_PER_DAY_BY_SHIP,MATCH(CONCATENATE(AO$4,AO$5,AO$7),ROUTE_PER_DAY_ROUTES,0),MATCH(AO$6,ROUTE_PER_DAY_SHIPS,0))*(AM293-AM292))-(INDEX(ROUTE_PER_DAY_BY_SHIP,MATCH(CONCATENATE(AO$4,AO$5,AO$7),ROUTE_PER_DAY_ROUTES,0),MATCH(AO$6,ROUTE_PER_DAY_SHIPS,0))*(AM293-AM292))*HLOOKUP(AO$6,SHIPS,7,0)*INDEX(LADEN_VOYAGE_DAYS,MATCH(CONCATENATE(AO$4,AO$5,AO$7),LADEN_VOYAGE_ROUTES,0),MATCH(AO$6,LADEN_VOYAGE_SHIPS,0)))),0)</f>
        <v>0</v>
      </c>
      <c r="AQ292" s="349" t="n">
        <f aca="false">-(AP292)*PORTS!$I$6</f>
        <v>-0</v>
      </c>
      <c r="AR292" s="327" t="n">
        <f aca="false">+AP292+AQ292</f>
        <v>0</v>
      </c>
      <c r="AS292" s="333"/>
      <c r="AT292" s="346" t="n">
        <f aca="false">+DATE(YEAR(AT291),MONTH(AT291)+1,1)</f>
        <v>45047</v>
      </c>
      <c r="AU292" s="343" t="n">
        <f aca="false">+AR292*(VLOOKUP(AT292,CURVECALC!$C$6:$J$312,4,0)+AV$5)</f>
        <v>0</v>
      </c>
      <c r="AV292" s="350" t="n">
        <f aca="false">-AN292*INDEX(ship_curves,MATCH(AT292,'SHIP CURVES'!$A$9:$A$316,0),MATCH(CONCATENATE(AX$4,AX$5,AX$6,AX$7),'SHIP CURVES'!$A$9:$AZ$9,0))</f>
        <v>-0</v>
      </c>
      <c r="AW292" s="351" t="n">
        <f aca="false">-AP292*INDEX(port_processing_fee,MATCH(AT292,PORTS!$H$626:$H$933,0),MATCH(AX$5,PORTS!$H$626:$Z$626,0))</f>
        <v>-0</v>
      </c>
      <c r="AX292" s="352" t="n">
        <f aca="false">(((VLOOKUP(AT292,curvecalc,4,0))*IF(AN292=0,0,AR292/AN292)-INDEX(ship_curves,MATCH(AT292,'SHIP CURVES'!$A$9:$A$316,0),MATCH(CONCATENATE(AX$4,AX$5,AX$6,AX$7),'SHIP CURVES'!$A$9:$Z$9,0))-INDEX(terminal_curves,MATCH(AT292,'TERMINAL CURVES'!$A$4:$A$313,0),MATCH(AX$5,'TERMINAL CURVES'!$A$4:$N$4,0))*IF(AN292=0,0,AP292/AN292))-(AV$8)*((AV$7-$N$5)-(INDEX(ship_curves,MATCH(AT292,'SHIP CURVES'!$A$9:$A$316,0),MATCH(CONCATENATE(AX$4,AX$5,AX$6,AX$7),'SHIP CURVES'!$A$9:$Z$9,0))-INDEX(ship_curves,MATCH(AT292,'SHIP CURVES'!$A$9:$A$316,0),MATCH(CONCATENATE(AX$4,AV$6,AX$6,AX$7),'SHIP CURVES'!$A$9:$Z$9,0)))-(INDEX(terminal_curves,MATCH(AT292,'TERMINAL CURVES'!$A$4:$A$313,0),MATCH(AX$5,'TERMINAL CURVES'!$A$4:$N$4,0))-INDEX(terminal_curves,MATCH(AT292,'TERMINAL CURVES'!$A$4:$A$313,0),MATCH(AV$6,'TERMINAL CURVES'!$A$4:$N$4,0)))*IF(AN292=0,0,AP292/AN292)))*-AN292</f>
        <v>0</v>
      </c>
      <c r="AY292" s="356" t="n">
        <f aca="false">SUM(AV292:AX292)</f>
        <v>0</v>
      </c>
      <c r="AZ292" s="357" t="n">
        <f aca="false">(-AP292/((HLOOKUP(AX$5,port_specs,2,0)/(365.25))*(AT293-AT292)))*(INDEX(fixed_capacity_charge,MATCH(AT292,PORTS!$H$11:$H$317,0),MATCH(AX$5,PORTS!$H$11:$N$11,0))+INDEX(variable_om_charge,MATCH(AT292,PORTS!$H$318:$H$625,0),MATCH(AX$5,PORTS!$H$318:$N$318,0)))</f>
        <v>-0</v>
      </c>
      <c r="BA292" s="343" t="n">
        <f aca="false">+AZ292+AY292</f>
        <v>0</v>
      </c>
      <c r="BB292" s="355" t="n">
        <f aca="false">+BA292+AU292</f>
        <v>0</v>
      </c>
      <c r="BC292" s="99"/>
      <c r="BD292" s="357" t="n">
        <f aca="false">+PORTS!I286+PORTS!I594</f>
        <v>0</v>
      </c>
    </row>
    <row r="293" customFormat="false" ht="12.75" hidden="false" customHeight="false" outlineLevel="0" collapsed="false">
      <c r="A293" s="346" t="n">
        <f aca="false">+DATE(YEAR(A292),MONTH(A292)+1,1)</f>
        <v>45078</v>
      </c>
      <c r="B293" s="327" t="n">
        <f aca="false">+IF(AND($A293&gt;=$C$8,$A293&lt;=$C$9),1,0)*PORTS!$I$5/(365.25)*(A294-A293)</f>
        <v>0</v>
      </c>
      <c r="C293" s="328" t="n">
        <f aca="false">+B293-(SUMIF($F$17:$IV$17,$H$17,$F293:$IV293))</f>
        <v>0</v>
      </c>
      <c r="D293" s="0" t="n">
        <f aca="false">+YEAR(E293)</f>
        <v>2023</v>
      </c>
      <c r="E293" s="346" t="n">
        <f aca="false">+DATE(YEAR(E292),MONTH(E292)+1,1)</f>
        <v>45078</v>
      </c>
      <c r="F293" s="327" t="n">
        <f aca="false">+IF(AND(G$8&lt;=E293,G$9&gt;=E293),INDEX(ROUTE_PER_DAY_BY_SHIP,MATCH(CONCATENATE(G$4,G$5,G$7),ROUTE_PER_DAY_ROUTES,0),MATCH(G$6,ROUTE_PER_DAY_SHIPS,0))*(E294-E293),0)</f>
        <v>0</v>
      </c>
      <c r="G293" s="347" t="n">
        <f aca="false">-F293*HLOOKUP(G$6,SHIPS,7,0)*INDEX(LADEN_VOYAGE_DAYS,MATCH(CONCATENATE(G$4,G$5,G$7),LADEN_VOYAGE_ROUTES,0),MATCH(G$6,LADEN_VOYAGE_SHIPS,0))</f>
        <v>-0</v>
      </c>
      <c r="H293" s="348" t="n">
        <f aca="false">SUM(F293:G293)</f>
        <v>0</v>
      </c>
      <c r="I293" s="349" t="n">
        <f aca="false">-(H293)*HLOOKUP(G$5,TERMINAL_CHARGES,3,0)</f>
        <v>-0</v>
      </c>
      <c r="J293" s="327" t="n">
        <f aca="false">+H293+I293</f>
        <v>0</v>
      </c>
      <c r="K293" s="333"/>
      <c r="L293" s="346" t="n">
        <f aca="false">+DATE(YEAR(L292),MONTH(L292)+1,1)</f>
        <v>45078</v>
      </c>
      <c r="M293" s="334" t="n">
        <f aca="false">+J293*(VLOOKUP(L293,CURVECALC!$C$6:$J$312,4,0)+N$5)</f>
        <v>0</v>
      </c>
      <c r="N293" s="350" t="n">
        <f aca="false">-F293*INDEX(ship_curves,MATCH(L293,'SHIP CURVES'!$A$9:$A$316,0),MATCH(CONCATENATE(P$4,P$5,P$6,P$7),'SHIP CURVES'!$A$9:$AZ$9,0))</f>
        <v>-0</v>
      </c>
      <c r="O293" s="351" t="n">
        <f aca="false">-H293*INDEX(port_processing_fee,MATCH(L293,PORTS!$H$626:$H$933,0),MATCH(P$5,PORTS!$H$626:$Z$626,0))</f>
        <v>-0</v>
      </c>
      <c r="P293" s="352" t="n">
        <f aca="false">(((VLOOKUP(L293,curvecalc,4,0))*IF(F293=0,0,J293/F293)-INDEX(ship_curves,MATCH(L293,'SHIP CURVES'!$A$9:$A$316,0),MATCH(CONCATENATE(P$4,P$5,P$6,P$7),'SHIP CURVES'!$A$9:$Z$9,0))-INDEX(terminal_curves,MATCH(L293,'TERMINAL CURVES'!$A$4:$A$313,0),MATCH(P$5,'TERMINAL CURVES'!$A$4:$N$4,0))*IF(F293=0,0,H293/F293))-(N$8)*((N$7-$N$5)-(INDEX(ship_curves,MATCH(L293,'SHIP CURVES'!$A$9:$A$316,0),MATCH(CONCATENATE(P$4,P$5,P$6,P$7),'SHIP CURVES'!$A$9:$Z$9,0))-INDEX(ship_curves,MATCH(L293,'SHIP CURVES'!$A$9:$A$316,0),MATCH(CONCATENATE(P$4,N$6,P$6,P$7),'SHIP CURVES'!$A$9:$Z$9,0)))-(INDEX(terminal_curves,MATCH(L293,'TERMINAL CURVES'!$A$4:$A$313,0),MATCH(P$5,'TERMINAL CURVES'!$A$4:$N$4,0))-INDEX(terminal_curves,MATCH(L293,'TERMINAL CURVES'!$A$4:$A$313,0),MATCH(N$6,'TERMINAL CURVES'!$A$4:$N$4,0)))*IF(F293=0,0,H293/F293)))*-F293</f>
        <v>0</v>
      </c>
      <c r="Q293" s="353" t="n">
        <f aca="false">SUM(N293:P293)</f>
        <v>0</v>
      </c>
      <c r="R293" s="357" t="n">
        <f aca="false">(-H293/((HLOOKUP(P$5,port_specs,2,0)/(365.25))*(L294-L293)))*(INDEX(fixed_capacity_charge,MATCH(L293,PORTS!$H$11:$H$317,0),MATCH(P$5,PORTS!$H$11:$N$11,0))+INDEX(variable_om_charge,MATCH(L293,PORTS!$H$318:$H$625,0),MATCH(P$5,PORTS!$H$318:$N$318,0)))</f>
        <v>-0</v>
      </c>
      <c r="S293" s="343" t="n">
        <f aca="false">+R293+Q293</f>
        <v>0</v>
      </c>
      <c r="T293" s="355" t="n">
        <f aca="false">+S293+M293</f>
        <v>0</v>
      </c>
      <c r="V293" s="346" t="n">
        <f aca="false">+DATE(YEAR(V292),MONTH(V292)+1,1)</f>
        <v>45078</v>
      </c>
      <c r="W293" s="327" t="n">
        <f aca="false">+Y293/(1-HLOOKUP(X$6,SHIPS,7,0)*INDEX(LADEN_VOYAGE_DAYS,MATCH(CONCATENATE(X$4,X$5),LADEN_VOYAGE_ROUTES,0),MATCH(X$6,LADEN_VOYAGE_SHIPS,0)))</f>
        <v>0</v>
      </c>
      <c r="X293" s="347" t="n">
        <f aca="false">+Y293-W293</f>
        <v>0</v>
      </c>
      <c r="Y293" s="348" t="n">
        <f aca="false">+IF(AND(X$8&lt;=V293,X$9&gt;=V293),+MIN($B293-SUMIF($H$17:X$17,Y$17,$H293:X293),((INDEX(ROUTE_PER_DAY_BY_SHIP,MATCH(CONCATENATE(X$4,X$5,X$7),ROUTE_PER_DAY_ROUTES,0),MATCH(X$6,ROUTE_PER_DAY_SHIPS,0))*(V294-V293))-(INDEX(ROUTE_PER_DAY_BY_SHIP,MATCH(CONCATENATE(X$4,X$5,X$7),ROUTE_PER_DAY_ROUTES,0),MATCH(X$6,ROUTE_PER_DAY_SHIPS,0))*(V294-V293))*HLOOKUP(X$6,SHIPS,7,0)*INDEX(LADEN_VOYAGE_DAYS,MATCH(CONCATENATE(X$4,X$5,X$7),LADEN_VOYAGE_ROUTES,0),MATCH(X$6,LADEN_VOYAGE_SHIPS,0)))),0)</f>
        <v>0</v>
      </c>
      <c r="Z293" s="349" t="n">
        <f aca="false">-(Y293)*HLOOKUP(X$5,TERMINAL_CHARGES,3,0)</f>
        <v>-0</v>
      </c>
      <c r="AA293" s="327" t="n">
        <f aca="false">+Y293+Z293</f>
        <v>0</v>
      </c>
      <c r="AB293" s="333"/>
      <c r="AC293" s="346" t="n">
        <f aca="false">+DATE(YEAR(AC292),MONTH(AC292)+1,1)</f>
        <v>45078</v>
      </c>
      <c r="AD293" s="343" t="n">
        <f aca="false">+AA293*(VLOOKUP(AC293,CURVECALC!$C$6:$J$312,4,0)+AE$5)</f>
        <v>0</v>
      </c>
      <c r="AE293" s="350" t="n">
        <f aca="false">-W293*INDEX(ship_curves,MATCH(AC293,'SHIP CURVES'!$A$9:$A$316,0),MATCH(CONCATENATE(AG$4,AG$5,AG$6,AG$7),'SHIP CURVES'!$A$9:$AZ$9,0))</f>
        <v>-0</v>
      </c>
      <c r="AF293" s="351" t="n">
        <f aca="false">-Y293*INDEX(port_processing_fee,MATCH(AC293,PORTS!$H$626:$H$933,0),MATCH(AG$5,PORTS!$H$626:$Z$626,0))</f>
        <v>-0</v>
      </c>
      <c r="AG293" s="352" t="n">
        <f aca="false">(((VLOOKUP(AC293,curvecalc,4,0))*IF(W293=0,0,AA293/W293)-INDEX(ship_curves,MATCH(AC293,'SHIP CURVES'!$A$9:$A$316,0),MATCH(CONCATENATE(AG$4,AG$5,AG$6,AG$7),'SHIP CURVES'!$A$9:$Z$9,0))-INDEX(terminal_curves,MATCH(AC293,'TERMINAL CURVES'!$A$4:$A$313,0),MATCH(AG$5,'TERMINAL CURVES'!$A$4:$N$4,0))*IF(W293=0,0,Y293/W293))-(AE$8)*((AE$7-$N$5)-(INDEX(ship_curves,MATCH(AC293,'SHIP CURVES'!$A$9:$A$316,0),MATCH(CONCATENATE(AG$4,AG$5,AG$6,AG$7),'SHIP CURVES'!$A$9:$Z$9,0))-INDEX(ship_curves,MATCH(AC293,'SHIP CURVES'!$A$9:$A$316,0),MATCH(CONCATENATE(AG$4,AE$6,AG$6,AG$7),'SHIP CURVES'!$A$9:$Z$9,0)))-(INDEX(terminal_curves,MATCH(AC293,'TERMINAL CURVES'!$A$4:$A$313,0),MATCH(AG$5,'TERMINAL CURVES'!$A$4:$N$4,0))-INDEX(terminal_curves,MATCH(AC293,'TERMINAL CURVES'!$A$4:$A$313,0),MATCH(AE$6,'TERMINAL CURVES'!$A$4:$N$4,0)))*IF(W293=0,0,Y293/W293)))*-W293</f>
        <v>0</v>
      </c>
      <c r="AH293" s="356" t="n">
        <f aca="false">SUM(AE293:AG293)</f>
        <v>0</v>
      </c>
      <c r="AI293" s="357" t="n">
        <f aca="false">(-Y293/((HLOOKUP(AG$5,port_specs,2,0)/(365.25))*(AC294-AC293)))*(INDEX(fixed_capacity_charge,MATCH(AC293,PORTS!$H$11:$H$317,0),MATCH(AG$5,PORTS!$H$11:$N$11,0))+INDEX(variable_om_charge,MATCH(AC293,PORTS!$H$318:$H$625,0),MATCH(AG$5,PORTS!$H$318:$N$318,0)))</f>
        <v>-0</v>
      </c>
      <c r="AJ293" s="343" t="n">
        <f aca="false">+AI293+AH293</f>
        <v>0</v>
      </c>
      <c r="AK293" s="355" t="n">
        <f aca="false">+AJ293+AD293</f>
        <v>0</v>
      </c>
      <c r="AM293" s="346" t="n">
        <f aca="false">+DATE(YEAR(AM292),MONTH(AM292)+1,1)</f>
        <v>45078</v>
      </c>
      <c r="AN293" s="327" t="n">
        <f aca="false">+AP293/(1-HLOOKUP(AO$6,SHIPS,7,0)*INDEX(LADEN_VOYAGE_DAYS,MATCH(CONCATENATE(AO$4,AO$5),LADEN_VOYAGE_ROUTES,0),MATCH(AO$6,LADEN_VOYAGE_SHIPS,0)))</f>
        <v>0</v>
      </c>
      <c r="AO293" s="347" t="n">
        <f aca="false">+AP293-AN293</f>
        <v>0</v>
      </c>
      <c r="AP293" s="348" t="n">
        <f aca="false">+IF(AND(AO$8&lt;=AM293,AO$9&gt;=AM293),+MIN($B293-SUMIF($H$17:AO$17,AP$17,$H293:AO293),((INDEX(ROUTE_PER_DAY_BY_SHIP,MATCH(CONCATENATE(AO$4,AO$5,AO$7),ROUTE_PER_DAY_ROUTES,0),MATCH(AO$6,ROUTE_PER_DAY_SHIPS,0))*(AM294-AM293))-(INDEX(ROUTE_PER_DAY_BY_SHIP,MATCH(CONCATENATE(AO$4,AO$5,AO$7),ROUTE_PER_DAY_ROUTES,0),MATCH(AO$6,ROUTE_PER_DAY_SHIPS,0))*(AM294-AM293))*HLOOKUP(AO$6,SHIPS,7,0)*INDEX(LADEN_VOYAGE_DAYS,MATCH(CONCATENATE(AO$4,AO$5,AO$7),LADEN_VOYAGE_ROUTES,0),MATCH(AO$6,LADEN_VOYAGE_SHIPS,0)))),0)</f>
        <v>0</v>
      </c>
      <c r="AQ293" s="349" t="n">
        <f aca="false">-(AP293)*PORTS!$I$6</f>
        <v>-0</v>
      </c>
      <c r="AR293" s="327" t="n">
        <f aca="false">+AP293+AQ293</f>
        <v>0</v>
      </c>
      <c r="AS293" s="333"/>
      <c r="AT293" s="346" t="n">
        <f aca="false">+DATE(YEAR(AT292),MONTH(AT292)+1,1)</f>
        <v>45078</v>
      </c>
      <c r="AU293" s="343" t="n">
        <f aca="false">+AR293*(VLOOKUP(AT293,CURVECALC!$C$6:$J$312,4,0)+AV$5)</f>
        <v>0</v>
      </c>
      <c r="AV293" s="350" t="n">
        <f aca="false">-AN293*INDEX(ship_curves,MATCH(AT293,'SHIP CURVES'!$A$9:$A$316,0),MATCH(CONCATENATE(AX$4,AX$5,AX$6,AX$7),'SHIP CURVES'!$A$9:$AZ$9,0))</f>
        <v>-0</v>
      </c>
      <c r="AW293" s="351" t="n">
        <f aca="false">-AP293*INDEX(port_processing_fee,MATCH(AT293,PORTS!$H$626:$H$933,0),MATCH(AX$5,PORTS!$H$626:$Z$626,0))</f>
        <v>-0</v>
      </c>
      <c r="AX293" s="352" t="n">
        <f aca="false">(((VLOOKUP(AT293,curvecalc,4,0))*IF(AN293=0,0,AR293/AN293)-INDEX(ship_curves,MATCH(AT293,'SHIP CURVES'!$A$9:$A$316,0),MATCH(CONCATENATE(AX$4,AX$5,AX$6,AX$7),'SHIP CURVES'!$A$9:$Z$9,0))-INDEX(terminal_curves,MATCH(AT293,'TERMINAL CURVES'!$A$4:$A$313,0),MATCH(AX$5,'TERMINAL CURVES'!$A$4:$N$4,0))*IF(AN293=0,0,AP293/AN293))-(AV$8)*((AV$7-$N$5)-(INDEX(ship_curves,MATCH(AT293,'SHIP CURVES'!$A$9:$A$316,0),MATCH(CONCATENATE(AX$4,AX$5,AX$6,AX$7),'SHIP CURVES'!$A$9:$Z$9,0))-INDEX(ship_curves,MATCH(AT293,'SHIP CURVES'!$A$9:$A$316,0),MATCH(CONCATENATE(AX$4,AV$6,AX$6,AX$7),'SHIP CURVES'!$A$9:$Z$9,0)))-(INDEX(terminal_curves,MATCH(AT293,'TERMINAL CURVES'!$A$4:$A$313,0),MATCH(AX$5,'TERMINAL CURVES'!$A$4:$N$4,0))-INDEX(terminal_curves,MATCH(AT293,'TERMINAL CURVES'!$A$4:$A$313,0),MATCH(AV$6,'TERMINAL CURVES'!$A$4:$N$4,0)))*IF(AN293=0,0,AP293/AN293)))*-AN293</f>
        <v>0</v>
      </c>
      <c r="AY293" s="356" t="n">
        <f aca="false">SUM(AV293:AX293)</f>
        <v>0</v>
      </c>
      <c r="AZ293" s="357" t="n">
        <f aca="false">(-AP293/((HLOOKUP(AX$5,port_specs,2,0)/(365.25))*(AT294-AT293)))*(INDEX(fixed_capacity_charge,MATCH(AT293,PORTS!$H$11:$H$317,0),MATCH(AX$5,PORTS!$H$11:$N$11,0))+INDEX(variable_om_charge,MATCH(AT293,PORTS!$H$318:$H$625,0),MATCH(AX$5,PORTS!$H$318:$N$318,0)))</f>
        <v>-0</v>
      </c>
      <c r="BA293" s="343" t="n">
        <f aca="false">+AZ293+AY293</f>
        <v>0</v>
      </c>
      <c r="BB293" s="355" t="n">
        <f aca="false">+BA293+AU293</f>
        <v>0</v>
      </c>
      <c r="BC293" s="99"/>
      <c r="BD293" s="357" t="n">
        <f aca="false">+PORTS!I287+PORTS!I595</f>
        <v>0</v>
      </c>
    </row>
    <row r="294" customFormat="false" ht="12.75" hidden="false" customHeight="false" outlineLevel="0" collapsed="false">
      <c r="A294" s="346" t="n">
        <f aca="false">+DATE(YEAR(A293),MONTH(A293)+1,1)</f>
        <v>45108</v>
      </c>
      <c r="B294" s="327" t="n">
        <f aca="false">+IF(AND($A294&gt;=$C$8,$A294&lt;=$C$9),1,0)*PORTS!$I$5/(365.25)*(A295-A294)</f>
        <v>0</v>
      </c>
      <c r="C294" s="328" t="n">
        <f aca="false">+B294-(SUMIF($F$17:$IV$17,$H$17,$F294:$IV294))</f>
        <v>0</v>
      </c>
      <c r="D294" s="0" t="n">
        <f aca="false">+YEAR(E294)</f>
        <v>2023</v>
      </c>
      <c r="E294" s="346" t="n">
        <f aca="false">+DATE(YEAR(E293),MONTH(E293)+1,1)</f>
        <v>45108</v>
      </c>
      <c r="F294" s="327" t="n">
        <f aca="false">+IF(AND(G$8&lt;=E294,G$9&gt;=E294),INDEX(ROUTE_PER_DAY_BY_SHIP,MATCH(CONCATENATE(G$4,G$5,G$7),ROUTE_PER_DAY_ROUTES,0),MATCH(G$6,ROUTE_PER_DAY_SHIPS,0))*(E295-E294),0)</f>
        <v>0</v>
      </c>
      <c r="G294" s="347" t="n">
        <f aca="false">-F294*HLOOKUP(G$6,SHIPS,7,0)*INDEX(LADEN_VOYAGE_DAYS,MATCH(CONCATENATE(G$4,G$5,G$7),LADEN_VOYAGE_ROUTES,0),MATCH(G$6,LADEN_VOYAGE_SHIPS,0))</f>
        <v>-0</v>
      </c>
      <c r="H294" s="348" t="n">
        <f aca="false">SUM(F294:G294)</f>
        <v>0</v>
      </c>
      <c r="I294" s="349" t="n">
        <f aca="false">-(H294)*HLOOKUP(G$5,TERMINAL_CHARGES,3,0)</f>
        <v>-0</v>
      </c>
      <c r="J294" s="327" t="n">
        <f aca="false">+H294+I294</f>
        <v>0</v>
      </c>
      <c r="K294" s="333"/>
      <c r="L294" s="346" t="n">
        <f aca="false">+DATE(YEAR(L293),MONTH(L293)+1,1)</f>
        <v>45108</v>
      </c>
      <c r="M294" s="334" t="n">
        <f aca="false">+J294*(VLOOKUP(L294,CURVECALC!$C$6:$J$312,4,0)+N$5)</f>
        <v>0</v>
      </c>
      <c r="N294" s="350" t="n">
        <f aca="false">-F294*INDEX(ship_curves,MATCH(L294,'SHIP CURVES'!$A$9:$A$316,0),MATCH(CONCATENATE(P$4,P$5,P$6,P$7),'SHIP CURVES'!$A$9:$AZ$9,0))</f>
        <v>-0</v>
      </c>
      <c r="O294" s="351" t="n">
        <f aca="false">-H294*INDEX(port_processing_fee,MATCH(L294,PORTS!$H$626:$H$933,0),MATCH(P$5,PORTS!$H$626:$Z$626,0))</f>
        <v>-0</v>
      </c>
      <c r="P294" s="352" t="n">
        <f aca="false">(((VLOOKUP(L294,curvecalc,4,0))*IF(F294=0,0,J294/F294)-INDEX(ship_curves,MATCH(L294,'SHIP CURVES'!$A$9:$A$316,0),MATCH(CONCATENATE(P$4,P$5,P$6,P$7),'SHIP CURVES'!$A$9:$Z$9,0))-INDEX(terminal_curves,MATCH(L294,'TERMINAL CURVES'!$A$4:$A$313,0),MATCH(P$5,'TERMINAL CURVES'!$A$4:$N$4,0))*IF(F294=0,0,H294/F294))-(N$8)*((N$7-$N$5)-(INDEX(ship_curves,MATCH(L294,'SHIP CURVES'!$A$9:$A$316,0),MATCH(CONCATENATE(P$4,P$5,P$6,P$7),'SHIP CURVES'!$A$9:$Z$9,0))-INDEX(ship_curves,MATCH(L294,'SHIP CURVES'!$A$9:$A$316,0),MATCH(CONCATENATE(P$4,N$6,P$6,P$7),'SHIP CURVES'!$A$9:$Z$9,0)))-(INDEX(terminal_curves,MATCH(L294,'TERMINAL CURVES'!$A$4:$A$313,0),MATCH(P$5,'TERMINAL CURVES'!$A$4:$N$4,0))-INDEX(terminal_curves,MATCH(L294,'TERMINAL CURVES'!$A$4:$A$313,0),MATCH(N$6,'TERMINAL CURVES'!$A$4:$N$4,0)))*IF(F294=0,0,H294/F294)))*-F294</f>
        <v>0</v>
      </c>
      <c r="Q294" s="353" t="n">
        <f aca="false">SUM(N294:P294)</f>
        <v>0</v>
      </c>
      <c r="R294" s="357" t="n">
        <f aca="false">(-H294/((HLOOKUP(P$5,port_specs,2,0)/(365.25))*(L295-L294)))*(INDEX(fixed_capacity_charge,MATCH(L294,PORTS!$H$11:$H$317,0),MATCH(P$5,PORTS!$H$11:$N$11,0))+INDEX(variable_om_charge,MATCH(L294,PORTS!$H$318:$H$625,0),MATCH(P$5,PORTS!$H$318:$N$318,0)))</f>
        <v>-0</v>
      </c>
      <c r="S294" s="343" t="n">
        <f aca="false">+R294+Q294</f>
        <v>0</v>
      </c>
      <c r="T294" s="355" t="n">
        <f aca="false">+S294+M294</f>
        <v>0</v>
      </c>
      <c r="V294" s="346" t="n">
        <f aca="false">+DATE(YEAR(V293),MONTH(V293)+1,1)</f>
        <v>45108</v>
      </c>
      <c r="W294" s="327" t="n">
        <f aca="false">+Y294/(1-HLOOKUP(X$6,SHIPS,7,0)*INDEX(LADEN_VOYAGE_DAYS,MATCH(CONCATENATE(X$4,X$5),LADEN_VOYAGE_ROUTES,0),MATCH(X$6,LADEN_VOYAGE_SHIPS,0)))</f>
        <v>0</v>
      </c>
      <c r="X294" s="347" t="n">
        <f aca="false">+Y294-W294</f>
        <v>0</v>
      </c>
      <c r="Y294" s="348" t="n">
        <f aca="false">+IF(AND(X$8&lt;=V294,X$9&gt;=V294),+MIN($B294-SUMIF($H$17:X$17,Y$17,$H294:X294),((INDEX(ROUTE_PER_DAY_BY_SHIP,MATCH(CONCATENATE(X$4,X$5,X$7),ROUTE_PER_DAY_ROUTES,0),MATCH(X$6,ROUTE_PER_DAY_SHIPS,0))*(V295-V294))-(INDEX(ROUTE_PER_DAY_BY_SHIP,MATCH(CONCATENATE(X$4,X$5,X$7),ROUTE_PER_DAY_ROUTES,0),MATCH(X$6,ROUTE_PER_DAY_SHIPS,0))*(V295-V294))*HLOOKUP(X$6,SHIPS,7,0)*INDEX(LADEN_VOYAGE_DAYS,MATCH(CONCATENATE(X$4,X$5,X$7),LADEN_VOYAGE_ROUTES,0),MATCH(X$6,LADEN_VOYAGE_SHIPS,0)))),0)</f>
        <v>0</v>
      </c>
      <c r="Z294" s="349" t="n">
        <f aca="false">-(Y294)*HLOOKUP(X$5,TERMINAL_CHARGES,3,0)</f>
        <v>-0</v>
      </c>
      <c r="AA294" s="327" t="n">
        <f aca="false">+Y294+Z294</f>
        <v>0</v>
      </c>
      <c r="AB294" s="333"/>
      <c r="AC294" s="346" t="n">
        <f aca="false">+DATE(YEAR(AC293),MONTH(AC293)+1,1)</f>
        <v>45108</v>
      </c>
      <c r="AD294" s="343" t="n">
        <f aca="false">+AA294*(VLOOKUP(AC294,CURVECALC!$C$6:$J$312,4,0)+AE$5)</f>
        <v>0</v>
      </c>
      <c r="AE294" s="350" t="n">
        <f aca="false">-W294*INDEX(ship_curves,MATCH(AC294,'SHIP CURVES'!$A$9:$A$316,0),MATCH(CONCATENATE(AG$4,AG$5,AG$6,AG$7),'SHIP CURVES'!$A$9:$AZ$9,0))</f>
        <v>-0</v>
      </c>
      <c r="AF294" s="351" t="n">
        <f aca="false">-Y294*INDEX(port_processing_fee,MATCH(AC294,PORTS!$H$626:$H$933,0),MATCH(AG$5,PORTS!$H$626:$Z$626,0))</f>
        <v>-0</v>
      </c>
      <c r="AG294" s="352" t="n">
        <f aca="false">(((VLOOKUP(AC294,curvecalc,4,0))*IF(W294=0,0,AA294/W294)-INDEX(ship_curves,MATCH(AC294,'SHIP CURVES'!$A$9:$A$316,0),MATCH(CONCATENATE(AG$4,AG$5,AG$6,AG$7),'SHIP CURVES'!$A$9:$Z$9,0))-INDEX(terminal_curves,MATCH(AC294,'TERMINAL CURVES'!$A$4:$A$313,0),MATCH(AG$5,'TERMINAL CURVES'!$A$4:$N$4,0))*IF(W294=0,0,Y294/W294))-(AE$8)*((AE$7-$N$5)-(INDEX(ship_curves,MATCH(AC294,'SHIP CURVES'!$A$9:$A$316,0),MATCH(CONCATENATE(AG$4,AG$5,AG$6,AG$7),'SHIP CURVES'!$A$9:$Z$9,0))-INDEX(ship_curves,MATCH(AC294,'SHIP CURVES'!$A$9:$A$316,0),MATCH(CONCATENATE(AG$4,AE$6,AG$6,AG$7),'SHIP CURVES'!$A$9:$Z$9,0)))-(INDEX(terminal_curves,MATCH(AC294,'TERMINAL CURVES'!$A$4:$A$313,0),MATCH(AG$5,'TERMINAL CURVES'!$A$4:$N$4,0))-INDEX(terminal_curves,MATCH(AC294,'TERMINAL CURVES'!$A$4:$A$313,0),MATCH(AE$6,'TERMINAL CURVES'!$A$4:$N$4,0)))*IF(W294=0,0,Y294/W294)))*-W294</f>
        <v>0</v>
      </c>
      <c r="AH294" s="356" t="n">
        <f aca="false">SUM(AE294:AG294)</f>
        <v>0</v>
      </c>
      <c r="AI294" s="357" t="n">
        <f aca="false">(-Y294/((HLOOKUP(AG$5,port_specs,2,0)/(365.25))*(AC295-AC294)))*(INDEX(fixed_capacity_charge,MATCH(AC294,PORTS!$H$11:$H$317,0),MATCH(AG$5,PORTS!$H$11:$N$11,0))+INDEX(variable_om_charge,MATCH(AC294,PORTS!$H$318:$H$625,0),MATCH(AG$5,PORTS!$H$318:$N$318,0)))</f>
        <v>-0</v>
      </c>
      <c r="AJ294" s="343" t="n">
        <f aca="false">+AI294+AH294</f>
        <v>0</v>
      </c>
      <c r="AK294" s="355" t="n">
        <f aca="false">+AJ294+AD294</f>
        <v>0</v>
      </c>
      <c r="AM294" s="346" t="n">
        <f aca="false">+DATE(YEAR(AM293),MONTH(AM293)+1,1)</f>
        <v>45108</v>
      </c>
      <c r="AN294" s="327" t="n">
        <f aca="false">+AP294/(1-HLOOKUP(AO$6,SHIPS,7,0)*INDEX(LADEN_VOYAGE_DAYS,MATCH(CONCATENATE(AO$4,AO$5),LADEN_VOYAGE_ROUTES,0),MATCH(AO$6,LADEN_VOYAGE_SHIPS,0)))</f>
        <v>0</v>
      </c>
      <c r="AO294" s="347" t="n">
        <f aca="false">+AP294-AN294</f>
        <v>0</v>
      </c>
      <c r="AP294" s="348" t="n">
        <f aca="false">+IF(AND(AO$8&lt;=AM294,AO$9&gt;=AM294),+MIN($B294-SUMIF($H$17:AO$17,AP$17,$H294:AO294),((INDEX(ROUTE_PER_DAY_BY_SHIP,MATCH(CONCATENATE(AO$4,AO$5,AO$7),ROUTE_PER_DAY_ROUTES,0),MATCH(AO$6,ROUTE_PER_DAY_SHIPS,0))*(AM295-AM294))-(INDEX(ROUTE_PER_DAY_BY_SHIP,MATCH(CONCATENATE(AO$4,AO$5,AO$7),ROUTE_PER_DAY_ROUTES,0),MATCH(AO$6,ROUTE_PER_DAY_SHIPS,0))*(AM295-AM294))*HLOOKUP(AO$6,SHIPS,7,0)*INDEX(LADEN_VOYAGE_DAYS,MATCH(CONCATENATE(AO$4,AO$5,AO$7),LADEN_VOYAGE_ROUTES,0),MATCH(AO$6,LADEN_VOYAGE_SHIPS,0)))),0)</f>
        <v>0</v>
      </c>
      <c r="AQ294" s="349" t="n">
        <f aca="false">-(AP294)*PORTS!$I$6</f>
        <v>-0</v>
      </c>
      <c r="AR294" s="327" t="n">
        <f aca="false">+AP294+AQ294</f>
        <v>0</v>
      </c>
      <c r="AS294" s="333"/>
      <c r="AT294" s="346" t="n">
        <f aca="false">+DATE(YEAR(AT293),MONTH(AT293)+1,1)</f>
        <v>45108</v>
      </c>
      <c r="AU294" s="343" t="n">
        <f aca="false">+AR294*(VLOOKUP(AT294,CURVECALC!$C$6:$J$312,4,0)+AV$5)</f>
        <v>0</v>
      </c>
      <c r="AV294" s="350" t="n">
        <f aca="false">-AN294*INDEX(ship_curves,MATCH(AT294,'SHIP CURVES'!$A$9:$A$316,0),MATCH(CONCATENATE(AX$4,AX$5,AX$6,AX$7),'SHIP CURVES'!$A$9:$AZ$9,0))</f>
        <v>-0</v>
      </c>
      <c r="AW294" s="351" t="n">
        <f aca="false">-AP294*INDEX(port_processing_fee,MATCH(AT294,PORTS!$H$626:$H$933,0),MATCH(AX$5,PORTS!$H$626:$Z$626,0))</f>
        <v>-0</v>
      </c>
      <c r="AX294" s="352" t="n">
        <f aca="false">(((VLOOKUP(AT294,curvecalc,4,0))*IF(AN294=0,0,AR294/AN294)-INDEX(ship_curves,MATCH(AT294,'SHIP CURVES'!$A$9:$A$316,0),MATCH(CONCATENATE(AX$4,AX$5,AX$6,AX$7),'SHIP CURVES'!$A$9:$Z$9,0))-INDEX(terminal_curves,MATCH(AT294,'TERMINAL CURVES'!$A$4:$A$313,0),MATCH(AX$5,'TERMINAL CURVES'!$A$4:$N$4,0))*IF(AN294=0,0,AP294/AN294))-(AV$8)*((AV$7-$N$5)-(INDEX(ship_curves,MATCH(AT294,'SHIP CURVES'!$A$9:$A$316,0),MATCH(CONCATENATE(AX$4,AX$5,AX$6,AX$7),'SHIP CURVES'!$A$9:$Z$9,0))-INDEX(ship_curves,MATCH(AT294,'SHIP CURVES'!$A$9:$A$316,0),MATCH(CONCATENATE(AX$4,AV$6,AX$6,AX$7),'SHIP CURVES'!$A$9:$Z$9,0)))-(INDEX(terminal_curves,MATCH(AT294,'TERMINAL CURVES'!$A$4:$A$313,0),MATCH(AX$5,'TERMINAL CURVES'!$A$4:$N$4,0))-INDEX(terminal_curves,MATCH(AT294,'TERMINAL CURVES'!$A$4:$A$313,0),MATCH(AV$6,'TERMINAL CURVES'!$A$4:$N$4,0)))*IF(AN294=0,0,AP294/AN294)))*-AN294</f>
        <v>0</v>
      </c>
      <c r="AY294" s="356" t="n">
        <f aca="false">SUM(AV294:AX294)</f>
        <v>0</v>
      </c>
      <c r="AZ294" s="357" t="n">
        <f aca="false">(-AP294/((HLOOKUP(AX$5,port_specs,2,0)/(365.25))*(AT295-AT294)))*(INDEX(fixed_capacity_charge,MATCH(AT294,PORTS!$H$11:$H$317,0),MATCH(AX$5,PORTS!$H$11:$N$11,0))+INDEX(variable_om_charge,MATCH(AT294,PORTS!$H$318:$H$625,0),MATCH(AX$5,PORTS!$H$318:$N$318,0)))</f>
        <v>-0</v>
      </c>
      <c r="BA294" s="343" t="n">
        <f aca="false">+AZ294+AY294</f>
        <v>0</v>
      </c>
      <c r="BB294" s="355" t="n">
        <f aca="false">+BA294+AU294</f>
        <v>0</v>
      </c>
      <c r="BC294" s="99"/>
      <c r="BD294" s="357" t="n">
        <f aca="false">+PORTS!I288+PORTS!I596</f>
        <v>0</v>
      </c>
    </row>
    <row r="295" customFormat="false" ht="12.75" hidden="false" customHeight="false" outlineLevel="0" collapsed="false">
      <c r="A295" s="346" t="n">
        <f aca="false">+DATE(YEAR(A294),MONTH(A294)+1,1)</f>
        <v>45139</v>
      </c>
      <c r="B295" s="327" t="n">
        <f aca="false">+IF(AND($A295&gt;=$C$8,$A295&lt;=$C$9),1,0)*PORTS!$I$5/(365.25)*(A296-A295)</f>
        <v>0</v>
      </c>
      <c r="C295" s="328" t="n">
        <f aca="false">+B295-(SUMIF($F$17:$IV$17,$H$17,$F295:$IV295))</f>
        <v>0</v>
      </c>
      <c r="D295" s="0" t="n">
        <f aca="false">+YEAR(E295)</f>
        <v>2023</v>
      </c>
      <c r="E295" s="346" t="n">
        <f aca="false">+DATE(YEAR(E294),MONTH(E294)+1,1)</f>
        <v>45139</v>
      </c>
      <c r="F295" s="327" t="n">
        <f aca="false">+IF(AND(G$8&lt;=E295,G$9&gt;=E295),INDEX(ROUTE_PER_DAY_BY_SHIP,MATCH(CONCATENATE(G$4,G$5,G$7),ROUTE_PER_DAY_ROUTES,0),MATCH(G$6,ROUTE_PER_DAY_SHIPS,0))*(E296-E295),0)</f>
        <v>0</v>
      </c>
      <c r="G295" s="347" t="n">
        <f aca="false">-F295*HLOOKUP(G$6,SHIPS,7,0)*INDEX(LADEN_VOYAGE_DAYS,MATCH(CONCATENATE(G$4,G$5,G$7),LADEN_VOYAGE_ROUTES,0),MATCH(G$6,LADEN_VOYAGE_SHIPS,0))</f>
        <v>-0</v>
      </c>
      <c r="H295" s="348" t="n">
        <f aca="false">SUM(F295:G295)</f>
        <v>0</v>
      </c>
      <c r="I295" s="349" t="n">
        <f aca="false">-(H295)*HLOOKUP(G$5,TERMINAL_CHARGES,3,0)</f>
        <v>-0</v>
      </c>
      <c r="J295" s="327" t="n">
        <f aca="false">+H295+I295</f>
        <v>0</v>
      </c>
      <c r="K295" s="333"/>
      <c r="L295" s="346" t="n">
        <f aca="false">+DATE(YEAR(L294),MONTH(L294)+1,1)</f>
        <v>45139</v>
      </c>
      <c r="M295" s="334" t="n">
        <f aca="false">+J295*(VLOOKUP(L295,CURVECALC!$C$6:$J$312,4,0)+N$5)</f>
        <v>0</v>
      </c>
      <c r="N295" s="350" t="n">
        <f aca="false">-F295*INDEX(ship_curves,MATCH(L295,'SHIP CURVES'!$A$9:$A$316,0),MATCH(CONCATENATE(P$4,P$5,P$6,P$7),'SHIP CURVES'!$A$9:$AZ$9,0))</f>
        <v>-0</v>
      </c>
      <c r="O295" s="351" t="n">
        <f aca="false">-H295*INDEX(port_processing_fee,MATCH(L295,PORTS!$H$626:$H$933,0),MATCH(P$5,PORTS!$H$626:$Z$626,0))</f>
        <v>-0</v>
      </c>
      <c r="P295" s="352" t="n">
        <f aca="false">(((VLOOKUP(L295,curvecalc,4,0))*IF(F295=0,0,J295/F295)-INDEX(ship_curves,MATCH(L295,'SHIP CURVES'!$A$9:$A$316,0),MATCH(CONCATENATE(P$4,P$5,P$6,P$7),'SHIP CURVES'!$A$9:$Z$9,0))-INDEX(terminal_curves,MATCH(L295,'TERMINAL CURVES'!$A$4:$A$313,0),MATCH(P$5,'TERMINAL CURVES'!$A$4:$N$4,0))*IF(F295=0,0,H295/F295))-(N$8)*((N$7-$N$5)-(INDEX(ship_curves,MATCH(L295,'SHIP CURVES'!$A$9:$A$316,0),MATCH(CONCATENATE(P$4,P$5,P$6,P$7),'SHIP CURVES'!$A$9:$Z$9,0))-INDEX(ship_curves,MATCH(L295,'SHIP CURVES'!$A$9:$A$316,0),MATCH(CONCATENATE(P$4,N$6,P$6,P$7),'SHIP CURVES'!$A$9:$Z$9,0)))-(INDEX(terminal_curves,MATCH(L295,'TERMINAL CURVES'!$A$4:$A$313,0),MATCH(P$5,'TERMINAL CURVES'!$A$4:$N$4,0))-INDEX(terminal_curves,MATCH(L295,'TERMINAL CURVES'!$A$4:$A$313,0),MATCH(N$6,'TERMINAL CURVES'!$A$4:$N$4,0)))*IF(F295=0,0,H295/F295)))*-F295</f>
        <v>0</v>
      </c>
      <c r="Q295" s="353" t="n">
        <f aca="false">SUM(N295:P295)</f>
        <v>0</v>
      </c>
      <c r="R295" s="357" t="n">
        <f aca="false">(-H295/((HLOOKUP(P$5,port_specs,2,0)/(365.25))*(L296-L295)))*(INDEX(fixed_capacity_charge,MATCH(L295,PORTS!$H$11:$H$317,0),MATCH(P$5,PORTS!$H$11:$N$11,0))+INDEX(variable_om_charge,MATCH(L295,PORTS!$H$318:$H$625,0),MATCH(P$5,PORTS!$H$318:$N$318,0)))</f>
        <v>-0</v>
      </c>
      <c r="S295" s="343" t="n">
        <f aca="false">+R295+Q295</f>
        <v>0</v>
      </c>
      <c r="T295" s="355" t="n">
        <f aca="false">+S295+M295</f>
        <v>0</v>
      </c>
      <c r="V295" s="346" t="n">
        <f aca="false">+DATE(YEAR(V294),MONTH(V294)+1,1)</f>
        <v>45139</v>
      </c>
      <c r="W295" s="327" t="n">
        <f aca="false">+Y295/(1-HLOOKUP(X$6,SHIPS,7,0)*INDEX(LADEN_VOYAGE_DAYS,MATCH(CONCATENATE(X$4,X$5),LADEN_VOYAGE_ROUTES,0),MATCH(X$6,LADEN_VOYAGE_SHIPS,0)))</f>
        <v>0</v>
      </c>
      <c r="X295" s="347" t="n">
        <f aca="false">+Y295-W295</f>
        <v>0</v>
      </c>
      <c r="Y295" s="348" t="n">
        <f aca="false">+IF(AND(X$8&lt;=V295,X$9&gt;=V295),+MIN($B295-SUMIF($H$17:X$17,Y$17,$H295:X295),((INDEX(ROUTE_PER_DAY_BY_SHIP,MATCH(CONCATENATE(X$4,X$5,X$7),ROUTE_PER_DAY_ROUTES,0),MATCH(X$6,ROUTE_PER_DAY_SHIPS,0))*(V296-V295))-(INDEX(ROUTE_PER_DAY_BY_SHIP,MATCH(CONCATENATE(X$4,X$5,X$7),ROUTE_PER_DAY_ROUTES,0),MATCH(X$6,ROUTE_PER_DAY_SHIPS,0))*(V296-V295))*HLOOKUP(X$6,SHIPS,7,0)*INDEX(LADEN_VOYAGE_DAYS,MATCH(CONCATENATE(X$4,X$5,X$7),LADEN_VOYAGE_ROUTES,0),MATCH(X$6,LADEN_VOYAGE_SHIPS,0)))),0)</f>
        <v>0</v>
      </c>
      <c r="Z295" s="349" t="n">
        <f aca="false">-(Y295)*HLOOKUP(X$5,TERMINAL_CHARGES,3,0)</f>
        <v>-0</v>
      </c>
      <c r="AA295" s="327" t="n">
        <f aca="false">+Y295+Z295</f>
        <v>0</v>
      </c>
      <c r="AB295" s="333"/>
      <c r="AC295" s="346" t="n">
        <f aca="false">+DATE(YEAR(AC294),MONTH(AC294)+1,1)</f>
        <v>45139</v>
      </c>
      <c r="AD295" s="343" t="n">
        <f aca="false">+AA295*(VLOOKUP(AC295,CURVECALC!$C$6:$J$312,4,0)+AE$5)</f>
        <v>0</v>
      </c>
      <c r="AE295" s="350" t="n">
        <f aca="false">-W295*INDEX(ship_curves,MATCH(AC295,'SHIP CURVES'!$A$9:$A$316,0),MATCH(CONCATENATE(AG$4,AG$5,AG$6,AG$7),'SHIP CURVES'!$A$9:$AZ$9,0))</f>
        <v>-0</v>
      </c>
      <c r="AF295" s="351" t="n">
        <f aca="false">-Y295*INDEX(port_processing_fee,MATCH(AC295,PORTS!$H$626:$H$933,0),MATCH(AG$5,PORTS!$H$626:$Z$626,0))</f>
        <v>-0</v>
      </c>
      <c r="AG295" s="352" t="n">
        <f aca="false">(((VLOOKUP(AC295,curvecalc,4,0))*IF(W295=0,0,AA295/W295)-INDEX(ship_curves,MATCH(AC295,'SHIP CURVES'!$A$9:$A$316,0),MATCH(CONCATENATE(AG$4,AG$5,AG$6,AG$7),'SHIP CURVES'!$A$9:$Z$9,0))-INDEX(terminal_curves,MATCH(AC295,'TERMINAL CURVES'!$A$4:$A$313,0),MATCH(AG$5,'TERMINAL CURVES'!$A$4:$N$4,0))*IF(W295=0,0,Y295/W295))-(AE$8)*((AE$7-$N$5)-(INDEX(ship_curves,MATCH(AC295,'SHIP CURVES'!$A$9:$A$316,0),MATCH(CONCATENATE(AG$4,AG$5,AG$6,AG$7),'SHIP CURVES'!$A$9:$Z$9,0))-INDEX(ship_curves,MATCH(AC295,'SHIP CURVES'!$A$9:$A$316,0),MATCH(CONCATENATE(AG$4,AE$6,AG$6,AG$7),'SHIP CURVES'!$A$9:$Z$9,0)))-(INDEX(terminal_curves,MATCH(AC295,'TERMINAL CURVES'!$A$4:$A$313,0),MATCH(AG$5,'TERMINAL CURVES'!$A$4:$N$4,0))-INDEX(terminal_curves,MATCH(AC295,'TERMINAL CURVES'!$A$4:$A$313,0),MATCH(AE$6,'TERMINAL CURVES'!$A$4:$N$4,0)))*IF(W295=0,0,Y295/W295)))*-W295</f>
        <v>0</v>
      </c>
      <c r="AH295" s="356" t="n">
        <f aca="false">SUM(AE295:AG295)</f>
        <v>0</v>
      </c>
      <c r="AI295" s="357" t="n">
        <f aca="false">(-Y295/((HLOOKUP(AG$5,port_specs,2,0)/(365.25))*(AC296-AC295)))*(INDEX(fixed_capacity_charge,MATCH(AC295,PORTS!$H$11:$H$317,0),MATCH(AG$5,PORTS!$H$11:$N$11,0))+INDEX(variable_om_charge,MATCH(AC295,PORTS!$H$318:$H$625,0),MATCH(AG$5,PORTS!$H$318:$N$318,0)))</f>
        <v>-0</v>
      </c>
      <c r="AJ295" s="343" t="n">
        <f aca="false">+AI295+AH295</f>
        <v>0</v>
      </c>
      <c r="AK295" s="355" t="n">
        <f aca="false">+AJ295+AD295</f>
        <v>0</v>
      </c>
      <c r="AM295" s="346" t="n">
        <f aca="false">+DATE(YEAR(AM294),MONTH(AM294)+1,1)</f>
        <v>45139</v>
      </c>
      <c r="AN295" s="327" t="n">
        <f aca="false">+AP295/(1-HLOOKUP(AO$6,SHIPS,7,0)*INDEX(LADEN_VOYAGE_DAYS,MATCH(CONCATENATE(AO$4,AO$5),LADEN_VOYAGE_ROUTES,0),MATCH(AO$6,LADEN_VOYAGE_SHIPS,0)))</f>
        <v>0</v>
      </c>
      <c r="AO295" s="347" t="n">
        <f aca="false">+AP295-AN295</f>
        <v>0</v>
      </c>
      <c r="AP295" s="348" t="n">
        <f aca="false">+IF(AND(AO$8&lt;=AM295,AO$9&gt;=AM295),+MIN($B295-SUMIF($H$17:AO$17,AP$17,$H295:AO295),((INDEX(ROUTE_PER_DAY_BY_SHIP,MATCH(CONCATENATE(AO$4,AO$5,AO$7),ROUTE_PER_DAY_ROUTES,0),MATCH(AO$6,ROUTE_PER_DAY_SHIPS,0))*(AM296-AM295))-(INDEX(ROUTE_PER_DAY_BY_SHIP,MATCH(CONCATENATE(AO$4,AO$5,AO$7),ROUTE_PER_DAY_ROUTES,0),MATCH(AO$6,ROUTE_PER_DAY_SHIPS,0))*(AM296-AM295))*HLOOKUP(AO$6,SHIPS,7,0)*INDEX(LADEN_VOYAGE_DAYS,MATCH(CONCATENATE(AO$4,AO$5,AO$7),LADEN_VOYAGE_ROUTES,0),MATCH(AO$6,LADEN_VOYAGE_SHIPS,0)))),0)</f>
        <v>0</v>
      </c>
      <c r="AQ295" s="349" t="n">
        <f aca="false">-(AP295)*PORTS!$I$6</f>
        <v>-0</v>
      </c>
      <c r="AR295" s="327" t="n">
        <f aca="false">+AP295+AQ295</f>
        <v>0</v>
      </c>
      <c r="AS295" s="333"/>
      <c r="AT295" s="346" t="n">
        <f aca="false">+DATE(YEAR(AT294),MONTH(AT294)+1,1)</f>
        <v>45139</v>
      </c>
      <c r="AU295" s="343" t="n">
        <f aca="false">+AR295*(VLOOKUP(AT295,CURVECALC!$C$6:$J$312,4,0)+AV$5)</f>
        <v>0</v>
      </c>
      <c r="AV295" s="350" t="n">
        <f aca="false">-AN295*INDEX(ship_curves,MATCH(AT295,'SHIP CURVES'!$A$9:$A$316,0),MATCH(CONCATENATE(AX$4,AX$5,AX$6,AX$7),'SHIP CURVES'!$A$9:$AZ$9,0))</f>
        <v>-0</v>
      </c>
      <c r="AW295" s="351" t="n">
        <f aca="false">-AP295*INDEX(port_processing_fee,MATCH(AT295,PORTS!$H$626:$H$933,0),MATCH(AX$5,PORTS!$H$626:$Z$626,0))</f>
        <v>-0</v>
      </c>
      <c r="AX295" s="352" t="n">
        <f aca="false">(((VLOOKUP(AT295,curvecalc,4,0))*IF(AN295=0,0,AR295/AN295)-INDEX(ship_curves,MATCH(AT295,'SHIP CURVES'!$A$9:$A$316,0),MATCH(CONCATENATE(AX$4,AX$5,AX$6,AX$7),'SHIP CURVES'!$A$9:$Z$9,0))-INDEX(terminal_curves,MATCH(AT295,'TERMINAL CURVES'!$A$4:$A$313,0),MATCH(AX$5,'TERMINAL CURVES'!$A$4:$N$4,0))*IF(AN295=0,0,AP295/AN295))-(AV$8)*((AV$7-$N$5)-(INDEX(ship_curves,MATCH(AT295,'SHIP CURVES'!$A$9:$A$316,0),MATCH(CONCATENATE(AX$4,AX$5,AX$6,AX$7),'SHIP CURVES'!$A$9:$Z$9,0))-INDEX(ship_curves,MATCH(AT295,'SHIP CURVES'!$A$9:$A$316,0),MATCH(CONCATENATE(AX$4,AV$6,AX$6,AX$7),'SHIP CURVES'!$A$9:$Z$9,0)))-(INDEX(terminal_curves,MATCH(AT295,'TERMINAL CURVES'!$A$4:$A$313,0),MATCH(AX$5,'TERMINAL CURVES'!$A$4:$N$4,0))-INDEX(terminal_curves,MATCH(AT295,'TERMINAL CURVES'!$A$4:$A$313,0),MATCH(AV$6,'TERMINAL CURVES'!$A$4:$N$4,0)))*IF(AN295=0,0,AP295/AN295)))*-AN295</f>
        <v>0</v>
      </c>
      <c r="AY295" s="356" t="n">
        <f aca="false">SUM(AV295:AX295)</f>
        <v>0</v>
      </c>
      <c r="AZ295" s="357" t="n">
        <f aca="false">(-AP295/((HLOOKUP(AX$5,port_specs,2,0)/(365.25))*(AT296-AT295)))*(INDEX(fixed_capacity_charge,MATCH(AT295,PORTS!$H$11:$H$317,0),MATCH(AX$5,PORTS!$H$11:$N$11,0))+INDEX(variable_om_charge,MATCH(AT295,PORTS!$H$318:$H$625,0),MATCH(AX$5,PORTS!$H$318:$N$318,0)))</f>
        <v>-0</v>
      </c>
      <c r="BA295" s="343" t="n">
        <f aca="false">+AZ295+AY295</f>
        <v>0</v>
      </c>
      <c r="BB295" s="355" t="n">
        <f aca="false">+BA295+AU295</f>
        <v>0</v>
      </c>
      <c r="BC295" s="99"/>
      <c r="BD295" s="357" t="n">
        <f aca="false">+PORTS!I289+PORTS!I597</f>
        <v>0</v>
      </c>
    </row>
    <row r="296" customFormat="false" ht="12.75" hidden="false" customHeight="false" outlineLevel="0" collapsed="false">
      <c r="A296" s="346" t="n">
        <f aca="false">+DATE(YEAR(A295),MONTH(A295)+1,1)</f>
        <v>45170</v>
      </c>
      <c r="B296" s="327" t="n">
        <f aca="false">+IF(AND($A296&gt;=$C$8,$A296&lt;=$C$9),1,0)*PORTS!$I$5/(365.25)*(A297-A296)</f>
        <v>0</v>
      </c>
      <c r="C296" s="328" t="n">
        <f aca="false">+B296-(SUMIF($F$17:$IV$17,$H$17,$F296:$IV296))</f>
        <v>0</v>
      </c>
      <c r="D296" s="0" t="n">
        <f aca="false">+YEAR(E296)</f>
        <v>2023</v>
      </c>
      <c r="E296" s="346" t="n">
        <f aca="false">+DATE(YEAR(E295),MONTH(E295)+1,1)</f>
        <v>45170</v>
      </c>
      <c r="F296" s="327" t="n">
        <f aca="false">+IF(AND(G$8&lt;=E296,G$9&gt;=E296),INDEX(ROUTE_PER_DAY_BY_SHIP,MATCH(CONCATENATE(G$4,G$5,G$7),ROUTE_PER_DAY_ROUTES,0),MATCH(G$6,ROUTE_PER_DAY_SHIPS,0))*(E297-E296),0)</f>
        <v>0</v>
      </c>
      <c r="G296" s="347" t="n">
        <f aca="false">-F296*HLOOKUP(G$6,SHIPS,7,0)*INDEX(LADEN_VOYAGE_DAYS,MATCH(CONCATENATE(G$4,G$5,G$7),LADEN_VOYAGE_ROUTES,0),MATCH(G$6,LADEN_VOYAGE_SHIPS,0))</f>
        <v>-0</v>
      </c>
      <c r="H296" s="348" t="n">
        <f aca="false">SUM(F296:G296)</f>
        <v>0</v>
      </c>
      <c r="I296" s="349" t="n">
        <f aca="false">-(H296)*HLOOKUP(G$5,TERMINAL_CHARGES,3,0)</f>
        <v>-0</v>
      </c>
      <c r="J296" s="327" t="n">
        <f aca="false">+H296+I296</f>
        <v>0</v>
      </c>
      <c r="K296" s="333"/>
      <c r="L296" s="346" t="n">
        <f aca="false">+DATE(YEAR(L295),MONTH(L295)+1,1)</f>
        <v>45170</v>
      </c>
      <c r="M296" s="334" t="n">
        <f aca="false">+J296*(VLOOKUP(L296,CURVECALC!$C$6:$J$312,4,0)+N$5)</f>
        <v>0</v>
      </c>
      <c r="N296" s="350" t="n">
        <f aca="false">-F296*INDEX(ship_curves,MATCH(L296,'SHIP CURVES'!$A$9:$A$316,0),MATCH(CONCATENATE(P$4,P$5,P$6,P$7),'SHIP CURVES'!$A$9:$AZ$9,0))</f>
        <v>-0</v>
      </c>
      <c r="O296" s="351" t="n">
        <f aca="false">-H296*INDEX(port_processing_fee,MATCH(L296,PORTS!$H$626:$H$933,0),MATCH(P$5,PORTS!$H$626:$Z$626,0))</f>
        <v>-0</v>
      </c>
      <c r="P296" s="352" t="n">
        <f aca="false">(((VLOOKUP(L296,curvecalc,4,0))*IF(F296=0,0,J296/F296)-INDEX(ship_curves,MATCH(L296,'SHIP CURVES'!$A$9:$A$316,0),MATCH(CONCATENATE(P$4,P$5,P$6,P$7),'SHIP CURVES'!$A$9:$Z$9,0))-INDEX(terminal_curves,MATCH(L296,'TERMINAL CURVES'!$A$4:$A$313,0),MATCH(P$5,'TERMINAL CURVES'!$A$4:$N$4,0))*IF(F296=0,0,H296/F296))-(N$8)*((N$7-$N$5)-(INDEX(ship_curves,MATCH(L296,'SHIP CURVES'!$A$9:$A$316,0),MATCH(CONCATENATE(P$4,P$5,P$6,P$7),'SHIP CURVES'!$A$9:$Z$9,0))-INDEX(ship_curves,MATCH(L296,'SHIP CURVES'!$A$9:$A$316,0),MATCH(CONCATENATE(P$4,N$6,P$6,P$7),'SHIP CURVES'!$A$9:$Z$9,0)))-(INDEX(terminal_curves,MATCH(L296,'TERMINAL CURVES'!$A$4:$A$313,0),MATCH(P$5,'TERMINAL CURVES'!$A$4:$N$4,0))-INDEX(terminal_curves,MATCH(L296,'TERMINAL CURVES'!$A$4:$A$313,0),MATCH(N$6,'TERMINAL CURVES'!$A$4:$N$4,0)))*IF(F296=0,0,H296/F296)))*-F296</f>
        <v>0</v>
      </c>
      <c r="Q296" s="353" t="n">
        <f aca="false">SUM(N296:P296)</f>
        <v>0</v>
      </c>
      <c r="R296" s="357" t="n">
        <f aca="false">(-H296/((HLOOKUP(P$5,port_specs,2,0)/(365.25))*(L297-L296)))*(INDEX(fixed_capacity_charge,MATCH(L296,PORTS!$H$11:$H$317,0),MATCH(P$5,PORTS!$H$11:$N$11,0))+INDEX(variable_om_charge,MATCH(L296,PORTS!$H$318:$H$625,0),MATCH(P$5,PORTS!$H$318:$N$318,0)))</f>
        <v>-0</v>
      </c>
      <c r="S296" s="343" t="n">
        <f aca="false">+R296+Q296</f>
        <v>0</v>
      </c>
      <c r="T296" s="355" t="n">
        <f aca="false">+S296+M296</f>
        <v>0</v>
      </c>
      <c r="V296" s="346" t="n">
        <f aca="false">+DATE(YEAR(V295),MONTH(V295)+1,1)</f>
        <v>45170</v>
      </c>
      <c r="W296" s="327" t="n">
        <f aca="false">+Y296/(1-HLOOKUP(X$6,SHIPS,7,0)*INDEX(LADEN_VOYAGE_DAYS,MATCH(CONCATENATE(X$4,X$5),LADEN_VOYAGE_ROUTES,0),MATCH(X$6,LADEN_VOYAGE_SHIPS,0)))</f>
        <v>0</v>
      </c>
      <c r="X296" s="347" t="n">
        <f aca="false">+Y296-W296</f>
        <v>0</v>
      </c>
      <c r="Y296" s="348" t="n">
        <f aca="false">+IF(AND(X$8&lt;=V296,X$9&gt;=V296),+MIN($B296-SUMIF($H$17:X$17,Y$17,$H296:X296),((INDEX(ROUTE_PER_DAY_BY_SHIP,MATCH(CONCATENATE(X$4,X$5,X$7),ROUTE_PER_DAY_ROUTES,0),MATCH(X$6,ROUTE_PER_DAY_SHIPS,0))*(V297-V296))-(INDEX(ROUTE_PER_DAY_BY_SHIP,MATCH(CONCATENATE(X$4,X$5,X$7),ROUTE_PER_DAY_ROUTES,0),MATCH(X$6,ROUTE_PER_DAY_SHIPS,0))*(V297-V296))*HLOOKUP(X$6,SHIPS,7,0)*INDEX(LADEN_VOYAGE_DAYS,MATCH(CONCATENATE(X$4,X$5,X$7),LADEN_VOYAGE_ROUTES,0),MATCH(X$6,LADEN_VOYAGE_SHIPS,0)))),0)</f>
        <v>0</v>
      </c>
      <c r="Z296" s="349" t="n">
        <f aca="false">-(Y296)*HLOOKUP(X$5,TERMINAL_CHARGES,3,0)</f>
        <v>-0</v>
      </c>
      <c r="AA296" s="327" t="n">
        <f aca="false">+Y296+Z296</f>
        <v>0</v>
      </c>
      <c r="AB296" s="333"/>
      <c r="AC296" s="346" t="n">
        <f aca="false">+DATE(YEAR(AC295),MONTH(AC295)+1,1)</f>
        <v>45170</v>
      </c>
      <c r="AD296" s="343" t="n">
        <f aca="false">+AA296*(VLOOKUP(AC296,CURVECALC!$C$6:$J$312,4,0)+AE$5)</f>
        <v>0</v>
      </c>
      <c r="AE296" s="350" t="n">
        <f aca="false">-W296*INDEX(ship_curves,MATCH(AC296,'SHIP CURVES'!$A$9:$A$316,0),MATCH(CONCATENATE(AG$4,AG$5,AG$6,AG$7),'SHIP CURVES'!$A$9:$AZ$9,0))</f>
        <v>-0</v>
      </c>
      <c r="AF296" s="351" t="n">
        <f aca="false">-Y296*INDEX(port_processing_fee,MATCH(AC296,PORTS!$H$626:$H$933,0),MATCH(AG$5,PORTS!$H$626:$Z$626,0))</f>
        <v>-0</v>
      </c>
      <c r="AG296" s="352" t="n">
        <f aca="false">(((VLOOKUP(AC296,curvecalc,4,0))*IF(W296=0,0,AA296/W296)-INDEX(ship_curves,MATCH(AC296,'SHIP CURVES'!$A$9:$A$316,0),MATCH(CONCATENATE(AG$4,AG$5,AG$6,AG$7),'SHIP CURVES'!$A$9:$Z$9,0))-INDEX(terminal_curves,MATCH(AC296,'TERMINAL CURVES'!$A$4:$A$313,0),MATCH(AG$5,'TERMINAL CURVES'!$A$4:$N$4,0))*IF(W296=0,0,Y296/W296))-(AE$8)*((AE$7-$N$5)-(INDEX(ship_curves,MATCH(AC296,'SHIP CURVES'!$A$9:$A$316,0),MATCH(CONCATENATE(AG$4,AG$5,AG$6,AG$7),'SHIP CURVES'!$A$9:$Z$9,0))-INDEX(ship_curves,MATCH(AC296,'SHIP CURVES'!$A$9:$A$316,0),MATCH(CONCATENATE(AG$4,AE$6,AG$6,AG$7),'SHIP CURVES'!$A$9:$Z$9,0)))-(INDEX(terminal_curves,MATCH(AC296,'TERMINAL CURVES'!$A$4:$A$313,0),MATCH(AG$5,'TERMINAL CURVES'!$A$4:$N$4,0))-INDEX(terminal_curves,MATCH(AC296,'TERMINAL CURVES'!$A$4:$A$313,0),MATCH(AE$6,'TERMINAL CURVES'!$A$4:$N$4,0)))*IF(W296=0,0,Y296/W296)))*-W296</f>
        <v>0</v>
      </c>
      <c r="AH296" s="356" t="n">
        <f aca="false">SUM(AE296:AG296)</f>
        <v>0</v>
      </c>
      <c r="AI296" s="357" t="n">
        <f aca="false">(-Y296/((HLOOKUP(AG$5,port_specs,2,0)/(365.25))*(AC297-AC296)))*(INDEX(fixed_capacity_charge,MATCH(AC296,PORTS!$H$11:$H$317,0),MATCH(AG$5,PORTS!$H$11:$N$11,0))+INDEX(variable_om_charge,MATCH(AC296,PORTS!$H$318:$H$625,0),MATCH(AG$5,PORTS!$H$318:$N$318,0)))</f>
        <v>-0</v>
      </c>
      <c r="AJ296" s="343" t="n">
        <f aca="false">+AI296+AH296</f>
        <v>0</v>
      </c>
      <c r="AK296" s="355" t="n">
        <f aca="false">+AJ296+AD296</f>
        <v>0</v>
      </c>
      <c r="AM296" s="346" t="n">
        <f aca="false">+DATE(YEAR(AM295),MONTH(AM295)+1,1)</f>
        <v>45170</v>
      </c>
      <c r="AN296" s="327" t="n">
        <f aca="false">+AP296/(1-HLOOKUP(AO$6,SHIPS,7,0)*INDEX(LADEN_VOYAGE_DAYS,MATCH(CONCATENATE(AO$4,AO$5),LADEN_VOYAGE_ROUTES,0),MATCH(AO$6,LADEN_VOYAGE_SHIPS,0)))</f>
        <v>0</v>
      </c>
      <c r="AO296" s="347" t="n">
        <f aca="false">+AP296-AN296</f>
        <v>0</v>
      </c>
      <c r="AP296" s="348" t="n">
        <f aca="false">+IF(AND(AO$8&lt;=AM296,AO$9&gt;=AM296),+MIN($B296-SUMIF($H$17:AO$17,AP$17,$H296:AO296),((INDEX(ROUTE_PER_DAY_BY_SHIP,MATCH(CONCATENATE(AO$4,AO$5,AO$7),ROUTE_PER_DAY_ROUTES,0),MATCH(AO$6,ROUTE_PER_DAY_SHIPS,0))*(AM297-AM296))-(INDEX(ROUTE_PER_DAY_BY_SHIP,MATCH(CONCATENATE(AO$4,AO$5,AO$7),ROUTE_PER_DAY_ROUTES,0),MATCH(AO$6,ROUTE_PER_DAY_SHIPS,0))*(AM297-AM296))*HLOOKUP(AO$6,SHIPS,7,0)*INDEX(LADEN_VOYAGE_DAYS,MATCH(CONCATENATE(AO$4,AO$5,AO$7),LADEN_VOYAGE_ROUTES,0),MATCH(AO$6,LADEN_VOYAGE_SHIPS,0)))),0)</f>
        <v>0</v>
      </c>
      <c r="AQ296" s="349" t="n">
        <f aca="false">-(AP296)*PORTS!$I$6</f>
        <v>-0</v>
      </c>
      <c r="AR296" s="327" t="n">
        <f aca="false">+AP296+AQ296</f>
        <v>0</v>
      </c>
      <c r="AS296" s="333"/>
      <c r="AT296" s="346" t="n">
        <f aca="false">+DATE(YEAR(AT295),MONTH(AT295)+1,1)</f>
        <v>45170</v>
      </c>
      <c r="AU296" s="343" t="n">
        <f aca="false">+AR296*(VLOOKUP(AT296,CURVECALC!$C$6:$J$312,4,0)+AV$5)</f>
        <v>0</v>
      </c>
      <c r="AV296" s="350" t="n">
        <f aca="false">-AN296*INDEX(ship_curves,MATCH(AT296,'SHIP CURVES'!$A$9:$A$316,0),MATCH(CONCATENATE(AX$4,AX$5,AX$6,AX$7),'SHIP CURVES'!$A$9:$AZ$9,0))</f>
        <v>-0</v>
      </c>
      <c r="AW296" s="351" t="n">
        <f aca="false">-AP296*INDEX(port_processing_fee,MATCH(AT296,PORTS!$H$626:$H$933,0),MATCH(AX$5,PORTS!$H$626:$Z$626,0))</f>
        <v>-0</v>
      </c>
      <c r="AX296" s="352" t="n">
        <f aca="false">(((VLOOKUP(AT296,curvecalc,4,0))*IF(AN296=0,0,AR296/AN296)-INDEX(ship_curves,MATCH(AT296,'SHIP CURVES'!$A$9:$A$316,0),MATCH(CONCATENATE(AX$4,AX$5,AX$6,AX$7),'SHIP CURVES'!$A$9:$Z$9,0))-INDEX(terminal_curves,MATCH(AT296,'TERMINAL CURVES'!$A$4:$A$313,0),MATCH(AX$5,'TERMINAL CURVES'!$A$4:$N$4,0))*IF(AN296=0,0,AP296/AN296))-(AV$8)*((AV$7-$N$5)-(INDEX(ship_curves,MATCH(AT296,'SHIP CURVES'!$A$9:$A$316,0),MATCH(CONCATENATE(AX$4,AX$5,AX$6,AX$7),'SHIP CURVES'!$A$9:$Z$9,0))-INDEX(ship_curves,MATCH(AT296,'SHIP CURVES'!$A$9:$A$316,0),MATCH(CONCATENATE(AX$4,AV$6,AX$6,AX$7),'SHIP CURVES'!$A$9:$Z$9,0)))-(INDEX(terminal_curves,MATCH(AT296,'TERMINAL CURVES'!$A$4:$A$313,0),MATCH(AX$5,'TERMINAL CURVES'!$A$4:$N$4,0))-INDEX(terminal_curves,MATCH(AT296,'TERMINAL CURVES'!$A$4:$A$313,0),MATCH(AV$6,'TERMINAL CURVES'!$A$4:$N$4,0)))*IF(AN296=0,0,AP296/AN296)))*-AN296</f>
        <v>0</v>
      </c>
      <c r="AY296" s="356" t="n">
        <f aca="false">SUM(AV296:AX296)</f>
        <v>0</v>
      </c>
      <c r="AZ296" s="357" t="n">
        <f aca="false">(-AP296/((HLOOKUP(AX$5,port_specs,2,0)/(365.25))*(AT297-AT296)))*(INDEX(fixed_capacity_charge,MATCH(AT296,PORTS!$H$11:$H$317,0),MATCH(AX$5,PORTS!$H$11:$N$11,0))+INDEX(variable_om_charge,MATCH(AT296,PORTS!$H$318:$H$625,0),MATCH(AX$5,PORTS!$H$318:$N$318,0)))</f>
        <v>-0</v>
      </c>
      <c r="BA296" s="343" t="n">
        <f aca="false">+AZ296+AY296</f>
        <v>0</v>
      </c>
      <c r="BB296" s="355" t="n">
        <f aca="false">+BA296+AU296</f>
        <v>0</v>
      </c>
      <c r="BC296" s="99"/>
      <c r="BD296" s="357" t="n">
        <f aca="false">+PORTS!I290+PORTS!I598</f>
        <v>0</v>
      </c>
    </row>
    <row r="297" customFormat="false" ht="12.75" hidden="false" customHeight="false" outlineLevel="0" collapsed="false">
      <c r="A297" s="346" t="n">
        <f aca="false">+DATE(YEAR(A296),MONTH(A296)+1,1)</f>
        <v>45200</v>
      </c>
      <c r="B297" s="327" t="n">
        <f aca="false">+IF(AND($A297&gt;=$C$8,$A297&lt;=$C$9),1,0)*PORTS!$I$5/(365.25)*(A298-A297)</f>
        <v>0</v>
      </c>
      <c r="C297" s="328" t="n">
        <f aca="false">+B297-(SUMIF($F$17:$IV$17,$H$17,$F297:$IV297))</f>
        <v>0</v>
      </c>
      <c r="D297" s="0" t="n">
        <f aca="false">+YEAR(E297)</f>
        <v>2023</v>
      </c>
      <c r="E297" s="346" t="n">
        <f aca="false">+DATE(YEAR(E296),MONTH(E296)+1,1)</f>
        <v>45200</v>
      </c>
      <c r="F297" s="327" t="n">
        <f aca="false">+IF(AND(G$8&lt;=E297,G$9&gt;=E297),INDEX(ROUTE_PER_DAY_BY_SHIP,MATCH(CONCATENATE(G$4,G$5,G$7),ROUTE_PER_DAY_ROUTES,0),MATCH(G$6,ROUTE_PER_DAY_SHIPS,0))*(E298-E297),0)</f>
        <v>0</v>
      </c>
      <c r="G297" s="347" t="n">
        <f aca="false">-F297*HLOOKUP(G$6,SHIPS,7,0)*INDEX(LADEN_VOYAGE_DAYS,MATCH(CONCATENATE(G$4,G$5,G$7),LADEN_VOYAGE_ROUTES,0),MATCH(G$6,LADEN_VOYAGE_SHIPS,0))</f>
        <v>-0</v>
      </c>
      <c r="H297" s="348" t="n">
        <f aca="false">SUM(F297:G297)</f>
        <v>0</v>
      </c>
      <c r="I297" s="349" t="n">
        <f aca="false">-(H297)*HLOOKUP(G$5,TERMINAL_CHARGES,3,0)</f>
        <v>-0</v>
      </c>
      <c r="J297" s="327" t="n">
        <f aca="false">+H297+I297</f>
        <v>0</v>
      </c>
      <c r="K297" s="333"/>
      <c r="L297" s="346" t="n">
        <f aca="false">+DATE(YEAR(L296),MONTH(L296)+1,1)</f>
        <v>45200</v>
      </c>
      <c r="M297" s="334" t="n">
        <f aca="false">+J297*(VLOOKUP(L297,CURVECALC!$C$6:$J$312,4,0)+N$5)</f>
        <v>0</v>
      </c>
      <c r="N297" s="350" t="n">
        <f aca="false">-F297*INDEX(ship_curves,MATCH(L297,'SHIP CURVES'!$A$9:$A$316,0),MATCH(CONCATENATE(P$4,P$5,P$6,P$7),'SHIP CURVES'!$A$9:$AZ$9,0))</f>
        <v>-0</v>
      </c>
      <c r="O297" s="351" t="n">
        <f aca="false">-H297*INDEX(port_processing_fee,MATCH(L297,PORTS!$H$626:$H$933,0),MATCH(P$5,PORTS!$H$626:$Z$626,0))</f>
        <v>-0</v>
      </c>
      <c r="P297" s="352" t="n">
        <f aca="false">(((VLOOKUP(L297,curvecalc,4,0))*IF(F297=0,0,J297/F297)-INDEX(ship_curves,MATCH(L297,'SHIP CURVES'!$A$9:$A$316,0),MATCH(CONCATENATE(P$4,P$5,P$6,P$7),'SHIP CURVES'!$A$9:$Z$9,0))-INDEX(terminal_curves,MATCH(L297,'TERMINAL CURVES'!$A$4:$A$313,0),MATCH(P$5,'TERMINAL CURVES'!$A$4:$N$4,0))*IF(F297=0,0,H297/F297))-(N$8)*((N$7-$N$5)-(INDEX(ship_curves,MATCH(L297,'SHIP CURVES'!$A$9:$A$316,0),MATCH(CONCATENATE(P$4,P$5,P$6,P$7),'SHIP CURVES'!$A$9:$Z$9,0))-INDEX(ship_curves,MATCH(L297,'SHIP CURVES'!$A$9:$A$316,0),MATCH(CONCATENATE(P$4,N$6,P$6,P$7),'SHIP CURVES'!$A$9:$Z$9,0)))-(INDEX(terminal_curves,MATCH(L297,'TERMINAL CURVES'!$A$4:$A$313,0),MATCH(P$5,'TERMINAL CURVES'!$A$4:$N$4,0))-INDEX(terminal_curves,MATCH(L297,'TERMINAL CURVES'!$A$4:$A$313,0),MATCH(N$6,'TERMINAL CURVES'!$A$4:$N$4,0)))*IF(F297=0,0,H297/F297)))*-F297</f>
        <v>0</v>
      </c>
      <c r="Q297" s="353" t="n">
        <f aca="false">SUM(N297:P297)</f>
        <v>0</v>
      </c>
      <c r="R297" s="357" t="n">
        <f aca="false">(-H297/((HLOOKUP(P$5,port_specs,2,0)/(365.25))*(L298-L297)))*(INDEX(fixed_capacity_charge,MATCH(L297,PORTS!$H$11:$H$317,0),MATCH(P$5,PORTS!$H$11:$N$11,0))+INDEX(variable_om_charge,MATCH(L297,PORTS!$H$318:$H$625,0),MATCH(P$5,PORTS!$H$318:$N$318,0)))</f>
        <v>-0</v>
      </c>
      <c r="S297" s="343" t="n">
        <f aca="false">+R297+Q297</f>
        <v>0</v>
      </c>
      <c r="T297" s="355" t="n">
        <f aca="false">+S297+M297</f>
        <v>0</v>
      </c>
      <c r="V297" s="346" t="n">
        <f aca="false">+DATE(YEAR(V296),MONTH(V296)+1,1)</f>
        <v>45200</v>
      </c>
      <c r="W297" s="327" t="n">
        <f aca="false">+Y297/(1-HLOOKUP(X$6,SHIPS,7,0)*INDEX(LADEN_VOYAGE_DAYS,MATCH(CONCATENATE(X$4,X$5),LADEN_VOYAGE_ROUTES,0),MATCH(X$6,LADEN_VOYAGE_SHIPS,0)))</f>
        <v>0</v>
      </c>
      <c r="X297" s="347" t="n">
        <f aca="false">+Y297-W297</f>
        <v>0</v>
      </c>
      <c r="Y297" s="348" t="n">
        <f aca="false">+IF(AND(X$8&lt;=V297,X$9&gt;=V297),+MIN($B297-SUMIF($H$17:X$17,Y$17,$H297:X297),((INDEX(ROUTE_PER_DAY_BY_SHIP,MATCH(CONCATENATE(X$4,X$5,X$7),ROUTE_PER_DAY_ROUTES,0),MATCH(X$6,ROUTE_PER_DAY_SHIPS,0))*(V298-V297))-(INDEX(ROUTE_PER_DAY_BY_SHIP,MATCH(CONCATENATE(X$4,X$5,X$7),ROUTE_PER_DAY_ROUTES,0),MATCH(X$6,ROUTE_PER_DAY_SHIPS,0))*(V298-V297))*HLOOKUP(X$6,SHIPS,7,0)*INDEX(LADEN_VOYAGE_DAYS,MATCH(CONCATENATE(X$4,X$5,X$7),LADEN_VOYAGE_ROUTES,0),MATCH(X$6,LADEN_VOYAGE_SHIPS,0)))),0)</f>
        <v>0</v>
      </c>
      <c r="Z297" s="349" t="n">
        <f aca="false">-(Y297)*HLOOKUP(X$5,TERMINAL_CHARGES,3,0)</f>
        <v>-0</v>
      </c>
      <c r="AA297" s="327" t="n">
        <f aca="false">+Y297+Z297</f>
        <v>0</v>
      </c>
      <c r="AB297" s="333"/>
      <c r="AC297" s="346" t="n">
        <f aca="false">+DATE(YEAR(AC296),MONTH(AC296)+1,1)</f>
        <v>45200</v>
      </c>
      <c r="AD297" s="343" t="n">
        <f aca="false">+AA297*(VLOOKUP(AC297,CURVECALC!$C$6:$J$312,4,0)+AE$5)</f>
        <v>0</v>
      </c>
      <c r="AE297" s="350" t="n">
        <f aca="false">-W297*INDEX(ship_curves,MATCH(AC297,'SHIP CURVES'!$A$9:$A$316,0),MATCH(CONCATENATE(AG$4,AG$5,AG$6,AG$7),'SHIP CURVES'!$A$9:$AZ$9,0))</f>
        <v>-0</v>
      </c>
      <c r="AF297" s="351" t="n">
        <f aca="false">-Y297*INDEX(port_processing_fee,MATCH(AC297,PORTS!$H$626:$H$933,0),MATCH(AG$5,PORTS!$H$626:$Z$626,0))</f>
        <v>-0</v>
      </c>
      <c r="AG297" s="352" t="n">
        <f aca="false">(((VLOOKUP(AC297,curvecalc,4,0))*IF(W297=0,0,AA297/W297)-INDEX(ship_curves,MATCH(AC297,'SHIP CURVES'!$A$9:$A$316,0),MATCH(CONCATENATE(AG$4,AG$5,AG$6,AG$7),'SHIP CURVES'!$A$9:$Z$9,0))-INDEX(terminal_curves,MATCH(AC297,'TERMINAL CURVES'!$A$4:$A$313,0),MATCH(AG$5,'TERMINAL CURVES'!$A$4:$N$4,0))*IF(W297=0,0,Y297/W297))-(AE$8)*((AE$7-$N$5)-(INDEX(ship_curves,MATCH(AC297,'SHIP CURVES'!$A$9:$A$316,0),MATCH(CONCATENATE(AG$4,AG$5,AG$6,AG$7),'SHIP CURVES'!$A$9:$Z$9,0))-INDEX(ship_curves,MATCH(AC297,'SHIP CURVES'!$A$9:$A$316,0),MATCH(CONCATENATE(AG$4,AE$6,AG$6,AG$7),'SHIP CURVES'!$A$9:$Z$9,0)))-(INDEX(terminal_curves,MATCH(AC297,'TERMINAL CURVES'!$A$4:$A$313,0),MATCH(AG$5,'TERMINAL CURVES'!$A$4:$N$4,0))-INDEX(terminal_curves,MATCH(AC297,'TERMINAL CURVES'!$A$4:$A$313,0),MATCH(AE$6,'TERMINAL CURVES'!$A$4:$N$4,0)))*IF(W297=0,0,Y297/W297)))*-W297</f>
        <v>0</v>
      </c>
      <c r="AH297" s="356" t="n">
        <f aca="false">SUM(AE297:AG297)</f>
        <v>0</v>
      </c>
      <c r="AI297" s="357" t="n">
        <f aca="false">(-Y297/((HLOOKUP(AG$5,port_specs,2,0)/(365.25))*(AC298-AC297)))*(INDEX(fixed_capacity_charge,MATCH(AC297,PORTS!$H$11:$H$317,0),MATCH(AG$5,PORTS!$H$11:$N$11,0))+INDEX(variable_om_charge,MATCH(AC297,PORTS!$H$318:$H$625,0),MATCH(AG$5,PORTS!$H$318:$N$318,0)))</f>
        <v>-0</v>
      </c>
      <c r="AJ297" s="343" t="n">
        <f aca="false">+AI297+AH297</f>
        <v>0</v>
      </c>
      <c r="AK297" s="355" t="n">
        <f aca="false">+AJ297+AD297</f>
        <v>0</v>
      </c>
      <c r="AM297" s="346" t="n">
        <f aca="false">+DATE(YEAR(AM296),MONTH(AM296)+1,1)</f>
        <v>45200</v>
      </c>
      <c r="AN297" s="327" t="n">
        <f aca="false">+AP297/(1-HLOOKUP(AO$6,SHIPS,7,0)*INDEX(LADEN_VOYAGE_DAYS,MATCH(CONCATENATE(AO$4,AO$5),LADEN_VOYAGE_ROUTES,0),MATCH(AO$6,LADEN_VOYAGE_SHIPS,0)))</f>
        <v>0</v>
      </c>
      <c r="AO297" s="347" t="n">
        <f aca="false">+AP297-AN297</f>
        <v>0</v>
      </c>
      <c r="AP297" s="348" t="n">
        <f aca="false">+IF(AND(AO$8&lt;=AM297,AO$9&gt;=AM297),+MIN($B297-SUMIF($H$17:AO$17,AP$17,$H297:AO297),((INDEX(ROUTE_PER_DAY_BY_SHIP,MATCH(CONCATENATE(AO$4,AO$5,AO$7),ROUTE_PER_DAY_ROUTES,0),MATCH(AO$6,ROUTE_PER_DAY_SHIPS,0))*(AM298-AM297))-(INDEX(ROUTE_PER_DAY_BY_SHIP,MATCH(CONCATENATE(AO$4,AO$5,AO$7),ROUTE_PER_DAY_ROUTES,0),MATCH(AO$6,ROUTE_PER_DAY_SHIPS,0))*(AM298-AM297))*HLOOKUP(AO$6,SHIPS,7,0)*INDEX(LADEN_VOYAGE_DAYS,MATCH(CONCATENATE(AO$4,AO$5,AO$7),LADEN_VOYAGE_ROUTES,0),MATCH(AO$6,LADEN_VOYAGE_SHIPS,0)))),0)</f>
        <v>0</v>
      </c>
      <c r="AQ297" s="349" t="n">
        <f aca="false">-(AP297)*PORTS!$I$6</f>
        <v>-0</v>
      </c>
      <c r="AR297" s="327" t="n">
        <f aca="false">+AP297+AQ297</f>
        <v>0</v>
      </c>
      <c r="AS297" s="333"/>
      <c r="AT297" s="346" t="n">
        <f aca="false">+DATE(YEAR(AT296),MONTH(AT296)+1,1)</f>
        <v>45200</v>
      </c>
      <c r="AU297" s="343" t="n">
        <f aca="false">+AR297*(VLOOKUP(AT297,CURVECALC!$C$6:$J$312,4,0)+AV$5)</f>
        <v>0</v>
      </c>
      <c r="AV297" s="350" t="n">
        <f aca="false">-AN297*INDEX(ship_curves,MATCH(AT297,'SHIP CURVES'!$A$9:$A$316,0),MATCH(CONCATENATE(AX$4,AX$5,AX$6,AX$7),'SHIP CURVES'!$A$9:$AZ$9,0))</f>
        <v>-0</v>
      </c>
      <c r="AW297" s="351" t="n">
        <f aca="false">-AP297*INDEX(port_processing_fee,MATCH(AT297,PORTS!$H$626:$H$933,0),MATCH(AX$5,PORTS!$H$626:$Z$626,0))</f>
        <v>-0</v>
      </c>
      <c r="AX297" s="352" t="n">
        <f aca="false">(((VLOOKUP(AT297,curvecalc,4,0))*IF(AN297=0,0,AR297/AN297)-INDEX(ship_curves,MATCH(AT297,'SHIP CURVES'!$A$9:$A$316,0),MATCH(CONCATENATE(AX$4,AX$5,AX$6,AX$7),'SHIP CURVES'!$A$9:$Z$9,0))-INDEX(terminal_curves,MATCH(AT297,'TERMINAL CURVES'!$A$4:$A$313,0),MATCH(AX$5,'TERMINAL CURVES'!$A$4:$N$4,0))*IF(AN297=0,0,AP297/AN297))-(AV$8)*((AV$7-$N$5)-(INDEX(ship_curves,MATCH(AT297,'SHIP CURVES'!$A$9:$A$316,0),MATCH(CONCATENATE(AX$4,AX$5,AX$6,AX$7),'SHIP CURVES'!$A$9:$Z$9,0))-INDEX(ship_curves,MATCH(AT297,'SHIP CURVES'!$A$9:$A$316,0),MATCH(CONCATENATE(AX$4,AV$6,AX$6,AX$7),'SHIP CURVES'!$A$9:$Z$9,0)))-(INDEX(terminal_curves,MATCH(AT297,'TERMINAL CURVES'!$A$4:$A$313,0),MATCH(AX$5,'TERMINAL CURVES'!$A$4:$N$4,0))-INDEX(terminal_curves,MATCH(AT297,'TERMINAL CURVES'!$A$4:$A$313,0),MATCH(AV$6,'TERMINAL CURVES'!$A$4:$N$4,0)))*IF(AN297=0,0,AP297/AN297)))*-AN297</f>
        <v>0</v>
      </c>
      <c r="AY297" s="356" t="n">
        <f aca="false">SUM(AV297:AX297)</f>
        <v>0</v>
      </c>
      <c r="AZ297" s="357" t="n">
        <f aca="false">(-AP297/((HLOOKUP(AX$5,port_specs,2,0)/(365.25))*(AT298-AT297)))*(INDEX(fixed_capacity_charge,MATCH(AT297,PORTS!$H$11:$H$317,0),MATCH(AX$5,PORTS!$H$11:$N$11,0))+INDEX(variable_om_charge,MATCH(AT297,PORTS!$H$318:$H$625,0),MATCH(AX$5,PORTS!$H$318:$N$318,0)))</f>
        <v>-0</v>
      </c>
      <c r="BA297" s="343" t="n">
        <f aca="false">+AZ297+AY297</f>
        <v>0</v>
      </c>
      <c r="BB297" s="355" t="n">
        <f aca="false">+BA297+AU297</f>
        <v>0</v>
      </c>
      <c r="BC297" s="99"/>
      <c r="BD297" s="357" t="n">
        <f aca="false">+PORTS!I291+PORTS!I599</f>
        <v>0</v>
      </c>
    </row>
    <row r="298" customFormat="false" ht="12.75" hidden="false" customHeight="false" outlineLevel="0" collapsed="false">
      <c r="A298" s="346" t="n">
        <f aca="false">+DATE(YEAR(A297),MONTH(A297)+1,1)</f>
        <v>45231</v>
      </c>
      <c r="B298" s="327" t="n">
        <f aca="false">+IF(AND($A298&gt;=$C$8,$A298&lt;=$C$9),1,0)*PORTS!$I$5/(365.25)*(A299-A298)</f>
        <v>0</v>
      </c>
      <c r="C298" s="328" t="n">
        <f aca="false">+B298-(SUMIF($F$17:$IV$17,$H$17,$F298:$IV298))</f>
        <v>0</v>
      </c>
      <c r="D298" s="0" t="n">
        <f aca="false">+YEAR(E298)</f>
        <v>2023</v>
      </c>
      <c r="E298" s="346" t="n">
        <f aca="false">+DATE(YEAR(E297),MONTH(E297)+1,1)</f>
        <v>45231</v>
      </c>
      <c r="F298" s="327" t="n">
        <f aca="false">+IF(AND(G$8&lt;=E298,G$9&gt;=E298),INDEX(ROUTE_PER_DAY_BY_SHIP,MATCH(CONCATENATE(G$4,G$5,G$7),ROUTE_PER_DAY_ROUTES,0),MATCH(G$6,ROUTE_PER_DAY_SHIPS,0))*(E299-E298),0)</f>
        <v>0</v>
      </c>
      <c r="G298" s="347" t="n">
        <f aca="false">-F298*HLOOKUP(G$6,SHIPS,7,0)*INDEX(LADEN_VOYAGE_DAYS,MATCH(CONCATENATE(G$4,G$5,G$7),LADEN_VOYAGE_ROUTES,0),MATCH(G$6,LADEN_VOYAGE_SHIPS,0))</f>
        <v>-0</v>
      </c>
      <c r="H298" s="348" t="n">
        <f aca="false">SUM(F298:G298)</f>
        <v>0</v>
      </c>
      <c r="I298" s="349" t="n">
        <f aca="false">-(H298)*HLOOKUP(G$5,TERMINAL_CHARGES,3,0)</f>
        <v>-0</v>
      </c>
      <c r="J298" s="327" t="n">
        <f aca="false">+H298+I298</f>
        <v>0</v>
      </c>
      <c r="K298" s="333"/>
      <c r="L298" s="346" t="n">
        <f aca="false">+DATE(YEAR(L297),MONTH(L297)+1,1)</f>
        <v>45231</v>
      </c>
      <c r="M298" s="334" t="n">
        <f aca="false">+J298*(VLOOKUP(L298,CURVECALC!$C$6:$J$312,4,0)+N$5)</f>
        <v>0</v>
      </c>
      <c r="N298" s="350" t="n">
        <f aca="false">-F298*INDEX(ship_curves,MATCH(L298,'SHIP CURVES'!$A$9:$A$316,0),MATCH(CONCATENATE(P$4,P$5,P$6,P$7),'SHIP CURVES'!$A$9:$AZ$9,0))</f>
        <v>-0</v>
      </c>
      <c r="O298" s="351" t="n">
        <f aca="false">-H298*INDEX(port_processing_fee,MATCH(L298,PORTS!$H$626:$H$933,0),MATCH(P$5,PORTS!$H$626:$Z$626,0))</f>
        <v>-0</v>
      </c>
      <c r="P298" s="352" t="n">
        <f aca="false">(((VLOOKUP(L298,curvecalc,4,0))*IF(F298=0,0,J298/F298)-INDEX(ship_curves,MATCH(L298,'SHIP CURVES'!$A$9:$A$316,0),MATCH(CONCATENATE(P$4,P$5,P$6,P$7),'SHIP CURVES'!$A$9:$Z$9,0))-INDEX(terminal_curves,MATCH(L298,'TERMINAL CURVES'!$A$4:$A$313,0),MATCH(P$5,'TERMINAL CURVES'!$A$4:$N$4,0))*IF(F298=0,0,H298/F298))-(N$8)*((N$7-$N$5)-(INDEX(ship_curves,MATCH(L298,'SHIP CURVES'!$A$9:$A$316,0),MATCH(CONCATENATE(P$4,P$5,P$6,P$7),'SHIP CURVES'!$A$9:$Z$9,0))-INDEX(ship_curves,MATCH(L298,'SHIP CURVES'!$A$9:$A$316,0),MATCH(CONCATENATE(P$4,N$6,P$6,P$7),'SHIP CURVES'!$A$9:$Z$9,0)))-(INDEX(terminal_curves,MATCH(L298,'TERMINAL CURVES'!$A$4:$A$313,0),MATCH(P$5,'TERMINAL CURVES'!$A$4:$N$4,0))-INDEX(terminal_curves,MATCH(L298,'TERMINAL CURVES'!$A$4:$A$313,0),MATCH(N$6,'TERMINAL CURVES'!$A$4:$N$4,0)))*IF(F298=0,0,H298/F298)))*-F298</f>
        <v>0</v>
      </c>
      <c r="Q298" s="353" t="n">
        <f aca="false">SUM(N298:P298)</f>
        <v>0</v>
      </c>
      <c r="R298" s="357" t="n">
        <f aca="false">(-H298/((HLOOKUP(P$5,port_specs,2,0)/(365.25))*(L299-L298)))*(INDEX(fixed_capacity_charge,MATCH(L298,PORTS!$H$11:$H$317,0),MATCH(P$5,PORTS!$H$11:$N$11,0))+INDEX(variable_om_charge,MATCH(L298,PORTS!$H$318:$H$625,0),MATCH(P$5,PORTS!$H$318:$N$318,0)))</f>
        <v>-0</v>
      </c>
      <c r="S298" s="343" t="n">
        <f aca="false">+R298+Q298</f>
        <v>0</v>
      </c>
      <c r="T298" s="355" t="n">
        <f aca="false">+S298+M298</f>
        <v>0</v>
      </c>
      <c r="V298" s="346" t="n">
        <f aca="false">+DATE(YEAR(V297),MONTH(V297)+1,1)</f>
        <v>45231</v>
      </c>
      <c r="W298" s="327" t="n">
        <f aca="false">+Y298/(1-HLOOKUP(X$6,SHIPS,7,0)*INDEX(LADEN_VOYAGE_DAYS,MATCH(CONCATENATE(X$4,X$5),LADEN_VOYAGE_ROUTES,0),MATCH(X$6,LADEN_VOYAGE_SHIPS,0)))</f>
        <v>0</v>
      </c>
      <c r="X298" s="347" t="n">
        <f aca="false">+Y298-W298</f>
        <v>0</v>
      </c>
      <c r="Y298" s="348" t="n">
        <f aca="false">+IF(AND(X$8&lt;=V298,X$9&gt;=V298),+MIN($B298-SUMIF($H$17:X$17,Y$17,$H298:X298),((INDEX(ROUTE_PER_DAY_BY_SHIP,MATCH(CONCATENATE(X$4,X$5,X$7),ROUTE_PER_DAY_ROUTES,0),MATCH(X$6,ROUTE_PER_DAY_SHIPS,0))*(V299-V298))-(INDEX(ROUTE_PER_DAY_BY_SHIP,MATCH(CONCATENATE(X$4,X$5,X$7),ROUTE_PER_DAY_ROUTES,0),MATCH(X$6,ROUTE_PER_DAY_SHIPS,0))*(V299-V298))*HLOOKUP(X$6,SHIPS,7,0)*INDEX(LADEN_VOYAGE_DAYS,MATCH(CONCATENATE(X$4,X$5,X$7),LADEN_VOYAGE_ROUTES,0),MATCH(X$6,LADEN_VOYAGE_SHIPS,0)))),0)</f>
        <v>0</v>
      </c>
      <c r="Z298" s="349" t="n">
        <f aca="false">-(Y298)*HLOOKUP(X$5,TERMINAL_CHARGES,3,0)</f>
        <v>-0</v>
      </c>
      <c r="AA298" s="327" t="n">
        <f aca="false">+Y298+Z298</f>
        <v>0</v>
      </c>
      <c r="AB298" s="333"/>
      <c r="AC298" s="346" t="n">
        <f aca="false">+DATE(YEAR(AC297),MONTH(AC297)+1,1)</f>
        <v>45231</v>
      </c>
      <c r="AD298" s="343" t="n">
        <f aca="false">+AA298*(VLOOKUP(AC298,CURVECALC!$C$6:$J$312,4,0)+AE$5)</f>
        <v>0</v>
      </c>
      <c r="AE298" s="350" t="n">
        <f aca="false">-W298*INDEX(ship_curves,MATCH(AC298,'SHIP CURVES'!$A$9:$A$316,0),MATCH(CONCATENATE(AG$4,AG$5,AG$6,AG$7),'SHIP CURVES'!$A$9:$AZ$9,0))</f>
        <v>-0</v>
      </c>
      <c r="AF298" s="351" t="n">
        <f aca="false">-Y298*INDEX(port_processing_fee,MATCH(AC298,PORTS!$H$626:$H$933,0),MATCH(AG$5,PORTS!$H$626:$Z$626,0))</f>
        <v>-0</v>
      </c>
      <c r="AG298" s="352" t="n">
        <f aca="false">(((VLOOKUP(AC298,curvecalc,4,0))*IF(W298=0,0,AA298/W298)-INDEX(ship_curves,MATCH(AC298,'SHIP CURVES'!$A$9:$A$316,0),MATCH(CONCATENATE(AG$4,AG$5,AG$6,AG$7),'SHIP CURVES'!$A$9:$Z$9,0))-INDEX(terminal_curves,MATCH(AC298,'TERMINAL CURVES'!$A$4:$A$313,0),MATCH(AG$5,'TERMINAL CURVES'!$A$4:$N$4,0))*IF(W298=0,0,Y298/W298))-(AE$8)*((AE$7-$N$5)-(INDEX(ship_curves,MATCH(AC298,'SHIP CURVES'!$A$9:$A$316,0),MATCH(CONCATENATE(AG$4,AG$5,AG$6,AG$7),'SHIP CURVES'!$A$9:$Z$9,0))-INDEX(ship_curves,MATCH(AC298,'SHIP CURVES'!$A$9:$A$316,0),MATCH(CONCATENATE(AG$4,AE$6,AG$6,AG$7),'SHIP CURVES'!$A$9:$Z$9,0)))-(INDEX(terminal_curves,MATCH(AC298,'TERMINAL CURVES'!$A$4:$A$313,0),MATCH(AG$5,'TERMINAL CURVES'!$A$4:$N$4,0))-INDEX(terminal_curves,MATCH(AC298,'TERMINAL CURVES'!$A$4:$A$313,0),MATCH(AE$6,'TERMINAL CURVES'!$A$4:$N$4,0)))*IF(W298=0,0,Y298/W298)))*-W298</f>
        <v>0</v>
      </c>
      <c r="AH298" s="356" t="n">
        <f aca="false">SUM(AE298:AG298)</f>
        <v>0</v>
      </c>
      <c r="AI298" s="357" t="n">
        <f aca="false">(-Y298/((HLOOKUP(AG$5,port_specs,2,0)/(365.25))*(AC299-AC298)))*(INDEX(fixed_capacity_charge,MATCH(AC298,PORTS!$H$11:$H$317,0),MATCH(AG$5,PORTS!$H$11:$N$11,0))+INDEX(variable_om_charge,MATCH(AC298,PORTS!$H$318:$H$625,0),MATCH(AG$5,PORTS!$H$318:$N$318,0)))</f>
        <v>-0</v>
      </c>
      <c r="AJ298" s="343" t="n">
        <f aca="false">+AI298+AH298</f>
        <v>0</v>
      </c>
      <c r="AK298" s="355" t="n">
        <f aca="false">+AJ298+AD298</f>
        <v>0</v>
      </c>
      <c r="AM298" s="346" t="n">
        <f aca="false">+DATE(YEAR(AM297),MONTH(AM297)+1,1)</f>
        <v>45231</v>
      </c>
      <c r="AN298" s="327" t="n">
        <f aca="false">+AP298/(1-HLOOKUP(AO$6,SHIPS,7,0)*INDEX(LADEN_VOYAGE_DAYS,MATCH(CONCATENATE(AO$4,AO$5),LADEN_VOYAGE_ROUTES,0),MATCH(AO$6,LADEN_VOYAGE_SHIPS,0)))</f>
        <v>0</v>
      </c>
      <c r="AO298" s="347" t="n">
        <f aca="false">+AP298-AN298</f>
        <v>0</v>
      </c>
      <c r="AP298" s="348" t="n">
        <f aca="false">+IF(AND(AO$8&lt;=AM298,AO$9&gt;=AM298),+MIN($B298-SUMIF($H$17:AO$17,AP$17,$H298:AO298),((INDEX(ROUTE_PER_DAY_BY_SHIP,MATCH(CONCATENATE(AO$4,AO$5,AO$7),ROUTE_PER_DAY_ROUTES,0),MATCH(AO$6,ROUTE_PER_DAY_SHIPS,0))*(AM299-AM298))-(INDEX(ROUTE_PER_DAY_BY_SHIP,MATCH(CONCATENATE(AO$4,AO$5,AO$7),ROUTE_PER_DAY_ROUTES,0),MATCH(AO$6,ROUTE_PER_DAY_SHIPS,0))*(AM299-AM298))*HLOOKUP(AO$6,SHIPS,7,0)*INDEX(LADEN_VOYAGE_DAYS,MATCH(CONCATENATE(AO$4,AO$5,AO$7),LADEN_VOYAGE_ROUTES,0),MATCH(AO$6,LADEN_VOYAGE_SHIPS,0)))),0)</f>
        <v>0</v>
      </c>
      <c r="AQ298" s="349" t="n">
        <f aca="false">-(AP298)*PORTS!$I$6</f>
        <v>-0</v>
      </c>
      <c r="AR298" s="327" t="n">
        <f aca="false">+AP298+AQ298</f>
        <v>0</v>
      </c>
      <c r="AS298" s="333"/>
      <c r="AT298" s="346" t="n">
        <f aca="false">+DATE(YEAR(AT297),MONTH(AT297)+1,1)</f>
        <v>45231</v>
      </c>
      <c r="AU298" s="343" t="n">
        <f aca="false">+AR298*(VLOOKUP(AT298,CURVECALC!$C$6:$J$312,4,0)+AV$5)</f>
        <v>0</v>
      </c>
      <c r="AV298" s="350" t="n">
        <f aca="false">-AN298*INDEX(ship_curves,MATCH(AT298,'SHIP CURVES'!$A$9:$A$316,0),MATCH(CONCATENATE(AX$4,AX$5,AX$6,AX$7),'SHIP CURVES'!$A$9:$AZ$9,0))</f>
        <v>-0</v>
      </c>
      <c r="AW298" s="351" t="n">
        <f aca="false">-AP298*INDEX(port_processing_fee,MATCH(AT298,PORTS!$H$626:$H$933,0),MATCH(AX$5,PORTS!$H$626:$Z$626,0))</f>
        <v>-0</v>
      </c>
      <c r="AX298" s="352" t="n">
        <f aca="false">(((VLOOKUP(AT298,curvecalc,4,0))*IF(AN298=0,0,AR298/AN298)-INDEX(ship_curves,MATCH(AT298,'SHIP CURVES'!$A$9:$A$316,0),MATCH(CONCATENATE(AX$4,AX$5,AX$6,AX$7),'SHIP CURVES'!$A$9:$Z$9,0))-INDEX(terminal_curves,MATCH(AT298,'TERMINAL CURVES'!$A$4:$A$313,0),MATCH(AX$5,'TERMINAL CURVES'!$A$4:$N$4,0))*IF(AN298=0,0,AP298/AN298))-(AV$8)*((AV$7-$N$5)-(INDEX(ship_curves,MATCH(AT298,'SHIP CURVES'!$A$9:$A$316,0),MATCH(CONCATENATE(AX$4,AX$5,AX$6,AX$7),'SHIP CURVES'!$A$9:$Z$9,0))-INDEX(ship_curves,MATCH(AT298,'SHIP CURVES'!$A$9:$A$316,0),MATCH(CONCATENATE(AX$4,AV$6,AX$6,AX$7),'SHIP CURVES'!$A$9:$Z$9,0)))-(INDEX(terminal_curves,MATCH(AT298,'TERMINAL CURVES'!$A$4:$A$313,0),MATCH(AX$5,'TERMINAL CURVES'!$A$4:$N$4,0))-INDEX(terminal_curves,MATCH(AT298,'TERMINAL CURVES'!$A$4:$A$313,0),MATCH(AV$6,'TERMINAL CURVES'!$A$4:$N$4,0)))*IF(AN298=0,0,AP298/AN298)))*-AN298</f>
        <v>0</v>
      </c>
      <c r="AY298" s="356" t="n">
        <f aca="false">SUM(AV298:AX298)</f>
        <v>0</v>
      </c>
      <c r="AZ298" s="357" t="n">
        <f aca="false">(-AP298/((HLOOKUP(AX$5,port_specs,2,0)/(365.25))*(AT299-AT298)))*(INDEX(fixed_capacity_charge,MATCH(AT298,PORTS!$H$11:$H$317,0),MATCH(AX$5,PORTS!$H$11:$N$11,0))+INDEX(variable_om_charge,MATCH(AT298,PORTS!$H$318:$H$625,0),MATCH(AX$5,PORTS!$H$318:$N$318,0)))</f>
        <v>-0</v>
      </c>
      <c r="BA298" s="343" t="n">
        <f aca="false">+AZ298+AY298</f>
        <v>0</v>
      </c>
      <c r="BB298" s="355" t="n">
        <f aca="false">+BA298+AU298</f>
        <v>0</v>
      </c>
      <c r="BC298" s="99"/>
      <c r="BD298" s="357" t="n">
        <f aca="false">+PORTS!I292+PORTS!I600</f>
        <v>0</v>
      </c>
    </row>
    <row r="299" customFormat="false" ht="12.75" hidden="false" customHeight="false" outlineLevel="0" collapsed="false">
      <c r="A299" s="346" t="n">
        <f aca="false">+DATE(YEAR(A298),MONTH(A298)+1,1)</f>
        <v>45261</v>
      </c>
      <c r="B299" s="327" t="n">
        <f aca="false">+IF(AND($A299&gt;=$C$8,$A299&lt;=$C$9),1,0)*PORTS!$I$5/(365.25)*(A300-A299)</f>
        <v>0</v>
      </c>
      <c r="C299" s="328" t="n">
        <f aca="false">+B299-(SUMIF($F$17:$IV$17,$H$17,$F299:$IV299))</f>
        <v>0</v>
      </c>
      <c r="D299" s="0" t="n">
        <f aca="false">+YEAR(E299)</f>
        <v>2023</v>
      </c>
      <c r="E299" s="346" t="n">
        <f aca="false">+DATE(YEAR(E298),MONTH(E298)+1,1)</f>
        <v>45261</v>
      </c>
      <c r="F299" s="327" t="n">
        <f aca="false">+IF(AND(G$8&lt;=E299,G$9&gt;=E299),INDEX(ROUTE_PER_DAY_BY_SHIP,MATCH(CONCATENATE(G$4,G$5,G$7),ROUTE_PER_DAY_ROUTES,0),MATCH(G$6,ROUTE_PER_DAY_SHIPS,0))*(E300-E299),0)</f>
        <v>0</v>
      </c>
      <c r="G299" s="347" t="n">
        <f aca="false">-F299*HLOOKUP(G$6,SHIPS,7,0)*INDEX(LADEN_VOYAGE_DAYS,MATCH(CONCATENATE(G$4,G$5,G$7),LADEN_VOYAGE_ROUTES,0),MATCH(G$6,LADEN_VOYAGE_SHIPS,0))</f>
        <v>-0</v>
      </c>
      <c r="H299" s="348" t="n">
        <f aca="false">SUM(F299:G299)</f>
        <v>0</v>
      </c>
      <c r="I299" s="349" t="n">
        <f aca="false">-(H299)*HLOOKUP(G$5,TERMINAL_CHARGES,3,0)</f>
        <v>-0</v>
      </c>
      <c r="J299" s="327" t="n">
        <f aca="false">+H299+I299</f>
        <v>0</v>
      </c>
      <c r="K299" s="333"/>
      <c r="L299" s="346" t="n">
        <f aca="false">+DATE(YEAR(L298),MONTH(L298)+1,1)</f>
        <v>45261</v>
      </c>
      <c r="M299" s="334" t="n">
        <f aca="false">+J299*(VLOOKUP(L299,CURVECALC!$C$6:$J$312,4,0)+N$5)</f>
        <v>0</v>
      </c>
      <c r="N299" s="350" t="n">
        <f aca="false">-F299*INDEX(ship_curves,MATCH(L299,'SHIP CURVES'!$A$9:$A$316,0),MATCH(CONCATENATE(P$4,P$5,P$6,P$7),'SHIP CURVES'!$A$9:$AZ$9,0))</f>
        <v>-0</v>
      </c>
      <c r="O299" s="351" t="n">
        <f aca="false">-H299*INDEX(port_processing_fee,MATCH(L299,PORTS!$H$626:$H$933,0),MATCH(P$5,PORTS!$H$626:$Z$626,0))</f>
        <v>-0</v>
      </c>
      <c r="P299" s="352" t="n">
        <f aca="false">(((VLOOKUP(L299,curvecalc,4,0))*IF(F299=0,0,J299/F299)-INDEX(ship_curves,MATCH(L299,'SHIP CURVES'!$A$9:$A$316,0),MATCH(CONCATENATE(P$4,P$5,P$6,P$7),'SHIP CURVES'!$A$9:$Z$9,0))-INDEX(terminal_curves,MATCH(L299,'TERMINAL CURVES'!$A$4:$A$313,0),MATCH(P$5,'TERMINAL CURVES'!$A$4:$N$4,0))*IF(F299=0,0,H299/F299))-(N$8)*((N$7-$N$5)-(INDEX(ship_curves,MATCH(L299,'SHIP CURVES'!$A$9:$A$316,0),MATCH(CONCATENATE(P$4,P$5,P$6,P$7),'SHIP CURVES'!$A$9:$Z$9,0))-INDEX(ship_curves,MATCH(L299,'SHIP CURVES'!$A$9:$A$316,0),MATCH(CONCATENATE(P$4,N$6,P$6,P$7),'SHIP CURVES'!$A$9:$Z$9,0)))-(INDEX(terminal_curves,MATCH(L299,'TERMINAL CURVES'!$A$4:$A$313,0),MATCH(P$5,'TERMINAL CURVES'!$A$4:$N$4,0))-INDEX(terminal_curves,MATCH(L299,'TERMINAL CURVES'!$A$4:$A$313,0),MATCH(N$6,'TERMINAL CURVES'!$A$4:$N$4,0)))*IF(F299=0,0,H299/F299)))*-F299</f>
        <v>0</v>
      </c>
      <c r="Q299" s="353" t="n">
        <f aca="false">SUM(N299:P299)</f>
        <v>0</v>
      </c>
      <c r="R299" s="357" t="n">
        <f aca="false">(-H299/((HLOOKUP(P$5,port_specs,2,0)/(365.25))*(L300-L299)))*(INDEX(fixed_capacity_charge,MATCH(L299,PORTS!$H$11:$H$317,0),MATCH(P$5,PORTS!$H$11:$N$11,0))+INDEX(variable_om_charge,MATCH(L299,PORTS!$H$318:$H$625,0),MATCH(P$5,PORTS!$H$318:$N$318,0)))</f>
        <v>-0</v>
      </c>
      <c r="S299" s="343" t="n">
        <f aca="false">+R299+Q299</f>
        <v>0</v>
      </c>
      <c r="T299" s="355" t="n">
        <f aca="false">+S299+M299</f>
        <v>0</v>
      </c>
      <c r="V299" s="346" t="n">
        <f aca="false">+DATE(YEAR(V298),MONTH(V298)+1,1)</f>
        <v>45261</v>
      </c>
      <c r="W299" s="327" t="n">
        <f aca="false">+Y299/(1-HLOOKUP(X$6,SHIPS,7,0)*INDEX(LADEN_VOYAGE_DAYS,MATCH(CONCATENATE(X$4,X$5),LADEN_VOYAGE_ROUTES,0),MATCH(X$6,LADEN_VOYAGE_SHIPS,0)))</f>
        <v>0</v>
      </c>
      <c r="X299" s="347" t="n">
        <f aca="false">+Y299-W299</f>
        <v>0</v>
      </c>
      <c r="Y299" s="348" t="n">
        <f aca="false">+IF(AND(X$8&lt;=V299,X$9&gt;=V299),+MIN($B299-SUMIF($H$17:X$17,Y$17,$H299:X299),((INDEX(ROUTE_PER_DAY_BY_SHIP,MATCH(CONCATENATE(X$4,X$5,X$7),ROUTE_PER_DAY_ROUTES,0),MATCH(X$6,ROUTE_PER_DAY_SHIPS,0))*(V300-V299))-(INDEX(ROUTE_PER_DAY_BY_SHIP,MATCH(CONCATENATE(X$4,X$5,X$7),ROUTE_PER_DAY_ROUTES,0),MATCH(X$6,ROUTE_PER_DAY_SHIPS,0))*(V300-V299))*HLOOKUP(X$6,SHIPS,7,0)*INDEX(LADEN_VOYAGE_DAYS,MATCH(CONCATENATE(X$4,X$5,X$7),LADEN_VOYAGE_ROUTES,0),MATCH(X$6,LADEN_VOYAGE_SHIPS,0)))),0)</f>
        <v>0</v>
      </c>
      <c r="Z299" s="349" t="n">
        <f aca="false">-(Y299)*HLOOKUP(X$5,TERMINAL_CHARGES,3,0)</f>
        <v>-0</v>
      </c>
      <c r="AA299" s="327" t="n">
        <f aca="false">+Y299+Z299</f>
        <v>0</v>
      </c>
      <c r="AB299" s="333"/>
      <c r="AC299" s="346" t="n">
        <f aca="false">+DATE(YEAR(AC298),MONTH(AC298)+1,1)</f>
        <v>45261</v>
      </c>
      <c r="AD299" s="343" t="n">
        <f aca="false">+AA299*(VLOOKUP(AC299,CURVECALC!$C$6:$J$312,4,0)+AE$5)</f>
        <v>0</v>
      </c>
      <c r="AE299" s="350" t="n">
        <f aca="false">-W299*INDEX(ship_curves,MATCH(AC299,'SHIP CURVES'!$A$9:$A$316,0),MATCH(CONCATENATE(AG$4,AG$5,AG$6,AG$7),'SHIP CURVES'!$A$9:$AZ$9,0))</f>
        <v>-0</v>
      </c>
      <c r="AF299" s="351" t="n">
        <f aca="false">-Y299*INDEX(port_processing_fee,MATCH(AC299,PORTS!$H$626:$H$933,0),MATCH(AG$5,PORTS!$H$626:$Z$626,0))</f>
        <v>-0</v>
      </c>
      <c r="AG299" s="352" t="n">
        <f aca="false">(((VLOOKUP(AC299,curvecalc,4,0))*IF(W299=0,0,AA299/W299)-INDEX(ship_curves,MATCH(AC299,'SHIP CURVES'!$A$9:$A$316,0),MATCH(CONCATENATE(AG$4,AG$5,AG$6,AG$7),'SHIP CURVES'!$A$9:$Z$9,0))-INDEX(terminal_curves,MATCH(AC299,'TERMINAL CURVES'!$A$4:$A$313,0),MATCH(AG$5,'TERMINAL CURVES'!$A$4:$N$4,0))*IF(W299=0,0,Y299/W299))-(AE$8)*((AE$7-$N$5)-(INDEX(ship_curves,MATCH(AC299,'SHIP CURVES'!$A$9:$A$316,0),MATCH(CONCATENATE(AG$4,AG$5,AG$6,AG$7),'SHIP CURVES'!$A$9:$Z$9,0))-INDEX(ship_curves,MATCH(AC299,'SHIP CURVES'!$A$9:$A$316,0),MATCH(CONCATENATE(AG$4,AE$6,AG$6,AG$7),'SHIP CURVES'!$A$9:$Z$9,0)))-(INDEX(terminal_curves,MATCH(AC299,'TERMINAL CURVES'!$A$4:$A$313,0),MATCH(AG$5,'TERMINAL CURVES'!$A$4:$N$4,0))-INDEX(terminal_curves,MATCH(AC299,'TERMINAL CURVES'!$A$4:$A$313,0),MATCH(AE$6,'TERMINAL CURVES'!$A$4:$N$4,0)))*IF(W299=0,0,Y299/W299)))*-W299</f>
        <v>0</v>
      </c>
      <c r="AH299" s="356" t="n">
        <f aca="false">SUM(AE299:AG299)</f>
        <v>0</v>
      </c>
      <c r="AI299" s="357" t="n">
        <f aca="false">(-Y299/((HLOOKUP(AG$5,port_specs,2,0)/(365.25))*(AC300-AC299)))*(INDEX(fixed_capacity_charge,MATCH(AC299,PORTS!$H$11:$H$317,0),MATCH(AG$5,PORTS!$H$11:$N$11,0))+INDEX(variable_om_charge,MATCH(AC299,PORTS!$H$318:$H$625,0),MATCH(AG$5,PORTS!$H$318:$N$318,0)))</f>
        <v>-0</v>
      </c>
      <c r="AJ299" s="343" t="n">
        <f aca="false">+AI299+AH299</f>
        <v>0</v>
      </c>
      <c r="AK299" s="355" t="n">
        <f aca="false">+AJ299+AD299</f>
        <v>0</v>
      </c>
      <c r="AM299" s="346" t="n">
        <f aca="false">+DATE(YEAR(AM298),MONTH(AM298)+1,1)</f>
        <v>45261</v>
      </c>
      <c r="AN299" s="327" t="n">
        <f aca="false">+AP299/(1-HLOOKUP(AO$6,SHIPS,7,0)*INDEX(LADEN_VOYAGE_DAYS,MATCH(CONCATENATE(AO$4,AO$5),LADEN_VOYAGE_ROUTES,0),MATCH(AO$6,LADEN_VOYAGE_SHIPS,0)))</f>
        <v>0</v>
      </c>
      <c r="AO299" s="347" t="n">
        <f aca="false">+AP299-AN299</f>
        <v>0</v>
      </c>
      <c r="AP299" s="348" t="n">
        <f aca="false">+IF(AND(AO$8&lt;=AM299,AO$9&gt;=AM299),+MIN($B299-SUMIF($H$17:AO$17,AP$17,$H299:AO299),((INDEX(ROUTE_PER_DAY_BY_SHIP,MATCH(CONCATENATE(AO$4,AO$5,AO$7),ROUTE_PER_DAY_ROUTES,0),MATCH(AO$6,ROUTE_PER_DAY_SHIPS,0))*(AM300-AM299))-(INDEX(ROUTE_PER_DAY_BY_SHIP,MATCH(CONCATENATE(AO$4,AO$5,AO$7),ROUTE_PER_DAY_ROUTES,0),MATCH(AO$6,ROUTE_PER_DAY_SHIPS,0))*(AM300-AM299))*HLOOKUP(AO$6,SHIPS,7,0)*INDEX(LADEN_VOYAGE_DAYS,MATCH(CONCATENATE(AO$4,AO$5,AO$7),LADEN_VOYAGE_ROUTES,0),MATCH(AO$6,LADEN_VOYAGE_SHIPS,0)))),0)</f>
        <v>0</v>
      </c>
      <c r="AQ299" s="349" t="n">
        <f aca="false">-(AP299)*PORTS!$I$6</f>
        <v>-0</v>
      </c>
      <c r="AR299" s="327" t="n">
        <f aca="false">+AP299+AQ299</f>
        <v>0</v>
      </c>
      <c r="AS299" s="333"/>
      <c r="AT299" s="346" t="n">
        <f aca="false">+DATE(YEAR(AT298),MONTH(AT298)+1,1)</f>
        <v>45261</v>
      </c>
      <c r="AU299" s="343" t="n">
        <f aca="false">+AR299*(VLOOKUP(AT299,CURVECALC!$C$6:$J$312,4,0)+AV$5)</f>
        <v>0</v>
      </c>
      <c r="AV299" s="350" t="n">
        <f aca="false">-AN299*INDEX(ship_curves,MATCH(AT299,'SHIP CURVES'!$A$9:$A$316,0),MATCH(CONCATENATE(AX$4,AX$5,AX$6,AX$7),'SHIP CURVES'!$A$9:$AZ$9,0))</f>
        <v>-0</v>
      </c>
      <c r="AW299" s="351" t="n">
        <f aca="false">-AP299*INDEX(port_processing_fee,MATCH(AT299,PORTS!$H$626:$H$933,0),MATCH(AX$5,PORTS!$H$626:$Z$626,0))</f>
        <v>-0</v>
      </c>
      <c r="AX299" s="352" t="n">
        <f aca="false">(((VLOOKUP(AT299,curvecalc,4,0))*IF(AN299=0,0,AR299/AN299)-INDEX(ship_curves,MATCH(AT299,'SHIP CURVES'!$A$9:$A$316,0),MATCH(CONCATENATE(AX$4,AX$5,AX$6,AX$7),'SHIP CURVES'!$A$9:$Z$9,0))-INDEX(terminal_curves,MATCH(AT299,'TERMINAL CURVES'!$A$4:$A$313,0),MATCH(AX$5,'TERMINAL CURVES'!$A$4:$N$4,0))*IF(AN299=0,0,AP299/AN299))-(AV$8)*((AV$7-$N$5)-(INDEX(ship_curves,MATCH(AT299,'SHIP CURVES'!$A$9:$A$316,0),MATCH(CONCATENATE(AX$4,AX$5,AX$6,AX$7),'SHIP CURVES'!$A$9:$Z$9,0))-INDEX(ship_curves,MATCH(AT299,'SHIP CURVES'!$A$9:$A$316,0),MATCH(CONCATENATE(AX$4,AV$6,AX$6,AX$7),'SHIP CURVES'!$A$9:$Z$9,0)))-(INDEX(terminal_curves,MATCH(AT299,'TERMINAL CURVES'!$A$4:$A$313,0),MATCH(AX$5,'TERMINAL CURVES'!$A$4:$N$4,0))-INDEX(terminal_curves,MATCH(AT299,'TERMINAL CURVES'!$A$4:$A$313,0),MATCH(AV$6,'TERMINAL CURVES'!$A$4:$N$4,0)))*IF(AN299=0,0,AP299/AN299)))*-AN299</f>
        <v>0</v>
      </c>
      <c r="AY299" s="356" t="n">
        <f aca="false">SUM(AV299:AX299)</f>
        <v>0</v>
      </c>
      <c r="AZ299" s="357" t="n">
        <f aca="false">(-AP299/((HLOOKUP(AX$5,port_specs,2,0)/(365.25))*(AT300-AT299)))*(INDEX(fixed_capacity_charge,MATCH(AT299,PORTS!$H$11:$H$317,0),MATCH(AX$5,PORTS!$H$11:$N$11,0))+INDEX(variable_om_charge,MATCH(AT299,PORTS!$H$318:$H$625,0),MATCH(AX$5,PORTS!$H$318:$N$318,0)))</f>
        <v>-0</v>
      </c>
      <c r="BA299" s="343" t="n">
        <f aca="false">+AZ299+AY299</f>
        <v>0</v>
      </c>
      <c r="BB299" s="355" t="n">
        <f aca="false">+BA299+AU299</f>
        <v>0</v>
      </c>
      <c r="BC299" s="99"/>
      <c r="BD299" s="357" t="n">
        <f aca="false">+PORTS!I293+PORTS!I601</f>
        <v>0</v>
      </c>
    </row>
    <row r="300" customFormat="false" ht="12.75" hidden="false" customHeight="false" outlineLevel="0" collapsed="false">
      <c r="A300" s="346" t="n">
        <f aca="false">+DATE(YEAR(A299),MONTH(A299)+1,1)</f>
        <v>45292</v>
      </c>
      <c r="B300" s="327" t="n">
        <f aca="false">+IF(AND($A300&gt;=$C$8,$A300&lt;=$C$9),1,0)*PORTS!$I$5/(365.25)*(A301-A300)</f>
        <v>0</v>
      </c>
      <c r="C300" s="328" t="n">
        <f aca="false">+B300-(SUMIF($F$17:$IV$17,$H$17,$F300:$IV300))</f>
        <v>0</v>
      </c>
      <c r="D300" s="0" t="n">
        <f aca="false">+YEAR(E300)</f>
        <v>2024</v>
      </c>
      <c r="E300" s="346" t="n">
        <f aca="false">+DATE(YEAR(E299),MONTH(E299)+1,1)</f>
        <v>45292</v>
      </c>
      <c r="F300" s="327" t="n">
        <f aca="false">+IF(AND(G$8&lt;=E300,G$9&gt;=E300),INDEX(ROUTE_PER_DAY_BY_SHIP,MATCH(CONCATENATE(G$4,G$5,G$7),ROUTE_PER_DAY_ROUTES,0),MATCH(G$6,ROUTE_PER_DAY_SHIPS,0))*(E301-E300),0)</f>
        <v>0</v>
      </c>
      <c r="G300" s="347" t="n">
        <f aca="false">-F300*HLOOKUP(G$6,SHIPS,7,0)*INDEX(LADEN_VOYAGE_DAYS,MATCH(CONCATENATE(G$4,G$5,G$7),LADEN_VOYAGE_ROUTES,0),MATCH(G$6,LADEN_VOYAGE_SHIPS,0))</f>
        <v>-0</v>
      </c>
      <c r="H300" s="348" t="n">
        <f aca="false">SUM(F300:G300)</f>
        <v>0</v>
      </c>
      <c r="I300" s="349" t="n">
        <f aca="false">-(H300)*HLOOKUP(G$5,TERMINAL_CHARGES,3,0)</f>
        <v>-0</v>
      </c>
      <c r="J300" s="327" t="n">
        <f aca="false">+H300+I300</f>
        <v>0</v>
      </c>
      <c r="K300" s="333"/>
      <c r="L300" s="346" t="n">
        <f aca="false">+DATE(YEAR(L299),MONTH(L299)+1,1)</f>
        <v>45292</v>
      </c>
      <c r="M300" s="334" t="n">
        <f aca="false">+J300*(VLOOKUP(L300,CURVECALC!$C$6:$J$312,4,0)+N$5)</f>
        <v>0</v>
      </c>
      <c r="N300" s="350" t="n">
        <f aca="false">-F300*INDEX(ship_curves,MATCH(L300,'SHIP CURVES'!$A$9:$A$316,0),MATCH(CONCATENATE(P$4,P$5,P$6,P$7),'SHIP CURVES'!$A$9:$AZ$9,0))</f>
        <v>-0</v>
      </c>
      <c r="O300" s="351" t="n">
        <f aca="false">-H300*INDEX(port_processing_fee,MATCH(L300,PORTS!$H$626:$H$933,0),MATCH(P$5,PORTS!$H$626:$Z$626,0))</f>
        <v>-0</v>
      </c>
      <c r="P300" s="352" t="n">
        <f aca="false">(((VLOOKUP(L300,curvecalc,4,0))*IF(F300=0,0,J300/F300)-INDEX(ship_curves,MATCH(L300,'SHIP CURVES'!$A$9:$A$316,0),MATCH(CONCATENATE(P$4,P$5,P$6,P$7),'SHIP CURVES'!$A$9:$Z$9,0))-INDEX(terminal_curves,MATCH(L300,'TERMINAL CURVES'!$A$4:$A$313,0),MATCH(P$5,'TERMINAL CURVES'!$A$4:$N$4,0))*IF(F300=0,0,H300/F300))-(N$8)*((N$7-$N$5)-(INDEX(ship_curves,MATCH(L300,'SHIP CURVES'!$A$9:$A$316,0),MATCH(CONCATENATE(P$4,P$5,P$6,P$7),'SHIP CURVES'!$A$9:$Z$9,0))-INDEX(ship_curves,MATCH(L300,'SHIP CURVES'!$A$9:$A$316,0),MATCH(CONCATENATE(P$4,N$6,P$6,P$7),'SHIP CURVES'!$A$9:$Z$9,0)))-(INDEX(terminal_curves,MATCH(L300,'TERMINAL CURVES'!$A$4:$A$313,0),MATCH(P$5,'TERMINAL CURVES'!$A$4:$N$4,0))-INDEX(terminal_curves,MATCH(L300,'TERMINAL CURVES'!$A$4:$A$313,0),MATCH(N$6,'TERMINAL CURVES'!$A$4:$N$4,0)))*IF(F300=0,0,H300/F300)))*-F300</f>
        <v>0</v>
      </c>
      <c r="Q300" s="353" t="n">
        <f aca="false">SUM(N300:P300)</f>
        <v>0</v>
      </c>
      <c r="R300" s="357" t="n">
        <f aca="false">(-H300/((HLOOKUP(P$5,port_specs,2,0)/(365.25))*(L301-L300)))*(INDEX(fixed_capacity_charge,MATCH(L300,PORTS!$H$11:$H$317,0),MATCH(P$5,PORTS!$H$11:$N$11,0))+INDEX(variable_om_charge,MATCH(L300,PORTS!$H$318:$H$625,0),MATCH(P$5,PORTS!$H$318:$N$318,0)))</f>
        <v>-0</v>
      </c>
      <c r="S300" s="343" t="n">
        <f aca="false">+R300+Q300</f>
        <v>0</v>
      </c>
      <c r="T300" s="355" t="n">
        <f aca="false">+S300+M300</f>
        <v>0</v>
      </c>
      <c r="V300" s="346" t="n">
        <f aca="false">+DATE(YEAR(V299),MONTH(V299)+1,1)</f>
        <v>45292</v>
      </c>
      <c r="W300" s="327" t="n">
        <f aca="false">+Y300/(1-HLOOKUP(X$6,SHIPS,7,0)*INDEX(LADEN_VOYAGE_DAYS,MATCH(CONCATENATE(X$4,X$5),LADEN_VOYAGE_ROUTES,0),MATCH(X$6,LADEN_VOYAGE_SHIPS,0)))</f>
        <v>0</v>
      </c>
      <c r="X300" s="347" t="n">
        <f aca="false">+Y300-W300</f>
        <v>0</v>
      </c>
      <c r="Y300" s="348" t="n">
        <f aca="false">+IF(AND(X$8&lt;=V300,X$9&gt;=V300),+MIN($B300-SUMIF($H$17:X$17,Y$17,$H300:X300),((INDEX(ROUTE_PER_DAY_BY_SHIP,MATCH(CONCATENATE(X$4,X$5,X$7),ROUTE_PER_DAY_ROUTES,0),MATCH(X$6,ROUTE_PER_DAY_SHIPS,0))*(V301-V300))-(INDEX(ROUTE_PER_DAY_BY_SHIP,MATCH(CONCATENATE(X$4,X$5,X$7),ROUTE_PER_DAY_ROUTES,0),MATCH(X$6,ROUTE_PER_DAY_SHIPS,0))*(V301-V300))*HLOOKUP(X$6,SHIPS,7,0)*INDEX(LADEN_VOYAGE_DAYS,MATCH(CONCATENATE(X$4,X$5,X$7),LADEN_VOYAGE_ROUTES,0),MATCH(X$6,LADEN_VOYAGE_SHIPS,0)))),0)</f>
        <v>0</v>
      </c>
      <c r="Z300" s="349" t="n">
        <f aca="false">-(Y300)*HLOOKUP(X$5,TERMINAL_CHARGES,3,0)</f>
        <v>-0</v>
      </c>
      <c r="AA300" s="327" t="n">
        <f aca="false">+Y300+Z300</f>
        <v>0</v>
      </c>
      <c r="AB300" s="333"/>
      <c r="AC300" s="346" t="n">
        <f aca="false">+DATE(YEAR(AC299),MONTH(AC299)+1,1)</f>
        <v>45292</v>
      </c>
      <c r="AD300" s="343" t="n">
        <f aca="false">+AA300*(VLOOKUP(AC300,CURVECALC!$C$6:$J$312,4,0)+AE$5)</f>
        <v>0</v>
      </c>
      <c r="AE300" s="350" t="n">
        <f aca="false">-W300*INDEX(ship_curves,MATCH(AC300,'SHIP CURVES'!$A$9:$A$316,0),MATCH(CONCATENATE(AG$4,AG$5,AG$6,AG$7),'SHIP CURVES'!$A$9:$AZ$9,0))</f>
        <v>-0</v>
      </c>
      <c r="AF300" s="351" t="n">
        <f aca="false">-Y300*INDEX(port_processing_fee,MATCH(AC300,PORTS!$H$626:$H$933,0),MATCH(AG$5,PORTS!$H$626:$Z$626,0))</f>
        <v>-0</v>
      </c>
      <c r="AG300" s="352" t="n">
        <f aca="false">(((VLOOKUP(AC300,curvecalc,4,0))*IF(W300=0,0,AA300/W300)-INDEX(ship_curves,MATCH(AC300,'SHIP CURVES'!$A$9:$A$316,0),MATCH(CONCATENATE(AG$4,AG$5,AG$6,AG$7),'SHIP CURVES'!$A$9:$Z$9,0))-INDEX(terminal_curves,MATCH(AC300,'TERMINAL CURVES'!$A$4:$A$313,0),MATCH(AG$5,'TERMINAL CURVES'!$A$4:$N$4,0))*IF(W300=0,0,Y300/W300))-(AE$8)*((AE$7-$N$5)-(INDEX(ship_curves,MATCH(AC300,'SHIP CURVES'!$A$9:$A$316,0),MATCH(CONCATENATE(AG$4,AG$5,AG$6,AG$7),'SHIP CURVES'!$A$9:$Z$9,0))-INDEX(ship_curves,MATCH(AC300,'SHIP CURVES'!$A$9:$A$316,0),MATCH(CONCATENATE(AG$4,AE$6,AG$6,AG$7),'SHIP CURVES'!$A$9:$Z$9,0)))-(INDEX(terminal_curves,MATCH(AC300,'TERMINAL CURVES'!$A$4:$A$313,0),MATCH(AG$5,'TERMINAL CURVES'!$A$4:$N$4,0))-INDEX(terminal_curves,MATCH(AC300,'TERMINAL CURVES'!$A$4:$A$313,0),MATCH(AE$6,'TERMINAL CURVES'!$A$4:$N$4,0)))*IF(W300=0,0,Y300/W300)))*-W300</f>
        <v>0</v>
      </c>
      <c r="AH300" s="356" t="n">
        <f aca="false">SUM(AE300:AG300)</f>
        <v>0</v>
      </c>
      <c r="AI300" s="357" t="n">
        <f aca="false">(-Y300/((HLOOKUP(AG$5,port_specs,2,0)/(365.25))*(AC301-AC300)))*(INDEX(fixed_capacity_charge,MATCH(AC300,PORTS!$H$11:$H$317,0),MATCH(AG$5,PORTS!$H$11:$N$11,0))+INDEX(variable_om_charge,MATCH(AC300,PORTS!$H$318:$H$625,0),MATCH(AG$5,PORTS!$H$318:$N$318,0)))</f>
        <v>-0</v>
      </c>
      <c r="AJ300" s="343" t="n">
        <f aca="false">+AI300+AH300</f>
        <v>0</v>
      </c>
      <c r="AK300" s="355" t="n">
        <f aca="false">+AJ300+AD300</f>
        <v>0</v>
      </c>
      <c r="AM300" s="346" t="n">
        <f aca="false">+DATE(YEAR(AM299),MONTH(AM299)+1,1)</f>
        <v>45292</v>
      </c>
      <c r="AN300" s="327" t="n">
        <f aca="false">+AP300/(1-HLOOKUP(AO$6,SHIPS,7,0)*INDEX(LADEN_VOYAGE_DAYS,MATCH(CONCATENATE(AO$4,AO$5),LADEN_VOYAGE_ROUTES,0),MATCH(AO$6,LADEN_VOYAGE_SHIPS,0)))</f>
        <v>0</v>
      </c>
      <c r="AO300" s="347" t="n">
        <f aca="false">+AP300-AN300</f>
        <v>0</v>
      </c>
      <c r="AP300" s="348" t="n">
        <f aca="false">+IF(AND(AO$8&lt;=AM300,AO$9&gt;=AM300),+MIN($B300-SUMIF($H$17:AO$17,AP$17,$H300:AO300),((INDEX(ROUTE_PER_DAY_BY_SHIP,MATCH(CONCATENATE(AO$4,AO$5,AO$7),ROUTE_PER_DAY_ROUTES,0),MATCH(AO$6,ROUTE_PER_DAY_SHIPS,0))*(AM301-AM300))-(INDEX(ROUTE_PER_DAY_BY_SHIP,MATCH(CONCATENATE(AO$4,AO$5,AO$7),ROUTE_PER_DAY_ROUTES,0),MATCH(AO$6,ROUTE_PER_DAY_SHIPS,0))*(AM301-AM300))*HLOOKUP(AO$6,SHIPS,7,0)*INDEX(LADEN_VOYAGE_DAYS,MATCH(CONCATENATE(AO$4,AO$5,AO$7),LADEN_VOYAGE_ROUTES,0),MATCH(AO$6,LADEN_VOYAGE_SHIPS,0)))),0)</f>
        <v>0</v>
      </c>
      <c r="AQ300" s="349" t="n">
        <f aca="false">-(AP300)*PORTS!$I$6</f>
        <v>-0</v>
      </c>
      <c r="AR300" s="327" t="n">
        <f aca="false">+AP300+AQ300</f>
        <v>0</v>
      </c>
      <c r="AS300" s="333"/>
      <c r="AT300" s="346" t="n">
        <f aca="false">+DATE(YEAR(AT299),MONTH(AT299)+1,1)</f>
        <v>45292</v>
      </c>
      <c r="AU300" s="343" t="n">
        <f aca="false">+AR300*(VLOOKUP(AT300,CURVECALC!$C$6:$J$312,4,0)+AV$5)</f>
        <v>0</v>
      </c>
      <c r="AV300" s="350" t="n">
        <f aca="false">-AN300*INDEX(ship_curves,MATCH(AT300,'SHIP CURVES'!$A$9:$A$316,0),MATCH(CONCATENATE(AX$4,AX$5,AX$6,AX$7),'SHIP CURVES'!$A$9:$AZ$9,0))</f>
        <v>-0</v>
      </c>
      <c r="AW300" s="351" t="n">
        <f aca="false">-AP300*INDEX(port_processing_fee,MATCH(AT300,PORTS!$H$626:$H$933,0),MATCH(AX$5,PORTS!$H$626:$Z$626,0))</f>
        <v>-0</v>
      </c>
      <c r="AX300" s="352" t="n">
        <f aca="false">(((VLOOKUP(AT300,curvecalc,4,0))*IF(AN300=0,0,AR300/AN300)-INDEX(ship_curves,MATCH(AT300,'SHIP CURVES'!$A$9:$A$316,0),MATCH(CONCATENATE(AX$4,AX$5,AX$6,AX$7),'SHIP CURVES'!$A$9:$Z$9,0))-INDEX(terminal_curves,MATCH(AT300,'TERMINAL CURVES'!$A$4:$A$313,0),MATCH(AX$5,'TERMINAL CURVES'!$A$4:$N$4,0))*IF(AN300=0,0,AP300/AN300))-(AV$8)*((AV$7-$N$5)-(INDEX(ship_curves,MATCH(AT300,'SHIP CURVES'!$A$9:$A$316,0),MATCH(CONCATENATE(AX$4,AX$5,AX$6,AX$7),'SHIP CURVES'!$A$9:$Z$9,0))-INDEX(ship_curves,MATCH(AT300,'SHIP CURVES'!$A$9:$A$316,0),MATCH(CONCATENATE(AX$4,AV$6,AX$6,AX$7),'SHIP CURVES'!$A$9:$Z$9,0)))-(INDEX(terminal_curves,MATCH(AT300,'TERMINAL CURVES'!$A$4:$A$313,0),MATCH(AX$5,'TERMINAL CURVES'!$A$4:$N$4,0))-INDEX(terminal_curves,MATCH(AT300,'TERMINAL CURVES'!$A$4:$A$313,0),MATCH(AV$6,'TERMINAL CURVES'!$A$4:$N$4,0)))*IF(AN300=0,0,AP300/AN300)))*-AN300</f>
        <v>0</v>
      </c>
      <c r="AY300" s="356" t="n">
        <f aca="false">SUM(AV300:AX300)</f>
        <v>0</v>
      </c>
      <c r="AZ300" s="357" t="n">
        <f aca="false">(-AP300/((HLOOKUP(AX$5,port_specs,2,0)/(365.25))*(AT301-AT300)))*(INDEX(fixed_capacity_charge,MATCH(AT300,PORTS!$H$11:$H$317,0),MATCH(AX$5,PORTS!$H$11:$N$11,0))+INDEX(variable_om_charge,MATCH(AT300,PORTS!$H$318:$H$625,0),MATCH(AX$5,PORTS!$H$318:$N$318,0)))</f>
        <v>-0</v>
      </c>
      <c r="BA300" s="343" t="n">
        <f aca="false">+AZ300+AY300</f>
        <v>0</v>
      </c>
      <c r="BB300" s="355" t="n">
        <f aca="false">+BA300+AU300</f>
        <v>0</v>
      </c>
      <c r="BC300" s="99"/>
      <c r="BD300" s="357" t="n">
        <f aca="false">+PORTS!I294+PORTS!I602</f>
        <v>0</v>
      </c>
    </row>
    <row r="301" customFormat="false" ht="12.75" hidden="false" customHeight="false" outlineLevel="0" collapsed="false">
      <c r="A301" s="346" t="n">
        <f aca="false">+DATE(YEAR(A300),MONTH(A300)+1,1)</f>
        <v>45323</v>
      </c>
      <c r="B301" s="327" t="n">
        <f aca="false">+IF(AND($A301&gt;=$C$8,$A301&lt;=$C$9),1,0)*PORTS!$I$5/(365.25)*(A302-A301)</f>
        <v>0</v>
      </c>
      <c r="C301" s="328" t="n">
        <f aca="false">+B301-(SUMIF($F$17:$IV$17,$H$17,$F301:$IV301))</f>
        <v>0</v>
      </c>
      <c r="D301" s="0" t="n">
        <f aca="false">+YEAR(E301)</f>
        <v>2024</v>
      </c>
      <c r="E301" s="346" t="n">
        <f aca="false">+DATE(YEAR(E300),MONTH(E300)+1,1)</f>
        <v>45323</v>
      </c>
      <c r="F301" s="327" t="n">
        <f aca="false">+IF(AND(G$8&lt;=E301,G$9&gt;=E301),INDEX(ROUTE_PER_DAY_BY_SHIP,MATCH(CONCATENATE(G$4,G$5,G$7),ROUTE_PER_DAY_ROUTES,0),MATCH(G$6,ROUTE_PER_DAY_SHIPS,0))*(E302-E301),0)</f>
        <v>0</v>
      </c>
      <c r="G301" s="347" t="n">
        <f aca="false">-F301*HLOOKUP(G$6,SHIPS,7,0)*INDEX(LADEN_VOYAGE_DAYS,MATCH(CONCATENATE(G$4,G$5,G$7),LADEN_VOYAGE_ROUTES,0),MATCH(G$6,LADEN_VOYAGE_SHIPS,0))</f>
        <v>-0</v>
      </c>
      <c r="H301" s="348" t="n">
        <f aca="false">SUM(F301:G301)</f>
        <v>0</v>
      </c>
      <c r="I301" s="349" t="n">
        <f aca="false">-(H301)*HLOOKUP(G$5,TERMINAL_CHARGES,3,0)</f>
        <v>-0</v>
      </c>
      <c r="J301" s="327" t="n">
        <f aca="false">+H301+I301</f>
        <v>0</v>
      </c>
      <c r="K301" s="333"/>
      <c r="L301" s="346" t="n">
        <f aca="false">+DATE(YEAR(L300),MONTH(L300)+1,1)</f>
        <v>45323</v>
      </c>
      <c r="M301" s="334" t="n">
        <f aca="false">+J301*(VLOOKUP(L301,CURVECALC!$C$6:$J$312,4,0)+N$5)</f>
        <v>0</v>
      </c>
      <c r="N301" s="350" t="n">
        <f aca="false">-F301*INDEX(ship_curves,MATCH(L301,'SHIP CURVES'!$A$9:$A$316,0),MATCH(CONCATENATE(P$4,P$5,P$6,P$7),'SHIP CURVES'!$A$9:$AZ$9,0))</f>
        <v>-0</v>
      </c>
      <c r="O301" s="351" t="n">
        <f aca="false">-H301*INDEX(port_processing_fee,MATCH(L301,PORTS!$H$626:$H$933,0),MATCH(P$5,PORTS!$H$626:$Z$626,0))</f>
        <v>-0</v>
      </c>
      <c r="P301" s="352" t="n">
        <f aca="false">(((VLOOKUP(L301,curvecalc,4,0))*IF(F301=0,0,J301/F301)-INDEX(ship_curves,MATCH(L301,'SHIP CURVES'!$A$9:$A$316,0),MATCH(CONCATENATE(P$4,P$5,P$6,P$7),'SHIP CURVES'!$A$9:$Z$9,0))-INDEX(terminal_curves,MATCH(L301,'TERMINAL CURVES'!$A$4:$A$313,0),MATCH(P$5,'TERMINAL CURVES'!$A$4:$N$4,0))*IF(F301=0,0,H301/F301))-(N$8)*((N$7-$N$5)-(INDEX(ship_curves,MATCH(L301,'SHIP CURVES'!$A$9:$A$316,0),MATCH(CONCATENATE(P$4,P$5,P$6,P$7),'SHIP CURVES'!$A$9:$Z$9,0))-INDEX(ship_curves,MATCH(L301,'SHIP CURVES'!$A$9:$A$316,0),MATCH(CONCATENATE(P$4,N$6,P$6,P$7),'SHIP CURVES'!$A$9:$Z$9,0)))-(INDEX(terminal_curves,MATCH(L301,'TERMINAL CURVES'!$A$4:$A$313,0),MATCH(P$5,'TERMINAL CURVES'!$A$4:$N$4,0))-INDEX(terminal_curves,MATCH(L301,'TERMINAL CURVES'!$A$4:$A$313,0),MATCH(N$6,'TERMINAL CURVES'!$A$4:$N$4,0)))*IF(F301=0,0,H301/F301)))*-F301</f>
        <v>0</v>
      </c>
      <c r="Q301" s="353" t="n">
        <f aca="false">SUM(N301:P301)</f>
        <v>0</v>
      </c>
      <c r="R301" s="357" t="n">
        <f aca="false">(-H301/((HLOOKUP(P$5,port_specs,2,0)/(365.25))*(L302-L301)))*(INDEX(fixed_capacity_charge,MATCH(L301,PORTS!$H$11:$H$317,0),MATCH(P$5,PORTS!$H$11:$N$11,0))+INDEX(variable_om_charge,MATCH(L301,PORTS!$H$318:$H$625,0),MATCH(P$5,PORTS!$H$318:$N$318,0)))</f>
        <v>-0</v>
      </c>
      <c r="S301" s="343" t="n">
        <f aca="false">+R301+Q301</f>
        <v>0</v>
      </c>
      <c r="T301" s="355" t="n">
        <f aca="false">+S301+M301</f>
        <v>0</v>
      </c>
      <c r="V301" s="346" t="n">
        <f aca="false">+DATE(YEAR(V300),MONTH(V300)+1,1)</f>
        <v>45323</v>
      </c>
      <c r="W301" s="327" t="n">
        <f aca="false">+Y301/(1-HLOOKUP(X$6,SHIPS,7,0)*INDEX(LADEN_VOYAGE_DAYS,MATCH(CONCATENATE(X$4,X$5),LADEN_VOYAGE_ROUTES,0),MATCH(X$6,LADEN_VOYAGE_SHIPS,0)))</f>
        <v>0</v>
      </c>
      <c r="X301" s="347" t="n">
        <f aca="false">+Y301-W301</f>
        <v>0</v>
      </c>
      <c r="Y301" s="348" t="n">
        <f aca="false">+IF(AND(X$8&lt;=V301,X$9&gt;=V301),+MIN($B301-SUMIF($H$17:X$17,Y$17,$H301:X301),((INDEX(ROUTE_PER_DAY_BY_SHIP,MATCH(CONCATENATE(X$4,X$5,X$7),ROUTE_PER_DAY_ROUTES,0),MATCH(X$6,ROUTE_PER_DAY_SHIPS,0))*(V302-V301))-(INDEX(ROUTE_PER_DAY_BY_SHIP,MATCH(CONCATENATE(X$4,X$5,X$7),ROUTE_PER_DAY_ROUTES,0),MATCH(X$6,ROUTE_PER_DAY_SHIPS,0))*(V302-V301))*HLOOKUP(X$6,SHIPS,7,0)*INDEX(LADEN_VOYAGE_DAYS,MATCH(CONCATENATE(X$4,X$5,X$7),LADEN_VOYAGE_ROUTES,0),MATCH(X$6,LADEN_VOYAGE_SHIPS,0)))),0)</f>
        <v>0</v>
      </c>
      <c r="Z301" s="349" t="n">
        <f aca="false">-(Y301)*HLOOKUP(X$5,TERMINAL_CHARGES,3,0)</f>
        <v>-0</v>
      </c>
      <c r="AA301" s="327" t="n">
        <f aca="false">+Y301+Z301</f>
        <v>0</v>
      </c>
      <c r="AB301" s="333"/>
      <c r="AC301" s="346" t="n">
        <f aca="false">+DATE(YEAR(AC300),MONTH(AC300)+1,1)</f>
        <v>45323</v>
      </c>
      <c r="AD301" s="343" t="n">
        <f aca="false">+AA301*(VLOOKUP(AC301,CURVECALC!$C$6:$J$312,4,0)+AE$5)</f>
        <v>0</v>
      </c>
      <c r="AE301" s="350" t="n">
        <f aca="false">-W301*INDEX(ship_curves,MATCH(AC301,'SHIP CURVES'!$A$9:$A$316,0),MATCH(CONCATENATE(AG$4,AG$5,AG$6,AG$7),'SHIP CURVES'!$A$9:$AZ$9,0))</f>
        <v>-0</v>
      </c>
      <c r="AF301" s="351" t="n">
        <f aca="false">-Y301*INDEX(port_processing_fee,MATCH(AC301,PORTS!$H$626:$H$933,0),MATCH(AG$5,PORTS!$H$626:$Z$626,0))</f>
        <v>-0</v>
      </c>
      <c r="AG301" s="352" t="n">
        <f aca="false">(((VLOOKUP(AC301,curvecalc,4,0))*IF(W301=0,0,AA301/W301)-INDEX(ship_curves,MATCH(AC301,'SHIP CURVES'!$A$9:$A$316,0),MATCH(CONCATENATE(AG$4,AG$5,AG$6,AG$7),'SHIP CURVES'!$A$9:$Z$9,0))-INDEX(terminal_curves,MATCH(AC301,'TERMINAL CURVES'!$A$4:$A$313,0),MATCH(AG$5,'TERMINAL CURVES'!$A$4:$N$4,0))*IF(W301=0,0,Y301/W301))-(AE$8)*((AE$7-$N$5)-(INDEX(ship_curves,MATCH(AC301,'SHIP CURVES'!$A$9:$A$316,0),MATCH(CONCATENATE(AG$4,AG$5,AG$6,AG$7),'SHIP CURVES'!$A$9:$Z$9,0))-INDEX(ship_curves,MATCH(AC301,'SHIP CURVES'!$A$9:$A$316,0),MATCH(CONCATENATE(AG$4,AE$6,AG$6,AG$7),'SHIP CURVES'!$A$9:$Z$9,0)))-(INDEX(terminal_curves,MATCH(AC301,'TERMINAL CURVES'!$A$4:$A$313,0),MATCH(AG$5,'TERMINAL CURVES'!$A$4:$N$4,0))-INDEX(terminal_curves,MATCH(AC301,'TERMINAL CURVES'!$A$4:$A$313,0),MATCH(AE$6,'TERMINAL CURVES'!$A$4:$N$4,0)))*IF(W301=0,0,Y301/W301)))*-W301</f>
        <v>0</v>
      </c>
      <c r="AH301" s="356" t="n">
        <f aca="false">SUM(AE301:AG301)</f>
        <v>0</v>
      </c>
      <c r="AI301" s="357" t="n">
        <f aca="false">(-Y301/((HLOOKUP(AG$5,port_specs,2,0)/(365.25))*(AC302-AC301)))*(INDEX(fixed_capacity_charge,MATCH(AC301,PORTS!$H$11:$H$317,0),MATCH(AG$5,PORTS!$H$11:$N$11,0))+INDEX(variable_om_charge,MATCH(AC301,PORTS!$H$318:$H$625,0),MATCH(AG$5,PORTS!$H$318:$N$318,0)))</f>
        <v>-0</v>
      </c>
      <c r="AJ301" s="343" t="n">
        <f aca="false">+AI301+AH301</f>
        <v>0</v>
      </c>
      <c r="AK301" s="355" t="n">
        <f aca="false">+AJ301+AD301</f>
        <v>0</v>
      </c>
      <c r="AM301" s="346" t="n">
        <f aca="false">+DATE(YEAR(AM300),MONTH(AM300)+1,1)</f>
        <v>45323</v>
      </c>
      <c r="AN301" s="327" t="n">
        <f aca="false">+AP301/(1-HLOOKUP(AO$6,SHIPS,7,0)*INDEX(LADEN_VOYAGE_DAYS,MATCH(CONCATENATE(AO$4,AO$5),LADEN_VOYAGE_ROUTES,0),MATCH(AO$6,LADEN_VOYAGE_SHIPS,0)))</f>
        <v>0</v>
      </c>
      <c r="AO301" s="347" t="n">
        <f aca="false">+AP301-AN301</f>
        <v>0</v>
      </c>
      <c r="AP301" s="348" t="n">
        <f aca="false">+IF(AND(AO$8&lt;=AM301,AO$9&gt;=AM301),+MIN($B301-SUMIF($H$17:AO$17,AP$17,$H301:AO301),((INDEX(ROUTE_PER_DAY_BY_SHIP,MATCH(CONCATENATE(AO$4,AO$5,AO$7),ROUTE_PER_DAY_ROUTES,0),MATCH(AO$6,ROUTE_PER_DAY_SHIPS,0))*(AM302-AM301))-(INDEX(ROUTE_PER_DAY_BY_SHIP,MATCH(CONCATENATE(AO$4,AO$5,AO$7),ROUTE_PER_DAY_ROUTES,0),MATCH(AO$6,ROUTE_PER_DAY_SHIPS,0))*(AM302-AM301))*HLOOKUP(AO$6,SHIPS,7,0)*INDEX(LADEN_VOYAGE_DAYS,MATCH(CONCATENATE(AO$4,AO$5,AO$7),LADEN_VOYAGE_ROUTES,0),MATCH(AO$6,LADEN_VOYAGE_SHIPS,0)))),0)</f>
        <v>0</v>
      </c>
      <c r="AQ301" s="349" t="n">
        <f aca="false">-(AP301)*PORTS!$I$6</f>
        <v>-0</v>
      </c>
      <c r="AR301" s="327" t="n">
        <f aca="false">+AP301+AQ301</f>
        <v>0</v>
      </c>
      <c r="AS301" s="333"/>
      <c r="AT301" s="346" t="n">
        <f aca="false">+DATE(YEAR(AT300),MONTH(AT300)+1,1)</f>
        <v>45323</v>
      </c>
      <c r="AU301" s="343" t="n">
        <f aca="false">+AR301*(VLOOKUP(AT301,CURVECALC!$C$6:$J$312,4,0)+AV$5)</f>
        <v>0</v>
      </c>
      <c r="AV301" s="350" t="n">
        <f aca="false">-AN301*INDEX(ship_curves,MATCH(AT301,'SHIP CURVES'!$A$9:$A$316,0),MATCH(CONCATENATE(AX$4,AX$5,AX$6,AX$7),'SHIP CURVES'!$A$9:$AZ$9,0))</f>
        <v>-0</v>
      </c>
      <c r="AW301" s="351" t="n">
        <f aca="false">-AP301*INDEX(port_processing_fee,MATCH(AT301,PORTS!$H$626:$H$933,0),MATCH(AX$5,PORTS!$H$626:$Z$626,0))</f>
        <v>-0</v>
      </c>
      <c r="AX301" s="352" t="n">
        <f aca="false">(((VLOOKUP(AT301,curvecalc,4,0))*IF(AN301=0,0,AR301/AN301)-INDEX(ship_curves,MATCH(AT301,'SHIP CURVES'!$A$9:$A$316,0),MATCH(CONCATENATE(AX$4,AX$5,AX$6,AX$7),'SHIP CURVES'!$A$9:$Z$9,0))-INDEX(terminal_curves,MATCH(AT301,'TERMINAL CURVES'!$A$4:$A$313,0),MATCH(AX$5,'TERMINAL CURVES'!$A$4:$N$4,0))*IF(AN301=0,0,AP301/AN301))-(AV$8)*((AV$7-$N$5)-(INDEX(ship_curves,MATCH(AT301,'SHIP CURVES'!$A$9:$A$316,0),MATCH(CONCATENATE(AX$4,AX$5,AX$6,AX$7),'SHIP CURVES'!$A$9:$Z$9,0))-INDEX(ship_curves,MATCH(AT301,'SHIP CURVES'!$A$9:$A$316,0),MATCH(CONCATENATE(AX$4,AV$6,AX$6,AX$7),'SHIP CURVES'!$A$9:$Z$9,0)))-(INDEX(terminal_curves,MATCH(AT301,'TERMINAL CURVES'!$A$4:$A$313,0),MATCH(AX$5,'TERMINAL CURVES'!$A$4:$N$4,0))-INDEX(terminal_curves,MATCH(AT301,'TERMINAL CURVES'!$A$4:$A$313,0),MATCH(AV$6,'TERMINAL CURVES'!$A$4:$N$4,0)))*IF(AN301=0,0,AP301/AN301)))*-AN301</f>
        <v>0</v>
      </c>
      <c r="AY301" s="356" t="n">
        <f aca="false">SUM(AV301:AX301)</f>
        <v>0</v>
      </c>
      <c r="AZ301" s="357" t="n">
        <f aca="false">(-AP301/((HLOOKUP(AX$5,port_specs,2,0)/(365.25))*(AT302-AT301)))*(INDEX(fixed_capacity_charge,MATCH(AT301,PORTS!$H$11:$H$317,0),MATCH(AX$5,PORTS!$H$11:$N$11,0))+INDEX(variable_om_charge,MATCH(AT301,PORTS!$H$318:$H$625,0),MATCH(AX$5,PORTS!$H$318:$N$318,0)))</f>
        <v>-0</v>
      </c>
      <c r="BA301" s="343" t="n">
        <f aca="false">+AZ301+AY301</f>
        <v>0</v>
      </c>
      <c r="BB301" s="355" t="n">
        <f aca="false">+BA301+AU301</f>
        <v>0</v>
      </c>
      <c r="BC301" s="99"/>
      <c r="BD301" s="357" t="n">
        <f aca="false">+PORTS!I295+PORTS!I603</f>
        <v>0</v>
      </c>
    </row>
    <row r="302" customFormat="false" ht="12.75" hidden="false" customHeight="false" outlineLevel="0" collapsed="false">
      <c r="A302" s="346" t="n">
        <f aca="false">+DATE(YEAR(A301),MONTH(A301)+1,1)</f>
        <v>45352</v>
      </c>
      <c r="B302" s="327" t="n">
        <f aca="false">+IF(AND($A302&gt;=$C$8,$A302&lt;=$C$9),1,0)*PORTS!$I$5/(365.25)*(A303-A302)</f>
        <v>0</v>
      </c>
      <c r="C302" s="328" t="n">
        <f aca="false">+B302-(SUMIF($F$17:$IV$17,$H$17,$F302:$IV302))</f>
        <v>0</v>
      </c>
      <c r="D302" s="0" t="n">
        <f aca="false">+YEAR(E302)</f>
        <v>2024</v>
      </c>
      <c r="E302" s="346" t="n">
        <f aca="false">+DATE(YEAR(E301),MONTH(E301)+1,1)</f>
        <v>45352</v>
      </c>
      <c r="F302" s="327" t="n">
        <f aca="false">+IF(AND(G$8&lt;=E302,G$9&gt;=E302),INDEX(ROUTE_PER_DAY_BY_SHIP,MATCH(CONCATENATE(G$4,G$5,G$7),ROUTE_PER_DAY_ROUTES,0),MATCH(G$6,ROUTE_PER_DAY_SHIPS,0))*(E303-E302),0)</f>
        <v>0</v>
      </c>
      <c r="G302" s="347" t="n">
        <f aca="false">-F302*HLOOKUP(G$6,SHIPS,7,0)*INDEX(LADEN_VOYAGE_DAYS,MATCH(CONCATENATE(G$4,G$5,G$7),LADEN_VOYAGE_ROUTES,0),MATCH(G$6,LADEN_VOYAGE_SHIPS,0))</f>
        <v>-0</v>
      </c>
      <c r="H302" s="348" t="n">
        <f aca="false">SUM(F302:G302)</f>
        <v>0</v>
      </c>
      <c r="I302" s="349" t="n">
        <f aca="false">-(H302)*HLOOKUP(G$5,TERMINAL_CHARGES,3,0)</f>
        <v>-0</v>
      </c>
      <c r="J302" s="327" t="n">
        <f aca="false">+H302+I302</f>
        <v>0</v>
      </c>
      <c r="K302" s="333"/>
      <c r="L302" s="346" t="n">
        <f aca="false">+DATE(YEAR(L301),MONTH(L301)+1,1)</f>
        <v>45352</v>
      </c>
      <c r="M302" s="334" t="n">
        <f aca="false">+J302*(VLOOKUP(L302,CURVECALC!$C$6:$J$312,4,0)+N$5)</f>
        <v>0</v>
      </c>
      <c r="N302" s="350" t="n">
        <f aca="false">-F302*INDEX(ship_curves,MATCH(L302,'SHIP CURVES'!$A$9:$A$316,0),MATCH(CONCATENATE(P$4,P$5,P$6,P$7),'SHIP CURVES'!$A$9:$AZ$9,0))</f>
        <v>-0</v>
      </c>
      <c r="O302" s="351" t="n">
        <f aca="false">-H302*INDEX(port_processing_fee,MATCH(L302,PORTS!$H$626:$H$933,0),MATCH(P$5,PORTS!$H$626:$Z$626,0))</f>
        <v>-0</v>
      </c>
      <c r="P302" s="352" t="n">
        <f aca="false">(((VLOOKUP(L302,curvecalc,4,0))*IF(F302=0,0,J302/F302)-INDEX(ship_curves,MATCH(L302,'SHIP CURVES'!$A$9:$A$316,0),MATCH(CONCATENATE(P$4,P$5,P$6,P$7),'SHIP CURVES'!$A$9:$Z$9,0))-INDEX(terminal_curves,MATCH(L302,'TERMINAL CURVES'!$A$4:$A$313,0),MATCH(P$5,'TERMINAL CURVES'!$A$4:$N$4,0))*IF(F302=0,0,H302/F302))-(N$8)*((N$7-$N$5)-(INDEX(ship_curves,MATCH(L302,'SHIP CURVES'!$A$9:$A$316,0),MATCH(CONCATENATE(P$4,P$5,P$6,P$7),'SHIP CURVES'!$A$9:$Z$9,0))-INDEX(ship_curves,MATCH(L302,'SHIP CURVES'!$A$9:$A$316,0),MATCH(CONCATENATE(P$4,N$6,P$6,P$7),'SHIP CURVES'!$A$9:$Z$9,0)))-(INDEX(terminal_curves,MATCH(L302,'TERMINAL CURVES'!$A$4:$A$313,0),MATCH(P$5,'TERMINAL CURVES'!$A$4:$N$4,0))-INDEX(terminal_curves,MATCH(L302,'TERMINAL CURVES'!$A$4:$A$313,0),MATCH(N$6,'TERMINAL CURVES'!$A$4:$N$4,0)))*IF(F302=0,0,H302/F302)))*-F302</f>
        <v>0</v>
      </c>
      <c r="Q302" s="353" t="n">
        <f aca="false">SUM(N302:P302)</f>
        <v>0</v>
      </c>
      <c r="R302" s="357" t="n">
        <f aca="false">(-H302/((HLOOKUP(P$5,port_specs,2,0)/(365.25))*(L303-L302)))*(INDEX(fixed_capacity_charge,MATCH(L302,PORTS!$H$11:$H$317,0),MATCH(P$5,PORTS!$H$11:$N$11,0))+INDEX(variable_om_charge,MATCH(L302,PORTS!$H$318:$H$625,0),MATCH(P$5,PORTS!$H$318:$N$318,0)))</f>
        <v>-0</v>
      </c>
      <c r="S302" s="343" t="n">
        <f aca="false">+R302+Q302</f>
        <v>0</v>
      </c>
      <c r="T302" s="355" t="n">
        <f aca="false">+S302+M302</f>
        <v>0</v>
      </c>
      <c r="V302" s="346" t="n">
        <f aca="false">+DATE(YEAR(V301),MONTH(V301)+1,1)</f>
        <v>45352</v>
      </c>
      <c r="W302" s="327" t="n">
        <f aca="false">+Y302/(1-HLOOKUP(X$6,SHIPS,7,0)*INDEX(LADEN_VOYAGE_DAYS,MATCH(CONCATENATE(X$4,X$5),LADEN_VOYAGE_ROUTES,0),MATCH(X$6,LADEN_VOYAGE_SHIPS,0)))</f>
        <v>0</v>
      </c>
      <c r="X302" s="347" t="n">
        <f aca="false">+Y302-W302</f>
        <v>0</v>
      </c>
      <c r="Y302" s="348" t="n">
        <f aca="false">+IF(AND(X$8&lt;=V302,X$9&gt;=V302),+MIN($B302-SUMIF($H$17:X$17,Y$17,$H302:X302),((INDEX(ROUTE_PER_DAY_BY_SHIP,MATCH(CONCATENATE(X$4,X$5,X$7),ROUTE_PER_DAY_ROUTES,0),MATCH(X$6,ROUTE_PER_DAY_SHIPS,0))*(V303-V302))-(INDEX(ROUTE_PER_DAY_BY_SHIP,MATCH(CONCATENATE(X$4,X$5,X$7),ROUTE_PER_DAY_ROUTES,0),MATCH(X$6,ROUTE_PER_DAY_SHIPS,0))*(V303-V302))*HLOOKUP(X$6,SHIPS,7,0)*INDEX(LADEN_VOYAGE_DAYS,MATCH(CONCATENATE(X$4,X$5,X$7),LADEN_VOYAGE_ROUTES,0),MATCH(X$6,LADEN_VOYAGE_SHIPS,0)))),0)</f>
        <v>0</v>
      </c>
      <c r="Z302" s="349" t="n">
        <f aca="false">-(Y302)*HLOOKUP(X$5,TERMINAL_CHARGES,3,0)</f>
        <v>-0</v>
      </c>
      <c r="AA302" s="327" t="n">
        <f aca="false">+Y302+Z302</f>
        <v>0</v>
      </c>
      <c r="AB302" s="333"/>
      <c r="AC302" s="346" t="n">
        <f aca="false">+DATE(YEAR(AC301),MONTH(AC301)+1,1)</f>
        <v>45352</v>
      </c>
      <c r="AD302" s="343" t="n">
        <f aca="false">+AA302*(VLOOKUP(AC302,CURVECALC!$C$6:$J$312,4,0)+AE$5)</f>
        <v>0</v>
      </c>
      <c r="AE302" s="350" t="n">
        <f aca="false">-W302*INDEX(ship_curves,MATCH(AC302,'SHIP CURVES'!$A$9:$A$316,0),MATCH(CONCATENATE(AG$4,AG$5,AG$6,AG$7),'SHIP CURVES'!$A$9:$AZ$9,0))</f>
        <v>-0</v>
      </c>
      <c r="AF302" s="351" t="n">
        <f aca="false">-Y302*INDEX(port_processing_fee,MATCH(AC302,PORTS!$H$626:$H$933,0),MATCH(AG$5,PORTS!$H$626:$Z$626,0))</f>
        <v>-0</v>
      </c>
      <c r="AG302" s="352" t="n">
        <f aca="false">(((VLOOKUP(AC302,curvecalc,4,0))*IF(W302=0,0,AA302/W302)-INDEX(ship_curves,MATCH(AC302,'SHIP CURVES'!$A$9:$A$316,0),MATCH(CONCATENATE(AG$4,AG$5,AG$6,AG$7),'SHIP CURVES'!$A$9:$Z$9,0))-INDEX(terminal_curves,MATCH(AC302,'TERMINAL CURVES'!$A$4:$A$313,0),MATCH(AG$5,'TERMINAL CURVES'!$A$4:$N$4,0))*IF(W302=0,0,Y302/W302))-(AE$8)*((AE$7-$N$5)-(INDEX(ship_curves,MATCH(AC302,'SHIP CURVES'!$A$9:$A$316,0),MATCH(CONCATENATE(AG$4,AG$5,AG$6,AG$7),'SHIP CURVES'!$A$9:$Z$9,0))-INDEX(ship_curves,MATCH(AC302,'SHIP CURVES'!$A$9:$A$316,0),MATCH(CONCATENATE(AG$4,AE$6,AG$6,AG$7),'SHIP CURVES'!$A$9:$Z$9,0)))-(INDEX(terminal_curves,MATCH(AC302,'TERMINAL CURVES'!$A$4:$A$313,0),MATCH(AG$5,'TERMINAL CURVES'!$A$4:$N$4,0))-INDEX(terminal_curves,MATCH(AC302,'TERMINAL CURVES'!$A$4:$A$313,0),MATCH(AE$6,'TERMINAL CURVES'!$A$4:$N$4,0)))*IF(W302=0,0,Y302/W302)))*-W302</f>
        <v>0</v>
      </c>
      <c r="AH302" s="356" t="n">
        <f aca="false">SUM(AE302:AG302)</f>
        <v>0</v>
      </c>
      <c r="AI302" s="357" t="n">
        <f aca="false">(-Y302/((HLOOKUP(AG$5,port_specs,2,0)/(365.25))*(AC303-AC302)))*(INDEX(fixed_capacity_charge,MATCH(AC302,PORTS!$H$11:$H$317,0),MATCH(AG$5,PORTS!$H$11:$N$11,0))+INDEX(variable_om_charge,MATCH(AC302,PORTS!$H$318:$H$625,0),MATCH(AG$5,PORTS!$H$318:$N$318,0)))</f>
        <v>-0</v>
      </c>
      <c r="AJ302" s="343" t="n">
        <f aca="false">+AI302+AH302</f>
        <v>0</v>
      </c>
      <c r="AK302" s="355" t="n">
        <f aca="false">+AJ302+AD302</f>
        <v>0</v>
      </c>
      <c r="AM302" s="346" t="n">
        <f aca="false">+DATE(YEAR(AM301),MONTH(AM301)+1,1)</f>
        <v>45352</v>
      </c>
      <c r="AN302" s="327" t="n">
        <f aca="false">+AP302/(1-HLOOKUP(AO$6,SHIPS,7,0)*INDEX(LADEN_VOYAGE_DAYS,MATCH(CONCATENATE(AO$4,AO$5),LADEN_VOYAGE_ROUTES,0),MATCH(AO$6,LADEN_VOYAGE_SHIPS,0)))</f>
        <v>0</v>
      </c>
      <c r="AO302" s="347" t="n">
        <f aca="false">+AP302-AN302</f>
        <v>0</v>
      </c>
      <c r="AP302" s="348" t="n">
        <f aca="false">+IF(AND(AO$8&lt;=AM302,AO$9&gt;=AM302),+MIN($B302-SUMIF($H$17:AO$17,AP$17,$H302:AO302),((INDEX(ROUTE_PER_DAY_BY_SHIP,MATCH(CONCATENATE(AO$4,AO$5,AO$7),ROUTE_PER_DAY_ROUTES,0),MATCH(AO$6,ROUTE_PER_DAY_SHIPS,0))*(AM303-AM302))-(INDEX(ROUTE_PER_DAY_BY_SHIP,MATCH(CONCATENATE(AO$4,AO$5,AO$7),ROUTE_PER_DAY_ROUTES,0),MATCH(AO$6,ROUTE_PER_DAY_SHIPS,0))*(AM303-AM302))*HLOOKUP(AO$6,SHIPS,7,0)*INDEX(LADEN_VOYAGE_DAYS,MATCH(CONCATENATE(AO$4,AO$5,AO$7),LADEN_VOYAGE_ROUTES,0),MATCH(AO$6,LADEN_VOYAGE_SHIPS,0)))),0)</f>
        <v>0</v>
      </c>
      <c r="AQ302" s="349" t="n">
        <f aca="false">-(AP302)*PORTS!$I$6</f>
        <v>-0</v>
      </c>
      <c r="AR302" s="327" t="n">
        <f aca="false">+AP302+AQ302</f>
        <v>0</v>
      </c>
      <c r="AS302" s="333"/>
      <c r="AT302" s="346" t="n">
        <f aca="false">+DATE(YEAR(AT301),MONTH(AT301)+1,1)</f>
        <v>45352</v>
      </c>
      <c r="AU302" s="343" t="n">
        <f aca="false">+AR302*(VLOOKUP(AT302,CURVECALC!$C$6:$J$312,4,0)+AV$5)</f>
        <v>0</v>
      </c>
      <c r="AV302" s="350" t="n">
        <f aca="false">-AN302*INDEX(ship_curves,MATCH(AT302,'SHIP CURVES'!$A$9:$A$316,0),MATCH(CONCATENATE(AX$4,AX$5,AX$6,AX$7),'SHIP CURVES'!$A$9:$AZ$9,0))</f>
        <v>-0</v>
      </c>
      <c r="AW302" s="351" t="n">
        <f aca="false">-AP302*INDEX(port_processing_fee,MATCH(AT302,PORTS!$H$626:$H$933,0),MATCH(AX$5,PORTS!$H$626:$Z$626,0))</f>
        <v>-0</v>
      </c>
      <c r="AX302" s="352" t="n">
        <f aca="false">(((VLOOKUP(AT302,curvecalc,4,0))*IF(AN302=0,0,AR302/AN302)-INDEX(ship_curves,MATCH(AT302,'SHIP CURVES'!$A$9:$A$316,0),MATCH(CONCATENATE(AX$4,AX$5,AX$6,AX$7),'SHIP CURVES'!$A$9:$Z$9,0))-INDEX(terminal_curves,MATCH(AT302,'TERMINAL CURVES'!$A$4:$A$313,0),MATCH(AX$5,'TERMINAL CURVES'!$A$4:$N$4,0))*IF(AN302=0,0,AP302/AN302))-(AV$8)*((AV$7-$N$5)-(INDEX(ship_curves,MATCH(AT302,'SHIP CURVES'!$A$9:$A$316,0),MATCH(CONCATENATE(AX$4,AX$5,AX$6,AX$7),'SHIP CURVES'!$A$9:$Z$9,0))-INDEX(ship_curves,MATCH(AT302,'SHIP CURVES'!$A$9:$A$316,0),MATCH(CONCATENATE(AX$4,AV$6,AX$6,AX$7),'SHIP CURVES'!$A$9:$Z$9,0)))-(INDEX(terminal_curves,MATCH(AT302,'TERMINAL CURVES'!$A$4:$A$313,0),MATCH(AX$5,'TERMINAL CURVES'!$A$4:$N$4,0))-INDEX(terminal_curves,MATCH(AT302,'TERMINAL CURVES'!$A$4:$A$313,0),MATCH(AV$6,'TERMINAL CURVES'!$A$4:$N$4,0)))*IF(AN302=0,0,AP302/AN302)))*-AN302</f>
        <v>0</v>
      </c>
      <c r="AY302" s="356" t="n">
        <f aca="false">SUM(AV302:AX302)</f>
        <v>0</v>
      </c>
      <c r="AZ302" s="357" t="n">
        <f aca="false">(-AP302/((HLOOKUP(AX$5,port_specs,2,0)/(365.25))*(AT303-AT302)))*(INDEX(fixed_capacity_charge,MATCH(AT302,PORTS!$H$11:$H$317,0),MATCH(AX$5,PORTS!$H$11:$N$11,0))+INDEX(variable_om_charge,MATCH(AT302,PORTS!$H$318:$H$625,0),MATCH(AX$5,PORTS!$H$318:$N$318,0)))</f>
        <v>-0</v>
      </c>
      <c r="BA302" s="343" t="n">
        <f aca="false">+AZ302+AY302</f>
        <v>0</v>
      </c>
      <c r="BB302" s="355" t="n">
        <f aca="false">+BA302+AU302</f>
        <v>0</v>
      </c>
      <c r="BC302" s="99"/>
      <c r="BD302" s="357" t="n">
        <f aca="false">+PORTS!I296+PORTS!I604</f>
        <v>0</v>
      </c>
    </row>
    <row r="303" customFormat="false" ht="12.75" hidden="false" customHeight="false" outlineLevel="0" collapsed="false">
      <c r="A303" s="346" t="n">
        <f aca="false">+DATE(YEAR(A302),MONTH(A302)+1,1)</f>
        <v>45383</v>
      </c>
      <c r="B303" s="327" t="n">
        <f aca="false">+IF(AND($A303&gt;=$C$8,$A303&lt;=$C$9),1,0)*PORTS!$I$5/(365.25)*(A304-A303)</f>
        <v>0</v>
      </c>
      <c r="C303" s="328" t="n">
        <f aca="false">+B303-(SUMIF($F$17:$IV$17,$H$17,$F303:$IV303))</f>
        <v>0</v>
      </c>
      <c r="D303" s="0" t="n">
        <f aca="false">+YEAR(E303)</f>
        <v>2024</v>
      </c>
      <c r="E303" s="346" t="n">
        <f aca="false">+DATE(YEAR(E302),MONTH(E302)+1,1)</f>
        <v>45383</v>
      </c>
      <c r="F303" s="327" t="n">
        <f aca="false">+IF(AND(G$8&lt;=E303,G$9&gt;=E303),INDEX(ROUTE_PER_DAY_BY_SHIP,MATCH(CONCATENATE(G$4,G$5,G$7),ROUTE_PER_DAY_ROUTES,0),MATCH(G$6,ROUTE_PER_DAY_SHIPS,0))*(E304-E303),0)</f>
        <v>0</v>
      </c>
      <c r="G303" s="347" t="n">
        <f aca="false">-F303*HLOOKUP(G$6,SHIPS,7,0)*INDEX(LADEN_VOYAGE_DAYS,MATCH(CONCATENATE(G$4,G$5,G$7),LADEN_VOYAGE_ROUTES,0),MATCH(G$6,LADEN_VOYAGE_SHIPS,0))</f>
        <v>-0</v>
      </c>
      <c r="H303" s="348" t="n">
        <f aca="false">SUM(F303:G303)</f>
        <v>0</v>
      </c>
      <c r="I303" s="349" t="n">
        <f aca="false">-(H303)*HLOOKUP(G$5,TERMINAL_CHARGES,3,0)</f>
        <v>-0</v>
      </c>
      <c r="J303" s="327" t="n">
        <f aca="false">+H303+I303</f>
        <v>0</v>
      </c>
      <c r="K303" s="333"/>
      <c r="L303" s="346" t="n">
        <f aca="false">+DATE(YEAR(L302),MONTH(L302)+1,1)</f>
        <v>45383</v>
      </c>
      <c r="M303" s="334" t="n">
        <f aca="false">+J303*(VLOOKUP(L303,CURVECALC!$C$6:$J$312,4,0)+N$5)</f>
        <v>0</v>
      </c>
      <c r="N303" s="350" t="n">
        <f aca="false">-F303*INDEX(ship_curves,MATCH(L303,'SHIP CURVES'!$A$9:$A$316,0),MATCH(CONCATENATE(P$4,P$5,P$6,P$7),'SHIP CURVES'!$A$9:$AZ$9,0))</f>
        <v>-0</v>
      </c>
      <c r="O303" s="351" t="n">
        <f aca="false">-H303*INDEX(port_processing_fee,MATCH(L303,PORTS!$H$626:$H$933,0),MATCH(P$5,PORTS!$H$626:$Z$626,0))</f>
        <v>-0</v>
      </c>
      <c r="P303" s="352" t="n">
        <f aca="false">(((VLOOKUP(L303,curvecalc,4,0))*IF(F303=0,0,J303/F303)-INDEX(ship_curves,MATCH(L303,'SHIP CURVES'!$A$9:$A$316,0),MATCH(CONCATENATE(P$4,P$5,P$6,P$7),'SHIP CURVES'!$A$9:$Z$9,0))-INDEX(terminal_curves,MATCH(L303,'TERMINAL CURVES'!$A$4:$A$313,0),MATCH(P$5,'TERMINAL CURVES'!$A$4:$N$4,0))*IF(F303=0,0,H303/F303))-(N$8)*((N$7-$N$5)-(INDEX(ship_curves,MATCH(L303,'SHIP CURVES'!$A$9:$A$316,0),MATCH(CONCATENATE(P$4,P$5,P$6,P$7),'SHIP CURVES'!$A$9:$Z$9,0))-INDEX(ship_curves,MATCH(L303,'SHIP CURVES'!$A$9:$A$316,0),MATCH(CONCATENATE(P$4,N$6,P$6,P$7),'SHIP CURVES'!$A$9:$Z$9,0)))-(INDEX(terminal_curves,MATCH(L303,'TERMINAL CURVES'!$A$4:$A$313,0),MATCH(P$5,'TERMINAL CURVES'!$A$4:$N$4,0))-INDEX(terminal_curves,MATCH(L303,'TERMINAL CURVES'!$A$4:$A$313,0),MATCH(N$6,'TERMINAL CURVES'!$A$4:$N$4,0)))*IF(F303=0,0,H303/F303)))*-F303</f>
        <v>0</v>
      </c>
      <c r="Q303" s="353" t="n">
        <f aca="false">SUM(N303:P303)</f>
        <v>0</v>
      </c>
      <c r="R303" s="357" t="n">
        <f aca="false">(-H303/((HLOOKUP(P$5,port_specs,2,0)/(365.25))*(L304-L303)))*(INDEX(fixed_capacity_charge,MATCH(L303,PORTS!$H$11:$H$317,0),MATCH(P$5,PORTS!$H$11:$N$11,0))+INDEX(variable_om_charge,MATCH(L303,PORTS!$H$318:$H$625,0),MATCH(P$5,PORTS!$H$318:$N$318,0)))</f>
        <v>-0</v>
      </c>
      <c r="S303" s="343" t="n">
        <f aca="false">+R303+Q303</f>
        <v>0</v>
      </c>
      <c r="T303" s="355" t="n">
        <f aca="false">+S303+M303</f>
        <v>0</v>
      </c>
      <c r="V303" s="346" t="n">
        <f aca="false">+DATE(YEAR(V302),MONTH(V302)+1,1)</f>
        <v>45383</v>
      </c>
      <c r="W303" s="327" t="n">
        <f aca="false">+Y303/(1-HLOOKUP(X$6,SHIPS,7,0)*INDEX(LADEN_VOYAGE_DAYS,MATCH(CONCATENATE(X$4,X$5),LADEN_VOYAGE_ROUTES,0),MATCH(X$6,LADEN_VOYAGE_SHIPS,0)))</f>
        <v>0</v>
      </c>
      <c r="X303" s="347" t="n">
        <f aca="false">+Y303-W303</f>
        <v>0</v>
      </c>
      <c r="Y303" s="348" t="n">
        <f aca="false">+IF(AND(X$8&lt;=V303,X$9&gt;=V303),+MIN($B303-SUMIF($H$17:X$17,Y$17,$H303:X303),((INDEX(ROUTE_PER_DAY_BY_SHIP,MATCH(CONCATENATE(X$4,X$5,X$7),ROUTE_PER_DAY_ROUTES,0),MATCH(X$6,ROUTE_PER_DAY_SHIPS,0))*(V304-V303))-(INDEX(ROUTE_PER_DAY_BY_SHIP,MATCH(CONCATENATE(X$4,X$5,X$7),ROUTE_PER_DAY_ROUTES,0),MATCH(X$6,ROUTE_PER_DAY_SHIPS,0))*(V304-V303))*HLOOKUP(X$6,SHIPS,7,0)*INDEX(LADEN_VOYAGE_DAYS,MATCH(CONCATENATE(X$4,X$5,X$7),LADEN_VOYAGE_ROUTES,0),MATCH(X$6,LADEN_VOYAGE_SHIPS,0)))),0)</f>
        <v>0</v>
      </c>
      <c r="Z303" s="349" t="n">
        <f aca="false">-(Y303)*HLOOKUP(X$5,TERMINAL_CHARGES,3,0)</f>
        <v>-0</v>
      </c>
      <c r="AA303" s="327" t="n">
        <f aca="false">+Y303+Z303</f>
        <v>0</v>
      </c>
      <c r="AB303" s="333"/>
      <c r="AC303" s="346" t="n">
        <f aca="false">+DATE(YEAR(AC302),MONTH(AC302)+1,1)</f>
        <v>45383</v>
      </c>
      <c r="AD303" s="343" t="n">
        <f aca="false">+AA303*(VLOOKUP(AC303,CURVECALC!$C$6:$J$312,4,0)+AE$5)</f>
        <v>0</v>
      </c>
      <c r="AE303" s="350" t="n">
        <f aca="false">-W303*INDEX(ship_curves,MATCH(AC303,'SHIP CURVES'!$A$9:$A$316,0),MATCH(CONCATENATE(AG$4,AG$5,AG$6,AG$7),'SHIP CURVES'!$A$9:$AZ$9,0))</f>
        <v>-0</v>
      </c>
      <c r="AF303" s="351" t="n">
        <f aca="false">-Y303*INDEX(port_processing_fee,MATCH(AC303,PORTS!$H$626:$H$933,0),MATCH(AG$5,PORTS!$H$626:$Z$626,0))</f>
        <v>-0</v>
      </c>
      <c r="AG303" s="352" t="n">
        <f aca="false">(((VLOOKUP(AC303,curvecalc,4,0))*IF(W303=0,0,AA303/W303)-INDEX(ship_curves,MATCH(AC303,'SHIP CURVES'!$A$9:$A$316,0),MATCH(CONCATENATE(AG$4,AG$5,AG$6,AG$7),'SHIP CURVES'!$A$9:$Z$9,0))-INDEX(terminal_curves,MATCH(AC303,'TERMINAL CURVES'!$A$4:$A$313,0),MATCH(AG$5,'TERMINAL CURVES'!$A$4:$N$4,0))*IF(W303=0,0,Y303/W303))-(AE$8)*((AE$7-$N$5)-(INDEX(ship_curves,MATCH(AC303,'SHIP CURVES'!$A$9:$A$316,0),MATCH(CONCATENATE(AG$4,AG$5,AG$6,AG$7),'SHIP CURVES'!$A$9:$Z$9,0))-INDEX(ship_curves,MATCH(AC303,'SHIP CURVES'!$A$9:$A$316,0),MATCH(CONCATENATE(AG$4,AE$6,AG$6,AG$7),'SHIP CURVES'!$A$9:$Z$9,0)))-(INDEX(terminal_curves,MATCH(AC303,'TERMINAL CURVES'!$A$4:$A$313,0),MATCH(AG$5,'TERMINAL CURVES'!$A$4:$N$4,0))-INDEX(terminal_curves,MATCH(AC303,'TERMINAL CURVES'!$A$4:$A$313,0),MATCH(AE$6,'TERMINAL CURVES'!$A$4:$N$4,0)))*IF(W303=0,0,Y303/W303)))*-W303</f>
        <v>0</v>
      </c>
      <c r="AH303" s="356" t="n">
        <f aca="false">SUM(AE303:AG303)</f>
        <v>0</v>
      </c>
      <c r="AI303" s="357" t="n">
        <f aca="false">(-Y303/((HLOOKUP(AG$5,port_specs,2,0)/(365.25))*(AC304-AC303)))*(INDEX(fixed_capacity_charge,MATCH(AC303,PORTS!$H$11:$H$317,0),MATCH(AG$5,PORTS!$H$11:$N$11,0))+INDEX(variable_om_charge,MATCH(AC303,PORTS!$H$318:$H$625,0),MATCH(AG$5,PORTS!$H$318:$N$318,0)))</f>
        <v>-0</v>
      </c>
      <c r="AJ303" s="343" t="n">
        <f aca="false">+AI303+AH303</f>
        <v>0</v>
      </c>
      <c r="AK303" s="355" t="n">
        <f aca="false">+AJ303+AD303</f>
        <v>0</v>
      </c>
      <c r="AM303" s="346" t="n">
        <f aca="false">+DATE(YEAR(AM302),MONTH(AM302)+1,1)</f>
        <v>45383</v>
      </c>
      <c r="AN303" s="327" t="n">
        <f aca="false">+AP303/(1-HLOOKUP(AO$6,SHIPS,7,0)*INDEX(LADEN_VOYAGE_DAYS,MATCH(CONCATENATE(AO$4,AO$5),LADEN_VOYAGE_ROUTES,0),MATCH(AO$6,LADEN_VOYAGE_SHIPS,0)))</f>
        <v>0</v>
      </c>
      <c r="AO303" s="347" t="n">
        <f aca="false">+AP303-AN303</f>
        <v>0</v>
      </c>
      <c r="AP303" s="348" t="n">
        <f aca="false">+IF(AND(AO$8&lt;=AM303,AO$9&gt;=AM303),+MIN($B303-SUMIF($H$17:AO$17,AP$17,$H303:AO303),((INDEX(ROUTE_PER_DAY_BY_SHIP,MATCH(CONCATENATE(AO$4,AO$5,AO$7),ROUTE_PER_DAY_ROUTES,0),MATCH(AO$6,ROUTE_PER_DAY_SHIPS,0))*(AM304-AM303))-(INDEX(ROUTE_PER_DAY_BY_SHIP,MATCH(CONCATENATE(AO$4,AO$5,AO$7),ROUTE_PER_DAY_ROUTES,0),MATCH(AO$6,ROUTE_PER_DAY_SHIPS,0))*(AM304-AM303))*HLOOKUP(AO$6,SHIPS,7,0)*INDEX(LADEN_VOYAGE_DAYS,MATCH(CONCATENATE(AO$4,AO$5,AO$7),LADEN_VOYAGE_ROUTES,0),MATCH(AO$6,LADEN_VOYAGE_SHIPS,0)))),0)</f>
        <v>0</v>
      </c>
      <c r="AQ303" s="349" t="n">
        <f aca="false">-(AP303)*PORTS!$I$6</f>
        <v>-0</v>
      </c>
      <c r="AR303" s="327" t="n">
        <f aca="false">+AP303+AQ303</f>
        <v>0</v>
      </c>
      <c r="AS303" s="333"/>
      <c r="AT303" s="346" t="n">
        <f aca="false">+DATE(YEAR(AT302),MONTH(AT302)+1,1)</f>
        <v>45383</v>
      </c>
      <c r="AU303" s="343" t="n">
        <f aca="false">+AR303*(VLOOKUP(AT303,CURVECALC!$C$6:$J$312,4,0)+AV$5)</f>
        <v>0</v>
      </c>
      <c r="AV303" s="350" t="n">
        <f aca="false">-AN303*INDEX(ship_curves,MATCH(AT303,'SHIP CURVES'!$A$9:$A$316,0),MATCH(CONCATENATE(AX$4,AX$5,AX$6,AX$7),'SHIP CURVES'!$A$9:$AZ$9,0))</f>
        <v>-0</v>
      </c>
      <c r="AW303" s="351" t="n">
        <f aca="false">-AP303*INDEX(port_processing_fee,MATCH(AT303,PORTS!$H$626:$H$933,0),MATCH(AX$5,PORTS!$H$626:$Z$626,0))</f>
        <v>-0</v>
      </c>
      <c r="AX303" s="352" t="n">
        <f aca="false">(((VLOOKUP(AT303,curvecalc,4,0))*IF(AN303=0,0,AR303/AN303)-INDEX(ship_curves,MATCH(AT303,'SHIP CURVES'!$A$9:$A$316,0),MATCH(CONCATENATE(AX$4,AX$5,AX$6,AX$7),'SHIP CURVES'!$A$9:$Z$9,0))-INDEX(terminal_curves,MATCH(AT303,'TERMINAL CURVES'!$A$4:$A$313,0),MATCH(AX$5,'TERMINAL CURVES'!$A$4:$N$4,0))*IF(AN303=0,0,AP303/AN303))-(AV$8)*((AV$7-$N$5)-(INDEX(ship_curves,MATCH(AT303,'SHIP CURVES'!$A$9:$A$316,0),MATCH(CONCATENATE(AX$4,AX$5,AX$6,AX$7),'SHIP CURVES'!$A$9:$Z$9,0))-INDEX(ship_curves,MATCH(AT303,'SHIP CURVES'!$A$9:$A$316,0),MATCH(CONCATENATE(AX$4,AV$6,AX$6,AX$7),'SHIP CURVES'!$A$9:$Z$9,0)))-(INDEX(terminal_curves,MATCH(AT303,'TERMINAL CURVES'!$A$4:$A$313,0),MATCH(AX$5,'TERMINAL CURVES'!$A$4:$N$4,0))-INDEX(terminal_curves,MATCH(AT303,'TERMINAL CURVES'!$A$4:$A$313,0),MATCH(AV$6,'TERMINAL CURVES'!$A$4:$N$4,0)))*IF(AN303=0,0,AP303/AN303)))*-AN303</f>
        <v>0</v>
      </c>
      <c r="AY303" s="356" t="n">
        <f aca="false">SUM(AV303:AX303)</f>
        <v>0</v>
      </c>
      <c r="AZ303" s="357" t="n">
        <f aca="false">(-AP303/((HLOOKUP(AX$5,port_specs,2,0)/(365.25))*(AT304-AT303)))*(INDEX(fixed_capacity_charge,MATCH(AT303,PORTS!$H$11:$H$317,0),MATCH(AX$5,PORTS!$H$11:$N$11,0))+INDEX(variable_om_charge,MATCH(AT303,PORTS!$H$318:$H$625,0),MATCH(AX$5,PORTS!$H$318:$N$318,0)))</f>
        <v>-0</v>
      </c>
      <c r="BA303" s="343" t="n">
        <f aca="false">+AZ303+AY303</f>
        <v>0</v>
      </c>
      <c r="BB303" s="355" t="n">
        <f aca="false">+BA303+AU303</f>
        <v>0</v>
      </c>
      <c r="BC303" s="99"/>
      <c r="BD303" s="357" t="n">
        <f aca="false">+PORTS!I297+PORTS!I605</f>
        <v>0</v>
      </c>
    </row>
    <row r="304" customFormat="false" ht="12.75" hidden="false" customHeight="false" outlineLevel="0" collapsed="false">
      <c r="A304" s="346" t="n">
        <f aca="false">+DATE(YEAR(A303),MONTH(A303)+1,1)</f>
        <v>45413</v>
      </c>
      <c r="B304" s="327" t="n">
        <f aca="false">+IF(AND($A304&gt;=$C$8,$A304&lt;=$C$9),1,0)*PORTS!$I$5/(365.25)*(A305-A304)</f>
        <v>0</v>
      </c>
      <c r="C304" s="328" t="n">
        <f aca="false">+B304-(SUMIF($F$17:$IV$17,$H$17,$F304:$IV304))</f>
        <v>0</v>
      </c>
      <c r="D304" s="0" t="n">
        <f aca="false">+YEAR(E304)</f>
        <v>2024</v>
      </c>
      <c r="E304" s="346" t="n">
        <f aca="false">+DATE(YEAR(E303),MONTH(E303)+1,1)</f>
        <v>45413</v>
      </c>
      <c r="F304" s="327" t="n">
        <f aca="false">+IF(AND(G$8&lt;=E304,G$9&gt;=E304),INDEX(ROUTE_PER_DAY_BY_SHIP,MATCH(CONCATENATE(G$4,G$5,G$7),ROUTE_PER_DAY_ROUTES,0),MATCH(G$6,ROUTE_PER_DAY_SHIPS,0))*(E305-E304),0)</f>
        <v>0</v>
      </c>
      <c r="G304" s="347" t="n">
        <f aca="false">-F304*HLOOKUP(G$6,SHIPS,7,0)*INDEX(LADEN_VOYAGE_DAYS,MATCH(CONCATENATE(G$4,G$5,G$7),LADEN_VOYAGE_ROUTES,0),MATCH(G$6,LADEN_VOYAGE_SHIPS,0))</f>
        <v>-0</v>
      </c>
      <c r="H304" s="348" t="n">
        <f aca="false">SUM(F304:G304)</f>
        <v>0</v>
      </c>
      <c r="I304" s="349" t="n">
        <f aca="false">-(H304)*HLOOKUP(G$5,TERMINAL_CHARGES,3,0)</f>
        <v>-0</v>
      </c>
      <c r="J304" s="327" t="n">
        <f aca="false">+H304+I304</f>
        <v>0</v>
      </c>
      <c r="K304" s="333"/>
      <c r="L304" s="346" t="n">
        <f aca="false">+DATE(YEAR(L303),MONTH(L303)+1,1)</f>
        <v>45413</v>
      </c>
      <c r="M304" s="334" t="n">
        <f aca="false">+J304*(VLOOKUP(L304,CURVECALC!$C$6:$J$312,4,0)+N$5)</f>
        <v>0</v>
      </c>
      <c r="N304" s="350" t="n">
        <f aca="false">-F304*INDEX(ship_curves,MATCH(L304,'SHIP CURVES'!$A$9:$A$316,0),MATCH(CONCATENATE(P$4,P$5,P$6,P$7),'SHIP CURVES'!$A$9:$AZ$9,0))</f>
        <v>-0</v>
      </c>
      <c r="O304" s="351" t="n">
        <f aca="false">-H304*INDEX(port_processing_fee,MATCH(L304,PORTS!$H$626:$H$933,0),MATCH(P$5,PORTS!$H$626:$Z$626,0))</f>
        <v>-0</v>
      </c>
      <c r="P304" s="352" t="n">
        <f aca="false">(((VLOOKUP(L304,curvecalc,4,0))*IF(F304=0,0,J304/F304)-INDEX(ship_curves,MATCH(L304,'SHIP CURVES'!$A$9:$A$316,0),MATCH(CONCATENATE(P$4,P$5,P$6,P$7),'SHIP CURVES'!$A$9:$Z$9,0))-INDEX(terminal_curves,MATCH(L304,'TERMINAL CURVES'!$A$4:$A$313,0),MATCH(P$5,'TERMINAL CURVES'!$A$4:$N$4,0))*IF(F304=0,0,H304/F304))-(N$8)*((N$7-$N$5)-(INDEX(ship_curves,MATCH(L304,'SHIP CURVES'!$A$9:$A$316,0),MATCH(CONCATENATE(P$4,P$5,P$6,P$7),'SHIP CURVES'!$A$9:$Z$9,0))-INDEX(ship_curves,MATCH(L304,'SHIP CURVES'!$A$9:$A$316,0),MATCH(CONCATENATE(P$4,N$6,P$6,P$7),'SHIP CURVES'!$A$9:$Z$9,0)))-(INDEX(terminal_curves,MATCH(L304,'TERMINAL CURVES'!$A$4:$A$313,0),MATCH(P$5,'TERMINAL CURVES'!$A$4:$N$4,0))-INDEX(terminal_curves,MATCH(L304,'TERMINAL CURVES'!$A$4:$A$313,0),MATCH(N$6,'TERMINAL CURVES'!$A$4:$N$4,0)))*IF(F304=0,0,H304/F304)))*-F304</f>
        <v>0</v>
      </c>
      <c r="Q304" s="353" t="n">
        <f aca="false">SUM(N304:P304)</f>
        <v>0</v>
      </c>
      <c r="R304" s="357" t="n">
        <f aca="false">(-H304/((HLOOKUP(P$5,port_specs,2,0)/(365.25))*(L305-L304)))*(INDEX(fixed_capacity_charge,MATCH(L304,PORTS!$H$11:$H$317,0),MATCH(P$5,PORTS!$H$11:$N$11,0))+INDEX(variable_om_charge,MATCH(L304,PORTS!$H$318:$H$625,0),MATCH(P$5,PORTS!$H$318:$N$318,0)))</f>
        <v>-0</v>
      </c>
      <c r="S304" s="343" t="n">
        <f aca="false">+R304+Q304</f>
        <v>0</v>
      </c>
      <c r="T304" s="355" t="n">
        <f aca="false">+S304+M304</f>
        <v>0</v>
      </c>
      <c r="V304" s="346" t="n">
        <f aca="false">+DATE(YEAR(V303),MONTH(V303)+1,1)</f>
        <v>45413</v>
      </c>
      <c r="W304" s="327" t="n">
        <f aca="false">+Y304/(1-HLOOKUP(X$6,SHIPS,7,0)*INDEX(LADEN_VOYAGE_DAYS,MATCH(CONCATENATE(X$4,X$5),LADEN_VOYAGE_ROUTES,0),MATCH(X$6,LADEN_VOYAGE_SHIPS,0)))</f>
        <v>0</v>
      </c>
      <c r="X304" s="347" t="n">
        <f aca="false">+Y304-W304</f>
        <v>0</v>
      </c>
      <c r="Y304" s="348" t="n">
        <f aca="false">+IF(AND(X$8&lt;=V304,X$9&gt;=V304),+MIN($B304-SUMIF($H$17:X$17,Y$17,$H304:X304),((INDEX(ROUTE_PER_DAY_BY_SHIP,MATCH(CONCATENATE(X$4,X$5,X$7),ROUTE_PER_DAY_ROUTES,0),MATCH(X$6,ROUTE_PER_DAY_SHIPS,0))*(V305-V304))-(INDEX(ROUTE_PER_DAY_BY_SHIP,MATCH(CONCATENATE(X$4,X$5,X$7),ROUTE_PER_DAY_ROUTES,0),MATCH(X$6,ROUTE_PER_DAY_SHIPS,0))*(V305-V304))*HLOOKUP(X$6,SHIPS,7,0)*INDEX(LADEN_VOYAGE_DAYS,MATCH(CONCATENATE(X$4,X$5,X$7),LADEN_VOYAGE_ROUTES,0),MATCH(X$6,LADEN_VOYAGE_SHIPS,0)))),0)</f>
        <v>0</v>
      </c>
      <c r="Z304" s="349" t="n">
        <f aca="false">-(Y304)*HLOOKUP(X$5,TERMINAL_CHARGES,3,0)</f>
        <v>-0</v>
      </c>
      <c r="AA304" s="327" t="n">
        <f aca="false">+Y304+Z304</f>
        <v>0</v>
      </c>
      <c r="AB304" s="333"/>
      <c r="AC304" s="346" t="n">
        <f aca="false">+DATE(YEAR(AC303),MONTH(AC303)+1,1)</f>
        <v>45413</v>
      </c>
      <c r="AD304" s="343" t="n">
        <f aca="false">+AA304*(VLOOKUP(AC304,CURVECALC!$C$6:$J$312,4,0)+AE$5)</f>
        <v>0</v>
      </c>
      <c r="AE304" s="350" t="n">
        <f aca="false">-W304*INDEX(ship_curves,MATCH(AC304,'SHIP CURVES'!$A$9:$A$316,0),MATCH(CONCATENATE(AG$4,AG$5,AG$6,AG$7),'SHIP CURVES'!$A$9:$AZ$9,0))</f>
        <v>-0</v>
      </c>
      <c r="AF304" s="351" t="n">
        <f aca="false">-Y304*INDEX(port_processing_fee,MATCH(AC304,PORTS!$H$626:$H$933,0),MATCH(AG$5,PORTS!$H$626:$Z$626,0))</f>
        <v>-0</v>
      </c>
      <c r="AG304" s="352" t="n">
        <f aca="false">(((VLOOKUP(AC304,curvecalc,4,0))*IF(W304=0,0,AA304/W304)-INDEX(ship_curves,MATCH(AC304,'SHIP CURVES'!$A$9:$A$316,0),MATCH(CONCATENATE(AG$4,AG$5,AG$6,AG$7),'SHIP CURVES'!$A$9:$Z$9,0))-INDEX(terminal_curves,MATCH(AC304,'TERMINAL CURVES'!$A$4:$A$313,0),MATCH(AG$5,'TERMINAL CURVES'!$A$4:$N$4,0))*IF(W304=0,0,Y304/W304))-(AE$8)*((AE$7-$N$5)-(INDEX(ship_curves,MATCH(AC304,'SHIP CURVES'!$A$9:$A$316,0),MATCH(CONCATENATE(AG$4,AG$5,AG$6,AG$7),'SHIP CURVES'!$A$9:$Z$9,0))-INDEX(ship_curves,MATCH(AC304,'SHIP CURVES'!$A$9:$A$316,0),MATCH(CONCATENATE(AG$4,AE$6,AG$6,AG$7),'SHIP CURVES'!$A$9:$Z$9,0)))-(INDEX(terminal_curves,MATCH(AC304,'TERMINAL CURVES'!$A$4:$A$313,0),MATCH(AG$5,'TERMINAL CURVES'!$A$4:$N$4,0))-INDEX(terminal_curves,MATCH(AC304,'TERMINAL CURVES'!$A$4:$A$313,0),MATCH(AE$6,'TERMINAL CURVES'!$A$4:$N$4,0)))*IF(W304=0,0,Y304/W304)))*-W304</f>
        <v>0</v>
      </c>
      <c r="AH304" s="356" t="n">
        <f aca="false">SUM(AE304:AG304)</f>
        <v>0</v>
      </c>
      <c r="AI304" s="357" t="n">
        <f aca="false">(-Y304/((HLOOKUP(AG$5,port_specs,2,0)/(365.25))*(AC305-AC304)))*(INDEX(fixed_capacity_charge,MATCH(AC304,PORTS!$H$11:$H$317,0),MATCH(AG$5,PORTS!$H$11:$N$11,0))+INDEX(variable_om_charge,MATCH(AC304,PORTS!$H$318:$H$625,0),MATCH(AG$5,PORTS!$H$318:$N$318,0)))</f>
        <v>-0</v>
      </c>
      <c r="AJ304" s="343" t="n">
        <f aca="false">+AI304+AH304</f>
        <v>0</v>
      </c>
      <c r="AK304" s="355" t="n">
        <f aca="false">+AJ304+AD304</f>
        <v>0</v>
      </c>
      <c r="AM304" s="346" t="n">
        <f aca="false">+DATE(YEAR(AM303),MONTH(AM303)+1,1)</f>
        <v>45413</v>
      </c>
      <c r="AN304" s="327" t="n">
        <f aca="false">+AP304/(1-HLOOKUP(AO$6,SHIPS,7,0)*INDEX(LADEN_VOYAGE_DAYS,MATCH(CONCATENATE(AO$4,AO$5),LADEN_VOYAGE_ROUTES,0),MATCH(AO$6,LADEN_VOYAGE_SHIPS,0)))</f>
        <v>0</v>
      </c>
      <c r="AO304" s="347" t="n">
        <f aca="false">+AP304-AN304</f>
        <v>0</v>
      </c>
      <c r="AP304" s="348" t="n">
        <f aca="false">+IF(AND(AO$8&lt;=AM304,AO$9&gt;=AM304),+MIN($B304-SUMIF($H$17:AO$17,AP$17,$H304:AO304),((INDEX(ROUTE_PER_DAY_BY_SHIP,MATCH(CONCATENATE(AO$4,AO$5,AO$7),ROUTE_PER_DAY_ROUTES,0),MATCH(AO$6,ROUTE_PER_DAY_SHIPS,0))*(AM305-AM304))-(INDEX(ROUTE_PER_DAY_BY_SHIP,MATCH(CONCATENATE(AO$4,AO$5,AO$7),ROUTE_PER_DAY_ROUTES,0),MATCH(AO$6,ROUTE_PER_DAY_SHIPS,0))*(AM305-AM304))*HLOOKUP(AO$6,SHIPS,7,0)*INDEX(LADEN_VOYAGE_DAYS,MATCH(CONCATENATE(AO$4,AO$5,AO$7),LADEN_VOYAGE_ROUTES,0),MATCH(AO$6,LADEN_VOYAGE_SHIPS,0)))),0)</f>
        <v>0</v>
      </c>
      <c r="AQ304" s="349" t="n">
        <f aca="false">-(AP304)*PORTS!$I$6</f>
        <v>-0</v>
      </c>
      <c r="AR304" s="327" t="n">
        <f aca="false">+AP304+AQ304</f>
        <v>0</v>
      </c>
      <c r="AS304" s="333"/>
      <c r="AT304" s="346" t="n">
        <f aca="false">+DATE(YEAR(AT303),MONTH(AT303)+1,1)</f>
        <v>45413</v>
      </c>
      <c r="AU304" s="343" t="n">
        <f aca="false">+AR304*(VLOOKUP(AT304,CURVECALC!$C$6:$J$312,4,0)+AV$5)</f>
        <v>0</v>
      </c>
      <c r="AV304" s="350" t="n">
        <f aca="false">-AN304*INDEX(ship_curves,MATCH(AT304,'SHIP CURVES'!$A$9:$A$316,0),MATCH(CONCATENATE(AX$4,AX$5,AX$6,AX$7),'SHIP CURVES'!$A$9:$AZ$9,0))</f>
        <v>-0</v>
      </c>
      <c r="AW304" s="351" t="n">
        <f aca="false">-AP304*INDEX(port_processing_fee,MATCH(AT304,PORTS!$H$626:$H$933,0),MATCH(AX$5,PORTS!$H$626:$Z$626,0))</f>
        <v>-0</v>
      </c>
      <c r="AX304" s="352" t="n">
        <f aca="false">(((VLOOKUP(AT304,curvecalc,4,0))*IF(AN304=0,0,AR304/AN304)-INDEX(ship_curves,MATCH(AT304,'SHIP CURVES'!$A$9:$A$316,0),MATCH(CONCATENATE(AX$4,AX$5,AX$6,AX$7),'SHIP CURVES'!$A$9:$Z$9,0))-INDEX(terminal_curves,MATCH(AT304,'TERMINAL CURVES'!$A$4:$A$313,0),MATCH(AX$5,'TERMINAL CURVES'!$A$4:$N$4,0))*IF(AN304=0,0,AP304/AN304))-(AV$8)*((AV$7-$N$5)-(INDEX(ship_curves,MATCH(AT304,'SHIP CURVES'!$A$9:$A$316,0),MATCH(CONCATENATE(AX$4,AX$5,AX$6,AX$7),'SHIP CURVES'!$A$9:$Z$9,0))-INDEX(ship_curves,MATCH(AT304,'SHIP CURVES'!$A$9:$A$316,0),MATCH(CONCATENATE(AX$4,AV$6,AX$6,AX$7),'SHIP CURVES'!$A$9:$Z$9,0)))-(INDEX(terminal_curves,MATCH(AT304,'TERMINAL CURVES'!$A$4:$A$313,0),MATCH(AX$5,'TERMINAL CURVES'!$A$4:$N$4,0))-INDEX(terminal_curves,MATCH(AT304,'TERMINAL CURVES'!$A$4:$A$313,0),MATCH(AV$6,'TERMINAL CURVES'!$A$4:$N$4,0)))*IF(AN304=0,0,AP304/AN304)))*-AN304</f>
        <v>0</v>
      </c>
      <c r="AY304" s="356" t="n">
        <f aca="false">SUM(AV304:AX304)</f>
        <v>0</v>
      </c>
      <c r="AZ304" s="357" t="n">
        <f aca="false">(-AP304/((HLOOKUP(AX$5,port_specs,2,0)/(365.25))*(AT305-AT304)))*(INDEX(fixed_capacity_charge,MATCH(AT304,PORTS!$H$11:$H$317,0),MATCH(AX$5,PORTS!$H$11:$N$11,0))+INDEX(variable_om_charge,MATCH(AT304,PORTS!$H$318:$H$625,0),MATCH(AX$5,PORTS!$H$318:$N$318,0)))</f>
        <v>-0</v>
      </c>
      <c r="BA304" s="343" t="n">
        <f aca="false">+AZ304+AY304</f>
        <v>0</v>
      </c>
      <c r="BB304" s="355" t="n">
        <f aca="false">+BA304+AU304</f>
        <v>0</v>
      </c>
      <c r="BC304" s="99"/>
      <c r="BD304" s="357" t="n">
        <f aca="false">+PORTS!I298+PORTS!I606</f>
        <v>0</v>
      </c>
    </row>
    <row r="305" customFormat="false" ht="12.75" hidden="false" customHeight="false" outlineLevel="0" collapsed="false">
      <c r="A305" s="346" t="n">
        <f aca="false">+DATE(YEAR(A304),MONTH(A304)+1,1)</f>
        <v>45444</v>
      </c>
      <c r="B305" s="327" t="n">
        <f aca="false">+IF(AND($A305&gt;=$C$8,$A305&lt;=$C$9),1,0)*PORTS!$I$5/(365.25)*(A306-A305)</f>
        <v>0</v>
      </c>
      <c r="C305" s="328" t="n">
        <f aca="false">+B305-(SUMIF($F$17:$IV$17,$H$17,$F305:$IV305))</f>
        <v>0</v>
      </c>
      <c r="D305" s="0" t="n">
        <f aca="false">+YEAR(E305)</f>
        <v>2024</v>
      </c>
      <c r="E305" s="346" t="n">
        <f aca="false">+DATE(YEAR(E304),MONTH(E304)+1,1)</f>
        <v>45444</v>
      </c>
      <c r="F305" s="327" t="n">
        <f aca="false">+IF(AND(G$8&lt;=E305,G$9&gt;=E305),INDEX(ROUTE_PER_DAY_BY_SHIP,MATCH(CONCATENATE(G$4,G$5,G$7),ROUTE_PER_DAY_ROUTES,0),MATCH(G$6,ROUTE_PER_DAY_SHIPS,0))*(E306-E305),0)</f>
        <v>0</v>
      </c>
      <c r="G305" s="347" t="n">
        <f aca="false">-F305*HLOOKUP(G$6,SHIPS,7,0)*INDEX(LADEN_VOYAGE_DAYS,MATCH(CONCATENATE(G$4,G$5,G$7),LADEN_VOYAGE_ROUTES,0),MATCH(G$6,LADEN_VOYAGE_SHIPS,0))</f>
        <v>-0</v>
      </c>
      <c r="H305" s="348" t="n">
        <f aca="false">SUM(F305:G305)</f>
        <v>0</v>
      </c>
      <c r="I305" s="349" t="n">
        <f aca="false">-(H305)*HLOOKUP(G$5,TERMINAL_CHARGES,3,0)</f>
        <v>-0</v>
      </c>
      <c r="J305" s="327" t="n">
        <f aca="false">+H305+I305</f>
        <v>0</v>
      </c>
      <c r="K305" s="333"/>
      <c r="L305" s="346" t="n">
        <f aca="false">+DATE(YEAR(L304),MONTH(L304)+1,1)</f>
        <v>45444</v>
      </c>
      <c r="M305" s="334" t="n">
        <f aca="false">+J305*(VLOOKUP(L305,CURVECALC!$C$6:$J$312,4,0)+N$5)</f>
        <v>0</v>
      </c>
      <c r="N305" s="350" t="n">
        <f aca="false">-F305*INDEX(ship_curves,MATCH(L305,'SHIP CURVES'!$A$9:$A$316,0),MATCH(CONCATENATE(P$4,P$5,P$6,P$7),'SHIP CURVES'!$A$9:$AZ$9,0))</f>
        <v>-0</v>
      </c>
      <c r="O305" s="351" t="n">
        <f aca="false">-H305*INDEX(port_processing_fee,MATCH(L305,PORTS!$H$626:$H$933,0),MATCH(P$5,PORTS!$H$626:$Z$626,0))</f>
        <v>-0</v>
      </c>
      <c r="P305" s="352" t="n">
        <f aca="false">(((VLOOKUP(L305,curvecalc,4,0))*IF(F305=0,0,J305/F305)-INDEX(ship_curves,MATCH(L305,'SHIP CURVES'!$A$9:$A$316,0),MATCH(CONCATENATE(P$4,P$5,P$6,P$7),'SHIP CURVES'!$A$9:$Z$9,0))-INDEX(terminal_curves,MATCH(L305,'TERMINAL CURVES'!$A$4:$A$313,0),MATCH(P$5,'TERMINAL CURVES'!$A$4:$N$4,0))*IF(F305=0,0,H305/F305))-(N$8)*((N$7-$N$5)-(INDEX(ship_curves,MATCH(L305,'SHIP CURVES'!$A$9:$A$316,0),MATCH(CONCATENATE(P$4,P$5,P$6,P$7),'SHIP CURVES'!$A$9:$Z$9,0))-INDEX(ship_curves,MATCH(L305,'SHIP CURVES'!$A$9:$A$316,0),MATCH(CONCATENATE(P$4,N$6,P$6,P$7),'SHIP CURVES'!$A$9:$Z$9,0)))-(INDEX(terminal_curves,MATCH(L305,'TERMINAL CURVES'!$A$4:$A$313,0),MATCH(P$5,'TERMINAL CURVES'!$A$4:$N$4,0))-INDEX(terminal_curves,MATCH(L305,'TERMINAL CURVES'!$A$4:$A$313,0),MATCH(N$6,'TERMINAL CURVES'!$A$4:$N$4,0)))*IF(F305=0,0,H305/F305)))*-F305</f>
        <v>0</v>
      </c>
      <c r="Q305" s="353" t="n">
        <f aca="false">SUM(N305:P305)</f>
        <v>0</v>
      </c>
      <c r="R305" s="357" t="n">
        <f aca="false">(-H305/((HLOOKUP(P$5,port_specs,2,0)/(365.25))*(L306-L305)))*(INDEX(fixed_capacity_charge,MATCH(L305,PORTS!$H$11:$H$317,0),MATCH(P$5,PORTS!$H$11:$N$11,0))+INDEX(variable_om_charge,MATCH(L305,PORTS!$H$318:$H$625,0),MATCH(P$5,PORTS!$H$318:$N$318,0)))</f>
        <v>-0</v>
      </c>
      <c r="S305" s="343" t="n">
        <f aca="false">+R305+Q305</f>
        <v>0</v>
      </c>
      <c r="T305" s="355" t="n">
        <f aca="false">+S305+M305</f>
        <v>0</v>
      </c>
      <c r="V305" s="346" t="n">
        <f aca="false">+DATE(YEAR(V304),MONTH(V304)+1,1)</f>
        <v>45444</v>
      </c>
      <c r="W305" s="327" t="n">
        <f aca="false">+Y305/(1-HLOOKUP(X$6,SHIPS,7,0)*INDEX(LADEN_VOYAGE_DAYS,MATCH(CONCATENATE(X$4,X$5),LADEN_VOYAGE_ROUTES,0),MATCH(X$6,LADEN_VOYAGE_SHIPS,0)))</f>
        <v>0</v>
      </c>
      <c r="X305" s="347" t="n">
        <f aca="false">+Y305-W305</f>
        <v>0</v>
      </c>
      <c r="Y305" s="348" t="n">
        <f aca="false">+IF(AND(X$8&lt;=V305,X$9&gt;=V305),+MIN($B305-SUMIF($H$17:X$17,Y$17,$H305:X305),((INDEX(ROUTE_PER_DAY_BY_SHIP,MATCH(CONCATENATE(X$4,X$5,X$7),ROUTE_PER_DAY_ROUTES,0),MATCH(X$6,ROUTE_PER_DAY_SHIPS,0))*(V306-V305))-(INDEX(ROUTE_PER_DAY_BY_SHIP,MATCH(CONCATENATE(X$4,X$5,X$7),ROUTE_PER_DAY_ROUTES,0),MATCH(X$6,ROUTE_PER_DAY_SHIPS,0))*(V306-V305))*HLOOKUP(X$6,SHIPS,7,0)*INDEX(LADEN_VOYAGE_DAYS,MATCH(CONCATENATE(X$4,X$5,X$7),LADEN_VOYAGE_ROUTES,0),MATCH(X$6,LADEN_VOYAGE_SHIPS,0)))),0)</f>
        <v>0</v>
      </c>
      <c r="Z305" s="349" t="n">
        <f aca="false">-(Y305)*HLOOKUP(X$5,TERMINAL_CHARGES,3,0)</f>
        <v>-0</v>
      </c>
      <c r="AA305" s="327" t="n">
        <f aca="false">+Y305+Z305</f>
        <v>0</v>
      </c>
      <c r="AB305" s="333"/>
      <c r="AC305" s="346" t="n">
        <f aca="false">+DATE(YEAR(AC304),MONTH(AC304)+1,1)</f>
        <v>45444</v>
      </c>
      <c r="AD305" s="343" t="n">
        <f aca="false">+AA305*(VLOOKUP(AC305,CURVECALC!$C$6:$J$312,4,0)+AE$5)</f>
        <v>0</v>
      </c>
      <c r="AE305" s="350" t="n">
        <f aca="false">-W305*INDEX(ship_curves,MATCH(AC305,'SHIP CURVES'!$A$9:$A$316,0),MATCH(CONCATENATE(AG$4,AG$5,AG$6,AG$7),'SHIP CURVES'!$A$9:$AZ$9,0))</f>
        <v>-0</v>
      </c>
      <c r="AF305" s="351" t="n">
        <f aca="false">-Y305*INDEX(port_processing_fee,MATCH(AC305,PORTS!$H$626:$H$933,0),MATCH(AG$5,PORTS!$H$626:$Z$626,0))</f>
        <v>-0</v>
      </c>
      <c r="AG305" s="352" t="n">
        <f aca="false">(((VLOOKUP(AC305,curvecalc,4,0))*IF(W305=0,0,AA305/W305)-INDEX(ship_curves,MATCH(AC305,'SHIP CURVES'!$A$9:$A$316,0),MATCH(CONCATENATE(AG$4,AG$5,AG$6,AG$7),'SHIP CURVES'!$A$9:$Z$9,0))-INDEX(terminal_curves,MATCH(AC305,'TERMINAL CURVES'!$A$4:$A$313,0),MATCH(AG$5,'TERMINAL CURVES'!$A$4:$N$4,0))*IF(W305=0,0,Y305/W305))-(AE$8)*((AE$7-$N$5)-(INDEX(ship_curves,MATCH(AC305,'SHIP CURVES'!$A$9:$A$316,0),MATCH(CONCATENATE(AG$4,AG$5,AG$6,AG$7),'SHIP CURVES'!$A$9:$Z$9,0))-INDEX(ship_curves,MATCH(AC305,'SHIP CURVES'!$A$9:$A$316,0),MATCH(CONCATENATE(AG$4,AE$6,AG$6,AG$7),'SHIP CURVES'!$A$9:$Z$9,0)))-(INDEX(terminal_curves,MATCH(AC305,'TERMINAL CURVES'!$A$4:$A$313,0),MATCH(AG$5,'TERMINAL CURVES'!$A$4:$N$4,0))-INDEX(terminal_curves,MATCH(AC305,'TERMINAL CURVES'!$A$4:$A$313,0),MATCH(AE$6,'TERMINAL CURVES'!$A$4:$N$4,0)))*IF(W305=0,0,Y305/W305)))*-W305</f>
        <v>0</v>
      </c>
      <c r="AH305" s="356" t="n">
        <f aca="false">SUM(AE305:AG305)</f>
        <v>0</v>
      </c>
      <c r="AI305" s="357" t="n">
        <f aca="false">(-Y305/((HLOOKUP(AG$5,port_specs,2,0)/(365.25))*(AC306-AC305)))*(INDEX(fixed_capacity_charge,MATCH(AC305,PORTS!$H$11:$H$317,0),MATCH(AG$5,PORTS!$H$11:$N$11,0))+INDEX(variable_om_charge,MATCH(AC305,PORTS!$H$318:$H$625,0),MATCH(AG$5,PORTS!$H$318:$N$318,0)))</f>
        <v>-0</v>
      </c>
      <c r="AJ305" s="343" t="n">
        <f aca="false">+AI305+AH305</f>
        <v>0</v>
      </c>
      <c r="AK305" s="355" t="n">
        <f aca="false">+AJ305+AD305</f>
        <v>0</v>
      </c>
      <c r="AM305" s="346" t="n">
        <f aca="false">+DATE(YEAR(AM304),MONTH(AM304)+1,1)</f>
        <v>45444</v>
      </c>
      <c r="AN305" s="327" t="n">
        <f aca="false">+AP305/(1-HLOOKUP(AO$6,SHIPS,7,0)*INDEX(LADEN_VOYAGE_DAYS,MATCH(CONCATENATE(AO$4,AO$5),LADEN_VOYAGE_ROUTES,0),MATCH(AO$6,LADEN_VOYAGE_SHIPS,0)))</f>
        <v>0</v>
      </c>
      <c r="AO305" s="347" t="n">
        <f aca="false">+AP305-AN305</f>
        <v>0</v>
      </c>
      <c r="AP305" s="348" t="n">
        <f aca="false">+IF(AND(AO$8&lt;=AM305,AO$9&gt;=AM305),+MIN($B305-SUMIF($H$17:AO$17,AP$17,$H305:AO305),((INDEX(ROUTE_PER_DAY_BY_SHIP,MATCH(CONCATENATE(AO$4,AO$5,AO$7),ROUTE_PER_DAY_ROUTES,0),MATCH(AO$6,ROUTE_PER_DAY_SHIPS,0))*(AM306-AM305))-(INDEX(ROUTE_PER_DAY_BY_SHIP,MATCH(CONCATENATE(AO$4,AO$5,AO$7),ROUTE_PER_DAY_ROUTES,0),MATCH(AO$6,ROUTE_PER_DAY_SHIPS,0))*(AM306-AM305))*HLOOKUP(AO$6,SHIPS,7,0)*INDEX(LADEN_VOYAGE_DAYS,MATCH(CONCATENATE(AO$4,AO$5,AO$7),LADEN_VOYAGE_ROUTES,0),MATCH(AO$6,LADEN_VOYAGE_SHIPS,0)))),0)</f>
        <v>0</v>
      </c>
      <c r="AQ305" s="349" t="n">
        <f aca="false">-(AP305)*PORTS!$I$6</f>
        <v>-0</v>
      </c>
      <c r="AR305" s="327" t="n">
        <f aca="false">+AP305+AQ305</f>
        <v>0</v>
      </c>
      <c r="AS305" s="333"/>
      <c r="AT305" s="346" t="n">
        <f aca="false">+DATE(YEAR(AT304),MONTH(AT304)+1,1)</f>
        <v>45444</v>
      </c>
      <c r="AU305" s="343" t="n">
        <f aca="false">+AR305*(VLOOKUP(AT305,CURVECALC!$C$6:$J$312,4,0)+AV$5)</f>
        <v>0</v>
      </c>
      <c r="AV305" s="350" t="n">
        <f aca="false">-AN305*INDEX(ship_curves,MATCH(AT305,'SHIP CURVES'!$A$9:$A$316,0),MATCH(CONCATENATE(AX$4,AX$5,AX$6,AX$7),'SHIP CURVES'!$A$9:$AZ$9,0))</f>
        <v>-0</v>
      </c>
      <c r="AW305" s="351" t="n">
        <f aca="false">-AP305*INDEX(port_processing_fee,MATCH(AT305,PORTS!$H$626:$H$933,0),MATCH(AX$5,PORTS!$H$626:$Z$626,0))</f>
        <v>-0</v>
      </c>
      <c r="AX305" s="352" t="n">
        <f aca="false">(((VLOOKUP(AT305,curvecalc,4,0))*IF(AN305=0,0,AR305/AN305)-INDEX(ship_curves,MATCH(AT305,'SHIP CURVES'!$A$9:$A$316,0),MATCH(CONCATENATE(AX$4,AX$5,AX$6,AX$7),'SHIP CURVES'!$A$9:$Z$9,0))-INDEX(terminal_curves,MATCH(AT305,'TERMINAL CURVES'!$A$4:$A$313,0),MATCH(AX$5,'TERMINAL CURVES'!$A$4:$N$4,0))*IF(AN305=0,0,AP305/AN305))-(AV$8)*((AV$7-$N$5)-(INDEX(ship_curves,MATCH(AT305,'SHIP CURVES'!$A$9:$A$316,0),MATCH(CONCATENATE(AX$4,AX$5,AX$6,AX$7),'SHIP CURVES'!$A$9:$Z$9,0))-INDEX(ship_curves,MATCH(AT305,'SHIP CURVES'!$A$9:$A$316,0),MATCH(CONCATENATE(AX$4,AV$6,AX$6,AX$7),'SHIP CURVES'!$A$9:$Z$9,0)))-(INDEX(terminal_curves,MATCH(AT305,'TERMINAL CURVES'!$A$4:$A$313,0),MATCH(AX$5,'TERMINAL CURVES'!$A$4:$N$4,0))-INDEX(terminal_curves,MATCH(AT305,'TERMINAL CURVES'!$A$4:$A$313,0),MATCH(AV$6,'TERMINAL CURVES'!$A$4:$N$4,0)))*IF(AN305=0,0,AP305/AN305)))*-AN305</f>
        <v>0</v>
      </c>
      <c r="AY305" s="356" t="n">
        <f aca="false">SUM(AV305:AX305)</f>
        <v>0</v>
      </c>
      <c r="AZ305" s="357" t="n">
        <f aca="false">(-AP305/((HLOOKUP(AX$5,port_specs,2,0)/(365.25))*(AT306-AT305)))*(INDEX(fixed_capacity_charge,MATCH(AT305,PORTS!$H$11:$H$317,0),MATCH(AX$5,PORTS!$H$11:$N$11,0))+INDEX(variable_om_charge,MATCH(AT305,PORTS!$H$318:$H$625,0),MATCH(AX$5,PORTS!$H$318:$N$318,0)))</f>
        <v>-0</v>
      </c>
      <c r="BA305" s="343" t="n">
        <f aca="false">+AZ305+AY305</f>
        <v>0</v>
      </c>
      <c r="BB305" s="355" t="n">
        <f aca="false">+BA305+AU305</f>
        <v>0</v>
      </c>
      <c r="BC305" s="99"/>
      <c r="BD305" s="357" t="n">
        <f aca="false">+PORTS!I299+PORTS!I607</f>
        <v>0</v>
      </c>
    </row>
    <row r="306" customFormat="false" ht="12.75" hidden="false" customHeight="false" outlineLevel="0" collapsed="false">
      <c r="A306" s="346" t="n">
        <f aca="false">+DATE(YEAR(A305),MONTH(A305)+1,1)</f>
        <v>45474</v>
      </c>
      <c r="B306" s="327" t="n">
        <f aca="false">+IF(AND($A306&gt;=$C$8,$A306&lt;=$C$9),1,0)*PORTS!$I$5/(365.25)*(A307-A306)</f>
        <v>0</v>
      </c>
      <c r="C306" s="328" t="n">
        <f aca="false">+B306-(SUMIF($F$17:$IV$17,$H$17,$F306:$IV306))</f>
        <v>0</v>
      </c>
      <c r="D306" s="0" t="n">
        <f aca="false">+YEAR(E306)</f>
        <v>2024</v>
      </c>
      <c r="E306" s="346" t="n">
        <f aca="false">+DATE(YEAR(E305),MONTH(E305)+1,1)</f>
        <v>45474</v>
      </c>
      <c r="F306" s="327" t="n">
        <f aca="false">+IF(AND(G$8&lt;=E306,G$9&gt;=E306),INDEX(ROUTE_PER_DAY_BY_SHIP,MATCH(CONCATENATE(G$4,G$5,G$7),ROUTE_PER_DAY_ROUTES,0),MATCH(G$6,ROUTE_PER_DAY_SHIPS,0))*(E307-E306),0)</f>
        <v>0</v>
      </c>
      <c r="G306" s="347" t="n">
        <f aca="false">-F306*HLOOKUP(G$6,SHIPS,7,0)*INDEX(LADEN_VOYAGE_DAYS,MATCH(CONCATENATE(G$4,G$5,G$7),LADEN_VOYAGE_ROUTES,0),MATCH(G$6,LADEN_VOYAGE_SHIPS,0))</f>
        <v>-0</v>
      </c>
      <c r="H306" s="348" t="n">
        <f aca="false">SUM(F306:G306)</f>
        <v>0</v>
      </c>
      <c r="I306" s="349" t="n">
        <f aca="false">-(H306)*HLOOKUP(G$5,TERMINAL_CHARGES,3,0)</f>
        <v>-0</v>
      </c>
      <c r="J306" s="327" t="n">
        <f aca="false">+H306+I306</f>
        <v>0</v>
      </c>
      <c r="K306" s="333"/>
      <c r="L306" s="346" t="n">
        <f aca="false">+DATE(YEAR(L305),MONTH(L305)+1,1)</f>
        <v>45474</v>
      </c>
      <c r="M306" s="334" t="n">
        <f aca="false">+J306*(VLOOKUP(L306,CURVECALC!$C$6:$J$312,4,0)+N$5)</f>
        <v>0</v>
      </c>
      <c r="N306" s="350" t="n">
        <f aca="false">-F306*INDEX(ship_curves,MATCH(L306,'SHIP CURVES'!$A$9:$A$316,0),MATCH(CONCATENATE(P$4,P$5,P$6,P$7),'SHIP CURVES'!$A$9:$AZ$9,0))</f>
        <v>-0</v>
      </c>
      <c r="O306" s="351" t="n">
        <f aca="false">-H306*INDEX(port_processing_fee,MATCH(L306,PORTS!$H$626:$H$933,0),MATCH(P$5,PORTS!$H$626:$Z$626,0))</f>
        <v>-0</v>
      </c>
      <c r="P306" s="352" t="n">
        <f aca="false">(((VLOOKUP(L306,curvecalc,4,0))*IF(F306=0,0,J306/F306)-INDEX(ship_curves,MATCH(L306,'SHIP CURVES'!$A$9:$A$316,0),MATCH(CONCATENATE(P$4,P$5,P$6,P$7),'SHIP CURVES'!$A$9:$Z$9,0))-INDEX(terminal_curves,MATCH(L306,'TERMINAL CURVES'!$A$4:$A$313,0),MATCH(P$5,'TERMINAL CURVES'!$A$4:$N$4,0))*IF(F306=0,0,H306/F306))-(N$8)*((N$7-$N$5)-(INDEX(ship_curves,MATCH(L306,'SHIP CURVES'!$A$9:$A$316,0),MATCH(CONCATENATE(P$4,P$5,P$6,P$7),'SHIP CURVES'!$A$9:$Z$9,0))-INDEX(ship_curves,MATCH(L306,'SHIP CURVES'!$A$9:$A$316,0),MATCH(CONCATENATE(P$4,N$6,P$6,P$7),'SHIP CURVES'!$A$9:$Z$9,0)))-(INDEX(terminal_curves,MATCH(L306,'TERMINAL CURVES'!$A$4:$A$313,0),MATCH(P$5,'TERMINAL CURVES'!$A$4:$N$4,0))-INDEX(terminal_curves,MATCH(L306,'TERMINAL CURVES'!$A$4:$A$313,0),MATCH(N$6,'TERMINAL CURVES'!$A$4:$N$4,0)))*IF(F306=0,0,H306/F306)))*-F306</f>
        <v>0</v>
      </c>
      <c r="Q306" s="353" t="n">
        <f aca="false">SUM(N306:P306)</f>
        <v>0</v>
      </c>
      <c r="R306" s="357" t="n">
        <f aca="false">(-H306/((HLOOKUP(P$5,port_specs,2,0)/(365.25))*(L307-L306)))*(INDEX(fixed_capacity_charge,MATCH(L306,PORTS!$H$11:$H$317,0),MATCH(P$5,PORTS!$H$11:$N$11,0))+INDEX(variable_om_charge,MATCH(L306,PORTS!$H$318:$H$625,0),MATCH(P$5,PORTS!$H$318:$N$318,0)))</f>
        <v>-0</v>
      </c>
      <c r="S306" s="343" t="n">
        <f aca="false">+R306+Q306</f>
        <v>0</v>
      </c>
      <c r="T306" s="355" t="n">
        <f aca="false">+S306+M306</f>
        <v>0</v>
      </c>
      <c r="V306" s="346" t="n">
        <f aca="false">+DATE(YEAR(V305),MONTH(V305)+1,1)</f>
        <v>45474</v>
      </c>
      <c r="W306" s="327" t="n">
        <f aca="false">+Y306/(1-HLOOKUP(X$6,SHIPS,7,0)*INDEX(LADEN_VOYAGE_DAYS,MATCH(CONCATENATE(X$4,X$5),LADEN_VOYAGE_ROUTES,0),MATCH(X$6,LADEN_VOYAGE_SHIPS,0)))</f>
        <v>0</v>
      </c>
      <c r="X306" s="347" t="n">
        <f aca="false">+Y306-W306</f>
        <v>0</v>
      </c>
      <c r="Y306" s="348" t="n">
        <f aca="false">+IF(AND(X$8&lt;=V306,X$9&gt;=V306),+MIN($B306-SUMIF($H$17:X$17,Y$17,$H306:X306),((INDEX(ROUTE_PER_DAY_BY_SHIP,MATCH(CONCATENATE(X$4,X$5,X$7),ROUTE_PER_DAY_ROUTES,0),MATCH(X$6,ROUTE_PER_DAY_SHIPS,0))*(V307-V306))-(INDEX(ROUTE_PER_DAY_BY_SHIP,MATCH(CONCATENATE(X$4,X$5,X$7),ROUTE_PER_DAY_ROUTES,0),MATCH(X$6,ROUTE_PER_DAY_SHIPS,0))*(V307-V306))*HLOOKUP(X$6,SHIPS,7,0)*INDEX(LADEN_VOYAGE_DAYS,MATCH(CONCATENATE(X$4,X$5,X$7),LADEN_VOYAGE_ROUTES,0),MATCH(X$6,LADEN_VOYAGE_SHIPS,0)))),0)</f>
        <v>0</v>
      </c>
      <c r="Z306" s="349" t="n">
        <f aca="false">-(Y306)*HLOOKUP(X$5,TERMINAL_CHARGES,3,0)</f>
        <v>-0</v>
      </c>
      <c r="AA306" s="327" t="n">
        <f aca="false">+Y306+Z306</f>
        <v>0</v>
      </c>
      <c r="AB306" s="333"/>
      <c r="AC306" s="346" t="n">
        <f aca="false">+DATE(YEAR(AC305),MONTH(AC305)+1,1)</f>
        <v>45474</v>
      </c>
      <c r="AD306" s="343" t="n">
        <f aca="false">+AA306*(VLOOKUP(AC306,CURVECALC!$C$6:$J$312,4,0)+AE$5)</f>
        <v>0</v>
      </c>
      <c r="AE306" s="350" t="n">
        <f aca="false">-W306*INDEX(ship_curves,MATCH(AC306,'SHIP CURVES'!$A$9:$A$316,0),MATCH(CONCATENATE(AG$4,AG$5,AG$6,AG$7),'SHIP CURVES'!$A$9:$AZ$9,0))</f>
        <v>-0</v>
      </c>
      <c r="AF306" s="351" t="n">
        <f aca="false">-Y306*INDEX(port_processing_fee,MATCH(AC306,PORTS!$H$626:$H$933,0),MATCH(AG$5,PORTS!$H$626:$Z$626,0))</f>
        <v>-0</v>
      </c>
      <c r="AG306" s="352" t="n">
        <f aca="false">(((VLOOKUP(AC306,curvecalc,4,0))*IF(W306=0,0,AA306/W306)-INDEX(ship_curves,MATCH(AC306,'SHIP CURVES'!$A$9:$A$316,0),MATCH(CONCATENATE(AG$4,AG$5,AG$6,AG$7),'SHIP CURVES'!$A$9:$Z$9,0))-INDEX(terminal_curves,MATCH(AC306,'TERMINAL CURVES'!$A$4:$A$313,0),MATCH(AG$5,'TERMINAL CURVES'!$A$4:$N$4,0))*IF(W306=0,0,Y306/W306))-(AE$8)*((AE$7-$N$5)-(INDEX(ship_curves,MATCH(AC306,'SHIP CURVES'!$A$9:$A$316,0),MATCH(CONCATENATE(AG$4,AG$5,AG$6,AG$7),'SHIP CURVES'!$A$9:$Z$9,0))-INDEX(ship_curves,MATCH(AC306,'SHIP CURVES'!$A$9:$A$316,0),MATCH(CONCATENATE(AG$4,AE$6,AG$6,AG$7),'SHIP CURVES'!$A$9:$Z$9,0)))-(INDEX(terminal_curves,MATCH(AC306,'TERMINAL CURVES'!$A$4:$A$313,0),MATCH(AG$5,'TERMINAL CURVES'!$A$4:$N$4,0))-INDEX(terminal_curves,MATCH(AC306,'TERMINAL CURVES'!$A$4:$A$313,0),MATCH(AE$6,'TERMINAL CURVES'!$A$4:$N$4,0)))*IF(W306=0,0,Y306/W306)))*-W306</f>
        <v>0</v>
      </c>
      <c r="AH306" s="356" t="n">
        <f aca="false">SUM(AE306:AG306)</f>
        <v>0</v>
      </c>
      <c r="AI306" s="357" t="n">
        <f aca="false">(-Y306/((HLOOKUP(AG$5,port_specs,2,0)/(365.25))*(AC307-AC306)))*(INDEX(fixed_capacity_charge,MATCH(AC306,PORTS!$H$11:$H$317,0),MATCH(AG$5,PORTS!$H$11:$N$11,0))+INDEX(variable_om_charge,MATCH(AC306,PORTS!$H$318:$H$625,0),MATCH(AG$5,PORTS!$H$318:$N$318,0)))</f>
        <v>-0</v>
      </c>
      <c r="AJ306" s="343" t="n">
        <f aca="false">+AI306+AH306</f>
        <v>0</v>
      </c>
      <c r="AK306" s="355" t="n">
        <f aca="false">+AJ306+AD306</f>
        <v>0</v>
      </c>
      <c r="AM306" s="346" t="n">
        <f aca="false">+DATE(YEAR(AM305),MONTH(AM305)+1,1)</f>
        <v>45474</v>
      </c>
      <c r="AN306" s="327" t="n">
        <f aca="false">+AP306/(1-HLOOKUP(AO$6,SHIPS,7,0)*INDEX(LADEN_VOYAGE_DAYS,MATCH(CONCATENATE(AO$4,AO$5),LADEN_VOYAGE_ROUTES,0),MATCH(AO$6,LADEN_VOYAGE_SHIPS,0)))</f>
        <v>0</v>
      </c>
      <c r="AO306" s="347" t="n">
        <f aca="false">+AP306-AN306</f>
        <v>0</v>
      </c>
      <c r="AP306" s="348" t="n">
        <f aca="false">+IF(AND(AO$8&lt;=AM306,AO$9&gt;=AM306),+MIN($B306-SUMIF($H$17:AO$17,AP$17,$H306:AO306),((INDEX(ROUTE_PER_DAY_BY_SHIP,MATCH(CONCATENATE(AO$4,AO$5,AO$7),ROUTE_PER_DAY_ROUTES,0),MATCH(AO$6,ROUTE_PER_DAY_SHIPS,0))*(AM307-AM306))-(INDEX(ROUTE_PER_DAY_BY_SHIP,MATCH(CONCATENATE(AO$4,AO$5,AO$7),ROUTE_PER_DAY_ROUTES,0),MATCH(AO$6,ROUTE_PER_DAY_SHIPS,0))*(AM307-AM306))*HLOOKUP(AO$6,SHIPS,7,0)*INDEX(LADEN_VOYAGE_DAYS,MATCH(CONCATENATE(AO$4,AO$5,AO$7),LADEN_VOYAGE_ROUTES,0),MATCH(AO$6,LADEN_VOYAGE_SHIPS,0)))),0)</f>
        <v>0</v>
      </c>
      <c r="AQ306" s="349" t="n">
        <f aca="false">-(AP306)*PORTS!$I$6</f>
        <v>-0</v>
      </c>
      <c r="AR306" s="327" t="n">
        <f aca="false">+AP306+AQ306</f>
        <v>0</v>
      </c>
      <c r="AS306" s="333"/>
      <c r="AT306" s="346" t="n">
        <f aca="false">+DATE(YEAR(AT305),MONTH(AT305)+1,1)</f>
        <v>45474</v>
      </c>
      <c r="AU306" s="343" t="n">
        <f aca="false">+AR306*(VLOOKUP(AT306,CURVECALC!$C$6:$J$312,4,0)+AV$5)</f>
        <v>0</v>
      </c>
      <c r="AV306" s="350" t="n">
        <f aca="false">-AN306*INDEX(ship_curves,MATCH(AT306,'SHIP CURVES'!$A$9:$A$316,0),MATCH(CONCATENATE(AX$4,AX$5,AX$6,AX$7),'SHIP CURVES'!$A$9:$AZ$9,0))</f>
        <v>-0</v>
      </c>
      <c r="AW306" s="351" t="n">
        <f aca="false">-AP306*INDEX(port_processing_fee,MATCH(AT306,PORTS!$H$626:$H$933,0),MATCH(AX$5,PORTS!$H$626:$Z$626,0))</f>
        <v>-0</v>
      </c>
      <c r="AX306" s="352" t="n">
        <f aca="false">(((VLOOKUP(AT306,curvecalc,4,0))*IF(AN306=0,0,AR306/AN306)-INDEX(ship_curves,MATCH(AT306,'SHIP CURVES'!$A$9:$A$316,0),MATCH(CONCATENATE(AX$4,AX$5,AX$6,AX$7),'SHIP CURVES'!$A$9:$Z$9,0))-INDEX(terminal_curves,MATCH(AT306,'TERMINAL CURVES'!$A$4:$A$313,0),MATCH(AX$5,'TERMINAL CURVES'!$A$4:$N$4,0))*IF(AN306=0,0,AP306/AN306))-(AV$8)*((AV$7-$N$5)-(INDEX(ship_curves,MATCH(AT306,'SHIP CURVES'!$A$9:$A$316,0),MATCH(CONCATENATE(AX$4,AX$5,AX$6,AX$7),'SHIP CURVES'!$A$9:$Z$9,0))-INDEX(ship_curves,MATCH(AT306,'SHIP CURVES'!$A$9:$A$316,0),MATCH(CONCATENATE(AX$4,AV$6,AX$6,AX$7),'SHIP CURVES'!$A$9:$Z$9,0)))-(INDEX(terminal_curves,MATCH(AT306,'TERMINAL CURVES'!$A$4:$A$313,0),MATCH(AX$5,'TERMINAL CURVES'!$A$4:$N$4,0))-INDEX(terminal_curves,MATCH(AT306,'TERMINAL CURVES'!$A$4:$A$313,0),MATCH(AV$6,'TERMINAL CURVES'!$A$4:$N$4,0)))*IF(AN306=0,0,AP306/AN306)))*-AN306</f>
        <v>0</v>
      </c>
      <c r="AY306" s="356" t="n">
        <f aca="false">SUM(AV306:AX306)</f>
        <v>0</v>
      </c>
      <c r="AZ306" s="357" t="n">
        <f aca="false">(-AP306/((HLOOKUP(AX$5,port_specs,2,0)/(365.25))*(AT307-AT306)))*(INDEX(fixed_capacity_charge,MATCH(AT306,PORTS!$H$11:$H$317,0),MATCH(AX$5,PORTS!$H$11:$N$11,0))+INDEX(variable_om_charge,MATCH(AT306,PORTS!$H$318:$H$625,0),MATCH(AX$5,PORTS!$H$318:$N$318,0)))</f>
        <v>-0</v>
      </c>
      <c r="BA306" s="343" t="n">
        <f aca="false">+AZ306+AY306</f>
        <v>0</v>
      </c>
      <c r="BB306" s="355" t="n">
        <f aca="false">+BA306+AU306</f>
        <v>0</v>
      </c>
      <c r="BC306" s="99"/>
      <c r="BD306" s="357" t="n">
        <f aca="false">+PORTS!I300+PORTS!I608</f>
        <v>0</v>
      </c>
    </row>
    <row r="307" customFormat="false" ht="12.75" hidden="false" customHeight="false" outlineLevel="0" collapsed="false">
      <c r="A307" s="346" t="n">
        <f aca="false">+DATE(YEAR(A306),MONTH(A306)+1,1)</f>
        <v>45505</v>
      </c>
      <c r="B307" s="327" t="n">
        <f aca="false">+IF(AND($A307&gt;=$C$8,$A307&lt;=$C$9),1,0)*PORTS!$I$5/(365.25)*(A308-A307)</f>
        <v>0</v>
      </c>
      <c r="C307" s="328" t="n">
        <f aca="false">+B307-(SUMIF($F$17:$IV$17,$H$17,$F307:$IV307))</f>
        <v>0</v>
      </c>
      <c r="D307" s="0" t="n">
        <f aca="false">+YEAR(E307)</f>
        <v>2024</v>
      </c>
      <c r="E307" s="346" t="n">
        <f aca="false">+DATE(YEAR(E306),MONTH(E306)+1,1)</f>
        <v>45505</v>
      </c>
      <c r="F307" s="327" t="n">
        <f aca="false">+IF(AND(G$8&lt;=E307,G$9&gt;=E307),INDEX(ROUTE_PER_DAY_BY_SHIP,MATCH(CONCATENATE(G$4,G$5,G$7),ROUTE_PER_DAY_ROUTES,0),MATCH(G$6,ROUTE_PER_DAY_SHIPS,0))*(E308-E307),0)</f>
        <v>0</v>
      </c>
      <c r="G307" s="347" t="n">
        <f aca="false">-F307*HLOOKUP(G$6,SHIPS,7,0)*INDEX(LADEN_VOYAGE_DAYS,MATCH(CONCATENATE(G$4,G$5,G$7),LADEN_VOYAGE_ROUTES,0),MATCH(G$6,LADEN_VOYAGE_SHIPS,0))</f>
        <v>-0</v>
      </c>
      <c r="H307" s="348" t="n">
        <f aca="false">SUM(F307:G307)</f>
        <v>0</v>
      </c>
      <c r="I307" s="349" t="n">
        <f aca="false">-(H307)*HLOOKUP(G$5,TERMINAL_CHARGES,3,0)</f>
        <v>-0</v>
      </c>
      <c r="J307" s="327" t="n">
        <f aca="false">+H307+I307</f>
        <v>0</v>
      </c>
      <c r="K307" s="333"/>
      <c r="L307" s="346" t="n">
        <f aca="false">+DATE(YEAR(L306),MONTH(L306)+1,1)</f>
        <v>45505</v>
      </c>
      <c r="M307" s="334" t="n">
        <f aca="false">+J307*(VLOOKUP(L307,CURVECALC!$C$6:$J$312,4,0)+N$5)</f>
        <v>0</v>
      </c>
      <c r="N307" s="350" t="n">
        <f aca="false">-F307*INDEX(ship_curves,MATCH(L307,'SHIP CURVES'!$A$9:$A$316,0),MATCH(CONCATENATE(P$4,P$5,P$6,P$7),'SHIP CURVES'!$A$9:$AZ$9,0))</f>
        <v>-0</v>
      </c>
      <c r="O307" s="351" t="n">
        <f aca="false">-H307*INDEX(port_processing_fee,MATCH(L307,PORTS!$H$626:$H$933,0),MATCH(P$5,PORTS!$H$626:$Z$626,0))</f>
        <v>-0</v>
      </c>
      <c r="P307" s="352" t="n">
        <f aca="false">(((VLOOKUP(L307,curvecalc,4,0))*IF(F307=0,0,J307/F307)-INDEX(ship_curves,MATCH(L307,'SHIP CURVES'!$A$9:$A$316,0),MATCH(CONCATENATE(P$4,P$5,P$6,P$7),'SHIP CURVES'!$A$9:$Z$9,0))-INDEX(terminal_curves,MATCH(L307,'TERMINAL CURVES'!$A$4:$A$313,0),MATCH(P$5,'TERMINAL CURVES'!$A$4:$N$4,0))*IF(F307=0,0,H307/F307))-(N$8)*((N$7-$N$5)-(INDEX(ship_curves,MATCH(L307,'SHIP CURVES'!$A$9:$A$316,0),MATCH(CONCATENATE(P$4,P$5,P$6,P$7),'SHIP CURVES'!$A$9:$Z$9,0))-INDEX(ship_curves,MATCH(L307,'SHIP CURVES'!$A$9:$A$316,0),MATCH(CONCATENATE(P$4,N$6,P$6,P$7),'SHIP CURVES'!$A$9:$Z$9,0)))-(INDEX(terminal_curves,MATCH(L307,'TERMINAL CURVES'!$A$4:$A$313,0),MATCH(P$5,'TERMINAL CURVES'!$A$4:$N$4,0))-INDEX(terminal_curves,MATCH(L307,'TERMINAL CURVES'!$A$4:$A$313,0),MATCH(N$6,'TERMINAL CURVES'!$A$4:$N$4,0)))*IF(F307=0,0,H307/F307)))*-F307</f>
        <v>0</v>
      </c>
      <c r="Q307" s="353" t="n">
        <f aca="false">SUM(N307:P307)</f>
        <v>0</v>
      </c>
      <c r="R307" s="357" t="n">
        <f aca="false">(-H307/((HLOOKUP(P$5,port_specs,2,0)/(365.25))*(L308-L307)))*(INDEX(fixed_capacity_charge,MATCH(L307,PORTS!$H$11:$H$317,0),MATCH(P$5,PORTS!$H$11:$N$11,0))+INDEX(variable_om_charge,MATCH(L307,PORTS!$H$318:$H$625,0),MATCH(P$5,PORTS!$H$318:$N$318,0)))</f>
        <v>-0</v>
      </c>
      <c r="S307" s="343" t="n">
        <f aca="false">+R307+Q307</f>
        <v>0</v>
      </c>
      <c r="T307" s="355" t="n">
        <f aca="false">+S307+M307</f>
        <v>0</v>
      </c>
      <c r="V307" s="346" t="n">
        <f aca="false">+DATE(YEAR(V306),MONTH(V306)+1,1)</f>
        <v>45505</v>
      </c>
      <c r="W307" s="327" t="n">
        <f aca="false">+Y307/(1-HLOOKUP(X$6,SHIPS,7,0)*INDEX(LADEN_VOYAGE_DAYS,MATCH(CONCATENATE(X$4,X$5),LADEN_VOYAGE_ROUTES,0),MATCH(X$6,LADEN_VOYAGE_SHIPS,0)))</f>
        <v>0</v>
      </c>
      <c r="X307" s="347" t="n">
        <f aca="false">+Y307-W307</f>
        <v>0</v>
      </c>
      <c r="Y307" s="348" t="n">
        <f aca="false">+IF(AND(X$8&lt;=V307,X$9&gt;=V307),+MIN($B307-SUMIF($H$17:X$17,Y$17,$H307:X307),((INDEX(ROUTE_PER_DAY_BY_SHIP,MATCH(CONCATENATE(X$4,X$5,X$7),ROUTE_PER_DAY_ROUTES,0),MATCH(X$6,ROUTE_PER_DAY_SHIPS,0))*(V308-V307))-(INDEX(ROUTE_PER_DAY_BY_SHIP,MATCH(CONCATENATE(X$4,X$5,X$7),ROUTE_PER_DAY_ROUTES,0),MATCH(X$6,ROUTE_PER_DAY_SHIPS,0))*(V308-V307))*HLOOKUP(X$6,SHIPS,7,0)*INDEX(LADEN_VOYAGE_DAYS,MATCH(CONCATENATE(X$4,X$5,X$7),LADEN_VOYAGE_ROUTES,0),MATCH(X$6,LADEN_VOYAGE_SHIPS,0)))),0)</f>
        <v>0</v>
      </c>
      <c r="Z307" s="349" t="n">
        <f aca="false">-(Y307)*HLOOKUP(X$5,TERMINAL_CHARGES,3,0)</f>
        <v>-0</v>
      </c>
      <c r="AA307" s="327" t="n">
        <f aca="false">+Y307+Z307</f>
        <v>0</v>
      </c>
      <c r="AB307" s="333"/>
      <c r="AC307" s="346" t="n">
        <f aca="false">+DATE(YEAR(AC306),MONTH(AC306)+1,1)</f>
        <v>45505</v>
      </c>
      <c r="AD307" s="343" t="n">
        <f aca="false">+AA307*(VLOOKUP(AC307,CURVECALC!$C$6:$J$312,4,0)+AE$5)</f>
        <v>0</v>
      </c>
      <c r="AE307" s="350" t="n">
        <f aca="false">-W307*INDEX(ship_curves,MATCH(AC307,'SHIP CURVES'!$A$9:$A$316,0),MATCH(CONCATENATE(AG$4,AG$5,AG$6,AG$7),'SHIP CURVES'!$A$9:$AZ$9,0))</f>
        <v>-0</v>
      </c>
      <c r="AF307" s="351" t="n">
        <f aca="false">-Y307*INDEX(port_processing_fee,MATCH(AC307,PORTS!$H$626:$H$933,0),MATCH(AG$5,PORTS!$H$626:$Z$626,0))</f>
        <v>-0</v>
      </c>
      <c r="AG307" s="352" t="n">
        <f aca="false">(((VLOOKUP(AC307,curvecalc,4,0))*IF(W307=0,0,AA307/W307)-INDEX(ship_curves,MATCH(AC307,'SHIP CURVES'!$A$9:$A$316,0),MATCH(CONCATENATE(AG$4,AG$5,AG$6,AG$7),'SHIP CURVES'!$A$9:$Z$9,0))-INDEX(terminal_curves,MATCH(AC307,'TERMINAL CURVES'!$A$4:$A$313,0),MATCH(AG$5,'TERMINAL CURVES'!$A$4:$N$4,0))*IF(W307=0,0,Y307/W307))-(AE$8)*((AE$7-$N$5)-(INDEX(ship_curves,MATCH(AC307,'SHIP CURVES'!$A$9:$A$316,0),MATCH(CONCATENATE(AG$4,AG$5,AG$6,AG$7),'SHIP CURVES'!$A$9:$Z$9,0))-INDEX(ship_curves,MATCH(AC307,'SHIP CURVES'!$A$9:$A$316,0),MATCH(CONCATENATE(AG$4,AE$6,AG$6,AG$7),'SHIP CURVES'!$A$9:$Z$9,0)))-(INDEX(terminal_curves,MATCH(AC307,'TERMINAL CURVES'!$A$4:$A$313,0),MATCH(AG$5,'TERMINAL CURVES'!$A$4:$N$4,0))-INDEX(terminal_curves,MATCH(AC307,'TERMINAL CURVES'!$A$4:$A$313,0),MATCH(AE$6,'TERMINAL CURVES'!$A$4:$N$4,0)))*IF(W307=0,0,Y307/W307)))*-W307</f>
        <v>0</v>
      </c>
      <c r="AH307" s="356" t="n">
        <f aca="false">SUM(AE307:AG307)</f>
        <v>0</v>
      </c>
      <c r="AI307" s="357" t="n">
        <f aca="false">(-Y307/((HLOOKUP(AG$5,port_specs,2,0)/(365.25))*(AC308-AC307)))*(INDEX(fixed_capacity_charge,MATCH(AC307,PORTS!$H$11:$H$317,0),MATCH(AG$5,PORTS!$H$11:$N$11,0))+INDEX(variable_om_charge,MATCH(AC307,PORTS!$H$318:$H$625,0),MATCH(AG$5,PORTS!$H$318:$N$318,0)))</f>
        <v>-0</v>
      </c>
      <c r="AJ307" s="343" t="n">
        <f aca="false">+AI307+AH307</f>
        <v>0</v>
      </c>
      <c r="AK307" s="355" t="n">
        <f aca="false">+AJ307+AD307</f>
        <v>0</v>
      </c>
      <c r="AM307" s="346" t="n">
        <f aca="false">+DATE(YEAR(AM306),MONTH(AM306)+1,1)</f>
        <v>45505</v>
      </c>
      <c r="AN307" s="327" t="n">
        <f aca="false">+AP307/(1-HLOOKUP(AO$6,SHIPS,7,0)*INDEX(LADEN_VOYAGE_DAYS,MATCH(CONCATENATE(AO$4,AO$5),LADEN_VOYAGE_ROUTES,0),MATCH(AO$6,LADEN_VOYAGE_SHIPS,0)))</f>
        <v>0</v>
      </c>
      <c r="AO307" s="347" t="n">
        <f aca="false">+AP307-AN307</f>
        <v>0</v>
      </c>
      <c r="AP307" s="348" t="n">
        <f aca="false">+IF(AND(AO$8&lt;=AM307,AO$9&gt;=AM307),+MIN($B307-SUMIF($H$17:AO$17,AP$17,$H307:AO307),((INDEX(ROUTE_PER_DAY_BY_SHIP,MATCH(CONCATENATE(AO$4,AO$5,AO$7),ROUTE_PER_DAY_ROUTES,0),MATCH(AO$6,ROUTE_PER_DAY_SHIPS,0))*(AM308-AM307))-(INDEX(ROUTE_PER_DAY_BY_SHIP,MATCH(CONCATENATE(AO$4,AO$5,AO$7),ROUTE_PER_DAY_ROUTES,0),MATCH(AO$6,ROUTE_PER_DAY_SHIPS,0))*(AM308-AM307))*HLOOKUP(AO$6,SHIPS,7,0)*INDEX(LADEN_VOYAGE_DAYS,MATCH(CONCATENATE(AO$4,AO$5,AO$7),LADEN_VOYAGE_ROUTES,0),MATCH(AO$6,LADEN_VOYAGE_SHIPS,0)))),0)</f>
        <v>0</v>
      </c>
      <c r="AQ307" s="349" t="n">
        <f aca="false">-(AP307)*PORTS!$I$6</f>
        <v>-0</v>
      </c>
      <c r="AR307" s="327" t="n">
        <f aca="false">+AP307+AQ307</f>
        <v>0</v>
      </c>
      <c r="AS307" s="333"/>
      <c r="AT307" s="346" t="n">
        <f aca="false">+DATE(YEAR(AT306),MONTH(AT306)+1,1)</f>
        <v>45505</v>
      </c>
      <c r="AU307" s="343" t="n">
        <f aca="false">+AR307*(VLOOKUP(AT307,CURVECALC!$C$6:$J$312,4,0)+AV$5)</f>
        <v>0</v>
      </c>
      <c r="AV307" s="350" t="n">
        <f aca="false">-AN307*INDEX(ship_curves,MATCH(AT307,'SHIP CURVES'!$A$9:$A$316,0),MATCH(CONCATENATE(AX$4,AX$5,AX$6,AX$7),'SHIP CURVES'!$A$9:$AZ$9,0))</f>
        <v>-0</v>
      </c>
      <c r="AW307" s="351" t="n">
        <f aca="false">-AP307*INDEX(port_processing_fee,MATCH(AT307,PORTS!$H$626:$H$933,0),MATCH(AX$5,PORTS!$H$626:$Z$626,0))</f>
        <v>-0</v>
      </c>
      <c r="AX307" s="352" t="n">
        <f aca="false">(((VLOOKUP(AT307,curvecalc,4,0))*IF(AN307=0,0,AR307/AN307)-INDEX(ship_curves,MATCH(AT307,'SHIP CURVES'!$A$9:$A$316,0),MATCH(CONCATENATE(AX$4,AX$5,AX$6,AX$7),'SHIP CURVES'!$A$9:$Z$9,0))-INDEX(terminal_curves,MATCH(AT307,'TERMINAL CURVES'!$A$4:$A$313,0),MATCH(AX$5,'TERMINAL CURVES'!$A$4:$N$4,0))*IF(AN307=0,0,AP307/AN307))-(AV$8)*((AV$7-$N$5)-(INDEX(ship_curves,MATCH(AT307,'SHIP CURVES'!$A$9:$A$316,0),MATCH(CONCATENATE(AX$4,AX$5,AX$6,AX$7),'SHIP CURVES'!$A$9:$Z$9,0))-INDEX(ship_curves,MATCH(AT307,'SHIP CURVES'!$A$9:$A$316,0),MATCH(CONCATENATE(AX$4,AV$6,AX$6,AX$7),'SHIP CURVES'!$A$9:$Z$9,0)))-(INDEX(terminal_curves,MATCH(AT307,'TERMINAL CURVES'!$A$4:$A$313,0),MATCH(AX$5,'TERMINAL CURVES'!$A$4:$N$4,0))-INDEX(terminal_curves,MATCH(AT307,'TERMINAL CURVES'!$A$4:$A$313,0),MATCH(AV$6,'TERMINAL CURVES'!$A$4:$N$4,0)))*IF(AN307=0,0,AP307/AN307)))*-AN307</f>
        <v>0</v>
      </c>
      <c r="AY307" s="356" t="n">
        <f aca="false">SUM(AV307:AX307)</f>
        <v>0</v>
      </c>
      <c r="AZ307" s="357" t="n">
        <f aca="false">(-AP307/((HLOOKUP(AX$5,port_specs,2,0)/(365.25))*(AT308-AT307)))*(INDEX(fixed_capacity_charge,MATCH(AT307,PORTS!$H$11:$H$317,0),MATCH(AX$5,PORTS!$H$11:$N$11,0))+INDEX(variable_om_charge,MATCH(AT307,PORTS!$H$318:$H$625,0),MATCH(AX$5,PORTS!$H$318:$N$318,0)))</f>
        <v>-0</v>
      </c>
      <c r="BA307" s="343" t="n">
        <f aca="false">+AZ307+AY307</f>
        <v>0</v>
      </c>
      <c r="BB307" s="355" t="n">
        <f aca="false">+BA307+AU307</f>
        <v>0</v>
      </c>
      <c r="BC307" s="99"/>
      <c r="BD307" s="357" t="n">
        <f aca="false">+PORTS!I301+PORTS!I609</f>
        <v>0</v>
      </c>
    </row>
    <row r="308" customFormat="false" ht="12.75" hidden="false" customHeight="false" outlineLevel="0" collapsed="false">
      <c r="A308" s="346" t="n">
        <f aca="false">+DATE(YEAR(A307),MONTH(A307)+1,1)</f>
        <v>45536</v>
      </c>
      <c r="B308" s="327" t="n">
        <f aca="false">+IF(AND($A308&gt;=$C$8,$A308&lt;=$C$9),1,0)*PORTS!$I$5/(365.25)*(A309-A308)</f>
        <v>0</v>
      </c>
      <c r="C308" s="328" t="n">
        <f aca="false">+B308-(SUMIF($F$17:$IV$17,$H$17,$F308:$IV308))</f>
        <v>0</v>
      </c>
      <c r="D308" s="0" t="n">
        <f aca="false">+YEAR(E308)</f>
        <v>2024</v>
      </c>
      <c r="E308" s="346" t="n">
        <f aca="false">+DATE(YEAR(E307),MONTH(E307)+1,1)</f>
        <v>45536</v>
      </c>
      <c r="F308" s="327" t="n">
        <f aca="false">+IF(AND(G$8&lt;=E308,G$9&gt;=E308),INDEX(ROUTE_PER_DAY_BY_SHIP,MATCH(CONCATENATE(G$4,G$5,G$7),ROUTE_PER_DAY_ROUTES,0),MATCH(G$6,ROUTE_PER_DAY_SHIPS,0))*(E309-E308),0)</f>
        <v>0</v>
      </c>
      <c r="G308" s="347" t="n">
        <f aca="false">-F308*HLOOKUP(G$6,SHIPS,7,0)*INDEX(LADEN_VOYAGE_DAYS,MATCH(CONCATENATE(G$4,G$5,G$7),LADEN_VOYAGE_ROUTES,0),MATCH(G$6,LADEN_VOYAGE_SHIPS,0))</f>
        <v>-0</v>
      </c>
      <c r="H308" s="348" t="n">
        <f aca="false">SUM(F308:G308)</f>
        <v>0</v>
      </c>
      <c r="I308" s="349" t="n">
        <f aca="false">-(H308)*HLOOKUP(G$5,TERMINAL_CHARGES,3,0)</f>
        <v>-0</v>
      </c>
      <c r="J308" s="327" t="n">
        <f aca="false">+H308+I308</f>
        <v>0</v>
      </c>
      <c r="K308" s="333"/>
      <c r="L308" s="346" t="n">
        <f aca="false">+DATE(YEAR(L307),MONTH(L307)+1,1)</f>
        <v>45536</v>
      </c>
      <c r="M308" s="334" t="n">
        <f aca="false">+J308*(VLOOKUP(L308,CURVECALC!$C$6:$J$312,4,0)+N$5)</f>
        <v>0</v>
      </c>
      <c r="N308" s="350" t="n">
        <f aca="false">-F308*INDEX(ship_curves,MATCH(L308,'SHIP CURVES'!$A$9:$A$316,0),MATCH(CONCATENATE(P$4,P$5,P$6,P$7),'SHIP CURVES'!$A$9:$AZ$9,0))</f>
        <v>-0</v>
      </c>
      <c r="O308" s="351" t="n">
        <f aca="false">-H308*INDEX(port_processing_fee,MATCH(L308,PORTS!$H$626:$H$933,0),MATCH(P$5,PORTS!$H$626:$Z$626,0))</f>
        <v>-0</v>
      </c>
      <c r="P308" s="352" t="n">
        <f aca="false">(((VLOOKUP(L308,curvecalc,4,0))*IF(F308=0,0,J308/F308)-INDEX(ship_curves,MATCH(L308,'SHIP CURVES'!$A$9:$A$316,0),MATCH(CONCATENATE(P$4,P$5,P$6,P$7),'SHIP CURVES'!$A$9:$Z$9,0))-INDEX(terminal_curves,MATCH(L308,'TERMINAL CURVES'!$A$4:$A$313,0),MATCH(P$5,'TERMINAL CURVES'!$A$4:$N$4,0))*IF(F308=0,0,H308/F308))-(N$8)*((N$7-$N$5)-(INDEX(ship_curves,MATCH(L308,'SHIP CURVES'!$A$9:$A$316,0),MATCH(CONCATENATE(P$4,P$5,P$6,P$7),'SHIP CURVES'!$A$9:$Z$9,0))-INDEX(ship_curves,MATCH(L308,'SHIP CURVES'!$A$9:$A$316,0),MATCH(CONCATENATE(P$4,N$6,P$6,P$7),'SHIP CURVES'!$A$9:$Z$9,0)))-(INDEX(terminal_curves,MATCH(L308,'TERMINAL CURVES'!$A$4:$A$313,0),MATCH(P$5,'TERMINAL CURVES'!$A$4:$N$4,0))-INDEX(terminal_curves,MATCH(L308,'TERMINAL CURVES'!$A$4:$A$313,0),MATCH(N$6,'TERMINAL CURVES'!$A$4:$N$4,0)))*IF(F308=0,0,H308/F308)))*-F308</f>
        <v>0</v>
      </c>
      <c r="Q308" s="353" t="n">
        <f aca="false">SUM(N308:P308)</f>
        <v>0</v>
      </c>
      <c r="R308" s="357" t="n">
        <f aca="false">(-H308/((HLOOKUP(P$5,port_specs,2,0)/(365.25))*(L309-L308)))*(INDEX(fixed_capacity_charge,MATCH(L308,PORTS!$H$11:$H$317,0),MATCH(P$5,PORTS!$H$11:$N$11,0))+INDEX(variable_om_charge,MATCH(L308,PORTS!$H$318:$H$625,0),MATCH(P$5,PORTS!$H$318:$N$318,0)))</f>
        <v>-0</v>
      </c>
      <c r="S308" s="343" t="n">
        <f aca="false">+R308+Q308</f>
        <v>0</v>
      </c>
      <c r="T308" s="355" t="n">
        <f aca="false">+S308+M308</f>
        <v>0</v>
      </c>
      <c r="V308" s="346" t="n">
        <f aca="false">+DATE(YEAR(V307),MONTH(V307)+1,1)</f>
        <v>45536</v>
      </c>
      <c r="W308" s="327" t="n">
        <f aca="false">+Y308/(1-HLOOKUP(X$6,SHIPS,7,0)*INDEX(LADEN_VOYAGE_DAYS,MATCH(CONCATENATE(X$4,X$5),LADEN_VOYAGE_ROUTES,0),MATCH(X$6,LADEN_VOYAGE_SHIPS,0)))</f>
        <v>0</v>
      </c>
      <c r="X308" s="347" t="n">
        <f aca="false">+Y308-W308</f>
        <v>0</v>
      </c>
      <c r="Y308" s="348" t="n">
        <f aca="false">+IF(AND(X$8&lt;=V308,X$9&gt;=V308),+MIN($B308-SUMIF($H$17:X$17,Y$17,$H308:X308),((INDEX(ROUTE_PER_DAY_BY_SHIP,MATCH(CONCATENATE(X$4,X$5,X$7),ROUTE_PER_DAY_ROUTES,0),MATCH(X$6,ROUTE_PER_DAY_SHIPS,0))*(V309-V308))-(INDEX(ROUTE_PER_DAY_BY_SHIP,MATCH(CONCATENATE(X$4,X$5,X$7),ROUTE_PER_DAY_ROUTES,0),MATCH(X$6,ROUTE_PER_DAY_SHIPS,0))*(V309-V308))*HLOOKUP(X$6,SHIPS,7,0)*INDEX(LADEN_VOYAGE_DAYS,MATCH(CONCATENATE(X$4,X$5,X$7),LADEN_VOYAGE_ROUTES,0),MATCH(X$6,LADEN_VOYAGE_SHIPS,0)))),0)</f>
        <v>0</v>
      </c>
      <c r="Z308" s="349" t="n">
        <f aca="false">-(Y308)*HLOOKUP(X$5,TERMINAL_CHARGES,3,0)</f>
        <v>-0</v>
      </c>
      <c r="AA308" s="327" t="n">
        <f aca="false">+Y308+Z308</f>
        <v>0</v>
      </c>
      <c r="AB308" s="333"/>
      <c r="AC308" s="346" t="n">
        <f aca="false">+DATE(YEAR(AC307),MONTH(AC307)+1,1)</f>
        <v>45536</v>
      </c>
      <c r="AD308" s="343" t="n">
        <f aca="false">+AA308*(VLOOKUP(AC308,CURVECALC!$C$6:$J$312,4,0)+AE$5)</f>
        <v>0</v>
      </c>
      <c r="AE308" s="350" t="n">
        <f aca="false">-W308*INDEX(ship_curves,MATCH(AC308,'SHIP CURVES'!$A$9:$A$316,0),MATCH(CONCATENATE(AG$4,AG$5,AG$6,AG$7),'SHIP CURVES'!$A$9:$AZ$9,0))</f>
        <v>-0</v>
      </c>
      <c r="AF308" s="351" t="n">
        <f aca="false">-Y308*INDEX(port_processing_fee,MATCH(AC308,PORTS!$H$626:$H$933,0),MATCH(AG$5,PORTS!$H$626:$Z$626,0))</f>
        <v>-0</v>
      </c>
      <c r="AG308" s="352" t="n">
        <f aca="false">(((VLOOKUP(AC308,curvecalc,4,0))*IF(W308=0,0,AA308/W308)-INDEX(ship_curves,MATCH(AC308,'SHIP CURVES'!$A$9:$A$316,0),MATCH(CONCATENATE(AG$4,AG$5,AG$6,AG$7),'SHIP CURVES'!$A$9:$Z$9,0))-INDEX(terminal_curves,MATCH(AC308,'TERMINAL CURVES'!$A$4:$A$313,0),MATCH(AG$5,'TERMINAL CURVES'!$A$4:$N$4,0))*IF(W308=0,0,Y308/W308))-(AE$8)*((AE$7-$N$5)-(INDEX(ship_curves,MATCH(AC308,'SHIP CURVES'!$A$9:$A$316,0),MATCH(CONCATENATE(AG$4,AG$5,AG$6,AG$7),'SHIP CURVES'!$A$9:$Z$9,0))-INDEX(ship_curves,MATCH(AC308,'SHIP CURVES'!$A$9:$A$316,0),MATCH(CONCATENATE(AG$4,AE$6,AG$6,AG$7),'SHIP CURVES'!$A$9:$Z$9,0)))-(INDEX(terminal_curves,MATCH(AC308,'TERMINAL CURVES'!$A$4:$A$313,0),MATCH(AG$5,'TERMINAL CURVES'!$A$4:$N$4,0))-INDEX(terminal_curves,MATCH(AC308,'TERMINAL CURVES'!$A$4:$A$313,0),MATCH(AE$6,'TERMINAL CURVES'!$A$4:$N$4,0)))*IF(W308=0,0,Y308/W308)))*-W308</f>
        <v>0</v>
      </c>
      <c r="AH308" s="356" t="n">
        <f aca="false">SUM(AE308:AG308)</f>
        <v>0</v>
      </c>
      <c r="AI308" s="357" t="n">
        <f aca="false">(-Y308/((HLOOKUP(AG$5,port_specs,2,0)/(365.25))*(AC309-AC308)))*(INDEX(fixed_capacity_charge,MATCH(AC308,PORTS!$H$11:$H$317,0),MATCH(AG$5,PORTS!$H$11:$N$11,0))+INDEX(variable_om_charge,MATCH(AC308,PORTS!$H$318:$H$625,0),MATCH(AG$5,PORTS!$H$318:$N$318,0)))</f>
        <v>-0</v>
      </c>
      <c r="AJ308" s="343" t="n">
        <f aca="false">+AI308+AH308</f>
        <v>0</v>
      </c>
      <c r="AK308" s="355" t="n">
        <f aca="false">+AJ308+AD308</f>
        <v>0</v>
      </c>
      <c r="AM308" s="346" t="n">
        <f aca="false">+DATE(YEAR(AM307),MONTH(AM307)+1,1)</f>
        <v>45536</v>
      </c>
      <c r="AN308" s="327" t="n">
        <f aca="false">+AP308/(1-HLOOKUP(AO$6,SHIPS,7,0)*INDEX(LADEN_VOYAGE_DAYS,MATCH(CONCATENATE(AO$4,AO$5),LADEN_VOYAGE_ROUTES,0),MATCH(AO$6,LADEN_VOYAGE_SHIPS,0)))</f>
        <v>0</v>
      </c>
      <c r="AO308" s="347" t="n">
        <f aca="false">+AP308-AN308</f>
        <v>0</v>
      </c>
      <c r="AP308" s="348" t="n">
        <f aca="false">+IF(AND(AO$8&lt;=AM308,AO$9&gt;=AM308),+MIN($B308-SUMIF($H$17:AO$17,AP$17,$H308:AO308),((INDEX(ROUTE_PER_DAY_BY_SHIP,MATCH(CONCATENATE(AO$4,AO$5,AO$7),ROUTE_PER_DAY_ROUTES,0),MATCH(AO$6,ROUTE_PER_DAY_SHIPS,0))*(AM309-AM308))-(INDEX(ROUTE_PER_DAY_BY_SHIP,MATCH(CONCATENATE(AO$4,AO$5,AO$7),ROUTE_PER_DAY_ROUTES,0),MATCH(AO$6,ROUTE_PER_DAY_SHIPS,0))*(AM309-AM308))*HLOOKUP(AO$6,SHIPS,7,0)*INDEX(LADEN_VOYAGE_DAYS,MATCH(CONCATENATE(AO$4,AO$5,AO$7),LADEN_VOYAGE_ROUTES,0),MATCH(AO$6,LADEN_VOYAGE_SHIPS,0)))),0)</f>
        <v>0</v>
      </c>
      <c r="AQ308" s="349" t="n">
        <f aca="false">-(AP308)*PORTS!$I$6</f>
        <v>-0</v>
      </c>
      <c r="AR308" s="327" t="n">
        <f aca="false">+AP308+AQ308</f>
        <v>0</v>
      </c>
      <c r="AS308" s="333"/>
      <c r="AT308" s="346" t="n">
        <f aca="false">+DATE(YEAR(AT307),MONTH(AT307)+1,1)</f>
        <v>45536</v>
      </c>
      <c r="AU308" s="343" t="n">
        <f aca="false">+AR308*(VLOOKUP(AT308,CURVECALC!$C$6:$J$312,4,0)+AV$5)</f>
        <v>0</v>
      </c>
      <c r="AV308" s="350" t="n">
        <f aca="false">-AN308*INDEX(ship_curves,MATCH(AT308,'SHIP CURVES'!$A$9:$A$316,0),MATCH(CONCATENATE(AX$4,AX$5,AX$6,AX$7),'SHIP CURVES'!$A$9:$AZ$9,0))</f>
        <v>-0</v>
      </c>
      <c r="AW308" s="351" t="n">
        <f aca="false">-AP308*INDEX(port_processing_fee,MATCH(AT308,PORTS!$H$626:$H$933,0),MATCH(AX$5,PORTS!$H$626:$Z$626,0))</f>
        <v>-0</v>
      </c>
      <c r="AX308" s="352" t="n">
        <f aca="false">(((VLOOKUP(AT308,curvecalc,4,0))*IF(AN308=0,0,AR308/AN308)-INDEX(ship_curves,MATCH(AT308,'SHIP CURVES'!$A$9:$A$316,0),MATCH(CONCATENATE(AX$4,AX$5,AX$6,AX$7),'SHIP CURVES'!$A$9:$Z$9,0))-INDEX(terminal_curves,MATCH(AT308,'TERMINAL CURVES'!$A$4:$A$313,0),MATCH(AX$5,'TERMINAL CURVES'!$A$4:$N$4,0))*IF(AN308=0,0,AP308/AN308))-(AV$8)*((AV$7-$N$5)-(INDEX(ship_curves,MATCH(AT308,'SHIP CURVES'!$A$9:$A$316,0),MATCH(CONCATENATE(AX$4,AX$5,AX$6,AX$7),'SHIP CURVES'!$A$9:$Z$9,0))-INDEX(ship_curves,MATCH(AT308,'SHIP CURVES'!$A$9:$A$316,0),MATCH(CONCATENATE(AX$4,AV$6,AX$6,AX$7),'SHIP CURVES'!$A$9:$Z$9,0)))-(INDEX(terminal_curves,MATCH(AT308,'TERMINAL CURVES'!$A$4:$A$313,0),MATCH(AX$5,'TERMINAL CURVES'!$A$4:$N$4,0))-INDEX(terminal_curves,MATCH(AT308,'TERMINAL CURVES'!$A$4:$A$313,0),MATCH(AV$6,'TERMINAL CURVES'!$A$4:$N$4,0)))*IF(AN308=0,0,AP308/AN308)))*-AN308</f>
        <v>0</v>
      </c>
      <c r="AY308" s="356" t="n">
        <f aca="false">SUM(AV308:AX308)</f>
        <v>0</v>
      </c>
      <c r="AZ308" s="357" t="n">
        <f aca="false">(-AP308/((HLOOKUP(AX$5,port_specs,2,0)/(365.25))*(AT309-AT308)))*(INDEX(fixed_capacity_charge,MATCH(AT308,PORTS!$H$11:$H$317,0),MATCH(AX$5,PORTS!$H$11:$N$11,0))+INDEX(variable_om_charge,MATCH(AT308,PORTS!$H$318:$H$625,0),MATCH(AX$5,PORTS!$H$318:$N$318,0)))</f>
        <v>-0</v>
      </c>
      <c r="BA308" s="343" t="n">
        <f aca="false">+AZ308+AY308</f>
        <v>0</v>
      </c>
      <c r="BB308" s="355" t="n">
        <f aca="false">+BA308+AU308</f>
        <v>0</v>
      </c>
      <c r="BC308" s="99"/>
      <c r="BD308" s="357" t="n">
        <f aca="false">+PORTS!I302+PORTS!I610</f>
        <v>0</v>
      </c>
    </row>
    <row r="309" customFormat="false" ht="12.75" hidden="false" customHeight="false" outlineLevel="0" collapsed="false">
      <c r="A309" s="346" t="n">
        <f aca="false">+DATE(YEAR(A308),MONTH(A308)+1,1)</f>
        <v>45566</v>
      </c>
      <c r="B309" s="327" t="n">
        <f aca="false">+IF(AND($A309&gt;=$C$8,$A309&lt;=$C$9),1,0)*PORTS!$I$5/(365.25)*(A310-A309)</f>
        <v>0</v>
      </c>
      <c r="C309" s="328" t="n">
        <f aca="false">+B309-(SUMIF($F$17:$IV$17,$H$17,$F309:$IV309))</f>
        <v>0</v>
      </c>
      <c r="D309" s="0" t="n">
        <f aca="false">+YEAR(E309)</f>
        <v>2024</v>
      </c>
      <c r="E309" s="346" t="n">
        <f aca="false">+DATE(YEAR(E308),MONTH(E308)+1,1)</f>
        <v>45566</v>
      </c>
      <c r="F309" s="327" t="n">
        <f aca="false">+IF(AND(G$8&lt;=E309,G$9&gt;=E309),INDEX(ROUTE_PER_DAY_BY_SHIP,MATCH(CONCATENATE(G$4,G$5,G$7),ROUTE_PER_DAY_ROUTES,0),MATCH(G$6,ROUTE_PER_DAY_SHIPS,0))*(E310-E309),0)</f>
        <v>0</v>
      </c>
      <c r="G309" s="347" t="n">
        <f aca="false">-F309*HLOOKUP(G$6,SHIPS,7,0)*INDEX(LADEN_VOYAGE_DAYS,MATCH(CONCATENATE(G$4,G$5,G$7),LADEN_VOYAGE_ROUTES,0),MATCH(G$6,LADEN_VOYAGE_SHIPS,0))</f>
        <v>-0</v>
      </c>
      <c r="H309" s="348" t="n">
        <f aca="false">SUM(F309:G309)</f>
        <v>0</v>
      </c>
      <c r="I309" s="349" t="n">
        <f aca="false">-(H309)*HLOOKUP(G$5,TERMINAL_CHARGES,3,0)</f>
        <v>-0</v>
      </c>
      <c r="J309" s="327" t="n">
        <f aca="false">+H309+I309</f>
        <v>0</v>
      </c>
      <c r="K309" s="333"/>
      <c r="L309" s="346" t="n">
        <f aca="false">+DATE(YEAR(L308),MONTH(L308)+1,1)</f>
        <v>45566</v>
      </c>
      <c r="M309" s="334" t="n">
        <f aca="false">+J309*(VLOOKUP(L309,CURVECALC!$C$6:$J$312,4,0)+N$5)</f>
        <v>0</v>
      </c>
      <c r="N309" s="350" t="n">
        <f aca="false">-F309*INDEX(ship_curves,MATCH(L309,'SHIP CURVES'!$A$9:$A$316,0),MATCH(CONCATENATE(P$4,P$5,P$6,P$7),'SHIP CURVES'!$A$9:$AZ$9,0))</f>
        <v>-0</v>
      </c>
      <c r="O309" s="351" t="n">
        <f aca="false">-H309*INDEX(port_processing_fee,MATCH(L309,PORTS!$H$626:$H$933,0),MATCH(P$5,PORTS!$H$626:$Z$626,0))</f>
        <v>-0</v>
      </c>
      <c r="P309" s="352" t="n">
        <f aca="false">(((VLOOKUP(L309,curvecalc,4,0))*IF(F309=0,0,J309/F309)-INDEX(ship_curves,MATCH(L309,'SHIP CURVES'!$A$9:$A$316,0),MATCH(CONCATENATE(P$4,P$5,P$6,P$7),'SHIP CURVES'!$A$9:$Z$9,0))-INDEX(terminal_curves,MATCH(L309,'TERMINAL CURVES'!$A$4:$A$313,0),MATCH(P$5,'TERMINAL CURVES'!$A$4:$N$4,0))*IF(F309=0,0,H309/F309))-(N$8)*((N$7-$N$5)-(INDEX(ship_curves,MATCH(L309,'SHIP CURVES'!$A$9:$A$316,0),MATCH(CONCATENATE(P$4,P$5,P$6,P$7),'SHIP CURVES'!$A$9:$Z$9,0))-INDEX(ship_curves,MATCH(L309,'SHIP CURVES'!$A$9:$A$316,0),MATCH(CONCATENATE(P$4,N$6,P$6,P$7),'SHIP CURVES'!$A$9:$Z$9,0)))-(INDEX(terminal_curves,MATCH(L309,'TERMINAL CURVES'!$A$4:$A$313,0),MATCH(P$5,'TERMINAL CURVES'!$A$4:$N$4,0))-INDEX(terminal_curves,MATCH(L309,'TERMINAL CURVES'!$A$4:$A$313,0),MATCH(N$6,'TERMINAL CURVES'!$A$4:$N$4,0)))*IF(F309=0,0,H309/F309)))*-F309</f>
        <v>0</v>
      </c>
      <c r="Q309" s="353" t="n">
        <f aca="false">SUM(N309:P309)</f>
        <v>0</v>
      </c>
      <c r="R309" s="357" t="n">
        <f aca="false">(-H309/((HLOOKUP(P$5,port_specs,2,0)/(365.25))*(L310-L309)))*(INDEX(fixed_capacity_charge,MATCH(L309,PORTS!$H$11:$H$317,0),MATCH(P$5,PORTS!$H$11:$N$11,0))+INDEX(variable_om_charge,MATCH(L309,PORTS!$H$318:$H$625,0),MATCH(P$5,PORTS!$H$318:$N$318,0)))</f>
        <v>-0</v>
      </c>
      <c r="S309" s="343" t="n">
        <f aca="false">+R309+Q309</f>
        <v>0</v>
      </c>
      <c r="T309" s="355" t="n">
        <f aca="false">+S309+M309</f>
        <v>0</v>
      </c>
      <c r="V309" s="346" t="n">
        <f aca="false">+DATE(YEAR(V308),MONTH(V308)+1,1)</f>
        <v>45566</v>
      </c>
      <c r="W309" s="327" t="n">
        <f aca="false">+Y309/(1-HLOOKUP(X$6,SHIPS,7,0)*INDEX(LADEN_VOYAGE_DAYS,MATCH(CONCATENATE(X$4,X$5),LADEN_VOYAGE_ROUTES,0),MATCH(X$6,LADEN_VOYAGE_SHIPS,0)))</f>
        <v>0</v>
      </c>
      <c r="X309" s="347" t="n">
        <f aca="false">+Y309-W309</f>
        <v>0</v>
      </c>
      <c r="Y309" s="348" t="n">
        <f aca="false">+IF(AND(X$8&lt;=V309,X$9&gt;=V309),+MIN($B309-SUMIF($H$17:X$17,Y$17,$H309:X309),((INDEX(ROUTE_PER_DAY_BY_SHIP,MATCH(CONCATENATE(X$4,X$5,X$7),ROUTE_PER_DAY_ROUTES,0),MATCH(X$6,ROUTE_PER_DAY_SHIPS,0))*(V310-V309))-(INDEX(ROUTE_PER_DAY_BY_SHIP,MATCH(CONCATENATE(X$4,X$5,X$7),ROUTE_PER_DAY_ROUTES,0),MATCH(X$6,ROUTE_PER_DAY_SHIPS,0))*(V310-V309))*HLOOKUP(X$6,SHIPS,7,0)*INDEX(LADEN_VOYAGE_DAYS,MATCH(CONCATENATE(X$4,X$5,X$7),LADEN_VOYAGE_ROUTES,0),MATCH(X$6,LADEN_VOYAGE_SHIPS,0)))),0)</f>
        <v>0</v>
      </c>
      <c r="Z309" s="349" t="n">
        <f aca="false">-(Y309)*HLOOKUP(X$5,TERMINAL_CHARGES,3,0)</f>
        <v>-0</v>
      </c>
      <c r="AA309" s="327" t="n">
        <f aca="false">+Y309+Z309</f>
        <v>0</v>
      </c>
      <c r="AB309" s="333"/>
      <c r="AC309" s="346" t="n">
        <f aca="false">+DATE(YEAR(AC308),MONTH(AC308)+1,1)</f>
        <v>45566</v>
      </c>
      <c r="AD309" s="343" t="n">
        <f aca="false">+AA309*(VLOOKUP(AC309,CURVECALC!$C$6:$J$312,4,0)+AE$5)</f>
        <v>0</v>
      </c>
      <c r="AE309" s="350" t="n">
        <f aca="false">-W309*INDEX(ship_curves,MATCH(AC309,'SHIP CURVES'!$A$9:$A$316,0),MATCH(CONCATENATE(AG$4,AG$5,AG$6,AG$7),'SHIP CURVES'!$A$9:$AZ$9,0))</f>
        <v>-0</v>
      </c>
      <c r="AF309" s="351" t="n">
        <f aca="false">-Y309*INDEX(port_processing_fee,MATCH(AC309,PORTS!$H$626:$H$933,0),MATCH(AG$5,PORTS!$H$626:$Z$626,0))</f>
        <v>-0</v>
      </c>
      <c r="AG309" s="352" t="n">
        <f aca="false">(((VLOOKUP(AC309,curvecalc,4,0))*IF(W309=0,0,AA309/W309)-INDEX(ship_curves,MATCH(AC309,'SHIP CURVES'!$A$9:$A$316,0),MATCH(CONCATENATE(AG$4,AG$5,AG$6,AG$7),'SHIP CURVES'!$A$9:$Z$9,0))-INDEX(terminal_curves,MATCH(AC309,'TERMINAL CURVES'!$A$4:$A$313,0),MATCH(AG$5,'TERMINAL CURVES'!$A$4:$N$4,0))*IF(W309=0,0,Y309/W309))-(AE$8)*((AE$7-$N$5)-(INDEX(ship_curves,MATCH(AC309,'SHIP CURVES'!$A$9:$A$316,0),MATCH(CONCATENATE(AG$4,AG$5,AG$6,AG$7),'SHIP CURVES'!$A$9:$Z$9,0))-INDEX(ship_curves,MATCH(AC309,'SHIP CURVES'!$A$9:$A$316,0),MATCH(CONCATENATE(AG$4,AE$6,AG$6,AG$7),'SHIP CURVES'!$A$9:$Z$9,0)))-(INDEX(terminal_curves,MATCH(AC309,'TERMINAL CURVES'!$A$4:$A$313,0),MATCH(AG$5,'TERMINAL CURVES'!$A$4:$N$4,0))-INDEX(terminal_curves,MATCH(AC309,'TERMINAL CURVES'!$A$4:$A$313,0),MATCH(AE$6,'TERMINAL CURVES'!$A$4:$N$4,0)))*IF(W309=0,0,Y309/W309)))*-W309</f>
        <v>0</v>
      </c>
      <c r="AH309" s="356" t="n">
        <f aca="false">SUM(AE309:AG309)</f>
        <v>0</v>
      </c>
      <c r="AI309" s="357" t="n">
        <f aca="false">(-Y309/((HLOOKUP(AG$5,port_specs,2,0)/(365.25))*(AC310-AC309)))*(INDEX(fixed_capacity_charge,MATCH(AC309,PORTS!$H$11:$H$317,0),MATCH(AG$5,PORTS!$H$11:$N$11,0))+INDEX(variable_om_charge,MATCH(AC309,PORTS!$H$318:$H$625,0),MATCH(AG$5,PORTS!$H$318:$N$318,0)))</f>
        <v>-0</v>
      </c>
      <c r="AJ309" s="343" t="n">
        <f aca="false">+AI309+AH309</f>
        <v>0</v>
      </c>
      <c r="AK309" s="355" t="n">
        <f aca="false">+AJ309+AD309</f>
        <v>0</v>
      </c>
      <c r="AM309" s="346" t="n">
        <f aca="false">+DATE(YEAR(AM308),MONTH(AM308)+1,1)</f>
        <v>45566</v>
      </c>
      <c r="AN309" s="327" t="n">
        <f aca="false">+AP309/(1-HLOOKUP(AO$6,SHIPS,7,0)*INDEX(LADEN_VOYAGE_DAYS,MATCH(CONCATENATE(AO$4,AO$5),LADEN_VOYAGE_ROUTES,0),MATCH(AO$6,LADEN_VOYAGE_SHIPS,0)))</f>
        <v>0</v>
      </c>
      <c r="AO309" s="347" t="n">
        <f aca="false">+AP309-AN309</f>
        <v>0</v>
      </c>
      <c r="AP309" s="348" t="n">
        <f aca="false">+IF(AND(AO$8&lt;=AM309,AO$9&gt;=AM309),+MIN($B309-SUMIF($H$17:AO$17,AP$17,$H309:AO309),((INDEX(ROUTE_PER_DAY_BY_SHIP,MATCH(CONCATENATE(AO$4,AO$5,AO$7),ROUTE_PER_DAY_ROUTES,0),MATCH(AO$6,ROUTE_PER_DAY_SHIPS,0))*(AM310-AM309))-(INDEX(ROUTE_PER_DAY_BY_SHIP,MATCH(CONCATENATE(AO$4,AO$5,AO$7),ROUTE_PER_DAY_ROUTES,0),MATCH(AO$6,ROUTE_PER_DAY_SHIPS,0))*(AM310-AM309))*HLOOKUP(AO$6,SHIPS,7,0)*INDEX(LADEN_VOYAGE_DAYS,MATCH(CONCATENATE(AO$4,AO$5,AO$7),LADEN_VOYAGE_ROUTES,0),MATCH(AO$6,LADEN_VOYAGE_SHIPS,0)))),0)</f>
        <v>0</v>
      </c>
      <c r="AQ309" s="349" t="n">
        <f aca="false">-(AP309)*PORTS!$I$6</f>
        <v>-0</v>
      </c>
      <c r="AR309" s="327" t="n">
        <f aca="false">+AP309+AQ309</f>
        <v>0</v>
      </c>
      <c r="AS309" s="333"/>
      <c r="AT309" s="346" t="n">
        <f aca="false">+DATE(YEAR(AT308),MONTH(AT308)+1,1)</f>
        <v>45566</v>
      </c>
      <c r="AU309" s="343" t="n">
        <f aca="false">+AR309*(VLOOKUP(AT309,CURVECALC!$C$6:$J$312,4,0)+AV$5)</f>
        <v>0</v>
      </c>
      <c r="AV309" s="350" t="n">
        <f aca="false">-AN309*INDEX(ship_curves,MATCH(AT309,'SHIP CURVES'!$A$9:$A$316,0),MATCH(CONCATENATE(AX$4,AX$5,AX$6,AX$7),'SHIP CURVES'!$A$9:$AZ$9,0))</f>
        <v>-0</v>
      </c>
      <c r="AW309" s="351" t="n">
        <f aca="false">-AP309*INDEX(port_processing_fee,MATCH(AT309,PORTS!$H$626:$H$933,0),MATCH(AX$5,PORTS!$H$626:$Z$626,0))</f>
        <v>-0</v>
      </c>
      <c r="AX309" s="352" t="n">
        <f aca="false">(((VLOOKUP(AT309,curvecalc,4,0))*IF(AN309=0,0,AR309/AN309)-INDEX(ship_curves,MATCH(AT309,'SHIP CURVES'!$A$9:$A$316,0),MATCH(CONCATENATE(AX$4,AX$5,AX$6,AX$7),'SHIP CURVES'!$A$9:$Z$9,0))-INDEX(terminal_curves,MATCH(AT309,'TERMINAL CURVES'!$A$4:$A$313,0),MATCH(AX$5,'TERMINAL CURVES'!$A$4:$N$4,0))*IF(AN309=0,0,AP309/AN309))-(AV$8)*((AV$7-$N$5)-(INDEX(ship_curves,MATCH(AT309,'SHIP CURVES'!$A$9:$A$316,0),MATCH(CONCATENATE(AX$4,AX$5,AX$6,AX$7),'SHIP CURVES'!$A$9:$Z$9,0))-INDEX(ship_curves,MATCH(AT309,'SHIP CURVES'!$A$9:$A$316,0),MATCH(CONCATENATE(AX$4,AV$6,AX$6,AX$7),'SHIP CURVES'!$A$9:$Z$9,0)))-(INDEX(terminal_curves,MATCH(AT309,'TERMINAL CURVES'!$A$4:$A$313,0),MATCH(AX$5,'TERMINAL CURVES'!$A$4:$N$4,0))-INDEX(terminal_curves,MATCH(AT309,'TERMINAL CURVES'!$A$4:$A$313,0),MATCH(AV$6,'TERMINAL CURVES'!$A$4:$N$4,0)))*IF(AN309=0,0,AP309/AN309)))*-AN309</f>
        <v>0</v>
      </c>
      <c r="AY309" s="356" t="n">
        <f aca="false">SUM(AV309:AX309)</f>
        <v>0</v>
      </c>
      <c r="AZ309" s="357" t="n">
        <f aca="false">(-AP309/((HLOOKUP(AX$5,port_specs,2,0)/(365.25))*(AT310-AT309)))*(INDEX(fixed_capacity_charge,MATCH(AT309,PORTS!$H$11:$H$317,0),MATCH(AX$5,PORTS!$H$11:$N$11,0))+INDEX(variable_om_charge,MATCH(AT309,PORTS!$H$318:$H$625,0),MATCH(AX$5,PORTS!$H$318:$N$318,0)))</f>
        <v>-0</v>
      </c>
      <c r="BA309" s="343" t="n">
        <f aca="false">+AZ309+AY309</f>
        <v>0</v>
      </c>
      <c r="BB309" s="355" t="n">
        <f aca="false">+BA309+AU309</f>
        <v>0</v>
      </c>
      <c r="BC309" s="99"/>
      <c r="BD309" s="357" t="n">
        <f aca="false">+PORTS!I303+PORTS!I611</f>
        <v>0</v>
      </c>
    </row>
    <row r="310" customFormat="false" ht="12.75" hidden="false" customHeight="false" outlineLevel="0" collapsed="false">
      <c r="A310" s="346" t="n">
        <f aca="false">+DATE(YEAR(A309),MONTH(A309)+1,1)</f>
        <v>45597</v>
      </c>
      <c r="B310" s="327" t="n">
        <f aca="false">+IF(AND($A310&gt;=$C$8,$A310&lt;=$C$9),1,0)*PORTS!$I$5/(365.25)*(A311-A310)</f>
        <v>0</v>
      </c>
      <c r="C310" s="328" t="n">
        <f aca="false">+B310-(SUMIF($F$17:$IV$17,$H$17,$F310:$IV310))</f>
        <v>0</v>
      </c>
      <c r="D310" s="0" t="n">
        <f aca="false">+YEAR(E310)</f>
        <v>2024</v>
      </c>
      <c r="E310" s="346" t="n">
        <f aca="false">+DATE(YEAR(E309),MONTH(E309)+1,1)</f>
        <v>45597</v>
      </c>
      <c r="F310" s="327" t="n">
        <f aca="false">+IF(AND(G$8&lt;=E310,G$9&gt;=E310),INDEX(ROUTE_PER_DAY_BY_SHIP,MATCH(CONCATENATE(G$4,G$5,G$7),ROUTE_PER_DAY_ROUTES,0),MATCH(G$6,ROUTE_PER_DAY_SHIPS,0))*(E311-E310),0)</f>
        <v>0</v>
      </c>
      <c r="G310" s="347" t="n">
        <f aca="false">-F310*HLOOKUP(G$6,SHIPS,7,0)*INDEX(LADEN_VOYAGE_DAYS,MATCH(CONCATENATE(G$4,G$5,G$7),LADEN_VOYAGE_ROUTES,0),MATCH(G$6,LADEN_VOYAGE_SHIPS,0))</f>
        <v>-0</v>
      </c>
      <c r="H310" s="348" t="n">
        <f aca="false">SUM(F310:G310)</f>
        <v>0</v>
      </c>
      <c r="I310" s="349" t="n">
        <f aca="false">-(H310)*HLOOKUP(G$5,TERMINAL_CHARGES,3,0)</f>
        <v>-0</v>
      </c>
      <c r="J310" s="327" t="n">
        <f aca="false">+H310+I310</f>
        <v>0</v>
      </c>
      <c r="K310" s="333"/>
      <c r="L310" s="346" t="n">
        <f aca="false">+DATE(YEAR(L309),MONTH(L309)+1,1)</f>
        <v>45597</v>
      </c>
      <c r="M310" s="334" t="n">
        <f aca="false">+J310*(VLOOKUP(L310,CURVECALC!$C$6:$J$312,4,0)+N$5)</f>
        <v>0</v>
      </c>
      <c r="N310" s="350" t="n">
        <f aca="false">-F310*INDEX(ship_curves,MATCH(L310,'SHIP CURVES'!$A$9:$A$316,0),MATCH(CONCATENATE(P$4,P$5,P$6,P$7),'SHIP CURVES'!$A$9:$AZ$9,0))</f>
        <v>-0</v>
      </c>
      <c r="O310" s="351" t="n">
        <f aca="false">-H310*INDEX(port_processing_fee,MATCH(L310,PORTS!$H$626:$H$933,0),MATCH(P$5,PORTS!$H$626:$Z$626,0))</f>
        <v>-0</v>
      </c>
      <c r="P310" s="352" t="n">
        <f aca="false">(((VLOOKUP(L310,curvecalc,4,0))*IF(F310=0,0,J310/F310)-INDEX(ship_curves,MATCH(L310,'SHIP CURVES'!$A$9:$A$316,0),MATCH(CONCATENATE(P$4,P$5,P$6,P$7),'SHIP CURVES'!$A$9:$Z$9,0))-INDEX(terminal_curves,MATCH(L310,'TERMINAL CURVES'!$A$4:$A$313,0),MATCH(P$5,'TERMINAL CURVES'!$A$4:$N$4,0))*IF(F310=0,0,H310/F310))-(N$8)*((N$7-$N$5)-(INDEX(ship_curves,MATCH(L310,'SHIP CURVES'!$A$9:$A$316,0),MATCH(CONCATENATE(P$4,P$5,P$6,P$7),'SHIP CURVES'!$A$9:$Z$9,0))-INDEX(ship_curves,MATCH(L310,'SHIP CURVES'!$A$9:$A$316,0),MATCH(CONCATENATE(P$4,N$6,P$6,P$7),'SHIP CURVES'!$A$9:$Z$9,0)))-(INDEX(terminal_curves,MATCH(L310,'TERMINAL CURVES'!$A$4:$A$313,0),MATCH(P$5,'TERMINAL CURVES'!$A$4:$N$4,0))-INDEX(terminal_curves,MATCH(L310,'TERMINAL CURVES'!$A$4:$A$313,0),MATCH(N$6,'TERMINAL CURVES'!$A$4:$N$4,0)))*IF(F310=0,0,H310/F310)))*-F310</f>
        <v>0</v>
      </c>
      <c r="Q310" s="353" t="n">
        <f aca="false">SUM(N310:P310)</f>
        <v>0</v>
      </c>
      <c r="R310" s="357" t="n">
        <f aca="false">(-H310/((HLOOKUP(P$5,port_specs,2,0)/(365.25))*(L311-L310)))*(INDEX(fixed_capacity_charge,MATCH(L310,PORTS!$H$11:$H$317,0),MATCH(P$5,PORTS!$H$11:$N$11,0))+INDEX(variable_om_charge,MATCH(L310,PORTS!$H$318:$H$625,0),MATCH(P$5,PORTS!$H$318:$N$318,0)))</f>
        <v>-0</v>
      </c>
      <c r="S310" s="343" t="n">
        <f aca="false">+R310+Q310</f>
        <v>0</v>
      </c>
      <c r="T310" s="355" t="n">
        <f aca="false">+S310+M310</f>
        <v>0</v>
      </c>
      <c r="V310" s="346" t="n">
        <f aca="false">+DATE(YEAR(V309),MONTH(V309)+1,1)</f>
        <v>45597</v>
      </c>
      <c r="W310" s="327" t="n">
        <f aca="false">+Y310/(1-HLOOKUP(X$6,SHIPS,7,0)*INDEX(LADEN_VOYAGE_DAYS,MATCH(CONCATENATE(X$4,X$5),LADEN_VOYAGE_ROUTES,0),MATCH(X$6,LADEN_VOYAGE_SHIPS,0)))</f>
        <v>0</v>
      </c>
      <c r="X310" s="347" t="n">
        <f aca="false">+Y310-W310</f>
        <v>0</v>
      </c>
      <c r="Y310" s="348" t="n">
        <f aca="false">+IF(AND(X$8&lt;=V310,X$9&gt;=V310),+MIN($B310-SUMIF($H$17:X$17,Y$17,$H310:X310),((INDEX(ROUTE_PER_DAY_BY_SHIP,MATCH(CONCATENATE(X$4,X$5,X$7),ROUTE_PER_DAY_ROUTES,0),MATCH(X$6,ROUTE_PER_DAY_SHIPS,0))*(V311-V310))-(INDEX(ROUTE_PER_DAY_BY_SHIP,MATCH(CONCATENATE(X$4,X$5,X$7),ROUTE_PER_DAY_ROUTES,0),MATCH(X$6,ROUTE_PER_DAY_SHIPS,0))*(V311-V310))*HLOOKUP(X$6,SHIPS,7,0)*INDEX(LADEN_VOYAGE_DAYS,MATCH(CONCATENATE(X$4,X$5,X$7),LADEN_VOYAGE_ROUTES,0),MATCH(X$6,LADEN_VOYAGE_SHIPS,0)))),0)</f>
        <v>0</v>
      </c>
      <c r="Z310" s="349" t="n">
        <f aca="false">-(Y310)*HLOOKUP(X$5,TERMINAL_CHARGES,3,0)</f>
        <v>-0</v>
      </c>
      <c r="AA310" s="327" t="n">
        <f aca="false">+Y310+Z310</f>
        <v>0</v>
      </c>
      <c r="AB310" s="333"/>
      <c r="AC310" s="346" t="n">
        <f aca="false">+DATE(YEAR(AC309),MONTH(AC309)+1,1)</f>
        <v>45597</v>
      </c>
      <c r="AD310" s="343" t="n">
        <f aca="false">+AA310*(VLOOKUP(AC310,CURVECALC!$C$6:$J$312,4,0)+AE$5)</f>
        <v>0</v>
      </c>
      <c r="AE310" s="350" t="n">
        <f aca="false">-W310*INDEX(ship_curves,MATCH(AC310,'SHIP CURVES'!$A$9:$A$316,0),MATCH(CONCATENATE(AG$4,AG$5,AG$6,AG$7),'SHIP CURVES'!$A$9:$AZ$9,0))</f>
        <v>-0</v>
      </c>
      <c r="AF310" s="351" t="n">
        <f aca="false">-Y310*INDEX(port_processing_fee,MATCH(AC310,PORTS!$H$626:$H$933,0),MATCH(AG$5,PORTS!$H$626:$Z$626,0))</f>
        <v>-0</v>
      </c>
      <c r="AG310" s="352" t="n">
        <f aca="false">(((VLOOKUP(AC310,curvecalc,4,0))*IF(W310=0,0,AA310/W310)-INDEX(ship_curves,MATCH(AC310,'SHIP CURVES'!$A$9:$A$316,0),MATCH(CONCATENATE(AG$4,AG$5,AG$6,AG$7),'SHIP CURVES'!$A$9:$Z$9,0))-INDEX(terminal_curves,MATCH(AC310,'TERMINAL CURVES'!$A$4:$A$313,0),MATCH(AG$5,'TERMINAL CURVES'!$A$4:$N$4,0))*IF(W310=0,0,Y310/W310))-(AE$8)*((AE$7-$N$5)-(INDEX(ship_curves,MATCH(AC310,'SHIP CURVES'!$A$9:$A$316,0),MATCH(CONCATENATE(AG$4,AG$5,AG$6,AG$7),'SHIP CURVES'!$A$9:$Z$9,0))-INDEX(ship_curves,MATCH(AC310,'SHIP CURVES'!$A$9:$A$316,0),MATCH(CONCATENATE(AG$4,AE$6,AG$6,AG$7),'SHIP CURVES'!$A$9:$Z$9,0)))-(INDEX(terminal_curves,MATCH(AC310,'TERMINAL CURVES'!$A$4:$A$313,0),MATCH(AG$5,'TERMINAL CURVES'!$A$4:$N$4,0))-INDEX(terminal_curves,MATCH(AC310,'TERMINAL CURVES'!$A$4:$A$313,0),MATCH(AE$6,'TERMINAL CURVES'!$A$4:$N$4,0)))*IF(W310=0,0,Y310/W310)))*-W310</f>
        <v>0</v>
      </c>
      <c r="AH310" s="356" t="n">
        <f aca="false">SUM(AE310:AG310)</f>
        <v>0</v>
      </c>
      <c r="AI310" s="357" t="n">
        <f aca="false">(-Y310/((HLOOKUP(AG$5,port_specs,2,0)/(365.25))*(AC311-AC310)))*(INDEX(fixed_capacity_charge,MATCH(AC310,PORTS!$H$11:$H$317,0),MATCH(AG$5,PORTS!$H$11:$N$11,0))+INDEX(variable_om_charge,MATCH(AC310,PORTS!$H$318:$H$625,0),MATCH(AG$5,PORTS!$H$318:$N$318,0)))</f>
        <v>-0</v>
      </c>
      <c r="AJ310" s="343" t="n">
        <f aca="false">+AI310+AH310</f>
        <v>0</v>
      </c>
      <c r="AK310" s="355" t="n">
        <f aca="false">+AJ310+AD310</f>
        <v>0</v>
      </c>
      <c r="AM310" s="346" t="n">
        <f aca="false">+DATE(YEAR(AM309),MONTH(AM309)+1,1)</f>
        <v>45597</v>
      </c>
      <c r="AN310" s="327" t="n">
        <f aca="false">+AP310/(1-HLOOKUP(AO$6,SHIPS,7,0)*INDEX(LADEN_VOYAGE_DAYS,MATCH(CONCATENATE(AO$4,AO$5),LADEN_VOYAGE_ROUTES,0),MATCH(AO$6,LADEN_VOYAGE_SHIPS,0)))</f>
        <v>0</v>
      </c>
      <c r="AO310" s="347" t="n">
        <f aca="false">+AP310-AN310</f>
        <v>0</v>
      </c>
      <c r="AP310" s="348" t="n">
        <f aca="false">+IF(AND(AO$8&lt;=AM310,AO$9&gt;=AM310),+MIN($B310-SUMIF($H$17:AO$17,AP$17,$H310:AO310),((INDEX(ROUTE_PER_DAY_BY_SHIP,MATCH(CONCATENATE(AO$4,AO$5,AO$7),ROUTE_PER_DAY_ROUTES,0),MATCH(AO$6,ROUTE_PER_DAY_SHIPS,0))*(AM311-AM310))-(INDEX(ROUTE_PER_DAY_BY_SHIP,MATCH(CONCATENATE(AO$4,AO$5,AO$7),ROUTE_PER_DAY_ROUTES,0),MATCH(AO$6,ROUTE_PER_DAY_SHIPS,0))*(AM311-AM310))*HLOOKUP(AO$6,SHIPS,7,0)*INDEX(LADEN_VOYAGE_DAYS,MATCH(CONCATENATE(AO$4,AO$5,AO$7),LADEN_VOYAGE_ROUTES,0),MATCH(AO$6,LADEN_VOYAGE_SHIPS,0)))),0)</f>
        <v>0</v>
      </c>
      <c r="AQ310" s="349" t="n">
        <f aca="false">-(AP310)*PORTS!$I$6</f>
        <v>-0</v>
      </c>
      <c r="AR310" s="327" t="n">
        <f aca="false">+AP310+AQ310</f>
        <v>0</v>
      </c>
      <c r="AS310" s="333"/>
      <c r="AT310" s="346" t="n">
        <f aca="false">+DATE(YEAR(AT309),MONTH(AT309)+1,1)</f>
        <v>45597</v>
      </c>
      <c r="AU310" s="343" t="n">
        <f aca="false">+AR310*(VLOOKUP(AT310,CURVECALC!$C$6:$J$312,4,0)+AV$5)</f>
        <v>0</v>
      </c>
      <c r="AV310" s="350" t="n">
        <f aca="false">-AN310*INDEX(ship_curves,MATCH(AT310,'SHIP CURVES'!$A$9:$A$316,0),MATCH(CONCATENATE(AX$4,AX$5,AX$6,AX$7),'SHIP CURVES'!$A$9:$AZ$9,0))</f>
        <v>-0</v>
      </c>
      <c r="AW310" s="351" t="n">
        <f aca="false">-AP310*INDEX(port_processing_fee,MATCH(AT310,PORTS!$H$626:$H$933,0),MATCH(AX$5,PORTS!$H$626:$Z$626,0))</f>
        <v>-0</v>
      </c>
      <c r="AX310" s="352" t="n">
        <f aca="false">(((VLOOKUP(AT310,curvecalc,4,0))*IF(AN310=0,0,AR310/AN310)-INDEX(ship_curves,MATCH(AT310,'SHIP CURVES'!$A$9:$A$316,0),MATCH(CONCATENATE(AX$4,AX$5,AX$6,AX$7),'SHIP CURVES'!$A$9:$Z$9,0))-INDEX(terminal_curves,MATCH(AT310,'TERMINAL CURVES'!$A$4:$A$313,0),MATCH(AX$5,'TERMINAL CURVES'!$A$4:$N$4,0))*IF(AN310=0,0,AP310/AN310))-(AV$8)*((AV$7-$N$5)-(INDEX(ship_curves,MATCH(AT310,'SHIP CURVES'!$A$9:$A$316,0),MATCH(CONCATENATE(AX$4,AX$5,AX$6,AX$7),'SHIP CURVES'!$A$9:$Z$9,0))-INDEX(ship_curves,MATCH(AT310,'SHIP CURVES'!$A$9:$A$316,0),MATCH(CONCATENATE(AX$4,AV$6,AX$6,AX$7),'SHIP CURVES'!$A$9:$Z$9,0)))-(INDEX(terminal_curves,MATCH(AT310,'TERMINAL CURVES'!$A$4:$A$313,0),MATCH(AX$5,'TERMINAL CURVES'!$A$4:$N$4,0))-INDEX(terminal_curves,MATCH(AT310,'TERMINAL CURVES'!$A$4:$A$313,0),MATCH(AV$6,'TERMINAL CURVES'!$A$4:$N$4,0)))*IF(AN310=0,0,AP310/AN310)))*-AN310</f>
        <v>0</v>
      </c>
      <c r="AY310" s="356" t="n">
        <f aca="false">SUM(AV310:AX310)</f>
        <v>0</v>
      </c>
      <c r="AZ310" s="357" t="n">
        <f aca="false">(-AP310/((HLOOKUP(AX$5,port_specs,2,0)/(365.25))*(AT311-AT310)))*(INDEX(fixed_capacity_charge,MATCH(AT310,PORTS!$H$11:$H$317,0),MATCH(AX$5,PORTS!$H$11:$N$11,0))+INDEX(variable_om_charge,MATCH(AT310,PORTS!$H$318:$H$625,0),MATCH(AX$5,PORTS!$H$318:$N$318,0)))</f>
        <v>-0</v>
      </c>
      <c r="BA310" s="343" t="n">
        <f aca="false">+AZ310+AY310</f>
        <v>0</v>
      </c>
      <c r="BB310" s="355" t="n">
        <f aca="false">+BA310+AU310</f>
        <v>0</v>
      </c>
      <c r="BC310" s="99"/>
      <c r="BD310" s="357" t="n">
        <f aca="false">+PORTS!I304+PORTS!I612</f>
        <v>0</v>
      </c>
    </row>
    <row r="311" customFormat="false" ht="12.75" hidden="false" customHeight="false" outlineLevel="0" collapsed="false">
      <c r="A311" s="346" t="n">
        <f aca="false">+DATE(YEAR(A310),MONTH(A310)+1,1)</f>
        <v>45627</v>
      </c>
      <c r="B311" s="327" t="n">
        <f aca="false">+IF(AND($A311&gt;=$C$8,$A311&lt;=$C$9),1,0)*PORTS!$I$5/(365.25)*(A312-A311)</f>
        <v>0</v>
      </c>
      <c r="C311" s="328" t="n">
        <f aca="false">+B311-(SUMIF($F$17:$IV$17,$H$17,$F311:$IV311))</f>
        <v>0</v>
      </c>
      <c r="D311" s="0" t="n">
        <f aca="false">+YEAR(E311)</f>
        <v>2024</v>
      </c>
      <c r="E311" s="346" t="n">
        <f aca="false">+DATE(YEAR(E310),MONTH(E310)+1,1)</f>
        <v>45627</v>
      </c>
      <c r="F311" s="327" t="n">
        <f aca="false">+IF(AND(G$8&lt;=E311,G$9&gt;=E311),INDEX(ROUTE_PER_DAY_BY_SHIP,MATCH(CONCATENATE(G$4,G$5,G$7),ROUTE_PER_DAY_ROUTES,0),MATCH(G$6,ROUTE_PER_DAY_SHIPS,0))*(E312-E311),0)</f>
        <v>0</v>
      </c>
      <c r="G311" s="347" t="n">
        <f aca="false">-F311*HLOOKUP(G$6,SHIPS,7,0)*INDEX(LADEN_VOYAGE_DAYS,MATCH(CONCATENATE(G$4,G$5,G$7),LADEN_VOYAGE_ROUTES,0),MATCH(G$6,LADEN_VOYAGE_SHIPS,0))</f>
        <v>-0</v>
      </c>
      <c r="H311" s="348" t="n">
        <f aca="false">SUM(F311:G311)</f>
        <v>0</v>
      </c>
      <c r="I311" s="349" t="n">
        <f aca="false">-(H311)*HLOOKUP(G$5,TERMINAL_CHARGES,3,0)</f>
        <v>-0</v>
      </c>
      <c r="J311" s="327" t="n">
        <f aca="false">+H311+I311</f>
        <v>0</v>
      </c>
      <c r="K311" s="333"/>
      <c r="L311" s="346" t="n">
        <f aca="false">+DATE(YEAR(L310),MONTH(L310)+1,1)</f>
        <v>45627</v>
      </c>
      <c r="M311" s="334" t="n">
        <f aca="false">+J311*(VLOOKUP(L311,CURVECALC!$C$6:$J$312,4,0)+N$5)</f>
        <v>0</v>
      </c>
      <c r="N311" s="350" t="n">
        <f aca="false">-F311*INDEX(ship_curves,MATCH(L311,'SHIP CURVES'!$A$9:$A$316,0),MATCH(CONCATENATE(P$4,P$5,P$6,P$7),'SHIP CURVES'!$A$9:$AZ$9,0))</f>
        <v>-0</v>
      </c>
      <c r="O311" s="351" t="n">
        <f aca="false">-H311*INDEX(port_processing_fee,MATCH(L311,PORTS!$H$626:$H$933,0),MATCH(P$5,PORTS!$H$626:$Z$626,0))</f>
        <v>-0</v>
      </c>
      <c r="P311" s="352" t="n">
        <f aca="false">(((VLOOKUP(L311,curvecalc,4,0))*IF(F311=0,0,J311/F311)-INDEX(ship_curves,MATCH(L311,'SHIP CURVES'!$A$9:$A$316,0),MATCH(CONCATENATE(P$4,P$5,P$6,P$7),'SHIP CURVES'!$A$9:$Z$9,0))-INDEX(terminal_curves,MATCH(L311,'TERMINAL CURVES'!$A$4:$A$313,0),MATCH(P$5,'TERMINAL CURVES'!$A$4:$N$4,0))*IF(F311=0,0,H311/F311))-(N$8)*((N$7-$N$5)-(INDEX(ship_curves,MATCH(L311,'SHIP CURVES'!$A$9:$A$316,0),MATCH(CONCATENATE(P$4,P$5,P$6,P$7),'SHIP CURVES'!$A$9:$Z$9,0))-INDEX(ship_curves,MATCH(L311,'SHIP CURVES'!$A$9:$A$316,0),MATCH(CONCATENATE(P$4,N$6,P$6,P$7),'SHIP CURVES'!$A$9:$Z$9,0)))-(INDEX(terminal_curves,MATCH(L311,'TERMINAL CURVES'!$A$4:$A$313,0),MATCH(P$5,'TERMINAL CURVES'!$A$4:$N$4,0))-INDEX(terminal_curves,MATCH(L311,'TERMINAL CURVES'!$A$4:$A$313,0),MATCH(N$6,'TERMINAL CURVES'!$A$4:$N$4,0)))*IF(F311=0,0,H311/F311)))*-F311</f>
        <v>0</v>
      </c>
      <c r="Q311" s="353" t="n">
        <f aca="false">SUM(N311:P311)</f>
        <v>0</v>
      </c>
      <c r="R311" s="357" t="n">
        <f aca="false">(-H311/((HLOOKUP(P$5,port_specs,2,0)/(365.25))*(L312-L311)))*(INDEX(fixed_capacity_charge,MATCH(L311,PORTS!$H$11:$H$317,0),MATCH(P$5,PORTS!$H$11:$N$11,0))+INDEX(variable_om_charge,MATCH(L311,PORTS!$H$318:$H$625,0),MATCH(P$5,PORTS!$H$318:$N$318,0)))</f>
        <v>-0</v>
      </c>
      <c r="S311" s="343" t="n">
        <f aca="false">+R311+Q311</f>
        <v>0</v>
      </c>
      <c r="T311" s="355" t="n">
        <f aca="false">+S311+M311</f>
        <v>0</v>
      </c>
      <c r="V311" s="346" t="n">
        <f aca="false">+DATE(YEAR(V310),MONTH(V310)+1,1)</f>
        <v>45627</v>
      </c>
      <c r="W311" s="327" t="n">
        <f aca="false">+Y311/(1-HLOOKUP(X$6,SHIPS,7,0)*INDEX(LADEN_VOYAGE_DAYS,MATCH(CONCATENATE(X$4,X$5),LADEN_VOYAGE_ROUTES,0),MATCH(X$6,LADEN_VOYAGE_SHIPS,0)))</f>
        <v>0</v>
      </c>
      <c r="X311" s="347" t="n">
        <f aca="false">+Y311-W311</f>
        <v>0</v>
      </c>
      <c r="Y311" s="348" t="n">
        <f aca="false">+IF(AND(X$8&lt;=V311,X$9&gt;=V311),+MIN($B311-SUMIF($H$17:X$17,Y$17,$H311:X311),((INDEX(ROUTE_PER_DAY_BY_SHIP,MATCH(CONCATENATE(X$4,X$5,X$7),ROUTE_PER_DAY_ROUTES,0),MATCH(X$6,ROUTE_PER_DAY_SHIPS,0))*(V312-V311))-(INDEX(ROUTE_PER_DAY_BY_SHIP,MATCH(CONCATENATE(X$4,X$5,X$7),ROUTE_PER_DAY_ROUTES,0),MATCH(X$6,ROUTE_PER_DAY_SHIPS,0))*(V312-V311))*HLOOKUP(X$6,SHIPS,7,0)*INDEX(LADEN_VOYAGE_DAYS,MATCH(CONCATENATE(X$4,X$5,X$7),LADEN_VOYAGE_ROUTES,0),MATCH(X$6,LADEN_VOYAGE_SHIPS,0)))),0)</f>
        <v>0</v>
      </c>
      <c r="Z311" s="349" t="n">
        <f aca="false">-(Y311)*HLOOKUP(X$5,TERMINAL_CHARGES,3,0)</f>
        <v>-0</v>
      </c>
      <c r="AA311" s="327" t="n">
        <f aca="false">+Y311+Z311</f>
        <v>0</v>
      </c>
      <c r="AB311" s="333"/>
      <c r="AC311" s="346" t="n">
        <f aca="false">+DATE(YEAR(AC310),MONTH(AC310)+1,1)</f>
        <v>45627</v>
      </c>
      <c r="AD311" s="343" t="n">
        <f aca="false">+AA311*(VLOOKUP(AC311,CURVECALC!$C$6:$J$312,4,0)+AE$5)</f>
        <v>0</v>
      </c>
      <c r="AE311" s="350" t="n">
        <f aca="false">-W311*INDEX(ship_curves,MATCH(AC311,'SHIP CURVES'!$A$9:$A$316,0),MATCH(CONCATENATE(AG$4,AG$5,AG$6,AG$7),'SHIP CURVES'!$A$9:$AZ$9,0))</f>
        <v>-0</v>
      </c>
      <c r="AF311" s="351" t="n">
        <f aca="false">-Y311*INDEX(port_processing_fee,MATCH(AC311,PORTS!$H$626:$H$933,0),MATCH(AG$5,PORTS!$H$626:$Z$626,0))</f>
        <v>-0</v>
      </c>
      <c r="AG311" s="352" t="n">
        <f aca="false">(((VLOOKUP(AC311,curvecalc,4,0))*IF(W311=0,0,AA311/W311)-INDEX(ship_curves,MATCH(AC311,'SHIP CURVES'!$A$9:$A$316,0),MATCH(CONCATENATE(AG$4,AG$5,AG$6,AG$7),'SHIP CURVES'!$A$9:$Z$9,0))-INDEX(terminal_curves,MATCH(AC311,'TERMINAL CURVES'!$A$4:$A$313,0),MATCH(AG$5,'TERMINAL CURVES'!$A$4:$N$4,0))*IF(W311=0,0,Y311/W311))-(AE$8)*((AE$7-$N$5)-(INDEX(ship_curves,MATCH(AC311,'SHIP CURVES'!$A$9:$A$316,0),MATCH(CONCATENATE(AG$4,AG$5,AG$6,AG$7),'SHIP CURVES'!$A$9:$Z$9,0))-INDEX(ship_curves,MATCH(AC311,'SHIP CURVES'!$A$9:$A$316,0),MATCH(CONCATENATE(AG$4,AE$6,AG$6,AG$7),'SHIP CURVES'!$A$9:$Z$9,0)))-(INDEX(terminal_curves,MATCH(AC311,'TERMINAL CURVES'!$A$4:$A$313,0),MATCH(AG$5,'TERMINAL CURVES'!$A$4:$N$4,0))-INDEX(terminal_curves,MATCH(AC311,'TERMINAL CURVES'!$A$4:$A$313,0),MATCH(AE$6,'TERMINAL CURVES'!$A$4:$N$4,0)))*IF(W311=0,0,Y311/W311)))*-W311</f>
        <v>0</v>
      </c>
      <c r="AH311" s="356" t="n">
        <f aca="false">SUM(AE311:AG311)</f>
        <v>0</v>
      </c>
      <c r="AI311" s="357" t="n">
        <f aca="false">(-Y311/((HLOOKUP(AG$5,port_specs,2,0)/(365.25))*(AC312-AC311)))*(INDEX(fixed_capacity_charge,MATCH(AC311,PORTS!$H$11:$H$317,0),MATCH(AG$5,PORTS!$H$11:$N$11,0))+INDEX(variable_om_charge,MATCH(AC311,PORTS!$H$318:$H$625,0),MATCH(AG$5,PORTS!$H$318:$N$318,0)))</f>
        <v>-0</v>
      </c>
      <c r="AJ311" s="343" t="n">
        <f aca="false">+AI311+AH311</f>
        <v>0</v>
      </c>
      <c r="AK311" s="355" t="n">
        <f aca="false">+AJ311+AD311</f>
        <v>0</v>
      </c>
      <c r="AM311" s="346" t="n">
        <f aca="false">+DATE(YEAR(AM310),MONTH(AM310)+1,1)</f>
        <v>45627</v>
      </c>
      <c r="AN311" s="327" t="n">
        <f aca="false">+AP311/(1-HLOOKUP(AO$6,SHIPS,7,0)*INDEX(LADEN_VOYAGE_DAYS,MATCH(CONCATENATE(AO$4,AO$5),LADEN_VOYAGE_ROUTES,0),MATCH(AO$6,LADEN_VOYAGE_SHIPS,0)))</f>
        <v>0</v>
      </c>
      <c r="AO311" s="347" t="n">
        <f aca="false">+AP311-AN311</f>
        <v>0</v>
      </c>
      <c r="AP311" s="348" t="n">
        <f aca="false">+IF(AND(AO$8&lt;=AM311,AO$9&gt;=AM311),+MIN($B311-SUMIF($H$17:AO$17,AP$17,$H311:AO311),((INDEX(ROUTE_PER_DAY_BY_SHIP,MATCH(CONCATENATE(AO$4,AO$5,AO$7),ROUTE_PER_DAY_ROUTES,0),MATCH(AO$6,ROUTE_PER_DAY_SHIPS,0))*(AM312-AM311))-(INDEX(ROUTE_PER_DAY_BY_SHIP,MATCH(CONCATENATE(AO$4,AO$5,AO$7),ROUTE_PER_DAY_ROUTES,0),MATCH(AO$6,ROUTE_PER_DAY_SHIPS,0))*(AM312-AM311))*HLOOKUP(AO$6,SHIPS,7,0)*INDEX(LADEN_VOYAGE_DAYS,MATCH(CONCATENATE(AO$4,AO$5,AO$7),LADEN_VOYAGE_ROUTES,0),MATCH(AO$6,LADEN_VOYAGE_SHIPS,0)))),0)</f>
        <v>0</v>
      </c>
      <c r="AQ311" s="349" t="n">
        <f aca="false">-(AP311)*PORTS!$I$6</f>
        <v>-0</v>
      </c>
      <c r="AR311" s="327" t="n">
        <f aca="false">+AP311+AQ311</f>
        <v>0</v>
      </c>
      <c r="AS311" s="333"/>
      <c r="AT311" s="346" t="n">
        <f aca="false">+DATE(YEAR(AT310),MONTH(AT310)+1,1)</f>
        <v>45627</v>
      </c>
      <c r="AU311" s="343" t="n">
        <f aca="false">+AR311*(VLOOKUP(AT311,CURVECALC!$C$6:$J$312,4,0)+AV$5)</f>
        <v>0</v>
      </c>
      <c r="AV311" s="350" t="n">
        <f aca="false">-AN311*INDEX(ship_curves,MATCH(AT311,'SHIP CURVES'!$A$9:$A$316,0),MATCH(CONCATENATE(AX$4,AX$5,AX$6,AX$7),'SHIP CURVES'!$A$9:$AZ$9,0))</f>
        <v>-0</v>
      </c>
      <c r="AW311" s="351" t="n">
        <f aca="false">-AP311*INDEX(port_processing_fee,MATCH(AT311,PORTS!$H$626:$H$933,0),MATCH(AX$5,PORTS!$H$626:$Z$626,0))</f>
        <v>-0</v>
      </c>
      <c r="AX311" s="352" t="n">
        <f aca="false">(((VLOOKUP(AT311,curvecalc,4,0))*IF(AN311=0,0,AR311/AN311)-INDEX(ship_curves,MATCH(AT311,'SHIP CURVES'!$A$9:$A$316,0),MATCH(CONCATENATE(AX$4,AX$5,AX$6,AX$7),'SHIP CURVES'!$A$9:$Z$9,0))-INDEX(terminal_curves,MATCH(AT311,'TERMINAL CURVES'!$A$4:$A$313,0),MATCH(AX$5,'TERMINAL CURVES'!$A$4:$N$4,0))*IF(AN311=0,0,AP311/AN311))-(AV$8)*((AV$7-$N$5)-(INDEX(ship_curves,MATCH(AT311,'SHIP CURVES'!$A$9:$A$316,0),MATCH(CONCATENATE(AX$4,AX$5,AX$6,AX$7),'SHIP CURVES'!$A$9:$Z$9,0))-INDEX(ship_curves,MATCH(AT311,'SHIP CURVES'!$A$9:$A$316,0),MATCH(CONCATENATE(AX$4,AV$6,AX$6,AX$7),'SHIP CURVES'!$A$9:$Z$9,0)))-(INDEX(terminal_curves,MATCH(AT311,'TERMINAL CURVES'!$A$4:$A$313,0),MATCH(AX$5,'TERMINAL CURVES'!$A$4:$N$4,0))-INDEX(terminal_curves,MATCH(AT311,'TERMINAL CURVES'!$A$4:$A$313,0),MATCH(AV$6,'TERMINAL CURVES'!$A$4:$N$4,0)))*IF(AN311=0,0,AP311/AN311)))*-AN311</f>
        <v>0</v>
      </c>
      <c r="AY311" s="356" t="n">
        <f aca="false">SUM(AV311:AX311)</f>
        <v>0</v>
      </c>
      <c r="AZ311" s="357" t="n">
        <f aca="false">(-AP311/((HLOOKUP(AX$5,port_specs,2,0)/(365.25))*(AT312-AT311)))*(INDEX(fixed_capacity_charge,MATCH(AT311,PORTS!$H$11:$H$317,0),MATCH(AX$5,PORTS!$H$11:$N$11,0))+INDEX(variable_om_charge,MATCH(AT311,PORTS!$H$318:$H$625,0),MATCH(AX$5,PORTS!$H$318:$N$318,0)))</f>
        <v>-0</v>
      </c>
      <c r="BA311" s="343" t="n">
        <f aca="false">+AZ311+AY311</f>
        <v>0</v>
      </c>
      <c r="BB311" s="355" t="n">
        <f aca="false">+BA311+AU311</f>
        <v>0</v>
      </c>
      <c r="BC311" s="99"/>
      <c r="BD311" s="357" t="n">
        <f aca="false">+PORTS!I305+PORTS!I613</f>
        <v>0</v>
      </c>
    </row>
    <row r="312" customFormat="false" ht="12.75" hidden="false" customHeight="false" outlineLevel="0" collapsed="false">
      <c r="A312" s="346" t="n">
        <f aca="false">+DATE(YEAR(A311),MONTH(A311)+1,1)</f>
        <v>45658</v>
      </c>
      <c r="B312" s="327" t="n">
        <f aca="false">+IF(AND($A312&gt;=$C$8,$A312&lt;=$C$9),1,0)*PORTS!$I$5/(365.25)*(A313-A312)</f>
        <v>0</v>
      </c>
      <c r="C312" s="328" t="n">
        <f aca="false">+B312-(SUMIF($F$17:$IV$17,$H$17,$F312:$IV312))</f>
        <v>0</v>
      </c>
      <c r="D312" s="0" t="n">
        <f aca="false">+YEAR(E312)</f>
        <v>2025</v>
      </c>
      <c r="E312" s="346" t="n">
        <f aca="false">+DATE(YEAR(E311),MONTH(E311)+1,1)</f>
        <v>45658</v>
      </c>
      <c r="F312" s="327" t="n">
        <f aca="false">+IF(AND(G$8&lt;=E312,G$9&gt;=E312),INDEX(ROUTE_PER_DAY_BY_SHIP,MATCH(CONCATENATE(G$4,G$5,G$7),ROUTE_PER_DAY_ROUTES,0),MATCH(G$6,ROUTE_PER_DAY_SHIPS,0))*(E313-E312),0)</f>
        <v>0</v>
      </c>
      <c r="G312" s="347" t="n">
        <f aca="false">-F312*HLOOKUP(G$6,SHIPS,7,0)*INDEX(LADEN_VOYAGE_DAYS,MATCH(CONCATENATE(G$4,G$5,G$7),LADEN_VOYAGE_ROUTES,0),MATCH(G$6,LADEN_VOYAGE_SHIPS,0))</f>
        <v>-0</v>
      </c>
      <c r="H312" s="348" t="n">
        <f aca="false">SUM(F312:G312)</f>
        <v>0</v>
      </c>
      <c r="I312" s="349" t="n">
        <f aca="false">-(H312)*HLOOKUP(G$5,TERMINAL_CHARGES,3,0)</f>
        <v>-0</v>
      </c>
      <c r="J312" s="327" t="n">
        <f aca="false">+H312+I312</f>
        <v>0</v>
      </c>
      <c r="K312" s="333"/>
      <c r="L312" s="346" t="n">
        <f aca="false">+DATE(YEAR(L311),MONTH(L311)+1,1)</f>
        <v>45658</v>
      </c>
      <c r="M312" s="334" t="n">
        <f aca="false">+J312*(VLOOKUP(L312,CURVECALC!$C$6:$J$312,4,0)+N$5)</f>
        <v>0</v>
      </c>
      <c r="N312" s="350" t="n">
        <f aca="false">-F312*INDEX(ship_curves,MATCH(L312,'SHIP CURVES'!$A$9:$A$316,0),MATCH(CONCATENATE(P$4,P$5,P$6,P$7),'SHIP CURVES'!$A$9:$AZ$9,0))</f>
        <v>-0</v>
      </c>
      <c r="O312" s="351" t="n">
        <f aca="false">-H312*INDEX(port_processing_fee,MATCH(L312,PORTS!$H$626:$H$933,0),MATCH(P$5,PORTS!$H$626:$Z$626,0))</f>
        <v>-0</v>
      </c>
      <c r="P312" s="352" t="n">
        <f aca="false">(((VLOOKUP(L312,curvecalc,4,0))*IF(F312=0,0,J312/F312)-INDEX(ship_curves,MATCH(L312,'SHIP CURVES'!$A$9:$A$316,0),MATCH(CONCATENATE(P$4,P$5,P$6,P$7),'SHIP CURVES'!$A$9:$Z$9,0))-INDEX(terminal_curves,MATCH(L312,'TERMINAL CURVES'!$A$4:$A$313,0),MATCH(P$5,'TERMINAL CURVES'!$A$4:$N$4,0))*IF(F312=0,0,H312/F312))-(N$8)*((N$7-$N$5)-(INDEX(ship_curves,MATCH(L312,'SHIP CURVES'!$A$9:$A$316,0),MATCH(CONCATENATE(P$4,P$5,P$6,P$7),'SHIP CURVES'!$A$9:$Z$9,0))-INDEX(ship_curves,MATCH(L312,'SHIP CURVES'!$A$9:$A$316,0),MATCH(CONCATENATE(P$4,N$6,P$6,P$7),'SHIP CURVES'!$A$9:$Z$9,0)))-(INDEX(terminal_curves,MATCH(L312,'TERMINAL CURVES'!$A$4:$A$313,0),MATCH(P$5,'TERMINAL CURVES'!$A$4:$N$4,0))-INDEX(terminal_curves,MATCH(L312,'TERMINAL CURVES'!$A$4:$A$313,0),MATCH(N$6,'TERMINAL CURVES'!$A$4:$N$4,0)))*IF(F312=0,0,H312/F312)))*-F312</f>
        <v>0</v>
      </c>
      <c r="Q312" s="353" t="n">
        <f aca="false">SUM(N312:P312)</f>
        <v>0</v>
      </c>
      <c r="R312" s="357" t="n">
        <f aca="false">(-H312/((HLOOKUP(P$5,port_specs,2,0)/(365.25))*(L313-L312)))*(INDEX(fixed_capacity_charge,MATCH(L312,PORTS!$H$11:$H$317,0),MATCH(P$5,PORTS!$H$11:$N$11,0))+INDEX(variable_om_charge,MATCH(L312,PORTS!$H$318:$H$625,0),MATCH(P$5,PORTS!$H$318:$N$318,0)))</f>
        <v>-0</v>
      </c>
      <c r="S312" s="343" t="n">
        <f aca="false">+R312+Q312</f>
        <v>0</v>
      </c>
      <c r="T312" s="355" t="n">
        <f aca="false">+S312+M312</f>
        <v>0</v>
      </c>
      <c r="V312" s="346" t="n">
        <f aca="false">+DATE(YEAR(V311),MONTH(V311)+1,1)</f>
        <v>45658</v>
      </c>
      <c r="W312" s="327" t="n">
        <f aca="false">+Y312/(1-HLOOKUP(X$6,SHIPS,7,0)*INDEX(LADEN_VOYAGE_DAYS,MATCH(CONCATENATE(X$4,X$5),LADEN_VOYAGE_ROUTES,0),MATCH(X$6,LADEN_VOYAGE_SHIPS,0)))</f>
        <v>0</v>
      </c>
      <c r="X312" s="347" t="n">
        <f aca="false">+Y312-W312</f>
        <v>0</v>
      </c>
      <c r="Y312" s="348" t="n">
        <f aca="false">+IF(AND(X$8&lt;=V312,X$9&gt;=V312),+MIN($B312-SUMIF($H$17:X$17,Y$17,$H312:X312),((INDEX(ROUTE_PER_DAY_BY_SHIP,MATCH(CONCATENATE(X$4,X$5,X$7),ROUTE_PER_DAY_ROUTES,0),MATCH(X$6,ROUTE_PER_DAY_SHIPS,0))*(V313-V312))-(INDEX(ROUTE_PER_DAY_BY_SHIP,MATCH(CONCATENATE(X$4,X$5,X$7),ROUTE_PER_DAY_ROUTES,0),MATCH(X$6,ROUTE_PER_DAY_SHIPS,0))*(V313-V312))*HLOOKUP(X$6,SHIPS,7,0)*INDEX(LADEN_VOYAGE_DAYS,MATCH(CONCATENATE(X$4,X$5,X$7),LADEN_VOYAGE_ROUTES,0),MATCH(X$6,LADEN_VOYAGE_SHIPS,0)))),0)</f>
        <v>0</v>
      </c>
      <c r="Z312" s="349" t="n">
        <f aca="false">-(Y312)*HLOOKUP(X$5,TERMINAL_CHARGES,3,0)</f>
        <v>-0</v>
      </c>
      <c r="AA312" s="327" t="n">
        <f aca="false">+Y312+Z312</f>
        <v>0</v>
      </c>
      <c r="AB312" s="333"/>
      <c r="AC312" s="346" t="n">
        <f aca="false">+DATE(YEAR(AC311),MONTH(AC311)+1,1)</f>
        <v>45658</v>
      </c>
      <c r="AD312" s="343" t="n">
        <f aca="false">+AA312*(VLOOKUP(AC312,CURVECALC!$C$6:$J$312,4,0)+AE$5)</f>
        <v>0</v>
      </c>
      <c r="AE312" s="350" t="n">
        <f aca="false">-W312*INDEX(ship_curves,MATCH(AC312,'SHIP CURVES'!$A$9:$A$316,0),MATCH(CONCATENATE(AG$4,AG$5,AG$6,AG$7),'SHIP CURVES'!$A$9:$AZ$9,0))</f>
        <v>-0</v>
      </c>
      <c r="AF312" s="351" t="n">
        <f aca="false">-Y312*INDEX(port_processing_fee,MATCH(AC312,PORTS!$H$626:$H$933,0),MATCH(AG$5,PORTS!$H$626:$Z$626,0))</f>
        <v>-0</v>
      </c>
      <c r="AG312" s="352" t="n">
        <f aca="false">(((VLOOKUP(AC312,curvecalc,4,0))*IF(W312=0,0,AA312/W312)-INDEX(ship_curves,MATCH(AC312,'SHIP CURVES'!$A$9:$A$316,0),MATCH(CONCATENATE(AG$4,AG$5,AG$6,AG$7),'SHIP CURVES'!$A$9:$Z$9,0))-INDEX(terminal_curves,MATCH(AC312,'TERMINAL CURVES'!$A$4:$A$313,0),MATCH(AG$5,'TERMINAL CURVES'!$A$4:$N$4,0))*IF(W312=0,0,Y312/W312))-(AE$8)*((AE$7-$N$5)-(INDEX(ship_curves,MATCH(AC312,'SHIP CURVES'!$A$9:$A$316,0),MATCH(CONCATENATE(AG$4,AG$5,AG$6,AG$7),'SHIP CURVES'!$A$9:$Z$9,0))-INDEX(ship_curves,MATCH(AC312,'SHIP CURVES'!$A$9:$A$316,0),MATCH(CONCATENATE(AG$4,AE$6,AG$6,AG$7),'SHIP CURVES'!$A$9:$Z$9,0)))-(INDEX(terminal_curves,MATCH(AC312,'TERMINAL CURVES'!$A$4:$A$313,0),MATCH(AG$5,'TERMINAL CURVES'!$A$4:$N$4,0))-INDEX(terminal_curves,MATCH(AC312,'TERMINAL CURVES'!$A$4:$A$313,0),MATCH(AE$6,'TERMINAL CURVES'!$A$4:$N$4,0)))*IF(W312=0,0,Y312/W312)))*-W312</f>
        <v>0</v>
      </c>
      <c r="AH312" s="356" t="n">
        <f aca="false">SUM(AE312:AG312)</f>
        <v>0</v>
      </c>
      <c r="AI312" s="357" t="n">
        <f aca="false">(-Y312/((HLOOKUP(AG$5,port_specs,2,0)/(365.25))*(AC313-AC312)))*(INDEX(fixed_capacity_charge,MATCH(AC312,PORTS!$H$11:$H$317,0),MATCH(AG$5,PORTS!$H$11:$N$11,0))+INDEX(variable_om_charge,MATCH(AC312,PORTS!$H$318:$H$625,0),MATCH(AG$5,PORTS!$H$318:$N$318,0)))</f>
        <v>-0</v>
      </c>
      <c r="AJ312" s="343" t="n">
        <f aca="false">+AI312+AH312</f>
        <v>0</v>
      </c>
      <c r="AK312" s="355" t="n">
        <f aca="false">+AJ312+AD312</f>
        <v>0</v>
      </c>
      <c r="AM312" s="346" t="n">
        <f aca="false">+DATE(YEAR(AM311),MONTH(AM311)+1,1)</f>
        <v>45658</v>
      </c>
      <c r="AN312" s="327" t="n">
        <f aca="false">+AP312/(1-HLOOKUP(AO$6,SHIPS,7,0)*INDEX(LADEN_VOYAGE_DAYS,MATCH(CONCATENATE(AO$4,AO$5),LADEN_VOYAGE_ROUTES,0),MATCH(AO$6,LADEN_VOYAGE_SHIPS,0)))</f>
        <v>0</v>
      </c>
      <c r="AO312" s="347" t="n">
        <f aca="false">+AP312-AN312</f>
        <v>0</v>
      </c>
      <c r="AP312" s="348" t="n">
        <f aca="false">+IF(AND(AO$8&lt;=AM312,AO$9&gt;=AM312),+MIN($B312-SUMIF($H$17:AO$17,AP$17,$H312:AO312),((INDEX(ROUTE_PER_DAY_BY_SHIP,MATCH(CONCATENATE(AO$4,AO$5,AO$7),ROUTE_PER_DAY_ROUTES,0),MATCH(AO$6,ROUTE_PER_DAY_SHIPS,0))*(AM313-AM312))-(INDEX(ROUTE_PER_DAY_BY_SHIP,MATCH(CONCATENATE(AO$4,AO$5,AO$7),ROUTE_PER_DAY_ROUTES,0),MATCH(AO$6,ROUTE_PER_DAY_SHIPS,0))*(AM313-AM312))*HLOOKUP(AO$6,SHIPS,7,0)*INDEX(LADEN_VOYAGE_DAYS,MATCH(CONCATENATE(AO$4,AO$5,AO$7),LADEN_VOYAGE_ROUTES,0),MATCH(AO$6,LADEN_VOYAGE_SHIPS,0)))),0)</f>
        <v>0</v>
      </c>
      <c r="AQ312" s="349" t="n">
        <f aca="false">-(AP312)*PORTS!$I$6</f>
        <v>-0</v>
      </c>
      <c r="AR312" s="327" t="n">
        <f aca="false">+AP312+AQ312</f>
        <v>0</v>
      </c>
      <c r="AS312" s="333"/>
      <c r="AT312" s="346" t="n">
        <f aca="false">+DATE(YEAR(AT311),MONTH(AT311)+1,1)</f>
        <v>45658</v>
      </c>
      <c r="AU312" s="343" t="n">
        <f aca="false">+AR312*(VLOOKUP(AT312,CURVECALC!$C$6:$J$312,4,0)+AV$5)</f>
        <v>0</v>
      </c>
      <c r="AV312" s="350" t="n">
        <f aca="false">-AN312*INDEX(ship_curves,MATCH(AT312,'SHIP CURVES'!$A$9:$A$316,0),MATCH(CONCATENATE(AX$4,AX$5,AX$6,AX$7),'SHIP CURVES'!$A$9:$AZ$9,0))</f>
        <v>-0</v>
      </c>
      <c r="AW312" s="351" t="n">
        <f aca="false">-AP312*INDEX(port_processing_fee,MATCH(AT312,PORTS!$H$626:$H$933,0),MATCH(AX$5,PORTS!$H$626:$Z$626,0))</f>
        <v>-0</v>
      </c>
      <c r="AX312" s="352" t="n">
        <f aca="false">(((VLOOKUP(AT312,curvecalc,4,0))*IF(AN312=0,0,AR312/AN312)-INDEX(ship_curves,MATCH(AT312,'SHIP CURVES'!$A$9:$A$316,0),MATCH(CONCATENATE(AX$4,AX$5,AX$6,AX$7),'SHIP CURVES'!$A$9:$Z$9,0))-INDEX(terminal_curves,MATCH(AT312,'TERMINAL CURVES'!$A$4:$A$313,0),MATCH(AX$5,'TERMINAL CURVES'!$A$4:$N$4,0))*IF(AN312=0,0,AP312/AN312))-(AV$8)*((AV$7-$N$5)-(INDEX(ship_curves,MATCH(AT312,'SHIP CURVES'!$A$9:$A$316,0),MATCH(CONCATENATE(AX$4,AX$5,AX$6,AX$7),'SHIP CURVES'!$A$9:$Z$9,0))-INDEX(ship_curves,MATCH(AT312,'SHIP CURVES'!$A$9:$A$316,0),MATCH(CONCATENATE(AX$4,AV$6,AX$6,AX$7),'SHIP CURVES'!$A$9:$Z$9,0)))-(INDEX(terminal_curves,MATCH(AT312,'TERMINAL CURVES'!$A$4:$A$313,0),MATCH(AX$5,'TERMINAL CURVES'!$A$4:$N$4,0))-INDEX(terminal_curves,MATCH(AT312,'TERMINAL CURVES'!$A$4:$A$313,0),MATCH(AV$6,'TERMINAL CURVES'!$A$4:$N$4,0)))*IF(AN312=0,0,AP312/AN312)))*-AN312</f>
        <v>0</v>
      </c>
      <c r="AY312" s="356" t="n">
        <f aca="false">SUM(AV312:AX312)</f>
        <v>0</v>
      </c>
      <c r="AZ312" s="357" t="n">
        <f aca="false">(-AP312/((HLOOKUP(AX$5,port_specs,2,0)/(365.25))*(AT313-AT312)))*(INDEX(fixed_capacity_charge,MATCH(AT312,PORTS!$H$11:$H$317,0),MATCH(AX$5,PORTS!$H$11:$N$11,0))+INDEX(variable_om_charge,MATCH(AT312,PORTS!$H$318:$H$625,0),MATCH(AX$5,PORTS!$H$318:$N$318,0)))</f>
        <v>-0</v>
      </c>
      <c r="BA312" s="343" t="n">
        <f aca="false">+AZ312+AY312</f>
        <v>0</v>
      </c>
      <c r="BB312" s="355" t="n">
        <f aca="false">+BA312+AU312</f>
        <v>0</v>
      </c>
      <c r="BC312" s="99"/>
      <c r="BD312" s="357" t="n">
        <f aca="false">+PORTS!I306+PORTS!I614</f>
        <v>0</v>
      </c>
    </row>
    <row r="313" customFormat="false" ht="12.75" hidden="false" customHeight="false" outlineLevel="0" collapsed="false">
      <c r="A313" s="346" t="n">
        <f aca="false">+DATE(YEAR(A312),MONTH(A312)+1,1)</f>
        <v>45689</v>
      </c>
      <c r="B313" s="327" t="n">
        <f aca="false">+IF(AND($A313&gt;=$C$8,$A313&lt;=$C$9),1,0)*PORTS!$I$5/(365.25)*(A314-A313)</f>
        <v>0</v>
      </c>
      <c r="C313" s="328" t="n">
        <f aca="false">+B313-(SUMIF($F$17:$IV$17,$H$17,$F313:$IV313))</f>
        <v>0</v>
      </c>
      <c r="D313" s="0" t="n">
        <f aca="false">+YEAR(E313)</f>
        <v>2025</v>
      </c>
      <c r="E313" s="346" t="n">
        <f aca="false">+DATE(YEAR(E312),MONTH(E312)+1,1)</f>
        <v>45689</v>
      </c>
      <c r="F313" s="327" t="n">
        <f aca="false">+IF(AND(G$8&lt;=E313,G$9&gt;=E313),INDEX(ROUTE_PER_DAY_BY_SHIP,MATCH(CONCATENATE(G$4,G$5,G$7),ROUTE_PER_DAY_ROUTES,0),MATCH(G$6,ROUTE_PER_DAY_SHIPS,0))*(E314-E313),0)</f>
        <v>0</v>
      </c>
      <c r="G313" s="347" t="n">
        <f aca="false">-F313*HLOOKUP(G$6,SHIPS,7,0)*INDEX(LADEN_VOYAGE_DAYS,MATCH(CONCATENATE(G$4,G$5,G$7),LADEN_VOYAGE_ROUTES,0),MATCH(G$6,LADEN_VOYAGE_SHIPS,0))</f>
        <v>-0</v>
      </c>
      <c r="H313" s="348" t="n">
        <f aca="false">SUM(F313:G313)</f>
        <v>0</v>
      </c>
      <c r="I313" s="349" t="n">
        <f aca="false">-(H313)*HLOOKUP(G$5,TERMINAL_CHARGES,3,0)</f>
        <v>-0</v>
      </c>
      <c r="J313" s="327" t="n">
        <f aca="false">+H313+I313</f>
        <v>0</v>
      </c>
      <c r="K313" s="333"/>
      <c r="L313" s="346" t="n">
        <f aca="false">+DATE(YEAR(L312),MONTH(L312)+1,1)</f>
        <v>45689</v>
      </c>
      <c r="M313" s="334" t="n">
        <f aca="false">+J313*(VLOOKUP(L313,CURVECALC!$C$6:$J$312,4,0)+N$5)</f>
        <v>0</v>
      </c>
      <c r="N313" s="350" t="n">
        <f aca="false">-F313*INDEX(ship_curves,MATCH(L313,'SHIP CURVES'!$A$9:$A$316,0),MATCH(CONCATENATE(P$4,P$5,P$6,P$7),'SHIP CURVES'!$A$9:$AZ$9,0))</f>
        <v>-0</v>
      </c>
      <c r="O313" s="351" t="n">
        <f aca="false">-H313*INDEX(port_processing_fee,MATCH(L313,PORTS!$H$626:$H$933,0),MATCH(P$5,PORTS!$H$626:$Z$626,0))</f>
        <v>-0</v>
      </c>
      <c r="P313" s="352" t="n">
        <f aca="false">(((VLOOKUP(L313,curvecalc,4,0))*IF(F313=0,0,J313/F313)-INDEX(ship_curves,MATCH(L313,'SHIP CURVES'!$A$9:$A$316,0),MATCH(CONCATENATE(P$4,P$5,P$6,P$7),'SHIP CURVES'!$A$9:$Z$9,0))-INDEX(terminal_curves,MATCH(L313,'TERMINAL CURVES'!$A$4:$A$313,0),MATCH(P$5,'TERMINAL CURVES'!$A$4:$N$4,0))*IF(F313=0,0,H313/F313))-(N$8)*((N$7-$N$5)-(INDEX(ship_curves,MATCH(L313,'SHIP CURVES'!$A$9:$A$316,0),MATCH(CONCATENATE(P$4,P$5,P$6,P$7),'SHIP CURVES'!$A$9:$Z$9,0))-INDEX(ship_curves,MATCH(L313,'SHIP CURVES'!$A$9:$A$316,0),MATCH(CONCATENATE(P$4,N$6,P$6,P$7),'SHIP CURVES'!$A$9:$Z$9,0)))-(INDEX(terminal_curves,MATCH(L313,'TERMINAL CURVES'!$A$4:$A$313,0),MATCH(P$5,'TERMINAL CURVES'!$A$4:$N$4,0))-INDEX(terminal_curves,MATCH(L313,'TERMINAL CURVES'!$A$4:$A$313,0),MATCH(N$6,'TERMINAL CURVES'!$A$4:$N$4,0)))*IF(F313=0,0,H313/F313)))*-F313</f>
        <v>0</v>
      </c>
      <c r="Q313" s="353" t="n">
        <f aca="false">SUM(N313:P313)</f>
        <v>0</v>
      </c>
      <c r="R313" s="357" t="n">
        <f aca="false">(-H313/((HLOOKUP(P$5,port_specs,2,0)/(365.25))*(L314-L313)))*(INDEX(fixed_capacity_charge,MATCH(L313,PORTS!$H$11:$H$317,0),MATCH(P$5,PORTS!$H$11:$N$11,0))+INDEX(variable_om_charge,MATCH(L313,PORTS!$H$318:$H$625,0),MATCH(P$5,PORTS!$H$318:$N$318,0)))</f>
        <v>-0</v>
      </c>
      <c r="S313" s="343" t="n">
        <f aca="false">+R313+Q313</f>
        <v>0</v>
      </c>
      <c r="T313" s="355" t="n">
        <f aca="false">+S313+M313</f>
        <v>0</v>
      </c>
      <c r="V313" s="346" t="n">
        <f aca="false">+DATE(YEAR(V312),MONTH(V312)+1,1)</f>
        <v>45689</v>
      </c>
      <c r="W313" s="327" t="n">
        <f aca="false">+Y313/(1-HLOOKUP(X$6,SHIPS,7,0)*INDEX(LADEN_VOYAGE_DAYS,MATCH(CONCATENATE(X$4,X$5),LADEN_VOYAGE_ROUTES,0),MATCH(X$6,LADEN_VOYAGE_SHIPS,0)))</f>
        <v>0</v>
      </c>
      <c r="X313" s="347" t="n">
        <f aca="false">+Y313-W313</f>
        <v>0</v>
      </c>
      <c r="Y313" s="348" t="n">
        <f aca="false">+IF(AND(X$8&lt;=V313,X$9&gt;=V313),+MIN($B313-SUMIF($H$17:X$17,Y$17,$H313:X313),((INDEX(ROUTE_PER_DAY_BY_SHIP,MATCH(CONCATENATE(X$4,X$5,X$7),ROUTE_PER_DAY_ROUTES,0),MATCH(X$6,ROUTE_PER_DAY_SHIPS,0))*(V314-V313))-(INDEX(ROUTE_PER_DAY_BY_SHIP,MATCH(CONCATENATE(X$4,X$5,X$7),ROUTE_PER_DAY_ROUTES,0),MATCH(X$6,ROUTE_PER_DAY_SHIPS,0))*(V314-V313))*HLOOKUP(X$6,SHIPS,7,0)*INDEX(LADEN_VOYAGE_DAYS,MATCH(CONCATENATE(X$4,X$5,X$7),LADEN_VOYAGE_ROUTES,0),MATCH(X$6,LADEN_VOYAGE_SHIPS,0)))),0)</f>
        <v>0</v>
      </c>
      <c r="Z313" s="349" t="n">
        <f aca="false">-(Y313)*HLOOKUP(X$5,TERMINAL_CHARGES,3,0)</f>
        <v>-0</v>
      </c>
      <c r="AA313" s="327" t="n">
        <f aca="false">+Y313+Z313</f>
        <v>0</v>
      </c>
      <c r="AB313" s="333"/>
      <c r="AC313" s="346" t="n">
        <f aca="false">+DATE(YEAR(AC312),MONTH(AC312)+1,1)</f>
        <v>45689</v>
      </c>
      <c r="AD313" s="343" t="n">
        <f aca="false">+AA313*(VLOOKUP(AC313,CURVECALC!$C$6:$J$312,4,0)+AE$5)</f>
        <v>0</v>
      </c>
      <c r="AE313" s="350" t="n">
        <f aca="false">-W313*INDEX(ship_curves,MATCH(AC313,'SHIP CURVES'!$A$9:$A$316,0),MATCH(CONCATENATE(AG$4,AG$5,AG$6,AG$7),'SHIP CURVES'!$A$9:$AZ$9,0))</f>
        <v>-0</v>
      </c>
      <c r="AF313" s="351" t="n">
        <f aca="false">-Y313*INDEX(port_processing_fee,MATCH(AC313,PORTS!$H$626:$H$933,0),MATCH(AG$5,PORTS!$H$626:$Z$626,0))</f>
        <v>-0</v>
      </c>
      <c r="AG313" s="352" t="n">
        <f aca="false">(((VLOOKUP(AC313,curvecalc,4,0))*IF(W313=0,0,AA313/W313)-INDEX(ship_curves,MATCH(AC313,'SHIP CURVES'!$A$9:$A$316,0),MATCH(CONCATENATE(AG$4,AG$5,AG$6,AG$7),'SHIP CURVES'!$A$9:$Z$9,0))-INDEX(terminal_curves,MATCH(AC313,'TERMINAL CURVES'!$A$4:$A$313,0),MATCH(AG$5,'TERMINAL CURVES'!$A$4:$N$4,0))*IF(W313=0,0,Y313/W313))-(AE$8)*((AE$7-$N$5)-(INDEX(ship_curves,MATCH(AC313,'SHIP CURVES'!$A$9:$A$316,0),MATCH(CONCATENATE(AG$4,AG$5,AG$6,AG$7),'SHIP CURVES'!$A$9:$Z$9,0))-INDEX(ship_curves,MATCH(AC313,'SHIP CURVES'!$A$9:$A$316,0),MATCH(CONCATENATE(AG$4,AE$6,AG$6,AG$7),'SHIP CURVES'!$A$9:$Z$9,0)))-(INDEX(terminal_curves,MATCH(AC313,'TERMINAL CURVES'!$A$4:$A$313,0),MATCH(AG$5,'TERMINAL CURVES'!$A$4:$N$4,0))-INDEX(terminal_curves,MATCH(AC313,'TERMINAL CURVES'!$A$4:$A$313,0),MATCH(AE$6,'TERMINAL CURVES'!$A$4:$N$4,0)))*IF(W313=0,0,Y313/W313)))*-W313</f>
        <v>0</v>
      </c>
      <c r="AH313" s="356" t="n">
        <f aca="false">SUM(AE313:AG313)</f>
        <v>0</v>
      </c>
      <c r="AI313" s="357" t="n">
        <f aca="false">(-Y313/((HLOOKUP(AG$5,port_specs,2,0)/(365.25))*(AC314-AC313)))*(INDEX(fixed_capacity_charge,MATCH(AC313,PORTS!$H$11:$H$317,0),MATCH(AG$5,PORTS!$H$11:$N$11,0))+INDEX(variable_om_charge,MATCH(AC313,PORTS!$H$318:$H$625,0),MATCH(AG$5,PORTS!$H$318:$N$318,0)))</f>
        <v>-0</v>
      </c>
      <c r="AJ313" s="343" t="n">
        <f aca="false">+AI313+AH313</f>
        <v>0</v>
      </c>
      <c r="AK313" s="355" t="n">
        <f aca="false">+AJ313+AD313</f>
        <v>0</v>
      </c>
      <c r="AM313" s="346" t="n">
        <f aca="false">+DATE(YEAR(AM312),MONTH(AM312)+1,1)</f>
        <v>45689</v>
      </c>
      <c r="AN313" s="327" t="n">
        <f aca="false">+AP313/(1-HLOOKUP(AO$6,SHIPS,7,0)*INDEX(LADEN_VOYAGE_DAYS,MATCH(CONCATENATE(AO$4,AO$5),LADEN_VOYAGE_ROUTES,0),MATCH(AO$6,LADEN_VOYAGE_SHIPS,0)))</f>
        <v>0</v>
      </c>
      <c r="AO313" s="347" t="n">
        <f aca="false">+AP313-AN313</f>
        <v>0</v>
      </c>
      <c r="AP313" s="348" t="n">
        <f aca="false">+IF(AND(AO$8&lt;=AM313,AO$9&gt;=AM313),+MIN($B313-SUMIF($H$17:AO$17,AP$17,$H313:AO313),((INDEX(ROUTE_PER_DAY_BY_SHIP,MATCH(CONCATENATE(AO$4,AO$5,AO$7),ROUTE_PER_DAY_ROUTES,0),MATCH(AO$6,ROUTE_PER_DAY_SHIPS,0))*(AM314-AM313))-(INDEX(ROUTE_PER_DAY_BY_SHIP,MATCH(CONCATENATE(AO$4,AO$5,AO$7),ROUTE_PER_DAY_ROUTES,0),MATCH(AO$6,ROUTE_PER_DAY_SHIPS,0))*(AM314-AM313))*HLOOKUP(AO$6,SHIPS,7,0)*INDEX(LADEN_VOYAGE_DAYS,MATCH(CONCATENATE(AO$4,AO$5,AO$7),LADEN_VOYAGE_ROUTES,0),MATCH(AO$6,LADEN_VOYAGE_SHIPS,0)))),0)</f>
        <v>0</v>
      </c>
      <c r="AQ313" s="349" t="n">
        <f aca="false">-(AP313)*PORTS!$I$6</f>
        <v>-0</v>
      </c>
      <c r="AR313" s="327" t="n">
        <f aca="false">+AP313+AQ313</f>
        <v>0</v>
      </c>
      <c r="AS313" s="333"/>
      <c r="AT313" s="346" t="n">
        <f aca="false">+DATE(YEAR(AT312),MONTH(AT312)+1,1)</f>
        <v>45689</v>
      </c>
      <c r="AU313" s="343" t="n">
        <f aca="false">+AR313*(VLOOKUP(AT313,CURVECALC!$C$6:$J$312,4,0)+AV$5)</f>
        <v>0</v>
      </c>
      <c r="AV313" s="350" t="n">
        <f aca="false">-AN313*INDEX(ship_curves,MATCH(AT313,'SHIP CURVES'!$A$9:$A$316,0),MATCH(CONCATENATE(AX$4,AX$5,AX$6,AX$7),'SHIP CURVES'!$A$9:$AZ$9,0))</f>
        <v>-0</v>
      </c>
      <c r="AW313" s="351" t="n">
        <f aca="false">-AP313*INDEX(port_processing_fee,MATCH(AT313,PORTS!$H$626:$H$933,0),MATCH(AX$5,PORTS!$H$626:$Z$626,0))</f>
        <v>-0</v>
      </c>
      <c r="AX313" s="352" t="n">
        <f aca="false">(((VLOOKUP(AT313,curvecalc,4,0))*IF(AN313=0,0,AR313/AN313)-INDEX(ship_curves,MATCH(AT313,'SHIP CURVES'!$A$9:$A$316,0),MATCH(CONCATENATE(AX$4,AX$5,AX$6,AX$7),'SHIP CURVES'!$A$9:$Z$9,0))-INDEX(terminal_curves,MATCH(AT313,'TERMINAL CURVES'!$A$4:$A$313,0),MATCH(AX$5,'TERMINAL CURVES'!$A$4:$N$4,0))*IF(AN313=0,0,AP313/AN313))-(AV$8)*((AV$7-$N$5)-(INDEX(ship_curves,MATCH(AT313,'SHIP CURVES'!$A$9:$A$316,0),MATCH(CONCATENATE(AX$4,AX$5,AX$6,AX$7),'SHIP CURVES'!$A$9:$Z$9,0))-INDEX(ship_curves,MATCH(AT313,'SHIP CURVES'!$A$9:$A$316,0),MATCH(CONCATENATE(AX$4,AV$6,AX$6,AX$7),'SHIP CURVES'!$A$9:$Z$9,0)))-(INDEX(terminal_curves,MATCH(AT313,'TERMINAL CURVES'!$A$4:$A$313,0),MATCH(AX$5,'TERMINAL CURVES'!$A$4:$N$4,0))-INDEX(terminal_curves,MATCH(AT313,'TERMINAL CURVES'!$A$4:$A$313,0),MATCH(AV$6,'TERMINAL CURVES'!$A$4:$N$4,0)))*IF(AN313=0,0,AP313/AN313)))*-AN313</f>
        <v>0</v>
      </c>
      <c r="AY313" s="356" t="n">
        <f aca="false">SUM(AV313:AX313)</f>
        <v>0</v>
      </c>
      <c r="AZ313" s="357" t="n">
        <f aca="false">(-AP313/((HLOOKUP(AX$5,port_specs,2,0)/(365.25))*(AT314-AT313)))*(INDEX(fixed_capacity_charge,MATCH(AT313,PORTS!$H$11:$H$317,0),MATCH(AX$5,PORTS!$H$11:$N$11,0))+INDEX(variable_om_charge,MATCH(AT313,PORTS!$H$318:$H$625,0),MATCH(AX$5,PORTS!$H$318:$N$318,0)))</f>
        <v>-0</v>
      </c>
      <c r="BA313" s="343" t="n">
        <f aca="false">+AZ313+AY313</f>
        <v>0</v>
      </c>
      <c r="BB313" s="355" t="n">
        <f aca="false">+BA313+AU313</f>
        <v>0</v>
      </c>
      <c r="BC313" s="99"/>
      <c r="BD313" s="357" t="n">
        <f aca="false">+PORTS!I307+PORTS!I615</f>
        <v>0</v>
      </c>
    </row>
    <row r="314" customFormat="false" ht="12.75" hidden="false" customHeight="false" outlineLevel="0" collapsed="false">
      <c r="A314" s="346" t="n">
        <f aca="false">+DATE(YEAR(A313),MONTH(A313)+1,1)</f>
        <v>45717</v>
      </c>
      <c r="B314" s="327" t="n">
        <f aca="false">+IF(AND($A314&gt;=$C$8,$A314&lt;=$C$9),1,0)*PORTS!$I$5/(365.25)*(A315-A314)</f>
        <v>0</v>
      </c>
      <c r="C314" s="328" t="n">
        <f aca="false">+B314-(SUMIF($F$17:$IV$17,$H$17,$F314:$IV314))</f>
        <v>0</v>
      </c>
      <c r="D314" s="0" t="n">
        <f aca="false">+YEAR(E314)</f>
        <v>2025</v>
      </c>
      <c r="E314" s="346" t="n">
        <f aca="false">+DATE(YEAR(E313),MONTH(E313)+1,1)</f>
        <v>45717</v>
      </c>
      <c r="F314" s="327" t="n">
        <f aca="false">+IF(AND(G$8&lt;=E314,G$9&gt;=E314),INDEX(ROUTE_PER_DAY_BY_SHIP,MATCH(CONCATENATE(G$4,G$5,G$7),ROUTE_PER_DAY_ROUTES,0),MATCH(G$6,ROUTE_PER_DAY_SHIPS,0))*(E315-E314),0)</f>
        <v>0</v>
      </c>
      <c r="G314" s="347" t="n">
        <f aca="false">-F314*HLOOKUP(G$6,SHIPS,7,0)*INDEX(LADEN_VOYAGE_DAYS,MATCH(CONCATENATE(G$4,G$5,G$7),LADEN_VOYAGE_ROUTES,0),MATCH(G$6,LADEN_VOYAGE_SHIPS,0))</f>
        <v>-0</v>
      </c>
      <c r="H314" s="348" t="n">
        <f aca="false">SUM(F314:G314)</f>
        <v>0</v>
      </c>
      <c r="I314" s="349" t="n">
        <f aca="false">-(H314)*HLOOKUP(G$5,TERMINAL_CHARGES,3,0)</f>
        <v>-0</v>
      </c>
      <c r="J314" s="327" t="n">
        <f aca="false">+H314+I314</f>
        <v>0</v>
      </c>
      <c r="K314" s="333"/>
      <c r="L314" s="346" t="n">
        <f aca="false">+DATE(YEAR(L313),MONTH(L313)+1,1)</f>
        <v>45717</v>
      </c>
      <c r="M314" s="334" t="n">
        <f aca="false">+J314*(VLOOKUP(L314,CURVECALC!$C$6:$J$312,4,0)+N$5)</f>
        <v>0</v>
      </c>
      <c r="N314" s="350" t="n">
        <f aca="false">-F314*INDEX(ship_curves,MATCH(L314,'SHIP CURVES'!$A$9:$A$316,0),MATCH(CONCATENATE(P$4,P$5,P$6,P$7),'SHIP CURVES'!$A$9:$AZ$9,0))</f>
        <v>-0</v>
      </c>
      <c r="O314" s="351" t="n">
        <f aca="false">-H314*INDEX(port_processing_fee,MATCH(L314,PORTS!$H$626:$H$933,0),MATCH(P$5,PORTS!$H$626:$Z$626,0))</f>
        <v>-0</v>
      </c>
      <c r="P314" s="352" t="n">
        <f aca="false">(((VLOOKUP(L314,curvecalc,4,0))*IF(F314=0,0,J314/F314)-INDEX(ship_curves,MATCH(L314,'SHIP CURVES'!$A$9:$A$316,0),MATCH(CONCATENATE(P$4,P$5,P$6,P$7),'SHIP CURVES'!$A$9:$Z$9,0))-INDEX(terminal_curves,MATCH(L314,'TERMINAL CURVES'!$A$4:$A$313,0),MATCH(P$5,'TERMINAL CURVES'!$A$4:$N$4,0))*IF(F314=0,0,H314/F314))-(N$8)*((N$7-$N$5)-(INDEX(ship_curves,MATCH(L314,'SHIP CURVES'!$A$9:$A$316,0),MATCH(CONCATENATE(P$4,P$5,P$6,P$7),'SHIP CURVES'!$A$9:$Z$9,0))-INDEX(ship_curves,MATCH(L314,'SHIP CURVES'!$A$9:$A$316,0),MATCH(CONCATENATE(P$4,N$6,P$6,P$7),'SHIP CURVES'!$A$9:$Z$9,0)))-(INDEX(terminal_curves,MATCH(L314,'TERMINAL CURVES'!$A$4:$A$313,0),MATCH(P$5,'TERMINAL CURVES'!$A$4:$N$4,0))-INDEX(terminal_curves,MATCH(L314,'TERMINAL CURVES'!$A$4:$A$313,0),MATCH(N$6,'TERMINAL CURVES'!$A$4:$N$4,0)))*IF(F314=0,0,H314/F314)))*-F314</f>
        <v>0</v>
      </c>
      <c r="Q314" s="353" t="n">
        <f aca="false">SUM(N314:P314)</f>
        <v>0</v>
      </c>
      <c r="R314" s="357" t="n">
        <f aca="false">(-H314/((HLOOKUP(P$5,port_specs,2,0)/(365.25))*(L315-L314)))*(INDEX(fixed_capacity_charge,MATCH(L314,PORTS!$H$11:$H$317,0),MATCH(P$5,PORTS!$H$11:$N$11,0))+INDEX(variable_om_charge,MATCH(L314,PORTS!$H$318:$H$625,0),MATCH(P$5,PORTS!$H$318:$N$318,0)))</f>
        <v>-0</v>
      </c>
      <c r="S314" s="343" t="n">
        <f aca="false">+R314+Q314</f>
        <v>0</v>
      </c>
      <c r="T314" s="355" t="n">
        <f aca="false">+S314+M314</f>
        <v>0</v>
      </c>
      <c r="V314" s="346" t="n">
        <f aca="false">+DATE(YEAR(V313),MONTH(V313)+1,1)</f>
        <v>45717</v>
      </c>
      <c r="W314" s="327" t="n">
        <f aca="false">+Y314/(1-HLOOKUP(X$6,SHIPS,7,0)*INDEX(LADEN_VOYAGE_DAYS,MATCH(CONCATENATE(X$4,X$5),LADEN_VOYAGE_ROUTES,0),MATCH(X$6,LADEN_VOYAGE_SHIPS,0)))</f>
        <v>0</v>
      </c>
      <c r="X314" s="347" t="n">
        <f aca="false">+Y314-W314</f>
        <v>0</v>
      </c>
      <c r="Y314" s="348" t="n">
        <f aca="false">+IF(AND(X$8&lt;=V314,X$9&gt;=V314),+MIN($B314-SUMIF($H$17:X$17,Y$17,$H314:X314),((INDEX(ROUTE_PER_DAY_BY_SHIP,MATCH(CONCATENATE(X$4,X$5,X$7),ROUTE_PER_DAY_ROUTES,0),MATCH(X$6,ROUTE_PER_DAY_SHIPS,0))*(V315-V314))-(INDEX(ROUTE_PER_DAY_BY_SHIP,MATCH(CONCATENATE(X$4,X$5,X$7),ROUTE_PER_DAY_ROUTES,0),MATCH(X$6,ROUTE_PER_DAY_SHIPS,0))*(V315-V314))*HLOOKUP(X$6,SHIPS,7,0)*INDEX(LADEN_VOYAGE_DAYS,MATCH(CONCATENATE(X$4,X$5,X$7),LADEN_VOYAGE_ROUTES,0),MATCH(X$6,LADEN_VOYAGE_SHIPS,0)))),0)</f>
        <v>0</v>
      </c>
      <c r="Z314" s="349" t="n">
        <f aca="false">-(Y314)*HLOOKUP(X$5,TERMINAL_CHARGES,3,0)</f>
        <v>-0</v>
      </c>
      <c r="AA314" s="327" t="n">
        <f aca="false">+Y314+Z314</f>
        <v>0</v>
      </c>
      <c r="AB314" s="333"/>
      <c r="AC314" s="346" t="n">
        <f aca="false">+DATE(YEAR(AC313),MONTH(AC313)+1,1)</f>
        <v>45717</v>
      </c>
      <c r="AD314" s="343" t="n">
        <f aca="false">+AA314*(VLOOKUP(AC314,CURVECALC!$C$6:$J$312,4,0)+AE$5)</f>
        <v>0</v>
      </c>
      <c r="AE314" s="350" t="n">
        <f aca="false">-W314*INDEX(ship_curves,MATCH(AC314,'SHIP CURVES'!$A$9:$A$316,0),MATCH(CONCATENATE(AG$4,AG$5,AG$6,AG$7),'SHIP CURVES'!$A$9:$AZ$9,0))</f>
        <v>-0</v>
      </c>
      <c r="AF314" s="351" t="n">
        <f aca="false">-Y314*INDEX(port_processing_fee,MATCH(AC314,PORTS!$H$626:$H$933,0),MATCH(AG$5,PORTS!$H$626:$Z$626,0))</f>
        <v>-0</v>
      </c>
      <c r="AG314" s="352" t="n">
        <f aca="false">(((VLOOKUP(AC314,curvecalc,4,0))*IF(W314=0,0,AA314/W314)-INDEX(ship_curves,MATCH(AC314,'SHIP CURVES'!$A$9:$A$316,0),MATCH(CONCATENATE(AG$4,AG$5,AG$6,AG$7),'SHIP CURVES'!$A$9:$Z$9,0))-INDEX(terminal_curves,MATCH(AC314,'TERMINAL CURVES'!$A$4:$A$313,0),MATCH(AG$5,'TERMINAL CURVES'!$A$4:$N$4,0))*IF(W314=0,0,Y314/W314))-(AE$8)*((AE$7-$N$5)-(INDEX(ship_curves,MATCH(AC314,'SHIP CURVES'!$A$9:$A$316,0),MATCH(CONCATENATE(AG$4,AG$5,AG$6,AG$7),'SHIP CURVES'!$A$9:$Z$9,0))-INDEX(ship_curves,MATCH(AC314,'SHIP CURVES'!$A$9:$A$316,0),MATCH(CONCATENATE(AG$4,AE$6,AG$6,AG$7),'SHIP CURVES'!$A$9:$Z$9,0)))-(INDEX(terminal_curves,MATCH(AC314,'TERMINAL CURVES'!$A$4:$A$313,0),MATCH(AG$5,'TERMINAL CURVES'!$A$4:$N$4,0))-INDEX(terminal_curves,MATCH(AC314,'TERMINAL CURVES'!$A$4:$A$313,0),MATCH(AE$6,'TERMINAL CURVES'!$A$4:$N$4,0)))*IF(W314=0,0,Y314/W314)))*-W314</f>
        <v>0</v>
      </c>
      <c r="AH314" s="356" t="n">
        <f aca="false">SUM(AE314:AG314)</f>
        <v>0</v>
      </c>
      <c r="AI314" s="357" t="n">
        <f aca="false">(-Y314/((HLOOKUP(AG$5,port_specs,2,0)/(365.25))*(AC315-AC314)))*(INDEX(fixed_capacity_charge,MATCH(AC314,PORTS!$H$11:$H$317,0),MATCH(AG$5,PORTS!$H$11:$N$11,0))+INDEX(variable_om_charge,MATCH(AC314,PORTS!$H$318:$H$625,0),MATCH(AG$5,PORTS!$H$318:$N$318,0)))</f>
        <v>-0</v>
      </c>
      <c r="AJ314" s="343" t="n">
        <f aca="false">+AI314+AH314</f>
        <v>0</v>
      </c>
      <c r="AK314" s="355" t="n">
        <f aca="false">+AJ314+AD314</f>
        <v>0</v>
      </c>
      <c r="AM314" s="346" t="n">
        <f aca="false">+DATE(YEAR(AM313),MONTH(AM313)+1,1)</f>
        <v>45717</v>
      </c>
      <c r="AN314" s="327" t="n">
        <f aca="false">+AP314/(1-HLOOKUP(AO$6,SHIPS,7,0)*INDEX(LADEN_VOYAGE_DAYS,MATCH(CONCATENATE(AO$4,AO$5),LADEN_VOYAGE_ROUTES,0),MATCH(AO$6,LADEN_VOYAGE_SHIPS,0)))</f>
        <v>0</v>
      </c>
      <c r="AO314" s="347" t="n">
        <f aca="false">+AP314-AN314</f>
        <v>0</v>
      </c>
      <c r="AP314" s="348" t="n">
        <f aca="false">+IF(AND(AO$8&lt;=AM314,AO$9&gt;=AM314),+MIN($B314-SUMIF($H$17:AO$17,AP$17,$H314:AO314),((INDEX(ROUTE_PER_DAY_BY_SHIP,MATCH(CONCATENATE(AO$4,AO$5,AO$7),ROUTE_PER_DAY_ROUTES,0),MATCH(AO$6,ROUTE_PER_DAY_SHIPS,0))*(AM315-AM314))-(INDEX(ROUTE_PER_DAY_BY_SHIP,MATCH(CONCATENATE(AO$4,AO$5,AO$7),ROUTE_PER_DAY_ROUTES,0),MATCH(AO$6,ROUTE_PER_DAY_SHIPS,0))*(AM315-AM314))*HLOOKUP(AO$6,SHIPS,7,0)*INDEX(LADEN_VOYAGE_DAYS,MATCH(CONCATENATE(AO$4,AO$5,AO$7),LADEN_VOYAGE_ROUTES,0),MATCH(AO$6,LADEN_VOYAGE_SHIPS,0)))),0)</f>
        <v>0</v>
      </c>
      <c r="AQ314" s="349" t="n">
        <f aca="false">-(AP314)*PORTS!$I$6</f>
        <v>-0</v>
      </c>
      <c r="AR314" s="327" t="n">
        <f aca="false">+AP314+AQ314</f>
        <v>0</v>
      </c>
      <c r="AS314" s="333"/>
      <c r="AT314" s="346" t="n">
        <f aca="false">+DATE(YEAR(AT313),MONTH(AT313)+1,1)</f>
        <v>45717</v>
      </c>
      <c r="AU314" s="343" t="n">
        <f aca="false">+AR314*(VLOOKUP(AT314,CURVECALC!$C$6:$J$312,4,0)+AV$5)</f>
        <v>0</v>
      </c>
      <c r="AV314" s="350" t="n">
        <f aca="false">-AN314*INDEX(ship_curves,MATCH(AT314,'SHIP CURVES'!$A$9:$A$316,0),MATCH(CONCATENATE(AX$4,AX$5,AX$6,AX$7),'SHIP CURVES'!$A$9:$AZ$9,0))</f>
        <v>-0</v>
      </c>
      <c r="AW314" s="351" t="n">
        <f aca="false">-AP314*INDEX(port_processing_fee,MATCH(AT314,PORTS!$H$626:$H$933,0),MATCH(AX$5,PORTS!$H$626:$Z$626,0))</f>
        <v>-0</v>
      </c>
      <c r="AX314" s="352" t="n">
        <f aca="false">(((VLOOKUP(AT314,curvecalc,4,0))*IF(AN314=0,0,AR314/AN314)-INDEX(ship_curves,MATCH(AT314,'SHIP CURVES'!$A$9:$A$316,0),MATCH(CONCATENATE(AX$4,AX$5,AX$6,AX$7),'SHIP CURVES'!$A$9:$Z$9,0))-INDEX(terminal_curves,MATCH(AT314,'TERMINAL CURVES'!$A$4:$A$313,0),MATCH(AX$5,'TERMINAL CURVES'!$A$4:$N$4,0))*IF(AN314=0,0,AP314/AN314))-(AV$8)*((AV$7-$N$5)-(INDEX(ship_curves,MATCH(AT314,'SHIP CURVES'!$A$9:$A$316,0),MATCH(CONCATENATE(AX$4,AX$5,AX$6,AX$7),'SHIP CURVES'!$A$9:$Z$9,0))-INDEX(ship_curves,MATCH(AT314,'SHIP CURVES'!$A$9:$A$316,0),MATCH(CONCATENATE(AX$4,AV$6,AX$6,AX$7),'SHIP CURVES'!$A$9:$Z$9,0)))-(INDEX(terminal_curves,MATCH(AT314,'TERMINAL CURVES'!$A$4:$A$313,0),MATCH(AX$5,'TERMINAL CURVES'!$A$4:$N$4,0))-INDEX(terminal_curves,MATCH(AT314,'TERMINAL CURVES'!$A$4:$A$313,0),MATCH(AV$6,'TERMINAL CURVES'!$A$4:$N$4,0)))*IF(AN314=0,0,AP314/AN314)))*-AN314</f>
        <v>0</v>
      </c>
      <c r="AY314" s="356" t="n">
        <f aca="false">SUM(AV314:AX314)</f>
        <v>0</v>
      </c>
      <c r="AZ314" s="357" t="n">
        <f aca="false">(-AP314/((HLOOKUP(AX$5,port_specs,2,0)/(365.25))*(AT315-AT314)))*(INDEX(fixed_capacity_charge,MATCH(AT314,PORTS!$H$11:$H$317,0),MATCH(AX$5,PORTS!$H$11:$N$11,0))+INDEX(variable_om_charge,MATCH(AT314,PORTS!$H$318:$H$625,0),MATCH(AX$5,PORTS!$H$318:$N$318,0)))</f>
        <v>-0</v>
      </c>
      <c r="BA314" s="343" t="n">
        <f aca="false">+AZ314+AY314</f>
        <v>0</v>
      </c>
      <c r="BB314" s="355" t="n">
        <f aca="false">+BA314+AU314</f>
        <v>0</v>
      </c>
      <c r="BC314" s="99"/>
      <c r="BD314" s="357" t="n">
        <f aca="false">+PORTS!I308+PORTS!I616</f>
        <v>0</v>
      </c>
    </row>
    <row r="315" customFormat="false" ht="12.75" hidden="false" customHeight="false" outlineLevel="0" collapsed="false">
      <c r="A315" s="346" t="n">
        <f aca="false">+DATE(YEAR(A314),MONTH(A314)+1,1)</f>
        <v>45748</v>
      </c>
      <c r="B315" s="327" t="n">
        <f aca="false">+IF(AND($A315&gt;=$C$8,$A315&lt;=$C$9),1,0)*PORTS!$I$5/(365.25)*(A316-A315)</f>
        <v>0</v>
      </c>
      <c r="C315" s="328" t="n">
        <f aca="false">+B315-(SUMIF($F$17:$IV$17,$H$17,$F315:$IV315))</f>
        <v>0</v>
      </c>
      <c r="D315" s="0" t="n">
        <f aca="false">+YEAR(E315)</f>
        <v>2025</v>
      </c>
      <c r="E315" s="346" t="n">
        <f aca="false">+DATE(YEAR(E314),MONTH(E314)+1,1)</f>
        <v>45748</v>
      </c>
      <c r="F315" s="327" t="n">
        <f aca="false">+IF(AND(G$8&lt;=E315,G$9&gt;=E315),INDEX(ROUTE_PER_DAY_BY_SHIP,MATCH(CONCATENATE(G$4,G$5,G$7),ROUTE_PER_DAY_ROUTES,0),MATCH(G$6,ROUTE_PER_DAY_SHIPS,0))*(E316-E315),0)</f>
        <v>0</v>
      </c>
      <c r="G315" s="347" t="n">
        <f aca="false">-F315*HLOOKUP(G$6,SHIPS,7,0)*INDEX(LADEN_VOYAGE_DAYS,MATCH(CONCATENATE(G$4,G$5,G$7),LADEN_VOYAGE_ROUTES,0),MATCH(G$6,LADEN_VOYAGE_SHIPS,0))</f>
        <v>-0</v>
      </c>
      <c r="H315" s="348" t="n">
        <f aca="false">SUM(F315:G315)</f>
        <v>0</v>
      </c>
      <c r="I315" s="349" t="n">
        <f aca="false">-(H315)*HLOOKUP(G$5,TERMINAL_CHARGES,3,0)</f>
        <v>-0</v>
      </c>
      <c r="J315" s="327" t="n">
        <f aca="false">+H315+I315</f>
        <v>0</v>
      </c>
      <c r="K315" s="333"/>
      <c r="L315" s="346" t="n">
        <f aca="false">+DATE(YEAR(L314),MONTH(L314)+1,1)</f>
        <v>45748</v>
      </c>
      <c r="M315" s="334" t="n">
        <f aca="false">+J315*(VLOOKUP(L315,CURVECALC!$C$6:$J$312,4,0)+N$5)</f>
        <v>0</v>
      </c>
      <c r="N315" s="350" t="n">
        <f aca="false">-F315*INDEX(ship_curves,MATCH(L315,'SHIP CURVES'!$A$9:$A$316,0),MATCH(CONCATENATE(P$4,P$5,P$6,P$7),'SHIP CURVES'!$A$9:$AZ$9,0))</f>
        <v>-0</v>
      </c>
      <c r="O315" s="351" t="n">
        <f aca="false">-H315*INDEX(port_processing_fee,MATCH(L315,PORTS!$H$626:$H$933,0),MATCH(P$5,PORTS!$H$626:$Z$626,0))</f>
        <v>-0</v>
      </c>
      <c r="P315" s="352" t="n">
        <f aca="false">(((VLOOKUP(L315,curvecalc,4,0))*IF(F315=0,0,J315/F315)-INDEX(ship_curves,MATCH(L315,'SHIP CURVES'!$A$9:$A$316,0),MATCH(CONCATENATE(P$4,P$5,P$6,P$7),'SHIP CURVES'!$A$9:$Z$9,0))-INDEX(terminal_curves,MATCH(L315,'TERMINAL CURVES'!$A$4:$A$313,0),MATCH(P$5,'TERMINAL CURVES'!$A$4:$N$4,0))*IF(F315=0,0,H315/F315))-(N$8)*((N$7-$N$5)-(INDEX(ship_curves,MATCH(L315,'SHIP CURVES'!$A$9:$A$316,0),MATCH(CONCATENATE(P$4,P$5,P$6,P$7),'SHIP CURVES'!$A$9:$Z$9,0))-INDEX(ship_curves,MATCH(L315,'SHIP CURVES'!$A$9:$A$316,0),MATCH(CONCATENATE(P$4,N$6,P$6,P$7),'SHIP CURVES'!$A$9:$Z$9,0)))-(INDEX(terminal_curves,MATCH(L315,'TERMINAL CURVES'!$A$4:$A$313,0),MATCH(P$5,'TERMINAL CURVES'!$A$4:$N$4,0))-INDEX(terminal_curves,MATCH(L315,'TERMINAL CURVES'!$A$4:$A$313,0),MATCH(N$6,'TERMINAL CURVES'!$A$4:$N$4,0)))*IF(F315=0,0,H315/F315)))*-F315</f>
        <v>0</v>
      </c>
      <c r="Q315" s="353" t="n">
        <f aca="false">SUM(N315:P315)</f>
        <v>0</v>
      </c>
      <c r="R315" s="357" t="n">
        <f aca="false">(-H315/((HLOOKUP(P$5,port_specs,2,0)/(365.25))*(L316-L315)))*(INDEX(fixed_capacity_charge,MATCH(L315,PORTS!$H$11:$H$317,0),MATCH(P$5,PORTS!$H$11:$N$11,0))+INDEX(variable_om_charge,MATCH(L315,PORTS!$H$318:$H$625,0),MATCH(P$5,PORTS!$H$318:$N$318,0)))</f>
        <v>-0</v>
      </c>
      <c r="S315" s="343" t="n">
        <f aca="false">+R315+Q315</f>
        <v>0</v>
      </c>
      <c r="T315" s="355" t="n">
        <f aca="false">+S315+M315</f>
        <v>0</v>
      </c>
      <c r="V315" s="346" t="n">
        <f aca="false">+DATE(YEAR(V314),MONTH(V314)+1,1)</f>
        <v>45748</v>
      </c>
      <c r="W315" s="327" t="n">
        <f aca="false">+Y315/(1-HLOOKUP(X$6,SHIPS,7,0)*INDEX(LADEN_VOYAGE_DAYS,MATCH(CONCATENATE(X$4,X$5),LADEN_VOYAGE_ROUTES,0),MATCH(X$6,LADEN_VOYAGE_SHIPS,0)))</f>
        <v>0</v>
      </c>
      <c r="X315" s="347" t="n">
        <f aca="false">+Y315-W315</f>
        <v>0</v>
      </c>
      <c r="Y315" s="348" t="n">
        <f aca="false">+IF(AND(X$8&lt;=V315,X$9&gt;=V315),+MIN($B315-SUMIF($H$17:X$17,Y$17,$H315:X315),((INDEX(ROUTE_PER_DAY_BY_SHIP,MATCH(CONCATENATE(X$4,X$5,X$7),ROUTE_PER_DAY_ROUTES,0),MATCH(X$6,ROUTE_PER_DAY_SHIPS,0))*(V316-V315))-(INDEX(ROUTE_PER_DAY_BY_SHIP,MATCH(CONCATENATE(X$4,X$5,X$7),ROUTE_PER_DAY_ROUTES,0),MATCH(X$6,ROUTE_PER_DAY_SHIPS,0))*(V316-V315))*HLOOKUP(X$6,SHIPS,7,0)*INDEX(LADEN_VOYAGE_DAYS,MATCH(CONCATENATE(X$4,X$5,X$7),LADEN_VOYAGE_ROUTES,0),MATCH(X$6,LADEN_VOYAGE_SHIPS,0)))),0)</f>
        <v>0</v>
      </c>
      <c r="Z315" s="349" t="n">
        <f aca="false">-(Y315)*HLOOKUP(X$5,TERMINAL_CHARGES,3,0)</f>
        <v>-0</v>
      </c>
      <c r="AA315" s="327" t="n">
        <f aca="false">+Y315+Z315</f>
        <v>0</v>
      </c>
      <c r="AB315" s="333"/>
      <c r="AC315" s="346" t="n">
        <f aca="false">+DATE(YEAR(AC314),MONTH(AC314)+1,1)</f>
        <v>45748</v>
      </c>
      <c r="AD315" s="343" t="n">
        <f aca="false">+AA315*(VLOOKUP(AC315,CURVECALC!$C$6:$J$312,4,0)+AE$5)</f>
        <v>0</v>
      </c>
      <c r="AE315" s="350" t="n">
        <f aca="false">-W315*INDEX(ship_curves,MATCH(AC315,'SHIP CURVES'!$A$9:$A$316,0),MATCH(CONCATENATE(AG$4,AG$5,AG$6,AG$7),'SHIP CURVES'!$A$9:$AZ$9,0))</f>
        <v>-0</v>
      </c>
      <c r="AF315" s="351" t="n">
        <f aca="false">-Y315*INDEX(port_processing_fee,MATCH(AC315,PORTS!$H$626:$H$933,0),MATCH(AG$5,PORTS!$H$626:$Z$626,0))</f>
        <v>-0</v>
      </c>
      <c r="AG315" s="352" t="n">
        <f aca="false">(((VLOOKUP(AC315,curvecalc,4,0))*IF(W315=0,0,AA315/W315)-INDEX(ship_curves,MATCH(AC315,'SHIP CURVES'!$A$9:$A$316,0),MATCH(CONCATENATE(AG$4,AG$5,AG$6,AG$7),'SHIP CURVES'!$A$9:$Z$9,0))-INDEX(terminal_curves,MATCH(AC315,'TERMINAL CURVES'!$A$4:$A$313,0),MATCH(AG$5,'TERMINAL CURVES'!$A$4:$N$4,0))*IF(W315=0,0,Y315/W315))-(AE$8)*((AE$7-$N$5)-(INDEX(ship_curves,MATCH(AC315,'SHIP CURVES'!$A$9:$A$316,0),MATCH(CONCATENATE(AG$4,AG$5,AG$6,AG$7),'SHIP CURVES'!$A$9:$Z$9,0))-INDEX(ship_curves,MATCH(AC315,'SHIP CURVES'!$A$9:$A$316,0),MATCH(CONCATENATE(AG$4,AE$6,AG$6,AG$7),'SHIP CURVES'!$A$9:$Z$9,0)))-(INDEX(terminal_curves,MATCH(AC315,'TERMINAL CURVES'!$A$4:$A$313,0),MATCH(AG$5,'TERMINAL CURVES'!$A$4:$N$4,0))-INDEX(terminal_curves,MATCH(AC315,'TERMINAL CURVES'!$A$4:$A$313,0),MATCH(AE$6,'TERMINAL CURVES'!$A$4:$N$4,0)))*IF(W315=0,0,Y315/W315)))*-W315</f>
        <v>0</v>
      </c>
      <c r="AH315" s="356" t="n">
        <f aca="false">SUM(AE315:AG315)</f>
        <v>0</v>
      </c>
      <c r="AI315" s="357" t="n">
        <f aca="false">(-Y315/((HLOOKUP(AG$5,port_specs,2,0)/(365.25))*(AC316-AC315)))*(INDEX(fixed_capacity_charge,MATCH(AC315,PORTS!$H$11:$H$317,0),MATCH(AG$5,PORTS!$H$11:$N$11,0))+INDEX(variable_om_charge,MATCH(AC315,PORTS!$H$318:$H$625,0),MATCH(AG$5,PORTS!$H$318:$N$318,0)))</f>
        <v>-0</v>
      </c>
      <c r="AJ315" s="343" t="n">
        <f aca="false">+AI315+AH315</f>
        <v>0</v>
      </c>
      <c r="AK315" s="355" t="n">
        <f aca="false">+AJ315+AD315</f>
        <v>0</v>
      </c>
      <c r="AM315" s="346" t="n">
        <f aca="false">+DATE(YEAR(AM314),MONTH(AM314)+1,1)</f>
        <v>45748</v>
      </c>
      <c r="AN315" s="327" t="n">
        <f aca="false">+AP315/(1-HLOOKUP(AO$6,SHIPS,7,0)*INDEX(LADEN_VOYAGE_DAYS,MATCH(CONCATENATE(AO$4,AO$5),LADEN_VOYAGE_ROUTES,0),MATCH(AO$6,LADEN_VOYAGE_SHIPS,0)))</f>
        <v>0</v>
      </c>
      <c r="AO315" s="347" t="n">
        <f aca="false">+AP315-AN315</f>
        <v>0</v>
      </c>
      <c r="AP315" s="348" t="n">
        <f aca="false">+IF(AND(AO$8&lt;=AM315,AO$9&gt;=AM315),+MIN($B315-SUMIF($H$17:AO$17,AP$17,$H315:AO315),((INDEX(ROUTE_PER_DAY_BY_SHIP,MATCH(CONCATENATE(AO$4,AO$5,AO$7),ROUTE_PER_DAY_ROUTES,0),MATCH(AO$6,ROUTE_PER_DAY_SHIPS,0))*(AM316-AM315))-(INDEX(ROUTE_PER_DAY_BY_SHIP,MATCH(CONCATENATE(AO$4,AO$5,AO$7),ROUTE_PER_DAY_ROUTES,0),MATCH(AO$6,ROUTE_PER_DAY_SHIPS,0))*(AM316-AM315))*HLOOKUP(AO$6,SHIPS,7,0)*INDEX(LADEN_VOYAGE_DAYS,MATCH(CONCATENATE(AO$4,AO$5,AO$7),LADEN_VOYAGE_ROUTES,0),MATCH(AO$6,LADEN_VOYAGE_SHIPS,0)))),0)</f>
        <v>0</v>
      </c>
      <c r="AQ315" s="349" t="n">
        <f aca="false">-(AP315)*PORTS!$I$6</f>
        <v>-0</v>
      </c>
      <c r="AR315" s="327" t="n">
        <f aca="false">+AP315+AQ315</f>
        <v>0</v>
      </c>
      <c r="AS315" s="333"/>
      <c r="AT315" s="346" t="n">
        <f aca="false">+DATE(YEAR(AT314),MONTH(AT314)+1,1)</f>
        <v>45748</v>
      </c>
      <c r="AU315" s="343" t="n">
        <f aca="false">+AR315*(VLOOKUP(AT315,CURVECALC!$C$6:$J$312,4,0)+AV$5)</f>
        <v>0</v>
      </c>
      <c r="AV315" s="350" t="n">
        <f aca="false">-AN315*INDEX(ship_curves,MATCH(AT315,'SHIP CURVES'!$A$9:$A$316,0),MATCH(CONCATENATE(AX$4,AX$5,AX$6,AX$7),'SHIP CURVES'!$A$9:$AZ$9,0))</f>
        <v>-0</v>
      </c>
      <c r="AW315" s="351" t="n">
        <f aca="false">-AP315*INDEX(port_processing_fee,MATCH(AT315,PORTS!$H$626:$H$933,0),MATCH(AX$5,PORTS!$H$626:$Z$626,0))</f>
        <v>-0</v>
      </c>
      <c r="AX315" s="352" t="n">
        <f aca="false">(((VLOOKUP(AT315,curvecalc,4,0))*IF(AN315=0,0,AR315/AN315)-INDEX(ship_curves,MATCH(AT315,'SHIP CURVES'!$A$9:$A$316,0),MATCH(CONCATENATE(AX$4,AX$5,AX$6,AX$7),'SHIP CURVES'!$A$9:$Z$9,0))-INDEX(terminal_curves,MATCH(AT315,'TERMINAL CURVES'!$A$4:$A$313,0),MATCH(AX$5,'TERMINAL CURVES'!$A$4:$N$4,0))*IF(AN315=0,0,AP315/AN315))-(AV$8)*((AV$7-$N$5)-(INDEX(ship_curves,MATCH(AT315,'SHIP CURVES'!$A$9:$A$316,0),MATCH(CONCATENATE(AX$4,AX$5,AX$6,AX$7),'SHIP CURVES'!$A$9:$Z$9,0))-INDEX(ship_curves,MATCH(AT315,'SHIP CURVES'!$A$9:$A$316,0),MATCH(CONCATENATE(AX$4,AV$6,AX$6,AX$7),'SHIP CURVES'!$A$9:$Z$9,0)))-(INDEX(terminal_curves,MATCH(AT315,'TERMINAL CURVES'!$A$4:$A$313,0),MATCH(AX$5,'TERMINAL CURVES'!$A$4:$N$4,0))-INDEX(terminal_curves,MATCH(AT315,'TERMINAL CURVES'!$A$4:$A$313,0),MATCH(AV$6,'TERMINAL CURVES'!$A$4:$N$4,0)))*IF(AN315=0,0,AP315/AN315)))*-AN315</f>
        <v>0</v>
      </c>
      <c r="AY315" s="356" t="n">
        <f aca="false">SUM(AV315:AX315)</f>
        <v>0</v>
      </c>
      <c r="AZ315" s="357" t="n">
        <f aca="false">(-AP315/((HLOOKUP(AX$5,port_specs,2,0)/(365.25))*(AT316-AT315)))*(INDEX(fixed_capacity_charge,MATCH(AT315,PORTS!$H$11:$H$317,0),MATCH(AX$5,PORTS!$H$11:$N$11,0))+INDEX(variable_om_charge,MATCH(AT315,PORTS!$H$318:$H$625,0),MATCH(AX$5,PORTS!$H$318:$N$318,0)))</f>
        <v>-0</v>
      </c>
      <c r="BA315" s="343" t="n">
        <f aca="false">+AZ315+AY315</f>
        <v>0</v>
      </c>
      <c r="BB315" s="355" t="n">
        <f aca="false">+BA315+AU315</f>
        <v>0</v>
      </c>
      <c r="BC315" s="99"/>
      <c r="BD315" s="357" t="n">
        <f aca="false">+PORTS!I309+PORTS!I617</f>
        <v>0</v>
      </c>
    </row>
    <row r="316" customFormat="false" ht="12.75" hidden="false" customHeight="false" outlineLevel="0" collapsed="false">
      <c r="A316" s="346" t="n">
        <f aca="false">+DATE(YEAR(A315),MONTH(A315)+1,1)</f>
        <v>45778</v>
      </c>
      <c r="B316" s="327" t="n">
        <f aca="false">+IF(AND($A316&gt;=$C$8,$A316&lt;=$C$9),1,0)*PORTS!$I$5/(365.25)*(A317-A316)</f>
        <v>0</v>
      </c>
      <c r="C316" s="328" t="n">
        <f aca="false">+B316-(SUMIF($F$17:$IV$17,$H$17,$F316:$IV316))</f>
        <v>0</v>
      </c>
      <c r="D316" s="0" t="n">
        <f aca="false">+YEAR(E316)</f>
        <v>2025</v>
      </c>
      <c r="E316" s="346" t="n">
        <f aca="false">+DATE(YEAR(E315),MONTH(E315)+1,1)</f>
        <v>45778</v>
      </c>
      <c r="F316" s="327" t="n">
        <f aca="false">+IF(AND(G$8&lt;=E316,G$9&gt;=E316),INDEX(ROUTE_PER_DAY_BY_SHIP,MATCH(CONCATENATE(G$4,G$5,G$7),ROUTE_PER_DAY_ROUTES,0),MATCH(G$6,ROUTE_PER_DAY_SHIPS,0))*(E317-E316),0)</f>
        <v>0</v>
      </c>
      <c r="G316" s="347" t="n">
        <f aca="false">-F316*HLOOKUP(G$6,SHIPS,7,0)*INDEX(LADEN_VOYAGE_DAYS,MATCH(CONCATENATE(G$4,G$5,G$7),LADEN_VOYAGE_ROUTES,0),MATCH(G$6,LADEN_VOYAGE_SHIPS,0))</f>
        <v>-0</v>
      </c>
      <c r="H316" s="348" t="n">
        <f aca="false">SUM(F316:G316)</f>
        <v>0</v>
      </c>
      <c r="I316" s="349" t="n">
        <f aca="false">-(H316)*HLOOKUP(G$5,TERMINAL_CHARGES,3,0)</f>
        <v>-0</v>
      </c>
      <c r="J316" s="327" t="n">
        <f aca="false">+H316+I316</f>
        <v>0</v>
      </c>
      <c r="K316" s="333"/>
      <c r="L316" s="346" t="n">
        <f aca="false">+DATE(YEAR(L315),MONTH(L315)+1,1)</f>
        <v>45778</v>
      </c>
      <c r="M316" s="334" t="n">
        <f aca="false">+J316*(VLOOKUP(L316,CURVECALC!$C$6:$J$312,4,0)+N$5)</f>
        <v>0</v>
      </c>
      <c r="N316" s="350" t="n">
        <f aca="false">-F316*INDEX(ship_curves,MATCH(L316,'SHIP CURVES'!$A$9:$A$316,0),MATCH(CONCATENATE(P$4,P$5,P$6,P$7),'SHIP CURVES'!$A$9:$AZ$9,0))</f>
        <v>-0</v>
      </c>
      <c r="O316" s="351" t="n">
        <f aca="false">-H316*INDEX(port_processing_fee,MATCH(L316,PORTS!$H$626:$H$933,0),MATCH(P$5,PORTS!$H$626:$Z$626,0))</f>
        <v>-0</v>
      </c>
      <c r="P316" s="352" t="n">
        <f aca="false">(((VLOOKUP(L316,curvecalc,4,0))*IF(F316=0,0,J316/F316)-INDEX(ship_curves,MATCH(L316,'SHIP CURVES'!$A$9:$A$316,0),MATCH(CONCATENATE(P$4,P$5,P$6,P$7),'SHIP CURVES'!$A$9:$Z$9,0))-INDEX(terminal_curves,MATCH(L316,'TERMINAL CURVES'!$A$4:$A$313,0),MATCH(P$5,'TERMINAL CURVES'!$A$4:$N$4,0))*IF(F316=0,0,H316/F316))-(N$8)*((N$7-$N$5)-(INDEX(ship_curves,MATCH(L316,'SHIP CURVES'!$A$9:$A$316,0),MATCH(CONCATENATE(P$4,P$5,P$6,P$7),'SHIP CURVES'!$A$9:$Z$9,0))-INDEX(ship_curves,MATCH(L316,'SHIP CURVES'!$A$9:$A$316,0),MATCH(CONCATENATE(P$4,N$6,P$6,P$7),'SHIP CURVES'!$A$9:$Z$9,0)))-(INDEX(terminal_curves,MATCH(L316,'TERMINAL CURVES'!$A$4:$A$313,0),MATCH(P$5,'TERMINAL CURVES'!$A$4:$N$4,0))-INDEX(terminal_curves,MATCH(L316,'TERMINAL CURVES'!$A$4:$A$313,0),MATCH(N$6,'TERMINAL CURVES'!$A$4:$N$4,0)))*IF(F316=0,0,H316/F316)))*-F316</f>
        <v>0</v>
      </c>
      <c r="Q316" s="353" t="n">
        <f aca="false">SUM(N316:P316)</f>
        <v>0</v>
      </c>
      <c r="R316" s="357" t="n">
        <f aca="false">(-H316/((HLOOKUP(P$5,port_specs,2,0)/(365.25))*(L317-L316)))*(INDEX(fixed_capacity_charge,MATCH(L316,PORTS!$H$11:$H$317,0),MATCH(P$5,PORTS!$H$11:$N$11,0))+INDEX(variable_om_charge,MATCH(L316,PORTS!$H$318:$H$625,0),MATCH(P$5,PORTS!$H$318:$N$318,0)))</f>
        <v>-0</v>
      </c>
      <c r="S316" s="343" t="n">
        <f aca="false">+R316+Q316</f>
        <v>0</v>
      </c>
      <c r="T316" s="355" t="n">
        <f aca="false">+S316+M316</f>
        <v>0</v>
      </c>
      <c r="V316" s="346" t="n">
        <f aca="false">+DATE(YEAR(V315),MONTH(V315)+1,1)</f>
        <v>45778</v>
      </c>
      <c r="W316" s="327" t="n">
        <f aca="false">+Y316/(1-HLOOKUP(X$6,SHIPS,7,0)*INDEX(LADEN_VOYAGE_DAYS,MATCH(CONCATENATE(X$4,X$5),LADEN_VOYAGE_ROUTES,0),MATCH(X$6,LADEN_VOYAGE_SHIPS,0)))</f>
        <v>0</v>
      </c>
      <c r="X316" s="347" t="n">
        <f aca="false">+Y316-W316</f>
        <v>0</v>
      </c>
      <c r="Y316" s="348" t="n">
        <f aca="false">+IF(AND(X$8&lt;=V316,X$9&gt;=V316),+MIN($B316-SUMIF($H$17:X$17,Y$17,$H316:X316),((INDEX(ROUTE_PER_DAY_BY_SHIP,MATCH(CONCATENATE(X$4,X$5,X$7),ROUTE_PER_DAY_ROUTES,0),MATCH(X$6,ROUTE_PER_DAY_SHIPS,0))*(V317-V316))-(INDEX(ROUTE_PER_DAY_BY_SHIP,MATCH(CONCATENATE(X$4,X$5,X$7),ROUTE_PER_DAY_ROUTES,0),MATCH(X$6,ROUTE_PER_DAY_SHIPS,0))*(V317-V316))*HLOOKUP(X$6,SHIPS,7,0)*INDEX(LADEN_VOYAGE_DAYS,MATCH(CONCATENATE(X$4,X$5,X$7),LADEN_VOYAGE_ROUTES,0),MATCH(X$6,LADEN_VOYAGE_SHIPS,0)))),0)</f>
        <v>0</v>
      </c>
      <c r="Z316" s="349" t="n">
        <f aca="false">-(Y316)*HLOOKUP(X$5,TERMINAL_CHARGES,3,0)</f>
        <v>-0</v>
      </c>
      <c r="AA316" s="327" t="n">
        <f aca="false">+Y316+Z316</f>
        <v>0</v>
      </c>
      <c r="AB316" s="333"/>
      <c r="AC316" s="346" t="n">
        <f aca="false">+DATE(YEAR(AC315),MONTH(AC315)+1,1)</f>
        <v>45778</v>
      </c>
      <c r="AD316" s="343" t="n">
        <f aca="false">+AA316*(VLOOKUP(AC316,CURVECALC!$C$6:$J$312,4,0)+AE$5)</f>
        <v>0</v>
      </c>
      <c r="AE316" s="350" t="n">
        <f aca="false">-W316*INDEX(ship_curves,MATCH(AC316,'SHIP CURVES'!$A$9:$A$316,0),MATCH(CONCATENATE(AG$4,AG$5,AG$6,AG$7),'SHIP CURVES'!$A$9:$AZ$9,0))</f>
        <v>-0</v>
      </c>
      <c r="AF316" s="351" t="n">
        <f aca="false">-Y316*INDEX(port_processing_fee,MATCH(AC316,PORTS!$H$626:$H$933,0),MATCH(AG$5,PORTS!$H$626:$Z$626,0))</f>
        <v>-0</v>
      </c>
      <c r="AG316" s="352" t="n">
        <f aca="false">(((VLOOKUP(AC316,curvecalc,4,0))*IF(W316=0,0,AA316/W316)-INDEX(ship_curves,MATCH(AC316,'SHIP CURVES'!$A$9:$A$316,0),MATCH(CONCATENATE(AG$4,AG$5,AG$6,AG$7),'SHIP CURVES'!$A$9:$Z$9,0))-INDEX(terminal_curves,MATCH(AC316,'TERMINAL CURVES'!$A$4:$A$313,0),MATCH(AG$5,'TERMINAL CURVES'!$A$4:$N$4,0))*IF(W316=0,0,Y316/W316))-(AE$8)*((AE$7-$N$5)-(INDEX(ship_curves,MATCH(AC316,'SHIP CURVES'!$A$9:$A$316,0),MATCH(CONCATENATE(AG$4,AG$5,AG$6,AG$7),'SHIP CURVES'!$A$9:$Z$9,0))-INDEX(ship_curves,MATCH(AC316,'SHIP CURVES'!$A$9:$A$316,0),MATCH(CONCATENATE(AG$4,AE$6,AG$6,AG$7),'SHIP CURVES'!$A$9:$Z$9,0)))-(INDEX(terminal_curves,MATCH(AC316,'TERMINAL CURVES'!$A$4:$A$313,0),MATCH(AG$5,'TERMINAL CURVES'!$A$4:$N$4,0))-INDEX(terminal_curves,MATCH(AC316,'TERMINAL CURVES'!$A$4:$A$313,0),MATCH(AE$6,'TERMINAL CURVES'!$A$4:$N$4,0)))*IF(W316=0,0,Y316/W316)))*-W316</f>
        <v>0</v>
      </c>
      <c r="AH316" s="356" t="n">
        <f aca="false">SUM(AE316:AG316)</f>
        <v>0</v>
      </c>
      <c r="AI316" s="357" t="n">
        <f aca="false">(-Y316/((HLOOKUP(AG$5,port_specs,2,0)/(365.25))*(AC317-AC316)))*(INDEX(fixed_capacity_charge,MATCH(AC316,PORTS!$H$11:$H$317,0),MATCH(AG$5,PORTS!$H$11:$N$11,0))+INDEX(variable_om_charge,MATCH(AC316,PORTS!$H$318:$H$625,0),MATCH(AG$5,PORTS!$H$318:$N$318,0)))</f>
        <v>-0</v>
      </c>
      <c r="AJ316" s="343" t="n">
        <f aca="false">+AI316+AH316</f>
        <v>0</v>
      </c>
      <c r="AK316" s="355" t="n">
        <f aca="false">+AJ316+AD316</f>
        <v>0</v>
      </c>
      <c r="AM316" s="346" t="n">
        <f aca="false">+DATE(YEAR(AM315),MONTH(AM315)+1,1)</f>
        <v>45778</v>
      </c>
      <c r="AN316" s="327" t="n">
        <f aca="false">+AP316/(1-HLOOKUP(AO$6,SHIPS,7,0)*INDEX(LADEN_VOYAGE_DAYS,MATCH(CONCATENATE(AO$4,AO$5),LADEN_VOYAGE_ROUTES,0),MATCH(AO$6,LADEN_VOYAGE_SHIPS,0)))</f>
        <v>0</v>
      </c>
      <c r="AO316" s="347" t="n">
        <f aca="false">+AP316-AN316</f>
        <v>0</v>
      </c>
      <c r="AP316" s="348" t="n">
        <f aca="false">+IF(AND(AO$8&lt;=AM316,AO$9&gt;=AM316),+MIN($B316-SUMIF($H$17:AO$17,AP$17,$H316:AO316),((INDEX(ROUTE_PER_DAY_BY_SHIP,MATCH(CONCATENATE(AO$4,AO$5,AO$7),ROUTE_PER_DAY_ROUTES,0),MATCH(AO$6,ROUTE_PER_DAY_SHIPS,0))*(AM317-AM316))-(INDEX(ROUTE_PER_DAY_BY_SHIP,MATCH(CONCATENATE(AO$4,AO$5,AO$7),ROUTE_PER_DAY_ROUTES,0),MATCH(AO$6,ROUTE_PER_DAY_SHIPS,0))*(AM317-AM316))*HLOOKUP(AO$6,SHIPS,7,0)*INDEX(LADEN_VOYAGE_DAYS,MATCH(CONCATENATE(AO$4,AO$5,AO$7),LADEN_VOYAGE_ROUTES,0),MATCH(AO$6,LADEN_VOYAGE_SHIPS,0)))),0)</f>
        <v>0</v>
      </c>
      <c r="AQ316" s="349" t="n">
        <f aca="false">-(AP316)*PORTS!$I$6</f>
        <v>-0</v>
      </c>
      <c r="AR316" s="327" t="n">
        <f aca="false">+AP316+AQ316</f>
        <v>0</v>
      </c>
      <c r="AS316" s="333"/>
      <c r="AT316" s="346" t="n">
        <f aca="false">+DATE(YEAR(AT315),MONTH(AT315)+1,1)</f>
        <v>45778</v>
      </c>
      <c r="AU316" s="343" t="n">
        <f aca="false">+AR316*(VLOOKUP(AT316,CURVECALC!$C$6:$J$312,4,0)+AV$5)</f>
        <v>0</v>
      </c>
      <c r="AV316" s="350" t="n">
        <f aca="false">-AN316*INDEX(ship_curves,MATCH(AT316,'SHIP CURVES'!$A$9:$A$316,0),MATCH(CONCATENATE(AX$4,AX$5,AX$6,AX$7),'SHIP CURVES'!$A$9:$AZ$9,0))</f>
        <v>-0</v>
      </c>
      <c r="AW316" s="351" t="n">
        <f aca="false">-AP316*INDEX(port_processing_fee,MATCH(AT316,PORTS!$H$626:$H$933,0),MATCH(AX$5,PORTS!$H$626:$Z$626,0))</f>
        <v>-0</v>
      </c>
      <c r="AX316" s="352" t="n">
        <f aca="false">(((VLOOKUP(AT316,curvecalc,4,0))*IF(AN316=0,0,AR316/AN316)-INDEX(ship_curves,MATCH(AT316,'SHIP CURVES'!$A$9:$A$316,0),MATCH(CONCATENATE(AX$4,AX$5,AX$6,AX$7),'SHIP CURVES'!$A$9:$Z$9,0))-INDEX(terminal_curves,MATCH(AT316,'TERMINAL CURVES'!$A$4:$A$313,0),MATCH(AX$5,'TERMINAL CURVES'!$A$4:$N$4,0))*IF(AN316=0,0,AP316/AN316))-(AV$8)*((AV$7-$N$5)-(INDEX(ship_curves,MATCH(AT316,'SHIP CURVES'!$A$9:$A$316,0),MATCH(CONCATENATE(AX$4,AX$5,AX$6,AX$7),'SHIP CURVES'!$A$9:$Z$9,0))-INDEX(ship_curves,MATCH(AT316,'SHIP CURVES'!$A$9:$A$316,0),MATCH(CONCATENATE(AX$4,AV$6,AX$6,AX$7),'SHIP CURVES'!$A$9:$Z$9,0)))-(INDEX(terminal_curves,MATCH(AT316,'TERMINAL CURVES'!$A$4:$A$313,0),MATCH(AX$5,'TERMINAL CURVES'!$A$4:$N$4,0))-INDEX(terminal_curves,MATCH(AT316,'TERMINAL CURVES'!$A$4:$A$313,0),MATCH(AV$6,'TERMINAL CURVES'!$A$4:$N$4,0)))*IF(AN316=0,0,AP316/AN316)))*-AN316</f>
        <v>0</v>
      </c>
      <c r="AY316" s="356" t="n">
        <f aca="false">SUM(AV316:AX316)</f>
        <v>0</v>
      </c>
      <c r="AZ316" s="357" t="n">
        <f aca="false">(-AP316/((HLOOKUP(AX$5,port_specs,2,0)/(365.25))*(AT317-AT316)))*(INDEX(fixed_capacity_charge,MATCH(AT316,PORTS!$H$11:$H$317,0),MATCH(AX$5,PORTS!$H$11:$N$11,0))+INDEX(variable_om_charge,MATCH(AT316,PORTS!$H$318:$H$625,0),MATCH(AX$5,PORTS!$H$318:$N$318,0)))</f>
        <v>-0</v>
      </c>
      <c r="BA316" s="343" t="n">
        <f aca="false">+AZ316+AY316</f>
        <v>0</v>
      </c>
      <c r="BB316" s="355" t="n">
        <f aca="false">+BA316+AU316</f>
        <v>0</v>
      </c>
      <c r="BC316" s="99"/>
      <c r="BD316" s="357" t="n">
        <f aca="false">+PORTS!I310+PORTS!I618</f>
        <v>0</v>
      </c>
    </row>
    <row r="317" customFormat="false" ht="12.75" hidden="false" customHeight="false" outlineLevel="0" collapsed="false">
      <c r="A317" s="346" t="n">
        <f aca="false">+DATE(YEAR(A316),MONTH(A316)+1,1)</f>
        <v>45809</v>
      </c>
      <c r="B317" s="327" t="n">
        <f aca="false">+IF(AND($A317&gt;=$C$8,$A317&lt;=$C$9),1,0)*PORTS!$I$5/(365.25)*(A318-A317)</f>
        <v>0</v>
      </c>
      <c r="C317" s="328" t="n">
        <f aca="false">+B317-(SUMIF($F$17:$IV$17,$H$17,$F317:$IV317))</f>
        <v>0</v>
      </c>
      <c r="D317" s="0" t="n">
        <f aca="false">+YEAR(E317)</f>
        <v>2025</v>
      </c>
      <c r="E317" s="346" t="n">
        <f aca="false">+DATE(YEAR(E316),MONTH(E316)+1,1)</f>
        <v>45809</v>
      </c>
      <c r="F317" s="327" t="n">
        <f aca="false">+IF(AND(G$8&lt;=E317,G$9&gt;=E317),INDEX(ROUTE_PER_DAY_BY_SHIP,MATCH(CONCATENATE(G$4,G$5,G$7),ROUTE_PER_DAY_ROUTES,0),MATCH(G$6,ROUTE_PER_DAY_SHIPS,0))*(E318-E317),0)</f>
        <v>0</v>
      </c>
      <c r="G317" s="347" t="n">
        <f aca="false">-F317*HLOOKUP(G$6,SHIPS,7,0)*INDEX(LADEN_VOYAGE_DAYS,MATCH(CONCATENATE(G$4,G$5,G$7),LADEN_VOYAGE_ROUTES,0),MATCH(G$6,LADEN_VOYAGE_SHIPS,0))</f>
        <v>-0</v>
      </c>
      <c r="H317" s="348" t="n">
        <f aca="false">SUM(F317:G317)</f>
        <v>0</v>
      </c>
      <c r="I317" s="349" t="n">
        <f aca="false">-(H317)*HLOOKUP(G$5,TERMINAL_CHARGES,3,0)</f>
        <v>-0</v>
      </c>
      <c r="J317" s="327" t="n">
        <f aca="false">+H317+I317</f>
        <v>0</v>
      </c>
      <c r="K317" s="333"/>
      <c r="L317" s="346" t="n">
        <f aca="false">+DATE(YEAR(L316),MONTH(L316)+1,1)</f>
        <v>45809</v>
      </c>
      <c r="M317" s="334" t="n">
        <f aca="false">+J317*(VLOOKUP(L317,CURVECALC!$C$6:$J$312,4,0)+N$5)</f>
        <v>0</v>
      </c>
      <c r="N317" s="350" t="n">
        <f aca="false">-F317*INDEX(ship_curves,MATCH(L317,'SHIP CURVES'!$A$9:$A$316,0),MATCH(CONCATENATE(P$4,P$5,P$6,P$7),'SHIP CURVES'!$A$9:$AZ$9,0))</f>
        <v>-0</v>
      </c>
      <c r="O317" s="351" t="n">
        <f aca="false">-H317*INDEX(port_processing_fee,MATCH(L317,PORTS!$H$626:$H$933,0),MATCH(P$5,PORTS!$H$626:$Z$626,0))</f>
        <v>-0</v>
      </c>
      <c r="P317" s="352" t="n">
        <f aca="false">(((VLOOKUP(L317,curvecalc,4,0))*IF(F317=0,0,J317/F317)-INDEX(ship_curves,MATCH(L317,'SHIP CURVES'!$A$9:$A$316,0),MATCH(CONCATENATE(P$4,P$5,P$6,P$7),'SHIP CURVES'!$A$9:$Z$9,0))-INDEX(terminal_curves,MATCH(L317,'TERMINAL CURVES'!$A$4:$A$313,0),MATCH(P$5,'TERMINAL CURVES'!$A$4:$N$4,0))*IF(F317=0,0,H317/F317))-(N$8)*((N$7-$N$5)-(INDEX(ship_curves,MATCH(L317,'SHIP CURVES'!$A$9:$A$316,0),MATCH(CONCATENATE(P$4,P$5,P$6,P$7),'SHIP CURVES'!$A$9:$Z$9,0))-INDEX(ship_curves,MATCH(L317,'SHIP CURVES'!$A$9:$A$316,0),MATCH(CONCATENATE(P$4,N$6,P$6,P$7),'SHIP CURVES'!$A$9:$Z$9,0)))-(INDEX(terminal_curves,MATCH(L317,'TERMINAL CURVES'!$A$4:$A$313,0),MATCH(P$5,'TERMINAL CURVES'!$A$4:$N$4,0))-INDEX(terminal_curves,MATCH(L317,'TERMINAL CURVES'!$A$4:$A$313,0),MATCH(N$6,'TERMINAL CURVES'!$A$4:$N$4,0)))*IF(F317=0,0,H317/F317)))*-F317</f>
        <v>0</v>
      </c>
      <c r="Q317" s="353" t="n">
        <f aca="false">SUM(N317:P317)</f>
        <v>0</v>
      </c>
      <c r="R317" s="357" t="n">
        <f aca="false">(-H317/((HLOOKUP(P$5,port_specs,2,0)/(365.25))*(L318-L317)))*(INDEX(fixed_capacity_charge,MATCH(L317,PORTS!$H$11:$H$317,0),MATCH(P$5,PORTS!$H$11:$N$11,0))+INDEX(variable_om_charge,MATCH(L317,PORTS!$H$318:$H$625,0),MATCH(P$5,PORTS!$H$318:$N$318,0)))</f>
        <v>-0</v>
      </c>
      <c r="S317" s="343" t="n">
        <f aca="false">+R317+Q317</f>
        <v>0</v>
      </c>
      <c r="T317" s="355" t="n">
        <f aca="false">+S317+M317</f>
        <v>0</v>
      </c>
      <c r="V317" s="346" t="n">
        <f aca="false">+DATE(YEAR(V316),MONTH(V316)+1,1)</f>
        <v>45809</v>
      </c>
      <c r="W317" s="327" t="n">
        <f aca="false">+Y317/(1-HLOOKUP(X$6,SHIPS,7,0)*INDEX(LADEN_VOYAGE_DAYS,MATCH(CONCATENATE(X$4,X$5),LADEN_VOYAGE_ROUTES,0),MATCH(X$6,LADEN_VOYAGE_SHIPS,0)))</f>
        <v>0</v>
      </c>
      <c r="X317" s="347" t="n">
        <f aca="false">+Y317-W317</f>
        <v>0</v>
      </c>
      <c r="Y317" s="348" t="n">
        <f aca="false">+IF(AND(X$8&lt;=V317,X$9&gt;=V317),+MIN($B317-SUMIF($H$17:X$17,Y$17,$H317:X317),((INDEX(ROUTE_PER_DAY_BY_SHIP,MATCH(CONCATENATE(X$4,X$5,X$7),ROUTE_PER_DAY_ROUTES,0),MATCH(X$6,ROUTE_PER_DAY_SHIPS,0))*(V318-V317))-(INDEX(ROUTE_PER_DAY_BY_SHIP,MATCH(CONCATENATE(X$4,X$5,X$7),ROUTE_PER_DAY_ROUTES,0),MATCH(X$6,ROUTE_PER_DAY_SHIPS,0))*(V318-V317))*HLOOKUP(X$6,SHIPS,7,0)*INDEX(LADEN_VOYAGE_DAYS,MATCH(CONCATENATE(X$4,X$5,X$7),LADEN_VOYAGE_ROUTES,0),MATCH(X$6,LADEN_VOYAGE_SHIPS,0)))),0)</f>
        <v>0</v>
      </c>
      <c r="Z317" s="349" t="n">
        <f aca="false">-(Y317)*HLOOKUP(X$5,TERMINAL_CHARGES,3,0)</f>
        <v>-0</v>
      </c>
      <c r="AA317" s="327" t="n">
        <f aca="false">+Y317+Z317</f>
        <v>0</v>
      </c>
      <c r="AB317" s="333"/>
      <c r="AC317" s="346" t="n">
        <f aca="false">+DATE(YEAR(AC316),MONTH(AC316)+1,1)</f>
        <v>45809</v>
      </c>
      <c r="AD317" s="343" t="n">
        <f aca="false">+AA317*(VLOOKUP(AC317,CURVECALC!$C$6:$J$312,4,0)+AE$5)</f>
        <v>0</v>
      </c>
      <c r="AE317" s="350" t="n">
        <f aca="false">-W317*INDEX(ship_curves,MATCH(AC317,'SHIP CURVES'!$A$9:$A$316,0),MATCH(CONCATENATE(AG$4,AG$5,AG$6,AG$7),'SHIP CURVES'!$A$9:$AZ$9,0))</f>
        <v>-0</v>
      </c>
      <c r="AF317" s="351" t="n">
        <f aca="false">-Y317*INDEX(port_processing_fee,MATCH(AC317,PORTS!$H$626:$H$933,0),MATCH(AG$5,PORTS!$H$626:$Z$626,0))</f>
        <v>-0</v>
      </c>
      <c r="AG317" s="352" t="n">
        <f aca="false">(((VLOOKUP(AC317,curvecalc,4,0))*IF(W317=0,0,AA317/W317)-INDEX(ship_curves,MATCH(AC317,'SHIP CURVES'!$A$9:$A$316,0),MATCH(CONCATENATE(AG$4,AG$5,AG$6,AG$7),'SHIP CURVES'!$A$9:$Z$9,0))-INDEX(terminal_curves,MATCH(AC317,'TERMINAL CURVES'!$A$4:$A$313,0),MATCH(AG$5,'TERMINAL CURVES'!$A$4:$N$4,0))*IF(W317=0,0,Y317/W317))-(AE$8)*((AE$7-$N$5)-(INDEX(ship_curves,MATCH(AC317,'SHIP CURVES'!$A$9:$A$316,0),MATCH(CONCATENATE(AG$4,AG$5,AG$6,AG$7),'SHIP CURVES'!$A$9:$Z$9,0))-INDEX(ship_curves,MATCH(AC317,'SHIP CURVES'!$A$9:$A$316,0),MATCH(CONCATENATE(AG$4,AE$6,AG$6,AG$7),'SHIP CURVES'!$A$9:$Z$9,0)))-(INDEX(terminal_curves,MATCH(AC317,'TERMINAL CURVES'!$A$4:$A$313,0),MATCH(AG$5,'TERMINAL CURVES'!$A$4:$N$4,0))-INDEX(terminal_curves,MATCH(AC317,'TERMINAL CURVES'!$A$4:$A$313,0),MATCH(AE$6,'TERMINAL CURVES'!$A$4:$N$4,0)))*IF(W317=0,0,Y317/W317)))*-W317</f>
        <v>0</v>
      </c>
      <c r="AH317" s="356" t="n">
        <f aca="false">SUM(AE317:AG317)</f>
        <v>0</v>
      </c>
      <c r="AI317" s="357" t="n">
        <f aca="false">(-Y317/((HLOOKUP(AG$5,port_specs,2,0)/(365.25))*(AC318-AC317)))*(INDEX(fixed_capacity_charge,MATCH(AC317,PORTS!$H$11:$H$317,0),MATCH(AG$5,PORTS!$H$11:$N$11,0))+INDEX(variable_om_charge,MATCH(AC317,PORTS!$H$318:$H$625,0),MATCH(AG$5,PORTS!$H$318:$N$318,0)))</f>
        <v>-0</v>
      </c>
      <c r="AJ317" s="343" t="n">
        <f aca="false">+AI317+AH317</f>
        <v>0</v>
      </c>
      <c r="AK317" s="355" t="n">
        <f aca="false">+AJ317+AD317</f>
        <v>0</v>
      </c>
      <c r="AM317" s="346" t="n">
        <f aca="false">+DATE(YEAR(AM316),MONTH(AM316)+1,1)</f>
        <v>45809</v>
      </c>
      <c r="AN317" s="327" t="n">
        <f aca="false">+AP317/(1-HLOOKUP(AO$6,SHIPS,7,0)*INDEX(LADEN_VOYAGE_DAYS,MATCH(CONCATENATE(AO$4,AO$5),LADEN_VOYAGE_ROUTES,0),MATCH(AO$6,LADEN_VOYAGE_SHIPS,0)))</f>
        <v>0</v>
      </c>
      <c r="AO317" s="347" t="n">
        <f aca="false">+AP317-AN317</f>
        <v>0</v>
      </c>
      <c r="AP317" s="348" t="n">
        <f aca="false">+IF(AND(AO$8&lt;=AM317,AO$9&gt;=AM317),+MIN($B317-SUMIF($H$17:AO$17,AP$17,$H317:AO317),((INDEX(ROUTE_PER_DAY_BY_SHIP,MATCH(CONCATENATE(AO$4,AO$5,AO$7),ROUTE_PER_DAY_ROUTES,0),MATCH(AO$6,ROUTE_PER_DAY_SHIPS,0))*(AM318-AM317))-(INDEX(ROUTE_PER_DAY_BY_SHIP,MATCH(CONCATENATE(AO$4,AO$5,AO$7),ROUTE_PER_DAY_ROUTES,0),MATCH(AO$6,ROUTE_PER_DAY_SHIPS,0))*(AM318-AM317))*HLOOKUP(AO$6,SHIPS,7,0)*INDEX(LADEN_VOYAGE_DAYS,MATCH(CONCATENATE(AO$4,AO$5,AO$7),LADEN_VOYAGE_ROUTES,0),MATCH(AO$6,LADEN_VOYAGE_SHIPS,0)))),0)</f>
        <v>0</v>
      </c>
      <c r="AQ317" s="349" t="n">
        <f aca="false">-(AP317)*PORTS!$I$6</f>
        <v>-0</v>
      </c>
      <c r="AR317" s="327" t="n">
        <f aca="false">+AP317+AQ317</f>
        <v>0</v>
      </c>
      <c r="AS317" s="333"/>
      <c r="AT317" s="346" t="n">
        <f aca="false">+DATE(YEAR(AT316),MONTH(AT316)+1,1)</f>
        <v>45809</v>
      </c>
      <c r="AU317" s="343" t="n">
        <f aca="false">+AR317*(VLOOKUP(AT317,CURVECALC!$C$6:$J$312,4,0)+AV$5)</f>
        <v>0</v>
      </c>
      <c r="AV317" s="350" t="n">
        <f aca="false">-AN317*INDEX(ship_curves,MATCH(AT317,'SHIP CURVES'!$A$9:$A$316,0),MATCH(CONCATENATE(AX$4,AX$5,AX$6,AX$7),'SHIP CURVES'!$A$9:$AZ$9,0))</f>
        <v>-0</v>
      </c>
      <c r="AW317" s="351" t="n">
        <f aca="false">-AP317*INDEX(port_processing_fee,MATCH(AT317,PORTS!$H$626:$H$933,0),MATCH(AX$5,PORTS!$H$626:$Z$626,0))</f>
        <v>-0</v>
      </c>
      <c r="AX317" s="352" t="n">
        <f aca="false">(((VLOOKUP(AT317,curvecalc,4,0))*IF(AN317=0,0,AR317/AN317)-INDEX(ship_curves,MATCH(AT317,'SHIP CURVES'!$A$9:$A$316,0),MATCH(CONCATENATE(AX$4,AX$5,AX$6,AX$7),'SHIP CURVES'!$A$9:$Z$9,0))-INDEX(terminal_curves,MATCH(AT317,'TERMINAL CURVES'!$A$4:$A$313,0),MATCH(AX$5,'TERMINAL CURVES'!$A$4:$N$4,0))*IF(AN317=0,0,AP317/AN317))-(AV$8)*((AV$7-$N$5)-(INDEX(ship_curves,MATCH(AT317,'SHIP CURVES'!$A$9:$A$316,0),MATCH(CONCATENATE(AX$4,AX$5,AX$6,AX$7),'SHIP CURVES'!$A$9:$Z$9,0))-INDEX(ship_curves,MATCH(AT317,'SHIP CURVES'!$A$9:$A$316,0),MATCH(CONCATENATE(AX$4,AV$6,AX$6,AX$7),'SHIP CURVES'!$A$9:$Z$9,0)))-(INDEX(terminal_curves,MATCH(AT317,'TERMINAL CURVES'!$A$4:$A$313,0),MATCH(AX$5,'TERMINAL CURVES'!$A$4:$N$4,0))-INDEX(terminal_curves,MATCH(AT317,'TERMINAL CURVES'!$A$4:$A$313,0),MATCH(AV$6,'TERMINAL CURVES'!$A$4:$N$4,0)))*IF(AN317=0,0,AP317/AN317)))*-AN317</f>
        <v>0</v>
      </c>
      <c r="AY317" s="356" t="n">
        <f aca="false">SUM(AV317:AX317)</f>
        <v>0</v>
      </c>
      <c r="AZ317" s="357" t="n">
        <f aca="false">(-AP317/((HLOOKUP(AX$5,port_specs,2,0)/(365.25))*(AT318-AT317)))*(INDEX(fixed_capacity_charge,MATCH(AT317,PORTS!$H$11:$H$317,0),MATCH(AX$5,PORTS!$H$11:$N$11,0))+INDEX(variable_om_charge,MATCH(AT317,PORTS!$H$318:$H$625,0),MATCH(AX$5,PORTS!$H$318:$N$318,0)))</f>
        <v>-0</v>
      </c>
      <c r="BA317" s="343" t="n">
        <f aca="false">+AZ317+AY317</f>
        <v>0</v>
      </c>
      <c r="BB317" s="355" t="n">
        <f aca="false">+BA317+AU317</f>
        <v>0</v>
      </c>
      <c r="BC317" s="99"/>
      <c r="BD317" s="357" t="n">
        <f aca="false">+PORTS!I311+PORTS!I619</f>
        <v>0</v>
      </c>
    </row>
    <row r="318" customFormat="false" ht="12.75" hidden="false" customHeight="false" outlineLevel="0" collapsed="false">
      <c r="A318" s="346" t="n">
        <f aca="false">+DATE(YEAR(A317),MONTH(A317)+1,1)</f>
        <v>45839</v>
      </c>
      <c r="B318" s="327" t="n">
        <f aca="false">+IF(AND($A318&gt;=$C$8,$A318&lt;=$C$9),1,0)*PORTS!$I$5/(365.25)*(A319-A318)</f>
        <v>0</v>
      </c>
      <c r="C318" s="328" t="n">
        <f aca="false">+B318-(SUMIF($F$17:$IV$17,$H$17,$F318:$IV318))</f>
        <v>0</v>
      </c>
      <c r="D318" s="0" t="n">
        <f aca="false">+YEAR(E318)</f>
        <v>2025</v>
      </c>
      <c r="E318" s="346" t="n">
        <f aca="false">+DATE(YEAR(E317),MONTH(E317)+1,1)</f>
        <v>45839</v>
      </c>
      <c r="F318" s="327" t="n">
        <f aca="false">+IF(AND(G$8&lt;=E318,G$9&gt;=E318),INDEX(ROUTE_PER_DAY_BY_SHIP,MATCH(CONCATENATE(G$4,G$5,G$7),ROUTE_PER_DAY_ROUTES,0),MATCH(G$6,ROUTE_PER_DAY_SHIPS,0))*(E319-E318),0)</f>
        <v>0</v>
      </c>
      <c r="G318" s="347" t="n">
        <f aca="false">-F318*HLOOKUP(G$6,SHIPS,7,0)*INDEX(LADEN_VOYAGE_DAYS,MATCH(CONCATENATE(G$4,G$5,G$7),LADEN_VOYAGE_ROUTES,0),MATCH(G$6,LADEN_VOYAGE_SHIPS,0))</f>
        <v>-0</v>
      </c>
      <c r="H318" s="348" t="n">
        <f aca="false">SUM(F318:G318)</f>
        <v>0</v>
      </c>
      <c r="I318" s="349" t="n">
        <f aca="false">-(H318)*HLOOKUP(G$5,TERMINAL_CHARGES,3,0)</f>
        <v>-0</v>
      </c>
      <c r="J318" s="327" t="n">
        <f aca="false">+H318+I318</f>
        <v>0</v>
      </c>
      <c r="K318" s="333"/>
      <c r="L318" s="346" t="n">
        <f aca="false">+DATE(YEAR(L317),MONTH(L317)+1,1)</f>
        <v>45839</v>
      </c>
      <c r="M318" s="334" t="n">
        <f aca="false">+J318*(VLOOKUP(L318,CURVECALC!$C$6:$J$312,4,0)+N$5)</f>
        <v>0</v>
      </c>
      <c r="N318" s="350" t="n">
        <f aca="false">-F318*INDEX(ship_curves,MATCH(L318,'SHIP CURVES'!$A$9:$A$316,0),MATCH(CONCATENATE(P$4,P$5,P$6,P$7),'SHIP CURVES'!$A$9:$AZ$9,0))</f>
        <v>-0</v>
      </c>
      <c r="O318" s="351" t="n">
        <f aca="false">-H318*INDEX(port_processing_fee,MATCH(L318,PORTS!$H$626:$H$933,0),MATCH(P$5,PORTS!$H$626:$Z$626,0))</f>
        <v>-0</v>
      </c>
      <c r="P318" s="352" t="n">
        <f aca="false">(((VLOOKUP(L318,curvecalc,4,0))*IF(F318=0,0,J318/F318)-INDEX(ship_curves,MATCH(L318,'SHIP CURVES'!$A$9:$A$316,0),MATCH(CONCATENATE(P$4,P$5,P$6,P$7),'SHIP CURVES'!$A$9:$Z$9,0))-INDEX(terminal_curves,MATCH(L318,'TERMINAL CURVES'!$A$4:$A$313,0),MATCH(P$5,'TERMINAL CURVES'!$A$4:$N$4,0))*IF(F318=0,0,H318/F318))-(N$8)*((N$7-$N$5)-(INDEX(ship_curves,MATCH(L318,'SHIP CURVES'!$A$9:$A$316,0),MATCH(CONCATENATE(P$4,P$5,P$6,P$7),'SHIP CURVES'!$A$9:$Z$9,0))-INDEX(ship_curves,MATCH(L318,'SHIP CURVES'!$A$9:$A$316,0),MATCH(CONCATENATE(P$4,N$6,P$6,P$7),'SHIP CURVES'!$A$9:$Z$9,0)))-(INDEX(terminal_curves,MATCH(L318,'TERMINAL CURVES'!$A$4:$A$313,0),MATCH(P$5,'TERMINAL CURVES'!$A$4:$N$4,0))-INDEX(terminal_curves,MATCH(L318,'TERMINAL CURVES'!$A$4:$A$313,0),MATCH(N$6,'TERMINAL CURVES'!$A$4:$N$4,0)))*IF(F318=0,0,H318/F318)))*-F318</f>
        <v>0</v>
      </c>
      <c r="Q318" s="353" t="n">
        <f aca="false">SUM(N318:P318)</f>
        <v>0</v>
      </c>
      <c r="R318" s="357" t="n">
        <f aca="false">(-H318/((HLOOKUP(P$5,port_specs,2,0)/(365.25))*(L319-L318)))*(INDEX(fixed_capacity_charge,MATCH(L318,PORTS!$H$11:$H$317,0),MATCH(P$5,PORTS!$H$11:$N$11,0))+INDEX(variable_om_charge,MATCH(L318,PORTS!$H$318:$H$625,0),MATCH(P$5,PORTS!$H$318:$N$318,0)))</f>
        <v>-0</v>
      </c>
      <c r="S318" s="343" t="n">
        <f aca="false">+R318+Q318</f>
        <v>0</v>
      </c>
      <c r="T318" s="355" t="n">
        <f aca="false">+S318+M318</f>
        <v>0</v>
      </c>
      <c r="V318" s="346" t="n">
        <f aca="false">+DATE(YEAR(V317),MONTH(V317)+1,1)</f>
        <v>45839</v>
      </c>
      <c r="W318" s="327" t="n">
        <f aca="false">+Y318/(1-HLOOKUP(X$6,SHIPS,7,0)*INDEX(LADEN_VOYAGE_DAYS,MATCH(CONCATENATE(X$4,X$5),LADEN_VOYAGE_ROUTES,0),MATCH(X$6,LADEN_VOYAGE_SHIPS,0)))</f>
        <v>0</v>
      </c>
      <c r="X318" s="347" t="n">
        <f aca="false">+Y318-W318</f>
        <v>0</v>
      </c>
      <c r="Y318" s="348" t="n">
        <f aca="false">+IF(AND(X$8&lt;=V318,X$9&gt;=V318),+MIN($B318-SUMIF($H$17:X$17,Y$17,$H318:X318),((INDEX(ROUTE_PER_DAY_BY_SHIP,MATCH(CONCATENATE(X$4,X$5,X$7),ROUTE_PER_DAY_ROUTES,0),MATCH(X$6,ROUTE_PER_DAY_SHIPS,0))*(V319-V318))-(INDEX(ROUTE_PER_DAY_BY_SHIP,MATCH(CONCATENATE(X$4,X$5,X$7),ROUTE_PER_DAY_ROUTES,0),MATCH(X$6,ROUTE_PER_DAY_SHIPS,0))*(V319-V318))*HLOOKUP(X$6,SHIPS,7,0)*INDEX(LADEN_VOYAGE_DAYS,MATCH(CONCATENATE(X$4,X$5,X$7),LADEN_VOYAGE_ROUTES,0),MATCH(X$6,LADEN_VOYAGE_SHIPS,0)))),0)</f>
        <v>0</v>
      </c>
      <c r="Z318" s="349" t="n">
        <f aca="false">-(Y318)*HLOOKUP(X$5,TERMINAL_CHARGES,3,0)</f>
        <v>-0</v>
      </c>
      <c r="AA318" s="327" t="n">
        <f aca="false">+Y318+Z318</f>
        <v>0</v>
      </c>
      <c r="AB318" s="333"/>
      <c r="AC318" s="346" t="n">
        <f aca="false">+DATE(YEAR(AC317),MONTH(AC317)+1,1)</f>
        <v>45839</v>
      </c>
      <c r="AD318" s="343" t="n">
        <f aca="false">+AA318*(VLOOKUP(AC318,CURVECALC!$C$6:$J$312,4,0)+AE$5)</f>
        <v>0</v>
      </c>
      <c r="AE318" s="350" t="n">
        <f aca="false">-W318*INDEX(ship_curves,MATCH(AC318,'SHIP CURVES'!$A$9:$A$316,0),MATCH(CONCATENATE(AG$4,AG$5,AG$6,AG$7),'SHIP CURVES'!$A$9:$AZ$9,0))</f>
        <v>-0</v>
      </c>
      <c r="AF318" s="351" t="n">
        <f aca="false">-Y318*INDEX(port_processing_fee,MATCH(AC318,PORTS!$H$626:$H$933,0),MATCH(AG$5,PORTS!$H$626:$Z$626,0))</f>
        <v>-0</v>
      </c>
      <c r="AG318" s="352" t="n">
        <f aca="false">(((VLOOKUP(AC318,curvecalc,4,0))*IF(W318=0,0,AA318/W318)-INDEX(ship_curves,MATCH(AC318,'SHIP CURVES'!$A$9:$A$316,0),MATCH(CONCATENATE(AG$4,AG$5,AG$6,AG$7),'SHIP CURVES'!$A$9:$Z$9,0))-INDEX(terminal_curves,MATCH(AC318,'TERMINAL CURVES'!$A$4:$A$313,0),MATCH(AG$5,'TERMINAL CURVES'!$A$4:$N$4,0))*IF(W318=0,0,Y318/W318))-(AE$8)*((AE$7-$N$5)-(INDEX(ship_curves,MATCH(AC318,'SHIP CURVES'!$A$9:$A$316,0),MATCH(CONCATENATE(AG$4,AG$5,AG$6,AG$7),'SHIP CURVES'!$A$9:$Z$9,0))-INDEX(ship_curves,MATCH(AC318,'SHIP CURVES'!$A$9:$A$316,0),MATCH(CONCATENATE(AG$4,AE$6,AG$6,AG$7),'SHIP CURVES'!$A$9:$Z$9,0)))-(INDEX(terminal_curves,MATCH(AC318,'TERMINAL CURVES'!$A$4:$A$313,0),MATCH(AG$5,'TERMINAL CURVES'!$A$4:$N$4,0))-INDEX(terminal_curves,MATCH(AC318,'TERMINAL CURVES'!$A$4:$A$313,0),MATCH(AE$6,'TERMINAL CURVES'!$A$4:$N$4,0)))*IF(W318=0,0,Y318/W318)))*-W318</f>
        <v>0</v>
      </c>
      <c r="AH318" s="356" t="n">
        <f aca="false">SUM(AE318:AG318)</f>
        <v>0</v>
      </c>
      <c r="AI318" s="357" t="n">
        <f aca="false">(-Y318/((HLOOKUP(AG$5,port_specs,2,0)/(365.25))*(AC319-AC318)))*(INDEX(fixed_capacity_charge,MATCH(AC318,PORTS!$H$11:$H$317,0),MATCH(AG$5,PORTS!$H$11:$N$11,0))+INDEX(variable_om_charge,MATCH(AC318,PORTS!$H$318:$H$625,0),MATCH(AG$5,PORTS!$H$318:$N$318,0)))</f>
        <v>-0</v>
      </c>
      <c r="AJ318" s="343" t="n">
        <f aca="false">+AI318+AH318</f>
        <v>0</v>
      </c>
      <c r="AK318" s="355" t="n">
        <f aca="false">+AJ318+AD318</f>
        <v>0</v>
      </c>
      <c r="AM318" s="346" t="n">
        <f aca="false">+DATE(YEAR(AM317),MONTH(AM317)+1,1)</f>
        <v>45839</v>
      </c>
      <c r="AN318" s="327" t="n">
        <f aca="false">+AP318/(1-HLOOKUP(AO$6,SHIPS,7,0)*INDEX(LADEN_VOYAGE_DAYS,MATCH(CONCATENATE(AO$4,AO$5),LADEN_VOYAGE_ROUTES,0),MATCH(AO$6,LADEN_VOYAGE_SHIPS,0)))</f>
        <v>0</v>
      </c>
      <c r="AO318" s="347" t="n">
        <f aca="false">+AP318-AN318</f>
        <v>0</v>
      </c>
      <c r="AP318" s="348" t="n">
        <f aca="false">+IF(AND(AO$8&lt;=AM318,AO$9&gt;=AM318),+MIN($B318-SUMIF($H$17:AO$17,AP$17,$H318:AO318),((INDEX(ROUTE_PER_DAY_BY_SHIP,MATCH(CONCATENATE(AO$4,AO$5,AO$7),ROUTE_PER_DAY_ROUTES,0),MATCH(AO$6,ROUTE_PER_DAY_SHIPS,0))*(AM319-AM318))-(INDEX(ROUTE_PER_DAY_BY_SHIP,MATCH(CONCATENATE(AO$4,AO$5,AO$7),ROUTE_PER_DAY_ROUTES,0),MATCH(AO$6,ROUTE_PER_DAY_SHIPS,0))*(AM319-AM318))*HLOOKUP(AO$6,SHIPS,7,0)*INDEX(LADEN_VOYAGE_DAYS,MATCH(CONCATENATE(AO$4,AO$5,AO$7),LADEN_VOYAGE_ROUTES,0),MATCH(AO$6,LADEN_VOYAGE_SHIPS,0)))),0)</f>
        <v>0</v>
      </c>
      <c r="AQ318" s="349" t="n">
        <f aca="false">-(AP318)*PORTS!$I$6</f>
        <v>-0</v>
      </c>
      <c r="AR318" s="327" t="n">
        <f aca="false">+AP318+AQ318</f>
        <v>0</v>
      </c>
      <c r="AS318" s="333"/>
      <c r="AT318" s="346" t="n">
        <f aca="false">+DATE(YEAR(AT317),MONTH(AT317)+1,1)</f>
        <v>45839</v>
      </c>
      <c r="AU318" s="343" t="n">
        <f aca="false">+AR318*(VLOOKUP(AT318,CURVECALC!$C$6:$J$312,4,0)+AV$5)</f>
        <v>0</v>
      </c>
      <c r="AV318" s="350" t="n">
        <f aca="false">-AN318*INDEX(ship_curves,MATCH(AT318,'SHIP CURVES'!$A$9:$A$316,0),MATCH(CONCATENATE(AX$4,AX$5,AX$6,AX$7),'SHIP CURVES'!$A$9:$AZ$9,0))</f>
        <v>-0</v>
      </c>
      <c r="AW318" s="351" t="n">
        <f aca="false">-AP318*INDEX(port_processing_fee,MATCH(AT318,PORTS!$H$626:$H$933,0),MATCH(AX$5,PORTS!$H$626:$Z$626,0))</f>
        <v>-0</v>
      </c>
      <c r="AX318" s="352" t="n">
        <f aca="false">(((VLOOKUP(AT318,curvecalc,4,0))*IF(AN318=0,0,AR318/AN318)-INDEX(ship_curves,MATCH(AT318,'SHIP CURVES'!$A$9:$A$316,0),MATCH(CONCATENATE(AX$4,AX$5,AX$6,AX$7),'SHIP CURVES'!$A$9:$Z$9,0))-INDEX(terminal_curves,MATCH(AT318,'TERMINAL CURVES'!$A$4:$A$313,0),MATCH(AX$5,'TERMINAL CURVES'!$A$4:$N$4,0))*IF(AN318=0,0,AP318/AN318))-(AV$8)*((AV$7-$N$5)-(INDEX(ship_curves,MATCH(AT318,'SHIP CURVES'!$A$9:$A$316,0),MATCH(CONCATENATE(AX$4,AX$5,AX$6,AX$7),'SHIP CURVES'!$A$9:$Z$9,0))-INDEX(ship_curves,MATCH(AT318,'SHIP CURVES'!$A$9:$A$316,0),MATCH(CONCATENATE(AX$4,AV$6,AX$6,AX$7),'SHIP CURVES'!$A$9:$Z$9,0)))-(INDEX(terminal_curves,MATCH(AT318,'TERMINAL CURVES'!$A$4:$A$313,0),MATCH(AX$5,'TERMINAL CURVES'!$A$4:$N$4,0))-INDEX(terminal_curves,MATCH(AT318,'TERMINAL CURVES'!$A$4:$A$313,0),MATCH(AV$6,'TERMINAL CURVES'!$A$4:$N$4,0)))*IF(AN318=0,0,AP318/AN318)))*-AN318</f>
        <v>0</v>
      </c>
      <c r="AY318" s="356" t="n">
        <f aca="false">SUM(AV318:AX318)</f>
        <v>0</v>
      </c>
      <c r="AZ318" s="357" t="n">
        <f aca="false">(-AP318/((HLOOKUP(AX$5,port_specs,2,0)/(365.25))*(AT319-AT318)))*(INDEX(fixed_capacity_charge,MATCH(AT318,PORTS!$H$11:$H$317,0),MATCH(AX$5,PORTS!$H$11:$N$11,0))+INDEX(variable_om_charge,MATCH(AT318,PORTS!$H$318:$H$625,0),MATCH(AX$5,PORTS!$H$318:$N$318,0)))</f>
        <v>-0</v>
      </c>
      <c r="BA318" s="343" t="n">
        <f aca="false">+AZ318+AY318</f>
        <v>0</v>
      </c>
      <c r="BB318" s="355" t="n">
        <f aca="false">+BA318+AU318</f>
        <v>0</v>
      </c>
      <c r="BC318" s="99"/>
      <c r="BD318" s="357" t="n">
        <f aca="false">+PORTS!I312+PORTS!I620</f>
        <v>0</v>
      </c>
    </row>
    <row r="319" customFormat="false" ht="12.75" hidden="false" customHeight="false" outlineLevel="0" collapsed="false">
      <c r="A319" s="346" t="n">
        <f aca="false">+DATE(YEAR(A318),MONTH(A318)+1,1)</f>
        <v>45870</v>
      </c>
      <c r="B319" s="327" t="n">
        <f aca="false">+IF(AND($A319&gt;=$C$8,$A319&lt;=$C$9),1,0)*PORTS!$I$5/(365.25)*(A320-A319)</f>
        <v>0</v>
      </c>
      <c r="C319" s="328" t="n">
        <f aca="false">+B319-(SUMIF($F$17:$IV$17,$H$17,$F319:$IV319))</f>
        <v>0</v>
      </c>
      <c r="D319" s="0" t="n">
        <f aca="false">+YEAR(E319)</f>
        <v>2025</v>
      </c>
      <c r="E319" s="346" t="n">
        <f aca="false">+DATE(YEAR(E318),MONTH(E318)+1,1)</f>
        <v>45870</v>
      </c>
      <c r="F319" s="327" t="n">
        <f aca="false">+IF(AND(G$8&lt;=E319,G$9&gt;=E319),INDEX(ROUTE_PER_DAY_BY_SHIP,MATCH(CONCATENATE(G$4,G$5,G$7),ROUTE_PER_DAY_ROUTES,0),MATCH(G$6,ROUTE_PER_DAY_SHIPS,0))*(E320-E319),0)</f>
        <v>0</v>
      </c>
      <c r="G319" s="347" t="n">
        <f aca="false">-F319*HLOOKUP(G$6,SHIPS,7,0)*INDEX(LADEN_VOYAGE_DAYS,MATCH(CONCATENATE(G$4,G$5,G$7),LADEN_VOYAGE_ROUTES,0),MATCH(G$6,LADEN_VOYAGE_SHIPS,0))</f>
        <v>-0</v>
      </c>
      <c r="H319" s="348" t="n">
        <f aca="false">SUM(F319:G319)</f>
        <v>0</v>
      </c>
      <c r="I319" s="349" t="n">
        <f aca="false">-(H319)*HLOOKUP(G$5,TERMINAL_CHARGES,3,0)</f>
        <v>-0</v>
      </c>
      <c r="J319" s="327" t="n">
        <f aca="false">+H319+I319</f>
        <v>0</v>
      </c>
      <c r="K319" s="333"/>
      <c r="L319" s="346" t="n">
        <f aca="false">+DATE(YEAR(L318),MONTH(L318)+1,1)</f>
        <v>45870</v>
      </c>
      <c r="M319" s="334" t="n">
        <f aca="false">+J319*(VLOOKUP(L319,CURVECALC!$C$6:$J$312,4,0)+N$5)</f>
        <v>0</v>
      </c>
      <c r="N319" s="350" t="n">
        <f aca="false">-F319*INDEX(ship_curves,MATCH(L319,'SHIP CURVES'!$A$9:$A$316,0),MATCH(CONCATENATE(P$4,P$5,P$6,P$7),'SHIP CURVES'!$A$9:$AZ$9,0))</f>
        <v>-0</v>
      </c>
      <c r="O319" s="351" t="n">
        <f aca="false">-H319*INDEX(port_processing_fee,MATCH(L319,PORTS!$H$626:$H$933,0),MATCH(P$5,PORTS!$H$626:$Z$626,0))</f>
        <v>-0</v>
      </c>
      <c r="P319" s="352" t="n">
        <f aca="false">(((VLOOKUP(L319,curvecalc,4,0))*IF(F319=0,0,J319/F319)-INDEX(ship_curves,MATCH(L319,'SHIP CURVES'!$A$9:$A$316,0),MATCH(CONCATENATE(P$4,P$5,P$6,P$7),'SHIP CURVES'!$A$9:$Z$9,0))-INDEX(terminal_curves,MATCH(L319,'TERMINAL CURVES'!$A$4:$A$313,0),MATCH(P$5,'TERMINAL CURVES'!$A$4:$N$4,0))*IF(F319=0,0,H319/F319))-(N$8)*((N$7-$N$5)-(INDEX(ship_curves,MATCH(L319,'SHIP CURVES'!$A$9:$A$316,0),MATCH(CONCATENATE(P$4,P$5,P$6,P$7),'SHIP CURVES'!$A$9:$Z$9,0))-INDEX(ship_curves,MATCH(L319,'SHIP CURVES'!$A$9:$A$316,0),MATCH(CONCATENATE(P$4,N$6,P$6,P$7),'SHIP CURVES'!$A$9:$Z$9,0)))-(INDEX(terminal_curves,MATCH(L319,'TERMINAL CURVES'!$A$4:$A$313,0),MATCH(P$5,'TERMINAL CURVES'!$A$4:$N$4,0))-INDEX(terminal_curves,MATCH(L319,'TERMINAL CURVES'!$A$4:$A$313,0),MATCH(N$6,'TERMINAL CURVES'!$A$4:$N$4,0)))*IF(F319=0,0,H319/F319)))*-F319</f>
        <v>0</v>
      </c>
      <c r="Q319" s="353" t="n">
        <f aca="false">SUM(N319:P319)</f>
        <v>0</v>
      </c>
      <c r="R319" s="357" t="n">
        <f aca="false">(-H319/((HLOOKUP(P$5,port_specs,2,0)/(365.25))*(L320-L319)))*(INDEX(fixed_capacity_charge,MATCH(L319,PORTS!$H$11:$H$317,0),MATCH(P$5,PORTS!$H$11:$N$11,0))+INDEX(variable_om_charge,MATCH(L319,PORTS!$H$318:$H$625,0),MATCH(P$5,PORTS!$H$318:$N$318,0)))</f>
        <v>-0</v>
      </c>
      <c r="S319" s="343" t="n">
        <f aca="false">+R319+Q319</f>
        <v>0</v>
      </c>
      <c r="T319" s="355" t="n">
        <f aca="false">+S319+M319</f>
        <v>0</v>
      </c>
      <c r="V319" s="346" t="n">
        <f aca="false">+DATE(YEAR(V318),MONTH(V318)+1,1)</f>
        <v>45870</v>
      </c>
      <c r="W319" s="327" t="n">
        <f aca="false">+Y319/(1-HLOOKUP(X$6,SHIPS,7,0)*INDEX(LADEN_VOYAGE_DAYS,MATCH(CONCATENATE(X$4,X$5),LADEN_VOYAGE_ROUTES,0),MATCH(X$6,LADEN_VOYAGE_SHIPS,0)))</f>
        <v>0</v>
      </c>
      <c r="X319" s="347" t="n">
        <f aca="false">+Y319-W319</f>
        <v>0</v>
      </c>
      <c r="Y319" s="348" t="n">
        <f aca="false">+IF(AND(X$8&lt;=V319,X$9&gt;=V319),+MIN($B319-SUMIF($H$17:X$17,Y$17,$H319:X319),((INDEX(ROUTE_PER_DAY_BY_SHIP,MATCH(CONCATENATE(X$4,X$5,X$7),ROUTE_PER_DAY_ROUTES,0),MATCH(X$6,ROUTE_PER_DAY_SHIPS,0))*(V320-V319))-(INDEX(ROUTE_PER_DAY_BY_SHIP,MATCH(CONCATENATE(X$4,X$5,X$7),ROUTE_PER_DAY_ROUTES,0),MATCH(X$6,ROUTE_PER_DAY_SHIPS,0))*(V320-V319))*HLOOKUP(X$6,SHIPS,7,0)*INDEX(LADEN_VOYAGE_DAYS,MATCH(CONCATENATE(X$4,X$5,X$7),LADEN_VOYAGE_ROUTES,0),MATCH(X$6,LADEN_VOYAGE_SHIPS,0)))),0)</f>
        <v>0</v>
      </c>
      <c r="Z319" s="349" t="n">
        <f aca="false">-(Y319)*HLOOKUP(X$5,TERMINAL_CHARGES,3,0)</f>
        <v>-0</v>
      </c>
      <c r="AA319" s="327" t="n">
        <f aca="false">+Y319+Z319</f>
        <v>0</v>
      </c>
      <c r="AB319" s="333"/>
      <c r="AC319" s="346" t="n">
        <f aca="false">+DATE(YEAR(AC318),MONTH(AC318)+1,1)</f>
        <v>45870</v>
      </c>
      <c r="AD319" s="343" t="n">
        <f aca="false">+AA319*(VLOOKUP(AC319,CURVECALC!$C$6:$J$312,4,0)+AE$5)</f>
        <v>0</v>
      </c>
      <c r="AE319" s="350" t="n">
        <f aca="false">-W319*INDEX(ship_curves,MATCH(AC319,'SHIP CURVES'!$A$9:$A$316,0),MATCH(CONCATENATE(AG$4,AG$5,AG$6,AG$7),'SHIP CURVES'!$A$9:$AZ$9,0))</f>
        <v>-0</v>
      </c>
      <c r="AF319" s="351" t="n">
        <f aca="false">-Y319*INDEX(port_processing_fee,MATCH(AC319,PORTS!$H$626:$H$933,0),MATCH(AG$5,PORTS!$H$626:$Z$626,0))</f>
        <v>-0</v>
      </c>
      <c r="AG319" s="352" t="n">
        <f aca="false">(((VLOOKUP(AC319,curvecalc,4,0))*IF(W319=0,0,AA319/W319)-INDEX(ship_curves,MATCH(AC319,'SHIP CURVES'!$A$9:$A$316,0),MATCH(CONCATENATE(AG$4,AG$5,AG$6,AG$7),'SHIP CURVES'!$A$9:$Z$9,0))-INDEX(terminal_curves,MATCH(AC319,'TERMINAL CURVES'!$A$4:$A$313,0),MATCH(AG$5,'TERMINAL CURVES'!$A$4:$N$4,0))*IF(W319=0,0,Y319/W319))-(AE$8)*((AE$7-$N$5)-(INDEX(ship_curves,MATCH(AC319,'SHIP CURVES'!$A$9:$A$316,0),MATCH(CONCATENATE(AG$4,AG$5,AG$6,AG$7),'SHIP CURVES'!$A$9:$Z$9,0))-INDEX(ship_curves,MATCH(AC319,'SHIP CURVES'!$A$9:$A$316,0),MATCH(CONCATENATE(AG$4,AE$6,AG$6,AG$7),'SHIP CURVES'!$A$9:$Z$9,0)))-(INDEX(terminal_curves,MATCH(AC319,'TERMINAL CURVES'!$A$4:$A$313,0),MATCH(AG$5,'TERMINAL CURVES'!$A$4:$N$4,0))-INDEX(terminal_curves,MATCH(AC319,'TERMINAL CURVES'!$A$4:$A$313,0),MATCH(AE$6,'TERMINAL CURVES'!$A$4:$N$4,0)))*IF(W319=0,0,Y319/W319)))*-W319</f>
        <v>0</v>
      </c>
      <c r="AH319" s="356" t="n">
        <f aca="false">SUM(AE319:AG319)</f>
        <v>0</v>
      </c>
      <c r="AI319" s="357" t="n">
        <f aca="false">(-Y319/((HLOOKUP(AG$5,port_specs,2,0)/(365.25))*(AC320-AC319)))*(INDEX(fixed_capacity_charge,MATCH(AC319,PORTS!$H$11:$H$317,0),MATCH(AG$5,PORTS!$H$11:$N$11,0))+INDEX(variable_om_charge,MATCH(AC319,PORTS!$H$318:$H$625,0),MATCH(AG$5,PORTS!$H$318:$N$318,0)))</f>
        <v>-0</v>
      </c>
      <c r="AJ319" s="343" t="n">
        <f aca="false">+AI319+AH319</f>
        <v>0</v>
      </c>
      <c r="AK319" s="355" t="n">
        <f aca="false">+AJ319+AD319</f>
        <v>0</v>
      </c>
      <c r="AM319" s="346" t="n">
        <f aca="false">+DATE(YEAR(AM318),MONTH(AM318)+1,1)</f>
        <v>45870</v>
      </c>
      <c r="AN319" s="327" t="n">
        <f aca="false">+AP319/(1-HLOOKUP(AO$6,SHIPS,7,0)*INDEX(LADEN_VOYAGE_DAYS,MATCH(CONCATENATE(AO$4,AO$5),LADEN_VOYAGE_ROUTES,0),MATCH(AO$6,LADEN_VOYAGE_SHIPS,0)))</f>
        <v>0</v>
      </c>
      <c r="AO319" s="347" t="n">
        <f aca="false">+AP319-AN319</f>
        <v>0</v>
      </c>
      <c r="AP319" s="348" t="n">
        <f aca="false">+IF(AND(AO$8&lt;=AM319,AO$9&gt;=AM319),+MIN($B319-SUMIF($H$17:AO$17,AP$17,$H319:AO319),((INDEX(ROUTE_PER_DAY_BY_SHIP,MATCH(CONCATENATE(AO$4,AO$5,AO$7),ROUTE_PER_DAY_ROUTES,0),MATCH(AO$6,ROUTE_PER_DAY_SHIPS,0))*(AM320-AM319))-(INDEX(ROUTE_PER_DAY_BY_SHIP,MATCH(CONCATENATE(AO$4,AO$5,AO$7),ROUTE_PER_DAY_ROUTES,0),MATCH(AO$6,ROUTE_PER_DAY_SHIPS,0))*(AM320-AM319))*HLOOKUP(AO$6,SHIPS,7,0)*INDEX(LADEN_VOYAGE_DAYS,MATCH(CONCATENATE(AO$4,AO$5,AO$7),LADEN_VOYAGE_ROUTES,0),MATCH(AO$6,LADEN_VOYAGE_SHIPS,0)))),0)</f>
        <v>0</v>
      </c>
      <c r="AQ319" s="349" t="n">
        <f aca="false">-(AP319)*PORTS!$I$6</f>
        <v>-0</v>
      </c>
      <c r="AR319" s="327" t="n">
        <f aca="false">+AP319+AQ319</f>
        <v>0</v>
      </c>
      <c r="AS319" s="333"/>
      <c r="AT319" s="346" t="n">
        <f aca="false">+DATE(YEAR(AT318),MONTH(AT318)+1,1)</f>
        <v>45870</v>
      </c>
      <c r="AU319" s="343" t="n">
        <f aca="false">+AR319*(VLOOKUP(AT319,CURVECALC!$C$6:$J$312,4,0)+AV$5)</f>
        <v>0</v>
      </c>
      <c r="AV319" s="350" t="n">
        <f aca="false">-AN319*INDEX(ship_curves,MATCH(AT319,'SHIP CURVES'!$A$9:$A$316,0),MATCH(CONCATENATE(AX$4,AX$5,AX$6,AX$7),'SHIP CURVES'!$A$9:$AZ$9,0))</f>
        <v>-0</v>
      </c>
      <c r="AW319" s="351" t="n">
        <f aca="false">-AP319*INDEX(port_processing_fee,MATCH(AT319,PORTS!$H$626:$H$933,0),MATCH(AX$5,PORTS!$H$626:$Z$626,0))</f>
        <v>-0</v>
      </c>
      <c r="AX319" s="352" t="n">
        <f aca="false">(((VLOOKUP(AT319,curvecalc,4,0))*IF(AN319=0,0,AR319/AN319)-INDEX(ship_curves,MATCH(AT319,'SHIP CURVES'!$A$9:$A$316,0),MATCH(CONCATENATE(AX$4,AX$5,AX$6,AX$7),'SHIP CURVES'!$A$9:$Z$9,0))-INDEX(terminal_curves,MATCH(AT319,'TERMINAL CURVES'!$A$4:$A$313,0),MATCH(AX$5,'TERMINAL CURVES'!$A$4:$N$4,0))*IF(AN319=0,0,AP319/AN319))-(AV$8)*((AV$7-$N$5)-(INDEX(ship_curves,MATCH(AT319,'SHIP CURVES'!$A$9:$A$316,0),MATCH(CONCATENATE(AX$4,AX$5,AX$6,AX$7),'SHIP CURVES'!$A$9:$Z$9,0))-INDEX(ship_curves,MATCH(AT319,'SHIP CURVES'!$A$9:$A$316,0),MATCH(CONCATENATE(AX$4,AV$6,AX$6,AX$7),'SHIP CURVES'!$A$9:$Z$9,0)))-(INDEX(terminal_curves,MATCH(AT319,'TERMINAL CURVES'!$A$4:$A$313,0),MATCH(AX$5,'TERMINAL CURVES'!$A$4:$N$4,0))-INDEX(terminal_curves,MATCH(AT319,'TERMINAL CURVES'!$A$4:$A$313,0),MATCH(AV$6,'TERMINAL CURVES'!$A$4:$N$4,0)))*IF(AN319=0,0,AP319/AN319)))*-AN319</f>
        <v>0</v>
      </c>
      <c r="AY319" s="356" t="n">
        <f aca="false">SUM(AV319:AX319)</f>
        <v>0</v>
      </c>
      <c r="AZ319" s="357" t="n">
        <f aca="false">(-AP319/((HLOOKUP(AX$5,port_specs,2,0)/(365.25))*(AT320-AT319)))*(INDEX(fixed_capacity_charge,MATCH(AT319,PORTS!$H$11:$H$317,0),MATCH(AX$5,PORTS!$H$11:$N$11,0))+INDEX(variable_om_charge,MATCH(AT319,PORTS!$H$318:$H$625,0),MATCH(AX$5,PORTS!$H$318:$N$318,0)))</f>
        <v>-0</v>
      </c>
      <c r="BA319" s="343" t="n">
        <f aca="false">+AZ319+AY319</f>
        <v>0</v>
      </c>
      <c r="BB319" s="355" t="n">
        <f aca="false">+BA319+AU319</f>
        <v>0</v>
      </c>
      <c r="BC319" s="99"/>
      <c r="BD319" s="357" t="n">
        <f aca="false">+PORTS!I313+PORTS!I621</f>
        <v>0</v>
      </c>
    </row>
    <row r="320" customFormat="false" ht="12.75" hidden="false" customHeight="false" outlineLevel="0" collapsed="false">
      <c r="A320" s="346" t="n">
        <f aca="false">+DATE(YEAR(A319),MONTH(A319)+1,1)</f>
        <v>45901</v>
      </c>
      <c r="B320" s="327" t="n">
        <f aca="false">+IF(AND($A320&gt;=$C$8,$A320&lt;=$C$9),1,0)*PORTS!$I$5/(365.25)*(A321-A320)</f>
        <v>0</v>
      </c>
      <c r="C320" s="328" t="n">
        <f aca="false">+B320-(SUMIF($F$17:$IV$17,$H$17,$F320:$IV320))</f>
        <v>0</v>
      </c>
      <c r="D320" s="0" t="n">
        <f aca="false">+YEAR(E320)</f>
        <v>2025</v>
      </c>
      <c r="E320" s="346" t="n">
        <f aca="false">+DATE(YEAR(E319),MONTH(E319)+1,1)</f>
        <v>45901</v>
      </c>
      <c r="F320" s="327" t="n">
        <f aca="false">+IF(AND(G$8&lt;=E320,G$9&gt;=E320),INDEX(ROUTE_PER_DAY_BY_SHIP,MATCH(CONCATENATE(G$4,G$5,G$7),ROUTE_PER_DAY_ROUTES,0),MATCH(G$6,ROUTE_PER_DAY_SHIPS,0))*(E321-E320),0)</f>
        <v>0</v>
      </c>
      <c r="G320" s="347" t="n">
        <f aca="false">-F320*HLOOKUP(G$6,SHIPS,7,0)*INDEX(LADEN_VOYAGE_DAYS,MATCH(CONCATENATE(G$4,G$5,G$7),LADEN_VOYAGE_ROUTES,0),MATCH(G$6,LADEN_VOYAGE_SHIPS,0))</f>
        <v>-0</v>
      </c>
      <c r="H320" s="348" t="n">
        <f aca="false">SUM(F320:G320)</f>
        <v>0</v>
      </c>
      <c r="I320" s="349" t="n">
        <f aca="false">-(H320)*HLOOKUP(G$5,TERMINAL_CHARGES,3,0)</f>
        <v>-0</v>
      </c>
      <c r="J320" s="327" t="n">
        <f aca="false">+H320+I320</f>
        <v>0</v>
      </c>
      <c r="K320" s="333"/>
      <c r="L320" s="346" t="n">
        <f aca="false">+DATE(YEAR(L319),MONTH(L319)+1,1)</f>
        <v>45901</v>
      </c>
      <c r="M320" s="334" t="n">
        <f aca="false">+J320*(VLOOKUP(L320,CURVECALC!$C$6:$J$312,4,0)+N$5)</f>
        <v>0</v>
      </c>
      <c r="N320" s="350" t="n">
        <f aca="false">-F320*INDEX(ship_curves,MATCH(L320,'SHIP CURVES'!$A$9:$A$316,0),MATCH(CONCATENATE(P$4,P$5,P$6,P$7),'SHIP CURVES'!$A$9:$AZ$9,0))</f>
        <v>-0</v>
      </c>
      <c r="O320" s="351" t="n">
        <f aca="false">-H320*INDEX(port_processing_fee,MATCH(L320,PORTS!$H$626:$H$933,0),MATCH(P$5,PORTS!$H$626:$Z$626,0))</f>
        <v>-0</v>
      </c>
      <c r="P320" s="352" t="n">
        <f aca="false">(((VLOOKUP(L320,curvecalc,4,0))*IF(F320=0,0,J320/F320)-INDEX(ship_curves,MATCH(L320,'SHIP CURVES'!$A$9:$A$316,0),MATCH(CONCATENATE(P$4,P$5,P$6,P$7),'SHIP CURVES'!$A$9:$Z$9,0))-INDEX(terminal_curves,MATCH(L320,'TERMINAL CURVES'!$A$4:$A$313,0),MATCH(P$5,'TERMINAL CURVES'!$A$4:$N$4,0))*IF(F320=0,0,H320/F320))-(N$8)*((N$7-$N$5)-(INDEX(ship_curves,MATCH(L320,'SHIP CURVES'!$A$9:$A$316,0),MATCH(CONCATENATE(P$4,P$5,P$6,P$7),'SHIP CURVES'!$A$9:$Z$9,0))-INDEX(ship_curves,MATCH(L320,'SHIP CURVES'!$A$9:$A$316,0),MATCH(CONCATENATE(P$4,N$6,P$6,P$7),'SHIP CURVES'!$A$9:$Z$9,0)))-(INDEX(terminal_curves,MATCH(L320,'TERMINAL CURVES'!$A$4:$A$313,0),MATCH(P$5,'TERMINAL CURVES'!$A$4:$N$4,0))-INDEX(terminal_curves,MATCH(L320,'TERMINAL CURVES'!$A$4:$A$313,0),MATCH(N$6,'TERMINAL CURVES'!$A$4:$N$4,0)))*IF(F320=0,0,H320/F320)))*-F320</f>
        <v>0</v>
      </c>
      <c r="Q320" s="353" t="n">
        <f aca="false">SUM(N320:P320)</f>
        <v>0</v>
      </c>
      <c r="R320" s="357" t="n">
        <f aca="false">(-H320/((HLOOKUP(P$5,port_specs,2,0)/(365.25))*(L321-L320)))*(INDEX(fixed_capacity_charge,MATCH(L320,PORTS!$H$11:$H$317,0),MATCH(P$5,PORTS!$H$11:$N$11,0))+INDEX(variable_om_charge,MATCH(L320,PORTS!$H$318:$H$625,0),MATCH(P$5,PORTS!$H$318:$N$318,0)))</f>
        <v>-0</v>
      </c>
      <c r="S320" s="343" t="n">
        <f aca="false">+R320+Q320</f>
        <v>0</v>
      </c>
      <c r="T320" s="355" t="n">
        <f aca="false">+S320+M320</f>
        <v>0</v>
      </c>
      <c r="V320" s="346" t="n">
        <f aca="false">+DATE(YEAR(V319),MONTH(V319)+1,1)</f>
        <v>45901</v>
      </c>
      <c r="W320" s="327" t="n">
        <f aca="false">+Y320/(1-HLOOKUP(X$6,SHIPS,7,0)*INDEX(LADEN_VOYAGE_DAYS,MATCH(CONCATENATE(X$4,X$5),LADEN_VOYAGE_ROUTES,0),MATCH(X$6,LADEN_VOYAGE_SHIPS,0)))</f>
        <v>0</v>
      </c>
      <c r="X320" s="347" t="n">
        <f aca="false">+Y320-W320</f>
        <v>0</v>
      </c>
      <c r="Y320" s="348" t="n">
        <f aca="false">+IF(AND(X$8&lt;=V320,X$9&gt;=V320),+MIN($B320-SUMIF($H$17:X$17,Y$17,$H320:X320),((INDEX(ROUTE_PER_DAY_BY_SHIP,MATCH(CONCATENATE(X$4,X$5,X$7),ROUTE_PER_DAY_ROUTES,0),MATCH(X$6,ROUTE_PER_DAY_SHIPS,0))*(V321-V320))-(INDEX(ROUTE_PER_DAY_BY_SHIP,MATCH(CONCATENATE(X$4,X$5,X$7),ROUTE_PER_DAY_ROUTES,0),MATCH(X$6,ROUTE_PER_DAY_SHIPS,0))*(V321-V320))*HLOOKUP(X$6,SHIPS,7,0)*INDEX(LADEN_VOYAGE_DAYS,MATCH(CONCATENATE(X$4,X$5,X$7),LADEN_VOYAGE_ROUTES,0),MATCH(X$6,LADEN_VOYAGE_SHIPS,0)))),0)</f>
        <v>0</v>
      </c>
      <c r="Z320" s="349" t="n">
        <f aca="false">-(Y320)*HLOOKUP(X$5,TERMINAL_CHARGES,3,0)</f>
        <v>-0</v>
      </c>
      <c r="AA320" s="327" t="n">
        <f aca="false">+Y320+Z320</f>
        <v>0</v>
      </c>
      <c r="AB320" s="333"/>
      <c r="AC320" s="346" t="n">
        <f aca="false">+DATE(YEAR(AC319),MONTH(AC319)+1,1)</f>
        <v>45901</v>
      </c>
      <c r="AD320" s="343" t="n">
        <f aca="false">+AA320*(VLOOKUP(AC320,CURVECALC!$C$6:$J$312,4,0)+AE$5)</f>
        <v>0</v>
      </c>
      <c r="AE320" s="350" t="n">
        <f aca="false">-W320*INDEX(ship_curves,MATCH(AC320,'SHIP CURVES'!$A$9:$A$316,0),MATCH(CONCATENATE(AG$4,AG$5,AG$6,AG$7),'SHIP CURVES'!$A$9:$AZ$9,0))</f>
        <v>-0</v>
      </c>
      <c r="AF320" s="351" t="n">
        <f aca="false">-Y320*INDEX(port_processing_fee,MATCH(AC320,PORTS!$H$626:$H$933,0),MATCH(AG$5,PORTS!$H$626:$Z$626,0))</f>
        <v>-0</v>
      </c>
      <c r="AG320" s="352" t="n">
        <f aca="false">(((VLOOKUP(AC320,curvecalc,4,0))*IF(W320=0,0,AA320/W320)-INDEX(ship_curves,MATCH(AC320,'SHIP CURVES'!$A$9:$A$316,0),MATCH(CONCATENATE(AG$4,AG$5,AG$6,AG$7),'SHIP CURVES'!$A$9:$Z$9,0))-INDEX(terminal_curves,MATCH(AC320,'TERMINAL CURVES'!$A$4:$A$313,0),MATCH(AG$5,'TERMINAL CURVES'!$A$4:$N$4,0))*IF(W320=0,0,Y320/W320))-(AE$8)*((AE$7-$N$5)-(INDEX(ship_curves,MATCH(AC320,'SHIP CURVES'!$A$9:$A$316,0),MATCH(CONCATENATE(AG$4,AG$5,AG$6,AG$7),'SHIP CURVES'!$A$9:$Z$9,0))-INDEX(ship_curves,MATCH(AC320,'SHIP CURVES'!$A$9:$A$316,0),MATCH(CONCATENATE(AG$4,AE$6,AG$6,AG$7),'SHIP CURVES'!$A$9:$Z$9,0)))-(INDEX(terminal_curves,MATCH(AC320,'TERMINAL CURVES'!$A$4:$A$313,0),MATCH(AG$5,'TERMINAL CURVES'!$A$4:$N$4,0))-INDEX(terminal_curves,MATCH(AC320,'TERMINAL CURVES'!$A$4:$A$313,0),MATCH(AE$6,'TERMINAL CURVES'!$A$4:$N$4,0)))*IF(W320=0,0,Y320/W320)))*-W320</f>
        <v>0</v>
      </c>
      <c r="AH320" s="356" t="n">
        <f aca="false">SUM(AE320:AG320)</f>
        <v>0</v>
      </c>
      <c r="AI320" s="357" t="n">
        <f aca="false">(-Y320/((HLOOKUP(AG$5,port_specs,2,0)/(365.25))*(AC321-AC320)))*(INDEX(fixed_capacity_charge,MATCH(AC320,PORTS!$H$11:$H$317,0),MATCH(AG$5,PORTS!$H$11:$N$11,0))+INDEX(variable_om_charge,MATCH(AC320,PORTS!$H$318:$H$625,0),MATCH(AG$5,PORTS!$H$318:$N$318,0)))</f>
        <v>-0</v>
      </c>
      <c r="AJ320" s="343" t="n">
        <f aca="false">+AI320+AH320</f>
        <v>0</v>
      </c>
      <c r="AK320" s="355" t="n">
        <f aca="false">+AJ320+AD320</f>
        <v>0</v>
      </c>
      <c r="AM320" s="346" t="n">
        <f aca="false">+DATE(YEAR(AM319),MONTH(AM319)+1,1)</f>
        <v>45901</v>
      </c>
      <c r="AN320" s="327" t="n">
        <f aca="false">+AP320/(1-HLOOKUP(AO$6,SHIPS,7,0)*INDEX(LADEN_VOYAGE_DAYS,MATCH(CONCATENATE(AO$4,AO$5),LADEN_VOYAGE_ROUTES,0),MATCH(AO$6,LADEN_VOYAGE_SHIPS,0)))</f>
        <v>0</v>
      </c>
      <c r="AO320" s="347" t="n">
        <f aca="false">+AP320-AN320</f>
        <v>0</v>
      </c>
      <c r="AP320" s="348" t="n">
        <f aca="false">+IF(AND(AO$8&lt;=AM320,AO$9&gt;=AM320),+MIN($B320-SUMIF($H$17:AO$17,AP$17,$H320:AO320),((INDEX(ROUTE_PER_DAY_BY_SHIP,MATCH(CONCATENATE(AO$4,AO$5,AO$7),ROUTE_PER_DAY_ROUTES,0),MATCH(AO$6,ROUTE_PER_DAY_SHIPS,0))*(AM321-AM320))-(INDEX(ROUTE_PER_DAY_BY_SHIP,MATCH(CONCATENATE(AO$4,AO$5,AO$7),ROUTE_PER_DAY_ROUTES,0),MATCH(AO$6,ROUTE_PER_DAY_SHIPS,0))*(AM321-AM320))*HLOOKUP(AO$6,SHIPS,7,0)*INDEX(LADEN_VOYAGE_DAYS,MATCH(CONCATENATE(AO$4,AO$5,AO$7),LADEN_VOYAGE_ROUTES,0),MATCH(AO$6,LADEN_VOYAGE_SHIPS,0)))),0)</f>
        <v>0</v>
      </c>
      <c r="AQ320" s="349" t="n">
        <f aca="false">-(AP320)*PORTS!$I$6</f>
        <v>-0</v>
      </c>
      <c r="AR320" s="327" t="n">
        <f aca="false">+AP320+AQ320</f>
        <v>0</v>
      </c>
      <c r="AS320" s="333"/>
      <c r="AT320" s="346" t="n">
        <f aca="false">+DATE(YEAR(AT319),MONTH(AT319)+1,1)</f>
        <v>45901</v>
      </c>
      <c r="AU320" s="343" t="n">
        <f aca="false">+AR320*(VLOOKUP(AT320,CURVECALC!$C$6:$J$312,4,0)+AV$5)</f>
        <v>0</v>
      </c>
      <c r="AV320" s="350" t="n">
        <f aca="false">-AN320*INDEX(ship_curves,MATCH(AT320,'SHIP CURVES'!$A$9:$A$316,0),MATCH(CONCATENATE(AX$4,AX$5,AX$6,AX$7),'SHIP CURVES'!$A$9:$AZ$9,0))</f>
        <v>-0</v>
      </c>
      <c r="AW320" s="351" t="n">
        <f aca="false">-AP320*INDEX(port_processing_fee,MATCH(AT320,PORTS!$H$626:$H$933,0),MATCH(AX$5,PORTS!$H$626:$Z$626,0))</f>
        <v>-0</v>
      </c>
      <c r="AX320" s="352" t="n">
        <f aca="false">(((VLOOKUP(AT320,curvecalc,4,0))*IF(AN320=0,0,AR320/AN320)-INDEX(ship_curves,MATCH(AT320,'SHIP CURVES'!$A$9:$A$316,0),MATCH(CONCATENATE(AX$4,AX$5,AX$6,AX$7),'SHIP CURVES'!$A$9:$Z$9,0))-INDEX(terminal_curves,MATCH(AT320,'TERMINAL CURVES'!$A$4:$A$313,0),MATCH(AX$5,'TERMINAL CURVES'!$A$4:$N$4,0))*IF(AN320=0,0,AP320/AN320))-(AV$8)*((AV$7-$N$5)-(INDEX(ship_curves,MATCH(AT320,'SHIP CURVES'!$A$9:$A$316,0),MATCH(CONCATENATE(AX$4,AX$5,AX$6,AX$7),'SHIP CURVES'!$A$9:$Z$9,0))-INDEX(ship_curves,MATCH(AT320,'SHIP CURVES'!$A$9:$A$316,0),MATCH(CONCATENATE(AX$4,AV$6,AX$6,AX$7),'SHIP CURVES'!$A$9:$Z$9,0)))-(INDEX(terminal_curves,MATCH(AT320,'TERMINAL CURVES'!$A$4:$A$313,0),MATCH(AX$5,'TERMINAL CURVES'!$A$4:$N$4,0))-INDEX(terminal_curves,MATCH(AT320,'TERMINAL CURVES'!$A$4:$A$313,0),MATCH(AV$6,'TERMINAL CURVES'!$A$4:$N$4,0)))*IF(AN320=0,0,AP320/AN320)))*-AN320</f>
        <v>0</v>
      </c>
      <c r="AY320" s="356" t="n">
        <f aca="false">SUM(AV320:AX320)</f>
        <v>0</v>
      </c>
      <c r="AZ320" s="357" t="n">
        <f aca="false">(-AP320/((HLOOKUP(AX$5,port_specs,2,0)/(365.25))*(AT321-AT320)))*(INDEX(fixed_capacity_charge,MATCH(AT320,PORTS!$H$11:$H$317,0),MATCH(AX$5,PORTS!$H$11:$N$11,0))+INDEX(variable_om_charge,MATCH(AT320,PORTS!$H$318:$H$625,0),MATCH(AX$5,PORTS!$H$318:$N$318,0)))</f>
        <v>-0</v>
      </c>
      <c r="BA320" s="343" t="n">
        <f aca="false">+AZ320+AY320</f>
        <v>0</v>
      </c>
      <c r="BB320" s="355" t="n">
        <f aca="false">+BA320+AU320</f>
        <v>0</v>
      </c>
      <c r="BC320" s="99"/>
      <c r="BD320" s="357" t="n">
        <f aca="false">+PORTS!I314+PORTS!I622</f>
        <v>0</v>
      </c>
    </row>
    <row r="321" customFormat="false" ht="12.75" hidden="false" customHeight="false" outlineLevel="0" collapsed="false">
      <c r="A321" s="346" t="n">
        <f aca="false">+DATE(YEAR(A320),MONTH(A320)+1,1)</f>
        <v>45931</v>
      </c>
      <c r="B321" s="327" t="n">
        <f aca="false">+IF(AND($A321&gt;=$C$8,$A321&lt;=$C$9),1,0)*PORTS!$I$5/(365.25)*(A322-A321)</f>
        <v>0</v>
      </c>
      <c r="C321" s="328" t="n">
        <f aca="false">+B321-(SUMIF($F$17:$IV$17,$H$17,$F321:$IV321))</f>
        <v>0</v>
      </c>
      <c r="D321" s="0" t="n">
        <f aca="false">+YEAR(E321)</f>
        <v>2025</v>
      </c>
      <c r="E321" s="346" t="n">
        <f aca="false">+DATE(YEAR(E320),MONTH(E320)+1,1)</f>
        <v>45931</v>
      </c>
      <c r="F321" s="327" t="n">
        <f aca="false">+IF(AND(G$8&lt;=E321,G$9&gt;=E321),INDEX(ROUTE_PER_DAY_BY_SHIP,MATCH(CONCATENATE(G$4,G$5,G$7),ROUTE_PER_DAY_ROUTES,0),MATCH(G$6,ROUTE_PER_DAY_SHIPS,0))*(E322-E321),0)</f>
        <v>0</v>
      </c>
      <c r="G321" s="347" t="n">
        <f aca="false">-F321*HLOOKUP(G$6,SHIPS,7,0)*INDEX(LADEN_VOYAGE_DAYS,MATCH(CONCATENATE(G$4,G$5,G$7),LADEN_VOYAGE_ROUTES,0),MATCH(G$6,LADEN_VOYAGE_SHIPS,0))</f>
        <v>-0</v>
      </c>
      <c r="H321" s="348" t="n">
        <f aca="false">SUM(F321:G321)</f>
        <v>0</v>
      </c>
      <c r="I321" s="349" t="n">
        <f aca="false">-(H321)*HLOOKUP(G$5,TERMINAL_CHARGES,3,0)</f>
        <v>-0</v>
      </c>
      <c r="J321" s="327" t="n">
        <f aca="false">+H321+I321</f>
        <v>0</v>
      </c>
      <c r="K321" s="333"/>
      <c r="L321" s="346" t="n">
        <f aca="false">+DATE(YEAR(L320),MONTH(L320)+1,1)</f>
        <v>45931</v>
      </c>
      <c r="M321" s="334" t="n">
        <f aca="false">+J321*(VLOOKUP(L321,CURVECALC!$C$6:$J$312,4,0)+N$5)</f>
        <v>0</v>
      </c>
      <c r="N321" s="350" t="n">
        <f aca="false">-F321*INDEX(ship_curves,MATCH(L321,'SHIP CURVES'!$A$9:$A$316,0),MATCH(CONCATENATE(P$4,P$5,P$6,P$7),'SHIP CURVES'!$A$9:$AZ$9,0))</f>
        <v>-0</v>
      </c>
      <c r="O321" s="351" t="n">
        <f aca="false">-H321*INDEX(port_processing_fee,MATCH(L321,PORTS!$H$626:$H$933,0),MATCH(P$5,PORTS!$H$626:$Z$626,0))</f>
        <v>-0</v>
      </c>
      <c r="P321" s="352" t="n">
        <f aca="false">(((VLOOKUP(L321,curvecalc,4,0))*IF(F321=0,0,J321/F321)-INDEX(ship_curves,MATCH(L321,'SHIP CURVES'!$A$9:$A$316,0),MATCH(CONCATENATE(P$4,P$5,P$6,P$7),'SHIP CURVES'!$A$9:$Z$9,0))-INDEX(terminal_curves,MATCH(L321,'TERMINAL CURVES'!$A$4:$A$313,0),MATCH(P$5,'TERMINAL CURVES'!$A$4:$N$4,0))*IF(F321=0,0,H321/F321))-(N$8)*((N$7-$N$5)-(INDEX(ship_curves,MATCH(L321,'SHIP CURVES'!$A$9:$A$316,0),MATCH(CONCATENATE(P$4,P$5,P$6,P$7),'SHIP CURVES'!$A$9:$Z$9,0))-INDEX(ship_curves,MATCH(L321,'SHIP CURVES'!$A$9:$A$316,0),MATCH(CONCATENATE(P$4,N$6,P$6,P$7),'SHIP CURVES'!$A$9:$Z$9,0)))-(INDEX(terminal_curves,MATCH(L321,'TERMINAL CURVES'!$A$4:$A$313,0),MATCH(P$5,'TERMINAL CURVES'!$A$4:$N$4,0))-INDEX(terminal_curves,MATCH(L321,'TERMINAL CURVES'!$A$4:$A$313,0),MATCH(N$6,'TERMINAL CURVES'!$A$4:$N$4,0)))*IF(F321=0,0,H321/F321)))*-F321</f>
        <v>0</v>
      </c>
      <c r="Q321" s="353" t="n">
        <f aca="false">SUM(N321:P321)</f>
        <v>0</v>
      </c>
      <c r="R321" s="357" t="n">
        <f aca="false">(-H321/((HLOOKUP(P$5,port_specs,2,0)/(365.25))*(L322-L321)))*(INDEX(fixed_capacity_charge,MATCH(L321,PORTS!$H$11:$H$317,0),MATCH(P$5,PORTS!$H$11:$N$11,0))+INDEX(variable_om_charge,MATCH(L321,PORTS!$H$318:$H$625,0),MATCH(P$5,PORTS!$H$318:$N$318,0)))</f>
        <v>-0</v>
      </c>
      <c r="S321" s="343" t="n">
        <f aca="false">+R321+Q321</f>
        <v>0</v>
      </c>
      <c r="T321" s="355" t="n">
        <f aca="false">+S321+M321</f>
        <v>0</v>
      </c>
      <c r="V321" s="346" t="n">
        <f aca="false">+DATE(YEAR(V320),MONTH(V320)+1,1)</f>
        <v>45931</v>
      </c>
      <c r="W321" s="327" t="n">
        <f aca="false">+Y321/(1-HLOOKUP(X$6,SHIPS,7,0)*INDEX(LADEN_VOYAGE_DAYS,MATCH(CONCATENATE(X$4,X$5),LADEN_VOYAGE_ROUTES,0),MATCH(X$6,LADEN_VOYAGE_SHIPS,0)))</f>
        <v>0</v>
      </c>
      <c r="X321" s="347" t="n">
        <f aca="false">+Y321-W321</f>
        <v>0</v>
      </c>
      <c r="Y321" s="348" t="n">
        <f aca="false">+IF(AND(X$8&lt;=V321,X$9&gt;=V321),+MIN($B321-SUMIF($H$17:X$17,Y$17,$H321:X321),((INDEX(ROUTE_PER_DAY_BY_SHIP,MATCH(CONCATENATE(X$4,X$5,X$7),ROUTE_PER_DAY_ROUTES,0),MATCH(X$6,ROUTE_PER_DAY_SHIPS,0))*(V322-V321))-(INDEX(ROUTE_PER_DAY_BY_SHIP,MATCH(CONCATENATE(X$4,X$5,X$7),ROUTE_PER_DAY_ROUTES,0),MATCH(X$6,ROUTE_PER_DAY_SHIPS,0))*(V322-V321))*HLOOKUP(X$6,SHIPS,7,0)*INDEX(LADEN_VOYAGE_DAYS,MATCH(CONCATENATE(X$4,X$5,X$7),LADEN_VOYAGE_ROUTES,0),MATCH(X$6,LADEN_VOYAGE_SHIPS,0)))),0)</f>
        <v>0</v>
      </c>
      <c r="Z321" s="349" t="n">
        <f aca="false">-(Y321)*HLOOKUP(X$5,TERMINAL_CHARGES,3,0)</f>
        <v>-0</v>
      </c>
      <c r="AA321" s="327" t="n">
        <f aca="false">+Y321+Z321</f>
        <v>0</v>
      </c>
      <c r="AB321" s="333"/>
      <c r="AC321" s="346" t="n">
        <f aca="false">+DATE(YEAR(AC320),MONTH(AC320)+1,1)</f>
        <v>45931</v>
      </c>
      <c r="AD321" s="343" t="n">
        <f aca="false">+AA321*(VLOOKUP(AC321,CURVECALC!$C$6:$J$312,4,0)+AE$5)</f>
        <v>0</v>
      </c>
      <c r="AE321" s="350" t="n">
        <f aca="false">-W321*INDEX(ship_curves,MATCH(AC321,'SHIP CURVES'!$A$9:$A$316,0),MATCH(CONCATENATE(AG$4,AG$5,AG$6,AG$7),'SHIP CURVES'!$A$9:$AZ$9,0))</f>
        <v>-0</v>
      </c>
      <c r="AF321" s="351" t="n">
        <f aca="false">-Y321*INDEX(port_processing_fee,MATCH(AC321,PORTS!$H$626:$H$933,0),MATCH(AG$5,PORTS!$H$626:$Z$626,0))</f>
        <v>-0</v>
      </c>
      <c r="AG321" s="352" t="n">
        <f aca="false">(((VLOOKUP(AC321,curvecalc,4,0))*IF(W321=0,0,AA321/W321)-INDEX(ship_curves,MATCH(AC321,'SHIP CURVES'!$A$9:$A$316,0),MATCH(CONCATENATE(AG$4,AG$5,AG$6,AG$7),'SHIP CURVES'!$A$9:$Z$9,0))-INDEX(terminal_curves,MATCH(AC321,'TERMINAL CURVES'!$A$4:$A$313,0),MATCH(AG$5,'TERMINAL CURVES'!$A$4:$N$4,0))*IF(W321=0,0,Y321/W321))-(AE$8)*((AE$7-$N$5)-(INDEX(ship_curves,MATCH(AC321,'SHIP CURVES'!$A$9:$A$316,0),MATCH(CONCATENATE(AG$4,AG$5,AG$6,AG$7),'SHIP CURVES'!$A$9:$Z$9,0))-INDEX(ship_curves,MATCH(AC321,'SHIP CURVES'!$A$9:$A$316,0),MATCH(CONCATENATE(AG$4,AE$6,AG$6,AG$7),'SHIP CURVES'!$A$9:$Z$9,0)))-(INDEX(terminal_curves,MATCH(AC321,'TERMINAL CURVES'!$A$4:$A$313,0),MATCH(AG$5,'TERMINAL CURVES'!$A$4:$N$4,0))-INDEX(terminal_curves,MATCH(AC321,'TERMINAL CURVES'!$A$4:$A$313,0),MATCH(AE$6,'TERMINAL CURVES'!$A$4:$N$4,0)))*IF(W321=0,0,Y321/W321)))*-W321</f>
        <v>0</v>
      </c>
      <c r="AH321" s="356" t="n">
        <f aca="false">SUM(AE321:AG321)</f>
        <v>0</v>
      </c>
      <c r="AI321" s="357" t="n">
        <f aca="false">(-Y321/((HLOOKUP(AG$5,port_specs,2,0)/(365.25))*(AC322-AC321)))*(INDEX(fixed_capacity_charge,MATCH(AC321,PORTS!$H$11:$H$317,0),MATCH(AG$5,PORTS!$H$11:$N$11,0))+INDEX(variable_om_charge,MATCH(AC321,PORTS!$H$318:$H$625,0),MATCH(AG$5,PORTS!$H$318:$N$318,0)))</f>
        <v>-0</v>
      </c>
      <c r="AJ321" s="343" t="n">
        <f aca="false">+AI321+AH321</f>
        <v>0</v>
      </c>
      <c r="AK321" s="355" t="n">
        <f aca="false">+AJ321+AD321</f>
        <v>0</v>
      </c>
      <c r="AM321" s="346" t="n">
        <f aca="false">+DATE(YEAR(AM320),MONTH(AM320)+1,1)</f>
        <v>45931</v>
      </c>
      <c r="AN321" s="327" t="n">
        <f aca="false">+AP321/(1-HLOOKUP(AO$6,SHIPS,7,0)*INDEX(LADEN_VOYAGE_DAYS,MATCH(CONCATENATE(AO$4,AO$5),LADEN_VOYAGE_ROUTES,0),MATCH(AO$6,LADEN_VOYAGE_SHIPS,0)))</f>
        <v>0</v>
      </c>
      <c r="AO321" s="347" t="n">
        <f aca="false">+AP321-AN321</f>
        <v>0</v>
      </c>
      <c r="AP321" s="348" t="n">
        <f aca="false">+IF(AND(AO$8&lt;=AM321,AO$9&gt;=AM321),+MIN($B321-SUMIF($H$17:AO$17,AP$17,$H321:AO321),((INDEX(ROUTE_PER_DAY_BY_SHIP,MATCH(CONCATENATE(AO$4,AO$5,AO$7),ROUTE_PER_DAY_ROUTES,0),MATCH(AO$6,ROUTE_PER_DAY_SHIPS,0))*(AM322-AM321))-(INDEX(ROUTE_PER_DAY_BY_SHIP,MATCH(CONCATENATE(AO$4,AO$5,AO$7),ROUTE_PER_DAY_ROUTES,0),MATCH(AO$6,ROUTE_PER_DAY_SHIPS,0))*(AM322-AM321))*HLOOKUP(AO$6,SHIPS,7,0)*INDEX(LADEN_VOYAGE_DAYS,MATCH(CONCATENATE(AO$4,AO$5,AO$7),LADEN_VOYAGE_ROUTES,0),MATCH(AO$6,LADEN_VOYAGE_SHIPS,0)))),0)</f>
        <v>0</v>
      </c>
      <c r="AQ321" s="349" t="n">
        <f aca="false">-(AP321)*PORTS!$I$6</f>
        <v>-0</v>
      </c>
      <c r="AR321" s="327" t="n">
        <f aca="false">+AP321+AQ321</f>
        <v>0</v>
      </c>
      <c r="AS321" s="333"/>
      <c r="AT321" s="346" t="n">
        <f aca="false">+DATE(YEAR(AT320),MONTH(AT320)+1,1)</f>
        <v>45931</v>
      </c>
      <c r="AU321" s="343" t="n">
        <f aca="false">+AR321*(VLOOKUP(AT321,CURVECALC!$C$6:$J$312,4,0)+AV$5)</f>
        <v>0</v>
      </c>
      <c r="AV321" s="350" t="n">
        <f aca="false">-AN321*INDEX(ship_curves,MATCH(AT321,'SHIP CURVES'!$A$9:$A$316,0),MATCH(CONCATENATE(AX$4,AX$5,AX$6,AX$7),'SHIP CURVES'!$A$9:$AZ$9,0))</f>
        <v>-0</v>
      </c>
      <c r="AW321" s="351" t="n">
        <f aca="false">-AP321*INDEX(port_processing_fee,MATCH(AT321,PORTS!$H$626:$H$933,0),MATCH(AX$5,PORTS!$H$626:$Z$626,0))</f>
        <v>-0</v>
      </c>
      <c r="AX321" s="352" t="n">
        <f aca="false">(((VLOOKUP(AT321,curvecalc,4,0))*IF(AN321=0,0,AR321/AN321)-INDEX(ship_curves,MATCH(AT321,'SHIP CURVES'!$A$9:$A$316,0),MATCH(CONCATENATE(AX$4,AX$5,AX$6,AX$7),'SHIP CURVES'!$A$9:$Z$9,0))-INDEX(terminal_curves,MATCH(AT321,'TERMINAL CURVES'!$A$4:$A$313,0),MATCH(AX$5,'TERMINAL CURVES'!$A$4:$N$4,0))*IF(AN321=0,0,AP321/AN321))-(AV$8)*((AV$7-$N$5)-(INDEX(ship_curves,MATCH(AT321,'SHIP CURVES'!$A$9:$A$316,0),MATCH(CONCATENATE(AX$4,AX$5,AX$6,AX$7),'SHIP CURVES'!$A$9:$Z$9,0))-INDEX(ship_curves,MATCH(AT321,'SHIP CURVES'!$A$9:$A$316,0),MATCH(CONCATENATE(AX$4,AV$6,AX$6,AX$7),'SHIP CURVES'!$A$9:$Z$9,0)))-(INDEX(terminal_curves,MATCH(AT321,'TERMINAL CURVES'!$A$4:$A$313,0),MATCH(AX$5,'TERMINAL CURVES'!$A$4:$N$4,0))-INDEX(terminal_curves,MATCH(AT321,'TERMINAL CURVES'!$A$4:$A$313,0),MATCH(AV$6,'TERMINAL CURVES'!$A$4:$N$4,0)))*IF(AN321=0,0,AP321/AN321)))*-AN321</f>
        <v>0</v>
      </c>
      <c r="AY321" s="356" t="n">
        <f aca="false">SUM(AV321:AX321)</f>
        <v>0</v>
      </c>
      <c r="AZ321" s="357" t="n">
        <f aca="false">(-AP321/((HLOOKUP(AX$5,port_specs,2,0)/(365.25))*(AT322-AT321)))*(INDEX(fixed_capacity_charge,MATCH(AT321,PORTS!$H$11:$H$317,0),MATCH(AX$5,PORTS!$H$11:$N$11,0))+INDEX(variable_om_charge,MATCH(AT321,PORTS!$H$318:$H$625,0),MATCH(AX$5,PORTS!$H$318:$N$318,0)))</f>
        <v>-0</v>
      </c>
      <c r="BA321" s="343" t="n">
        <f aca="false">+AZ321+AY321</f>
        <v>0</v>
      </c>
      <c r="BB321" s="355" t="n">
        <f aca="false">+BA321+AU321</f>
        <v>0</v>
      </c>
      <c r="BC321" s="99"/>
      <c r="BD321" s="357" t="n">
        <f aca="false">+PORTS!I315+PORTS!I623</f>
        <v>0</v>
      </c>
    </row>
    <row r="322" customFormat="false" ht="12.75" hidden="false" customHeight="false" outlineLevel="0" collapsed="false">
      <c r="A322" s="346" t="n">
        <f aca="false">+DATE(YEAR(A321),MONTH(A321)+1,1)</f>
        <v>45962</v>
      </c>
      <c r="B322" s="327" t="n">
        <f aca="false">+IF(AND($A322&gt;=$C$8,$A322&lt;=$C$9),1,0)*PORTS!$I$5/(365.25)*(A323-A322)</f>
        <v>0</v>
      </c>
      <c r="C322" s="328" t="n">
        <f aca="false">+B322-(SUMIF($F$17:$IV$17,$H$17,$F322:$IV322))</f>
        <v>0</v>
      </c>
      <c r="D322" s="0" t="n">
        <f aca="false">+YEAR(E322)</f>
        <v>2025</v>
      </c>
      <c r="E322" s="346" t="n">
        <f aca="false">+DATE(YEAR(E321),MONTH(E321)+1,1)</f>
        <v>45962</v>
      </c>
      <c r="F322" s="327" t="n">
        <f aca="false">+IF(AND(G$8&lt;=E322,G$9&gt;=E322),INDEX(ROUTE_PER_DAY_BY_SHIP,MATCH(CONCATENATE(G$4,G$5,G$7),ROUTE_PER_DAY_ROUTES,0),MATCH(G$6,ROUTE_PER_DAY_SHIPS,0))*(E323-E322),0)</f>
        <v>0</v>
      </c>
      <c r="G322" s="347" t="n">
        <f aca="false">-F322*HLOOKUP(G$6,SHIPS,7,0)*INDEX(LADEN_VOYAGE_DAYS,MATCH(CONCATENATE(G$4,G$5,G$7),LADEN_VOYAGE_ROUTES,0),MATCH(G$6,LADEN_VOYAGE_SHIPS,0))</f>
        <v>-0</v>
      </c>
      <c r="H322" s="348" t="n">
        <f aca="false">SUM(F322:G322)</f>
        <v>0</v>
      </c>
      <c r="I322" s="349" t="n">
        <f aca="false">-(H322)*HLOOKUP(G$5,TERMINAL_CHARGES,3,0)</f>
        <v>-0</v>
      </c>
      <c r="J322" s="327" t="n">
        <f aca="false">+H322+I322</f>
        <v>0</v>
      </c>
      <c r="K322" s="333"/>
      <c r="L322" s="346" t="n">
        <f aca="false">+DATE(YEAR(L321),MONTH(L321)+1,1)</f>
        <v>45962</v>
      </c>
      <c r="M322" s="334" t="n">
        <f aca="false">+J322*(VLOOKUP(L322,CURVECALC!$C$6:$J$312,4,0)+N$5)</f>
        <v>0</v>
      </c>
      <c r="N322" s="350" t="n">
        <f aca="false">-F322*INDEX(ship_curves,MATCH(L322,'SHIP CURVES'!$A$9:$A$316,0),MATCH(CONCATENATE(P$4,P$5,P$6,P$7),'SHIP CURVES'!$A$9:$AZ$9,0))</f>
        <v>-0</v>
      </c>
      <c r="O322" s="351" t="n">
        <f aca="false">-H322*INDEX(port_processing_fee,MATCH(L322,PORTS!$H$626:$H$933,0),MATCH(P$5,PORTS!$H$626:$Z$626,0))</f>
        <v>-0</v>
      </c>
      <c r="P322" s="352" t="n">
        <f aca="false">(((VLOOKUP(L322,curvecalc,4,0))*IF(F322=0,0,J322/F322)-INDEX(ship_curves,MATCH(L322,'SHIP CURVES'!$A$9:$A$316,0),MATCH(CONCATENATE(P$4,P$5,P$6,P$7),'SHIP CURVES'!$A$9:$Z$9,0))-INDEX(terminal_curves,MATCH(L322,'TERMINAL CURVES'!$A$4:$A$313,0),MATCH(P$5,'TERMINAL CURVES'!$A$4:$N$4,0))*IF(F322=0,0,H322/F322))-(N$8)*((N$7-$N$5)-(INDEX(ship_curves,MATCH(L322,'SHIP CURVES'!$A$9:$A$316,0),MATCH(CONCATENATE(P$4,P$5,P$6,P$7),'SHIP CURVES'!$A$9:$Z$9,0))-INDEX(ship_curves,MATCH(L322,'SHIP CURVES'!$A$9:$A$316,0),MATCH(CONCATENATE(P$4,N$6,P$6,P$7),'SHIP CURVES'!$A$9:$Z$9,0)))-(INDEX(terminal_curves,MATCH(L322,'TERMINAL CURVES'!$A$4:$A$313,0),MATCH(P$5,'TERMINAL CURVES'!$A$4:$N$4,0))-INDEX(terminal_curves,MATCH(L322,'TERMINAL CURVES'!$A$4:$A$313,0),MATCH(N$6,'TERMINAL CURVES'!$A$4:$N$4,0)))*IF(F322=0,0,H322/F322)))*-F322</f>
        <v>0</v>
      </c>
      <c r="Q322" s="353" t="n">
        <f aca="false">SUM(N322:P322)</f>
        <v>0</v>
      </c>
      <c r="R322" s="357" t="n">
        <f aca="false">(-H322/((HLOOKUP(P$5,port_specs,2,0)/(365.25))*(L323-L322)))*(INDEX(fixed_capacity_charge,MATCH(L322,PORTS!$H$11:$H$317,0),MATCH(P$5,PORTS!$H$11:$N$11,0))+INDEX(variable_om_charge,MATCH(L322,PORTS!$H$318:$H$625,0),MATCH(P$5,PORTS!$H$318:$N$318,0)))</f>
        <v>-0</v>
      </c>
      <c r="S322" s="343" t="n">
        <f aca="false">+R322+Q322</f>
        <v>0</v>
      </c>
      <c r="T322" s="355" t="n">
        <f aca="false">+S322+M322</f>
        <v>0</v>
      </c>
      <c r="V322" s="346" t="n">
        <f aca="false">+DATE(YEAR(V321),MONTH(V321)+1,1)</f>
        <v>45962</v>
      </c>
      <c r="W322" s="327" t="n">
        <f aca="false">+Y322/(1-HLOOKUP(X$6,SHIPS,7,0)*INDEX(LADEN_VOYAGE_DAYS,MATCH(CONCATENATE(X$4,X$5),LADEN_VOYAGE_ROUTES,0),MATCH(X$6,LADEN_VOYAGE_SHIPS,0)))</f>
        <v>0</v>
      </c>
      <c r="X322" s="347" t="n">
        <f aca="false">+Y322-W322</f>
        <v>0</v>
      </c>
      <c r="Y322" s="348" t="n">
        <f aca="false">+IF(AND(X$8&lt;=V322,X$9&gt;=V322),+MIN($B322-SUMIF($H$17:X$17,Y$17,$H322:X322),((INDEX(ROUTE_PER_DAY_BY_SHIP,MATCH(CONCATENATE(X$4,X$5,X$7),ROUTE_PER_DAY_ROUTES,0),MATCH(X$6,ROUTE_PER_DAY_SHIPS,0))*(V323-V322))-(INDEX(ROUTE_PER_DAY_BY_SHIP,MATCH(CONCATENATE(X$4,X$5,X$7),ROUTE_PER_DAY_ROUTES,0),MATCH(X$6,ROUTE_PER_DAY_SHIPS,0))*(V323-V322))*HLOOKUP(X$6,SHIPS,7,0)*INDEX(LADEN_VOYAGE_DAYS,MATCH(CONCATENATE(X$4,X$5,X$7),LADEN_VOYAGE_ROUTES,0),MATCH(X$6,LADEN_VOYAGE_SHIPS,0)))),0)</f>
        <v>0</v>
      </c>
      <c r="Z322" s="349" t="n">
        <f aca="false">-(Y322)*HLOOKUP(X$5,TERMINAL_CHARGES,3,0)</f>
        <v>-0</v>
      </c>
      <c r="AA322" s="327" t="n">
        <f aca="false">+Y322+Z322</f>
        <v>0</v>
      </c>
      <c r="AB322" s="333"/>
      <c r="AC322" s="346" t="n">
        <f aca="false">+DATE(YEAR(AC321),MONTH(AC321)+1,1)</f>
        <v>45962</v>
      </c>
      <c r="AD322" s="343" t="n">
        <f aca="false">+AA322*(VLOOKUP(AC322,CURVECALC!$C$6:$J$312,4,0)+AE$5)</f>
        <v>0</v>
      </c>
      <c r="AE322" s="350" t="n">
        <f aca="false">-W322*INDEX(ship_curves,MATCH(AC322,'SHIP CURVES'!$A$9:$A$316,0),MATCH(CONCATENATE(AG$4,AG$5,AG$6,AG$7),'SHIP CURVES'!$A$9:$AZ$9,0))</f>
        <v>-0</v>
      </c>
      <c r="AF322" s="351" t="n">
        <f aca="false">-Y322*INDEX(port_processing_fee,MATCH(AC322,PORTS!$H$626:$H$933,0),MATCH(AG$5,PORTS!$H$626:$Z$626,0))</f>
        <v>-0</v>
      </c>
      <c r="AG322" s="352" t="n">
        <f aca="false">(((VLOOKUP(AC322,curvecalc,4,0))*IF(W322=0,0,AA322/W322)-INDEX(ship_curves,MATCH(AC322,'SHIP CURVES'!$A$9:$A$316,0),MATCH(CONCATENATE(AG$4,AG$5,AG$6,AG$7),'SHIP CURVES'!$A$9:$Z$9,0))-INDEX(terminal_curves,MATCH(AC322,'TERMINAL CURVES'!$A$4:$A$313,0),MATCH(AG$5,'TERMINAL CURVES'!$A$4:$N$4,0))*IF(W322=0,0,Y322/W322))-(AE$8)*((AE$7-$N$5)-(INDEX(ship_curves,MATCH(AC322,'SHIP CURVES'!$A$9:$A$316,0),MATCH(CONCATENATE(AG$4,AG$5,AG$6,AG$7),'SHIP CURVES'!$A$9:$Z$9,0))-INDEX(ship_curves,MATCH(AC322,'SHIP CURVES'!$A$9:$A$316,0),MATCH(CONCATENATE(AG$4,AE$6,AG$6,AG$7),'SHIP CURVES'!$A$9:$Z$9,0)))-(INDEX(terminal_curves,MATCH(AC322,'TERMINAL CURVES'!$A$4:$A$313,0),MATCH(AG$5,'TERMINAL CURVES'!$A$4:$N$4,0))-INDEX(terminal_curves,MATCH(AC322,'TERMINAL CURVES'!$A$4:$A$313,0),MATCH(AE$6,'TERMINAL CURVES'!$A$4:$N$4,0)))*IF(W322=0,0,Y322/W322)))*-W322</f>
        <v>0</v>
      </c>
      <c r="AH322" s="356" t="n">
        <f aca="false">SUM(AE322:AG322)</f>
        <v>0</v>
      </c>
      <c r="AI322" s="357" t="n">
        <f aca="false">(-Y322/((HLOOKUP(AG$5,port_specs,2,0)/(365.25))*(AC323-AC322)))*(INDEX(fixed_capacity_charge,MATCH(AC322,PORTS!$H$11:$H$317,0),MATCH(AG$5,PORTS!$H$11:$N$11,0))+INDEX(variable_om_charge,MATCH(AC322,PORTS!$H$318:$H$625,0),MATCH(AG$5,PORTS!$H$318:$N$318,0)))</f>
        <v>-0</v>
      </c>
      <c r="AJ322" s="343" t="n">
        <f aca="false">+AI322+AH322</f>
        <v>0</v>
      </c>
      <c r="AK322" s="355" t="n">
        <f aca="false">+AJ322+AD322</f>
        <v>0</v>
      </c>
      <c r="AM322" s="346" t="n">
        <f aca="false">+DATE(YEAR(AM321),MONTH(AM321)+1,1)</f>
        <v>45962</v>
      </c>
      <c r="AN322" s="327" t="n">
        <f aca="false">+AP322/(1-HLOOKUP(AO$6,SHIPS,7,0)*INDEX(LADEN_VOYAGE_DAYS,MATCH(CONCATENATE(AO$4,AO$5),LADEN_VOYAGE_ROUTES,0),MATCH(AO$6,LADEN_VOYAGE_SHIPS,0)))</f>
        <v>0</v>
      </c>
      <c r="AO322" s="347" t="n">
        <f aca="false">+AP322-AN322</f>
        <v>0</v>
      </c>
      <c r="AP322" s="348" t="n">
        <f aca="false">+IF(AND(AO$8&lt;=AM322,AO$9&gt;=AM322),+MIN($B322-SUMIF($H$17:AO$17,AP$17,$H322:AO322),((INDEX(ROUTE_PER_DAY_BY_SHIP,MATCH(CONCATENATE(AO$4,AO$5,AO$7),ROUTE_PER_DAY_ROUTES,0),MATCH(AO$6,ROUTE_PER_DAY_SHIPS,0))*(AM323-AM322))-(INDEX(ROUTE_PER_DAY_BY_SHIP,MATCH(CONCATENATE(AO$4,AO$5,AO$7),ROUTE_PER_DAY_ROUTES,0),MATCH(AO$6,ROUTE_PER_DAY_SHIPS,0))*(AM323-AM322))*HLOOKUP(AO$6,SHIPS,7,0)*INDEX(LADEN_VOYAGE_DAYS,MATCH(CONCATENATE(AO$4,AO$5,AO$7),LADEN_VOYAGE_ROUTES,0),MATCH(AO$6,LADEN_VOYAGE_SHIPS,0)))),0)</f>
        <v>0</v>
      </c>
      <c r="AQ322" s="349" t="n">
        <f aca="false">-(AP322)*PORTS!$I$6</f>
        <v>-0</v>
      </c>
      <c r="AR322" s="327" t="n">
        <f aca="false">+AP322+AQ322</f>
        <v>0</v>
      </c>
      <c r="AS322" s="333"/>
      <c r="AT322" s="346" t="n">
        <f aca="false">+DATE(YEAR(AT321),MONTH(AT321)+1,1)</f>
        <v>45962</v>
      </c>
      <c r="AU322" s="343" t="n">
        <f aca="false">+AR322*(VLOOKUP(AT322,CURVECALC!$C$6:$J$312,4,0)+AV$5)</f>
        <v>0</v>
      </c>
      <c r="AV322" s="350" t="n">
        <f aca="false">-AN322*INDEX(ship_curves,MATCH(AT322,'SHIP CURVES'!$A$9:$A$316,0),MATCH(CONCATENATE(AX$4,AX$5,AX$6,AX$7),'SHIP CURVES'!$A$9:$AZ$9,0))</f>
        <v>-0</v>
      </c>
      <c r="AW322" s="351" t="n">
        <f aca="false">-AP322*INDEX(port_processing_fee,MATCH(AT322,PORTS!$H$626:$H$933,0),MATCH(AX$5,PORTS!$H$626:$Z$626,0))</f>
        <v>-0</v>
      </c>
      <c r="AX322" s="352" t="n">
        <f aca="false">(((VLOOKUP(AT322,curvecalc,4,0))*IF(AN322=0,0,AR322/AN322)-INDEX(ship_curves,MATCH(AT322,'SHIP CURVES'!$A$9:$A$316,0),MATCH(CONCATENATE(AX$4,AX$5,AX$6,AX$7),'SHIP CURVES'!$A$9:$Z$9,0))-INDEX(terminal_curves,MATCH(AT322,'TERMINAL CURVES'!$A$4:$A$313,0),MATCH(AX$5,'TERMINAL CURVES'!$A$4:$N$4,0))*IF(AN322=0,0,AP322/AN322))-(AV$8)*((AV$7-$N$5)-(INDEX(ship_curves,MATCH(AT322,'SHIP CURVES'!$A$9:$A$316,0),MATCH(CONCATENATE(AX$4,AX$5,AX$6,AX$7),'SHIP CURVES'!$A$9:$Z$9,0))-INDEX(ship_curves,MATCH(AT322,'SHIP CURVES'!$A$9:$A$316,0),MATCH(CONCATENATE(AX$4,AV$6,AX$6,AX$7),'SHIP CURVES'!$A$9:$Z$9,0)))-(INDEX(terminal_curves,MATCH(AT322,'TERMINAL CURVES'!$A$4:$A$313,0),MATCH(AX$5,'TERMINAL CURVES'!$A$4:$N$4,0))-INDEX(terminal_curves,MATCH(AT322,'TERMINAL CURVES'!$A$4:$A$313,0),MATCH(AV$6,'TERMINAL CURVES'!$A$4:$N$4,0)))*IF(AN322=0,0,AP322/AN322)))*-AN322</f>
        <v>0</v>
      </c>
      <c r="AY322" s="356" t="n">
        <f aca="false">SUM(AV322:AX322)</f>
        <v>0</v>
      </c>
      <c r="AZ322" s="357" t="n">
        <f aca="false">(-AP322/((HLOOKUP(AX$5,port_specs,2,0)/(365.25))*(AT323-AT322)))*(INDEX(fixed_capacity_charge,MATCH(AT322,PORTS!$H$11:$H$317,0),MATCH(AX$5,PORTS!$H$11:$N$11,0))+INDEX(variable_om_charge,MATCH(AT322,PORTS!$H$318:$H$625,0),MATCH(AX$5,PORTS!$H$318:$N$318,0)))</f>
        <v>-0</v>
      </c>
      <c r="BA322" s="343" t="n">
        <f aca="false">+AZ322+AY322</f>
        <v>0</v>
      </c>
      <c r="BB322" s="355" t="n">
        <f aca="false">+BA322+AU322</f>
        <v>0</v>
      </c>
      <c r="BC322" s="99"/>
      <c r="BD322" s="357" t="n">
        <f aca="false">+PORTS!I316+PORTS!I624</f>
        <v>0</v>
      </c>
    </row>
    <row r="323" customFormat="false" ht="12.75" hidden="false" customHeight="false" outlineLevel="0" collapsed="false">
      <c r="A323" s="358" t="n">
        <f aca="false">+DATE(YEAR(A322),MONTH(A322)+1,1)</f>
        <v>45992</v>
      </c>
      <c r="B323" s="359" t="n">
        <f aca="false">+IF(AND($A323&gt;=$C$8,$A323&lt;=$C$9),1,0)*PORTS!$I$5/(365.25)*(A324-A323)</f>
        <v>0</v>
      </c>
      <c r="C323" s="360" t="n">
        <f aca="false">+B323-(SUMIF($F$17:$IV$17,$H$17,$F323:$IV323))</f>
        <v>0</v>
      </c>
      <c r="D323" s="0" t="n">
        <f aca="false">+YEAR(E323)</f>
        <v>2025</v>
      </c>
      <c r="E323" s="358" t="n">
        <f aca="false">+DATE(YEAR(E322),MONTH(E322)+1,1)</f>
        <v>45992</v>
      </c>
      <c r="F323" s="359" t="n">
        <f aca="false">+IF(AND(G$8&lt;=E323,G$9&gt;=E323),INDEX(ROUTE_PER_DAY_BY_SHIP,MATCH(CONCATENATE(G$4,G$5,G$7),ROUTE_PER_DAY_ROUTES,0),MATCH(G$6,ROUTE_PER_DAY_SHIPS,0))*(E324-E323),0)</f>
        <v>0</v>
      </c>
      <c r="G323" s="361" t="n">
        <f aca="false">-F323*HLOOKUP(G$6,SHIPS,7,0)*INDEX(LADEN_VOYAGE_DAYS,MATCH(CONCATENATE(G$4,G$5,G$7),LADEN_VOYAGE_ROUTES,0),MATCH(G$6,LADEN_VOYAGE_SHIPS,0))</f>
        <v>-0</v>
      </c>
      <c r="H323" s="362" t="n">
        <f aca="false">SUM(F323:G323)</f>
        <v>0</v>
      </c>
      <c r="I323" s="363" t="n">
        <f aca="false">-(H323)*HLOOKUP(G$5,TERMINAL_CHARGES,3,0)</f>
        <v>-0</v>
      </c>
      <c r="J323" s="359" t="n">
        <f aca="false">+H323+I323</f>
        <v>0</v>
      </c>
      <c r="K323" s="364"/>
      <c r="L323" s="358" t="n">
        <f aca="false">+DATE(YEAR(L322),MONTH(L322)+1,1)</f>
        <v>45992</v>
      </c>
      <c r="M323" s="365" t="n">
        <f aca="false">+J323*(VLOOKUP(L323,CURVECALC!$C$6:$J$312,4,0)+N$5)</f>
        <v>0</v>
      </c>
      <c r="N323" s="366" t="n">
        <f aca="false">-F323*INDEX(ship_curves,MATCH(L323,'SHIP CURVES'!$A$9:$A$316,0),MATCH(CONCATENATE(P$4,P$5,P$6,P$7),'SHIP CURVES'!$A$9:$AZ$9,0))</f>
        <v>-0</v>
      </c>
      <c r="O323" s="367" t="n">
        <f aca="false">-H323*INDEX(port_processing_fee,MATCH(L323,PORTS!$H$626:$H$933,0),MATCH(P$5,PORTS!$H$626:$Z$626,0))</f>
        <v>-0</v>
      </c>
      <c r="P323" s="368" t="n">
        <f aca="false">(((VLOOKUP(L323,curvecalc,4,0))*IF(F323=0,0,J323/F323)-INDEX(ship_curves,MATCH(L323,'SHIP CURVES'!$A$9:$A$316,0),MATCH(CONCATENATE(P$4,P$5,P$6,P$7),'SHIP CURVES'!$A$9:$Z$9,0))-INDEX(terminal_curves,MATCH(L323,'TERMINAL CURVES'!$A$4:$A$313,0),MATCH(P$5,'TERMINAL CURVES'!$A$4:$N$4,0))*IF(F323=0,0,H323/F323))-(N$8)*((N$7-$N$5)-(INDEX(ship_curves,MATCH(L323,'SHIP CURVES'!$A$9:$A$316,0),MATCH(CONCATENATE(P$4,P$5,P$6,P$7),'SHIP CURVES'!$A$9:$Z$9,0))-INDEX(ship_curves,MATCH(L323,'SHIP CURVES'!$A$9:$A$316,0),MATCH(CONCATENATE(P$4,N$6,P$6,P$7),'SHIP CURVES'!$A$9:$Z$9,0)))-(INDEX(terminal_curves,MATCH(L323,'TERMINAL CURVES'!$A$4:$A$313,0),MATCH(P$5,'TERMINAL CURVES'!$A$4:$N$4,0))-INDEX(terminal_curves,MATCH(L323,'TERMINAL CURVES'!$A$4:$A$313,0),MATCH(N$6,'TERMINAL CURVES'!$A$4:$N$4,0)))*IF(F323=0,0,H323/F323)))*-F323</f>
        <v>0</v>
      </c>
      <c r="Q323" s="369" t="n">
        <f aca="false">SUM(N323:P323)</f>
        <v>0</v>
      </c>
      <c r="R323" s="370" t="n">
        <f aca="false">(-H323/((HLOOKUP(P$5,port_specs,2,0)/(365.25))*(L324-L323)))*(INDEX(fixed_capacity_charge,MATCH(L323,PORTS!$H$11:$H$317,0),MATCH(P$5,PORTS!$H$11:$N$11,0))+INDEX(variable_om_charge,MATCH(L323,PORTS!$H$318:$H$625,0),MATCH(P$5,PORTS!$H$318:$N$318,0)))</f>
        <v>0</v>
      </c>
      <c r="S323" s="371" t="n">
        <f aca="false">+R323+Q323</f>
        <v>0</v>
      </c>
      <c r="T323" s="372" t="n">
        <f aca="false">+S323+M323</f>
        <v>0</v>
      </c>
      <c r="V323" s="358" t="n">
        <f aca="false">+DATE(YEAR(V322),MONTH(V322)+1,1)</f>
        <v>45992</v>
      </c>
      <c r="W323" s="359" t="n">
        <f aca="false">+Y323/(1-HLOOKUP(X$6,SHIPS,7,0)*INDEX(LADEN_VOYAGE_DAYS,MATCH(CONCATENATE(X$4,X$5),LADEN_VOYAGE_ROUTES,0),MATCH(X$6,LADEN_VOYAGE_SHIPS,0)))</f>
        <v>0</v>
      </c>
      <c r="X323" s="361" t="n">
        <f aca="false">+Y323-W323</f>
        <v>0</v>
      </c>
      <c r="Y323" s="362" t="n">
        <f aca="false">+IF(AND(X$8&lt;=V323,X$9&gt;=V323),+MIN($B323-SUMIF($H$17:X$17,Y$17,$H323:X323),((INDEX(ROUTE_PER_DAY_BY_SHIP,MATCH(CONCATENATE(X$4,X$5,X$7),ROUTE_PER_DAY_ROUTES,0),MATCH(X$6,ROUTE_PER_DAY_SHIPS,0))*(V324-V323))-(INDEX(ROUTE_PER_DAY_BY_SHIP,MATCH(CONCATENATE(X$4,X$5,X$7),ROUTE_PER_DAY_ROUTES,0),MATCH(X$6,ROUTE_PER_DAY_SHIPS,0))*(V324-V323))*HLOOKUP(X$6,SHIPS,7,0)*INDEX(LADEN_VOYAGE_DAYS,MATCH(CONCATENATE(X$4,X$5,X$7),LADEN_VOYAGE_ROUTES,0),MATCH(X$6,LADEN_VOYAGE_SHIPS,0)))),0)</f>
        <v>0</v>
      </c>
      <c r="Z323" s="363" t="n">
        <f aca="false">-(Y323)*HLOOKUP(X$5,TERMINAL_CHARGES,3,0)</f>
        <v>-0</v>
      </c>
      <c r="AA323" s="359" t="n">
        <f aca="false">+Y323+Z323</f>
        <v>0</v>
      </c>
      <c r="AB323" s="364"/>
      <c r="AC323" s="358" t="n">
        <f aca="false">+DATE(YEAR(AC322),MONTH(AC322)+1,1)</f>
        <v>45992</v>
      </c>
      <c r="AD323" s="371" t="n">
        <f aca="false">+AA323*(VLOOKUP(AC323,CURVECALC!$C$6:$J$312,4,0)+AE$5)</f>
        <v>0</v>
      </c>
      <c r="AE323" s="366" t="n">
        <f aca="false">-W323*INDEX(ship_curves,MATCH(AC323,'SHIP CURVES'!$A$9:$A$316,0),MATCH(CONCATENATE(AG$4,AG$5,AG$6,AG$7),'SHIP CURVES'!$A$9:$AZ$9,0))</f>
        <v>-0</v>
      </c>
      <c r="AF323" s="367" t="n">
        <f aca="false">-Y323*INDEX(port_processing_fee,MATCH(AC323,PORTS!$H$626:$H$933,0),MATCH(AG$5,PORTS!$H$626:$Z$626,0))</f>
        <v>-0</v>
      </c>
      <c r="AG323" s="368" t="n">
        <f aca="false">(((VLOOKUP(AC323,curvecalc,4,0))*IF(W323=0,0,AA323/W323)-INDEX(ship_curves,MATCH(AC323,'SHIP CURVES'!$A$9:$A$316,0),MATCH(CONCATENATE(AG$4,AG$5,AG$6,AG$7),'SHIP CURVES'!$A$9:$Z$9,0))-INDEX(terminal_curves,MATCH(AC323,'TERMINAL CURVES'!$A$4:$A$313,0),MATCH(AG$5,'TERMINAL CURVES'!$A$4:$N$4,0))*IF(W323=0,0,Y323/W323))-(AE$8)*((AE$7-$N$5)-(INDEX(ship_curves,MATCH(AC323,'SHIP CURVES'!$A$9:$A$316,0),MATCH(CONCATENATE(AG$4,AG$5,AG$6,AG$7),'SHIP CURVES'!$A$9:$Z$9,0))-INDEX(ship_curves,MATCH(AC323,'SHIP CURVES'!$A$9:$A$316,0),MATCH(CONCATENATE(AG$4,AE$6,AG$6,AG$7),'SHIP CURVES'!$A$9:$Z$9,0)))-(INDEX(terminal_curves,MATCH(AC323,'TERMINAL CURVES'!$A$4:$A$313,0),MATCH(AG$5,'TERMINAL CURVES'!$A$4:$N$4,0))-INDEX(terminal_curves,MATCH(AC323,'TERMINAL CURVES'!$A$4:$A$313,0),MATCH(AE$6,'TERMINAL CURVES'!$A$4:$N$4,0)))*IF(W323=0,0,Y323/W323)))*-W323</f>
        <v>0</v>
      </c>
      <c r="AH323" s="373" t="n">
        <f aca="false">SUM(AE323:AG323)</f>
        <v>0</v>
      </c>
      <c r="AI323" s="370" t="n">
        <f aca="false">(-Y323/((HLOOKUP(AG$5,port_specs,2,0)/(365.25))*(AC324-AC323)))*(INDEX(fixed_capacity_charge,MATCH(AC323,PORTS!$H$11:$H$317,0),MATCH(AG$5,PORTS!$H$11:$N$11,0))+INDEX(variable_om_charge,MATCH(AC323,PORTS!$H$318:$H$625,0),MATCH(AG$5,PORTS!$H$318:$N$318,0)))</f>
        <v>0</v>
      </c>
      <c r="AJ323" s="371" t="n">
        <f aca="false">+AI323+AH323</f>
        <v>0</v>
      </c>
      <c r="AK323" s="372" t="n">
        <f aca="false">+AJ323+AD323</f>
        <v>0</v>
      </c>
      <c r="AM323" s="358" t="n">
        <f aca="false">+DATE(YEAR(AM322),MONTH(AM322)+1,1)</f>
        <v>45992</v>
      </c>
      <c r="AN323" s="359" t="n">
        <f aca="false">+AP323/(1-HLOOKUP(AO$6,SHIPS,7,0)*INDEX(LADEN_VOYAGE_DAYS,MATCH(CONCATENATE(AO$4,AO$5),LADEN_VOYAGE_ROUTES,0),MATCH(AO$6,LADEN_VOYAGE_SHIPS,0)))</f>
        <v>0</v>
      </c>
      <c r="AO323" s="361" t="n">
        <f aca="false">+AP323-AN323</f>
        <v>0</v>
      </c>
      <c r="AP323" s="362" t="n">
        <f aca="false">+IF(AND(AO$8&lt;=AM323,AO$9&gt;=AM323),+MIN($B323-SUMIF($H$17:AO$17,AP$17,$H323:AO323),((INDEX(ROUTE_PER_DAY_BY_SHIP,MATCH(CONCATENATE(AO$4,AO$5,AO$7),ROUTE_PER_DAY_ROUTES,0),MATCH(AO$6,ROUTE_PER_DAY_SHIPS,0))*(AM324-AM323))-(INDEX(ROUTE_PER_DAY_BY_SHIP,MATCH(CONCATENATE(AO$4,AO$5,AO$7),ROUTE_PER_DAY_ROUTES,0),MATCH(AO$6,ROUTE_PER_DAY_SHIPS,0))*(AM324-AM323))*HLOOKUP(AO$6,SHIPS,7,0)*INDEX(LADEN_VOYAGE_DAYS,MATCH(CONCATENATE(AO$4,AO$5,AO$7),LADEN_VOYAGE_ROUTES,0),MATCH(AO$6,LADEN_VOYAGE_SHIPS,0)))),0)</f>
        <v>0</v>
      </c>
      <c r="AQ323" s="363" t="n">
        <f aca="false">-(AP323)*PORTS!$I$6</f>
        <v>-0</v>
      </c>
      <c r="AR323" s="359" t="n">
        <f aca="false">+AP323+AQ323</f>
        <v>0</v>
      </c>
      <c r="AS323" s="364"/>
      <c r="AT323" s="358" t="n">
        <f aca="false">+DATE(YEAR(AT322),MONTH(AT322)+1,1)</f>
        <v>45992</v>
      </c>
      <c r="AU323" s="371" t="n">
        <f aca="false">+AR323*(VLOOKUP(AT323,CURVECALC!$C$6:$J$312,4,0)+AV$5)</f>
        <v>0</v>
      </c>
      <c r="AV323" s="366" t="n">
        <f aca="false">-AN323*INDEX(ship_curves,MATCH(AT323,'SHIP CURVES'!$A$9:$A$316,0),MATCH(CONCATENATE(AX$4,AX$5,AX$6,AX$7),'SHIP CURVES'!$A$9:$AZ$9,0))</f>
        <v>-0</v>
      </c>
      <c r="AW323" s="367" t="n">
        <f aca="false">-AP323*INDEX(port_processing_fee,MATCH(AT323,PORTS!$H$626:$H$933,0),MATCH(AX$5,PORTS!$H$626:$Z$626,0))</f>
        <v>-0</v>
      </c>
      <c r="AX323" s="368" t="n">
        <f aca="false">(((VLOOKUP(AT323,curvecalc,4,0))*IF(AN323=0,0,AR323/AN323)-INDEX(ship_curves,MATCH(AT323,'SHIP CURVES'!$A$9:$A$316,0),MATCH(CONCATENATE(AX$4,AX$5,AX$6,AX$7),'SHIP CURVES'!$A$9:$Z$9,0))-INDEX(terminal_curves,MATCH(AT323,'TERMINAL CURVES'!$A$4:$A$313,0),MATCH(AX$5,'TERMINAL CURVES'!$A$4:$N$4,0))*IF(AN323=0,0,AP323/AN323))-(AV$8)*((AV$7-$N$5)-(INDEX(ship_curves,MATCH(AT323,'SHIP CURVES'!$A$9:$A$316,0),MATCH(CONCATENATE(AX$4,AX$5,AX$6,AX$7),'SHIP CURVES'!$A$9:$Z$9,0))-INDEX(ship_curves,MATCH(AT323,'SHIP CURVES'!$A$9:$A$316,0),MATCH(CONCATENATE(AX$4,AV$6,AX$6,AX$7),'SHIP CURVES'!$A$9:$Z$9,0)))-(INDEX(terminal_curves,MATCH(AT323,'TERMINAL CURVES'!$A$4:$A$313,0),MATCH(AX$5,'TERMINAL CURVES'!$A$4:$N$4,0))-INDEX(terminal_curves,MATCH(AT323,'TERMINAL CURVES'!$A$4:$A$313,0),MATCH(AV$6,'TERMINAL CURVES'!$A$4:$N$4,0)))*IF(AN323=0,0,AP323/AN323)))*-AN323</f>
        <v>0</v>
      </c>
      <c r="AY323" s="373" t="n">
        <f aca="false">SUM(AV323:AX323)</f>
        <v>0</v>
      </c>
      <c r="AZ323" s="370" t="n">
        <f aca="false">(-AP323/((HLOOKUP(AX$5,port_specs,2,0)/(365.25))*(AT324-AT323)))*(INDEX(fixed_capacity_charge,MATCH(AT323,PORTS!$H$11:$H$317,0),MATCH(AX$5,PORTS!$H$11:$N$11,0))+INDEX(variable_om_charge,MATCH(AT323,PORTS!$H$318:$H$625,0),MATCH(AX$5,PORTS!$H$318:$N$318,0)))</f>
        <v>0</v>
      </c>
      <c r="BA323" s="371" t="n">
        <f aca="false">+AZ323+AY323</f>
        <v>0</v>
      </c>
      <c r="BB323" s="372" t="n">
        <f aca="false">+BA323+AU323</f>
        <v>0</v>
      </c>
      <c r="BC323" s="99"/>
      <c r="BD323" s="370" t="n">
        <f aca="false">+PORTS!I317+PORTS!I625</f>
        <v>0</v>
      </c>
    </row>
    <row r="324" customFormat="false" ht="12.75" hidden="false" customHeight="false" outlineLevel="0" collapsed="false">
      <c r="A324" s="346" t="n">
        <f aca="false">+DATE(YEAR(A323),MONTH(A323)+1,1)</f>
        <v>46023</v>
      </c>
      <c r="R324" s="374"/>
      <c r="S324" s="374"/>
      <c r="V324" s="346" t="n">
        <f aca="false">+DATE(YEAR(V323),MONTH(V323)+1,1)</f>
        <v>46023</v>
      </c>
      <c r="AI324" s="374"/>
      <c r="AJ324" s="374"/>
      <c r="AM324" s="346" t="n">
        <f aca="false">+DATE(YEAR(AM323),MONTH(AM323)+1,1)</f>
        <v>46023</v>
      </c>
      <c r="AZ324" s="374"/>
      <c r="BA324" s="374"/>
    </row>
    <row r="325" customFormat="false" ht="12.75" hidden="false" customHeight="false" outlineLevel="0" collapsed="false">
      <c r="R325" s="374"/>
      <c r="S325" s="374"/>
      <c r="AI325" s="374"/>
      <c r="AJ325" s="374"/>
      <c r="AZ325" s="374"/>
      <c r="BA325" s="374"/>
    </row>
    <row r="326" customFormat="false" ht="12.75" hidden="false" customHeight="false" outlineLevel="0" collapsed="false">
      <c r="R326" s="374"/>
      <c r="S326" s="374"/>
      <c r="AI326" s="374"/>
      <c r="AJ326" s="374"/>
      <c r="AZ326" s="374"/>
      <c r="BA326" s="374"/>
    </row>
    <row r="327" customFormat="false" ht="12.75" hidden="false" customHeight="false" outlineLevel="0" collapsed="false">
      <c r="R327" s="374"/>
      <c r="S327" s="374"/>
      <c r="AI327" s="374"/>
      <c r="AJ327" s="374"/>
      <c r="AZ327" s="374"/>
      <c r="BA327" s="374"/>
    </row>
    <row r="328" customFormat="false" ht="12.75" hidden="false" customHeight="false" outlineLevel="0" collapsed="false">
      <c r="R328" s="374"/>
      <c r="S328" s="374"/>
      <c r="AI328" s="374"/>
      <c r="AJ328" s="374"/>
      <c r="AZ328" s="374"/>
      <c r="BA328" s="374"/>
    </row>
    <row r="329" customFormat="false" ht="12.75" hidden="false" customHeight="false" outlineLevel="0" collapsed="false">
      <c r="R329" s="374"/>
      <c r="S329" s="374"/>
      <c r="AI329" s="374"/>
      <c r="AJ329" s="374"/>
      <c r="AZ329" s="374"/>
      <c r="BA329" s="374"/>
    </row>
    <row r="330" customFormat="false" ht="12.75" hidden="false" customHeight="false" outlineLevel="0" collapsed="false">
      <c r="R330" s="374"/>
      <c r="S330" s="374"/>
      <c r="AI330" s="374"/>
      <c r="AJ330" s="374"/>
      <c r="AZ330" s="374"/>
      <c r="BA330" s="374"/>
    </row>
    <row r="331" customFormat="false" ht="12.75" hidden="false" customHeight="false" outlineLevel="0" collapsed="false">
      <c r="R331" s="374"/>
      <c r="S331" s="374"/>
      <c r="AI331" s="374"/>
      <c r="AJ331" s="374"/>
      <c r="AZ331" s="374"/>
      <c r="BA331" s="374"/>
    </row>
    <row r="332" customFormat="false" ht="12.75" hidden="false" customHeight="false" outlineLevel="0" collapsed="false">
      <c r="R332" s="374"/>
      <c r="S332" s="374"/>
      <c r="AI332" s="374"/>
      <c r="AJ332" s="374"/>
      <c r="AZ332" s="374"/>
      <c r="BA332" s="374"/>
    </row>
    <row r="333" customFormat="false" ht="12.75" hidden="false" customHeight="false" outlineLevel="0" collapsed="false">
      <c r="R333" s="374"/>
      <c r="S333" s="374"/>
      <c r="AI333" s="374"/>
      <c r="AJ333" s="374"/>
      <c r="AZ333" s="374"/>
      <c r="BA333" s="374"/>
    </row>
    <row r="334" customFormat="false" ht="12.75" hidden="false" customHeight="false" outlineLevel="0" collapsed="false">
      <c r="R334" s="374"/>
      <c r="S334" s="374"/>
      <c r="AI334" s="374"/>
      <c r="AJ334" s="374"/>
      <c r="AZ334" s="374"/>
      <c r="BA334" s="374"/>
    </row>
    <row r="335" customFormat="false" ht="12.75" hidden="false" customHeight="false" outlineLevel="0" collapsed="false">
      <c r="R335" s="374"/>
      <c r="S335" s="374"/>
      <c r="AI335" s="374"/>
      <c r="AJ335" s="374"/>
      <c r="AZ335" s="374"/>
      <c r="BA335" s="374"/>
    </row>
    <row r="336" customFormat="false" ht="12.75" hidden="false" customHeight="false" outlineLevel="0" collapsed="false">
      <c r="R336" s="374"/>
      <c r="S336" s="374"/>
      <c r="AI336" s="374"/>
      <c r="AJ336" s="374"/>
      <c r="AZ336" s="374"/>
      <c r="BA336" s="374"/>
    </row>
    <row r="337" customFormat="false" ht="12.75" hidden="false" customHeight="false" outlineLevel="0" collapsed="false">
      <c r="R337" s="374"/>
      <c r="S337" s="374"/>
      <c r="AI337" s="374"/>
      <c r="AJ337" s="374"/>
      <c r="AZ337" s="374"/>
      <c r="BA337" s="374"/>
    </row>
    <row r="338" customFormat="false" ht="12.75" hidden="false" customHeight="false" outlineLevel="0" collapsed="false">
      <c r="R338" s="374"/>
      <c r="S338" s="374"/>
      <c r="AI338" s="374"/>
      <c r="AJ338" s="374"/>
      <c r="AZ338" s="374"/>
      <c r="BA338" s="374"/>
    </row>
    <row r="339" customFormat="false" ht="12.75" hidden="false" customHeight="false" outlineLevel="0" collapsed="false">
      <c r="R339" s="374"/>
      <c r="S339" s="374"/>
      <c r="AI339" s="374"/>
      <c r="AJ339" s="374"/>
      <c r="AZ339" s="374"/>
      <c r="BA339" s="374"/>
    </row>
    <row r="340" customFormat="false" ht="12.75" hidden="false" customHeight="false" outlineLevel="0" collapsed="false">
      <c r="R340" s="374"/>
      <c r="S340" s="374"/>
      <c r="AI340" s="374"/>
      <c r="AJ340" s="374"/>
      <c r="AZ340" s="374"/>
      <c r="BA340" s="374"/>
    </row>
    <row r="341" customFormat="false" ht="12.75" hidden="false" customHeight="false" outlineLevel="0" collapsed="false">
      <c r="R341" s="374"/>
      <c r="S341" s="374"/>
      <c r="AI341" s="374"/>
      <c r="AJ341" s="374"/>
      <c r="AZ341" s="374"/>
      <c r="BA341" s="374"/>
    </row>
    <row r="342" customFormat="false" ht="12.75" hidden="false" customHeight="false" outlineLevel="0" collapsed="false">
      <c r="R342" s="374"/>
      <c r="S342" s="374"/>
      <c r="AI342" s="374"/>
      <c r="AJ342" s="374"/>
      <c r="AZ342" s="374"/>
      <c r="BA342" s="374"/>
    </row>
    <row r="343" customFormat="false" ht="12.75" hidden="false" customHeight="false" outlineLevel="0" collapsed="false">
      <c r="R343" s="374"/>
      <c r="S343" s="374"/>
      <c r="AI343" s="374"/>
      <c r="AJ343" s="374"/>
      <c r="AZ343" s="374"/>
      <c r="BA343" s="374"/>
    </row>
    <row r="344" customFormat="false" ht="12.75" hidden="false" customHeight="false" outlineLevel="0" collapsed="false">
      <c r="R344" s="374"/>
      <c r="S344" s="374"/>
      <c r="AI344" s="374"/>
      <c r="AJ344" s="374"/>
      <c r="AZ344" s="374"/>
      <c r="BA344" s="374"/>
    </row>
    <row r="345" customFormat="false" ht="12.75" hidden="false" customHeight="false" outlineLevel="0" collapsed="false">
      <c r="R345" s="374"/>
      <c r="S345" s="374"/>
      <c r="AI345" s="374"/>
      <c r="AJ345" s="374"/>
      <c r="AZ345" s="374"/>
      <c r="BA345" s="374"/>
    </row>
    <row r="346" customFormat="false" ht="12.75" hidden="false" customHeight="false" outlineLevel="0" collapsed="false">
      <c r="R346" s="374"/>
      <c r="S346" s="374"/>
      <c r="AI346" s="374"/>
      <c r="AJ346" s="374"/>
      <c r="AZ346" s="374"/>
      <c r="BA346" s="374"/>
    </row>
    <row r="347" customFormat="false" ht="12.75" hidden="false" customHeight="false" outlineLevel="0" collapsed="false">
      <c r="R347" s="374"/>
      <c r="S347" s="374"/>
      <c r="AI347" s="374"/>
      <c r="AJ347" s="374"/>
      <c r="AZ347" s="374"/>
      <c r="BA347" s="374"/>
    </row>
    <row r="348" customFormat="false" ht="12.75" hidden="false" customHeight="false" outlineLevel="0" collapsed="false">
      <c r="R348" s="374"/>
      <c r="S348" s="374"/>
      <c r="AI348" s="374"/>
      <c r="AJ348" s="374"/>
      <c r="AZ348" s="374"/>
      <c r="BA348" s="374"/>
    </row>
    <row r="349" customFormat="false" ht="12.75" hidden="false" customHeight="false" outlineLevel="0" collapsed="false">
      <c r="R349" s="374"/>
      <c r="S349" s="374"/>
      <c r="AI349" s="374"/>
      <c r="AJ349" s="374"/>
      <c r="AZ349" s="374"/>
      <c r="BA349" s="374"/>
    </row>
    <row r="350" customFormat="false" ht="12.75" hidden="false" customHeight="false" outlineLevel="0" collapsed="false">
      <c r="R350" s="374"/>
      <c r="S350" s="374"/>
      <c r="AI350" s="374"/>
      <c r="AJ350" s="374"/>
      <c r="AZ350" s="374"/>
      <c r="BA350" s="374"/>
    </row>
    <row r="351" customFormat="false" ht="12.75" hidden="false" customHeight="false" outlineLevel="0" collapsed="false">
      <c r="R351" s="374"/>
      <c r="S351" s="374"/>
      <c r="AI351" s="374"/>
      <c r="AJ351" s="374"/>
      <c r="AZ351" s="374"/>
      <c r="BA351" s="374"/>
    </row>
    <row r="352" customFormat="false" ht="12.75" hidden="false" customHeight="false" outlineLevel="0" collapsed="false">
      <c r="R352" s="374"/>
      <c r="S352" s="374"/>
      <c r="AI352" s="374"/>
      <c r="AJ352" s="374"/>
      <c r="AZ352" s="374"/>
      <c r="BA352" s="374"/>
    </row>
    <row r="353" customFormat="false" ht="12.75" hidden="false" customHeight="false" outlineLevel="0" collapsed="false">
      <c r="R353" s="374"/>
      <c r="S353" s="374"/>
      <c r="AI353" s="374"/>
      <c r="AJ353" s="374"/>
      <c r="AZ353" s="374"/>
      <c r="BA353" s="374"/>
    </row>
    <row r="354" customFormat="false" ht="12.75" hidden="false" customHeight="false" outlineLevel="0" collapsed="false">
      <c r="R354" s="374"/>
      <c r="S354" s="374"/>
      <c r="AI354" s="374"/>
      <c r="AJ354" s="374"/>
      <c r="AZ354" s="374"/>
      <c r="BA354" s="374"/>
    </row>
    <row r="355" customFormat="false" ht="12.75" hidden="false" customHeight="false" outlineLevel="0" collapsed="false">
      <c r="R355" s="374"/>
      <c r="S355" s="374"/>
      <c r="AI355" s="374"/>
      <c r="AJ355" s="374"/>
      <c r="AZ355" s="374"/>
      <c r="BA355" s="374"/>
    </row>
    <row r="356" customFormat="false" ht="12.75" hidden="false" customHeight="false" outlineLevel="0" collapsed="false">
      <c r="R356" s="374"/>
      <c r="S356" s="374"/>
      <c r="AI356" s="374"/>
      <c r="AJ356" s="374"/>
      <c r="AZ356" s="374"/>
      <c r="BA356" s="374"/>
    </row>
    <row r="357" customFormat="false" ht="12.75" hidden="false" customHeight="false" outlineLevel="0" collapsed="false">
      <c r="R357" s="374"/>
      <c r="S357" s="374"/>
      <c r="AI357" s="374"/>
      <c r="AJ357" s="374"/>
      <c r="AZ357" s="374"/>
      <c r="BA357" s="374"/>
    </row>
    <row r="358" customFormat="false" ht="12.75" hidden="false" customHeight="false" outlineLevel="0" collapsed="false">
      <c r="R358" s="374"/>
      <c r="S358" s="374"/>
      <c r="AI358" s="374"/>
      <c r="AJ358" s="374"/>
      <c r="AZ358" s="374"/>
      <c r="BA358" s="374"/>
    </row>
    <row r="359" customFormat="false" ht="12.75" hidden="false" customHeight="false" outlineLevel="0" collapsed="false">
      <c r="R359" s="374"/>
      <c r="S359" s="374"/>
      <c r="AI359" s="374"/>
      <c r="AJ359" s="374"/>
      <c r="AZ359" s="374"/>
      <c r="BA359" s="374"/>
    </row>
    <row r="360" customFormat="false" ht="12.75" hidden="false" customHeight="false" outlineLevel="0" collapsed="false">
      <c r="R360" s="374"/>
      <c r="S360" s="374"/>
      <c r="AI360" s="374"/>
      <c r="AJ360" s="374"/>
      <c r="AZ360" s="374"/>
      <c r="BA360" s="374"/>
    </row>
  </sheetData>
  <mergeCells count="9">
    <mergeCell ref="E3:T3"/>
    <mergeCell ref="V3:AK3"/>
    <mergeCell ref="AM3:BB3"/>
    <mergeCell ref="F11:J11"/>
    <mergeCell ref="M11:T11"/>
    <mergeCell ref="W11:AA11"/>
    <mergeCell ref="AD11:AK11"/>
    <mergeCell ref="AN11:AR11"/>
    <mergeCell ref="AU11:BB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41"/>
  <sheetViews>
    <sheetView showFormulas="false" showGridLines="false" showRowColHeaders="true" showZeros="true" rightToLeft="false" tabSelected="false" showOutlineSymbols="true" defaultGridColor="true" view="normal" topLeftCell="H1" colorId="64" zoomScale="80" zoomScaleNormal="80" zoomScalePageLayoutView="100" workbookViewId="0">
      <selection pane="topLeft" activeCell="S5" activeCellId="0" sqref="S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2" style="0" width="20.56"/>
    <col collapsed="false" customWidth="true" hidden="false" outlineLevel="0" max="6" min="6" style="0" width="1.7"/>
    <col collapsed="false" customWidth="true" hidden="false" outlineLevel="0" max="7" min="7" style="0" width="19.56"/>
    <col collapsed="false" customWidth="true" hidden="false" outlineLevel="0" max="14" min="10" style="0" width="20.56"/>
    <col collapsed="false" customWidth="true" hidden="false" outlineLevel="0" max="15" min="15" style="0" width="1.7"/>
    <col collapsed="false" customWidth="true" hidden="false" outlineLevel="0" max="17" min="16" style="0" width="19.56"/>
  </cols>
  <sheetData>
    <row r="1" customFormat="false" ht="26.25" hidden="false" customHeight="false" outlineLevel="0" collapsed="false">
      <c r="A1" s="375" t="s">
        <v>119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</row>
    <row r="2" customFormat="false" ht="12.75" hidden="false" customHeight="false" outlineLevel="0" collapsed="false">
      <c r="A2" s="310" t="s">
        <v>120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</row>
    <row r="4" customFormat="false" ht="12.75" hidden="false" customHeight="false" outlineLevel="0" collapsed="false">
      <c r="A4" s="30" t="s">
        <v>121</v>
      </c>
      <c r="B4" s="30"/>
      <c r="C4" s="30"/>
      <c r="D4" s="30"/>
      <c r="E4" s="30"/>
      <c r="F4" s="30"/>
      <c r="G4" s="30"/>
      <c r="I4" s="30" t="s">
        <v>122</v>
      </c>
      <c r="J4" s="30"/>
      <c r="K4" s="30"/>
      <c r="L4" s="30"/>
      <c r="M4" s="30"/>
      <c r="N4" s="30"/>
      <c r="O4" s="30"/>
      <c r="P4" s="30"/>
      <c r="Q4" s="30"/>
    </row>
    <row r="5" customFormat="false" ht="12.75" hidden="false" customHeight="false" outlineLevel="0" collapsed="false">
      <c r="B5" s="193"/>
      <c r="C5" s="193"/>
      <c r="D5" s="193"/>
      <c r="E5" s="193"/>
      <c r="F5" s="193"/>
      <c r="G5" s="193" t="s">
        <v>6</v>
      </c>
      <c r="H5" s="193"/>
      <c r="J5" s="193"/>
      <c r="K5" s="193"/>
      <c r="L5" s="193"/>
      <c r="M5" s="193"/>
      <c r="N5" s="193"/>
      <c r="O5" s="193"/>
      <c r="P5" s="193"/>
      <c r="Q5" s="193"/>
    </row>
    <row r="6" customFormat="false" ht="12.75" hidden="false" customHeight="false" outlineLevel="0" collapsed="false">
      <c r="B6" s="193"/>
      <c r="C6" s="193" t="s">
        <v>99</v>
      </c>
      <c r="D6" s="193"/>
      <c r="E6" s="193"/>
      <c r="F6" s="193"/>
      <c r="G6" s="193" t="s">
        <v>109</v>
      </c>
      <c r="H6" s="193"/>
      <c r="J6" s="227" t="s">
        <v>123</v>
      </c>
      <c r="K6" s="227"/>
      <c r="L6" s="227"/>
      <c r="M6" s="227"/>
      <c r="N6" s="227"/>
      <c r="O6" s="227"/>
      <c r="P6" s="227"/>
      <c r="Q6" s="376" t="s">
        <v>124</v>
      </c>
    </row>
    <row r="7" customFormat="false" ht="12.75" hidden="false" customHeight="false" outlineLevel="0" collapsed="false">
      <c r="B7" s="193" t="s">
        <v>99</v>
      </c>
      <c r="C7" s="193" t="s">
        <v>96</v>
      </c>
      <c r="D7" s="193" t="s">
        <v>99</v>
      </c>
      <c r="E7" s="193" t="s">
        <v>100</v>
      </c>
      <c r="F7" s="193"/>
      <c r="G7" s="193" t="s">
        <v>100</v>
      </c>
      <c r="H7" s="193"/>
      <c r="J7" s="377" t="s">
        <v>99</v>
      </c>
      <c r="K7" s="310" t="s">
        <v>1</v>
      </c>
      <c r="L7" s="310" t="s">
        <v>115</v>
      </c>
      <c r="M7" s="310" t="s">
        <v>107</v>
      </c>
      <c r="N7" s="310" t="s">
        <v>99</v>
      </c>
      <c r="O7" s="310"/>
      <c r="P7" s="378" t="s">
        <v>125</v>
      </c>
      <c r="Q7" s="379" t="s">
        <v>125</v>
      </c>
    </row>
    <row r="8" customFormat="false" ht="12.75" hidden="false" customHeight="false" outlineLevel="0" collapsed="false">
      <c r="B8" s="193" t="s">
        <v>109</v>
      </c>
      <c r="C8" s="193" t="s">
        <v>104</v>
      </c>
      <c r="D8" s="193" t="s">
        <v>111</v>
      </c>
      <c r="E8" s="193" t="s">
        <v>126</v>
      </c>
      <c r="F8" s="193"/>
      <c r="G8" s="193" t="s">
        <v>127</v>
      </c>
      <c r="H8" s="193"/>
      <c r="J8" s="380" t="s">
        <v>114</v>
      </c>
      <c r="K8" s="323" t="s">
        <v>117</v>
      </c>
      <c r="L8" s="323" t="s">
        <v>117</v>
      </c>
      <c r="M8" s="323" t="s">
        <v>117</v>
      </c>
      <c r="N8" s="323" t="s">
        <v>117</v>
      </c>
      <c r="O8" s="323"/>
      <c r="P8" s="381" t="s">
        <v>118</v>
      </c>
      <c r="Q8" s="382" t="s">
        <v>118</v>
      </c>
    </row>
    <row r="9" customFormat="false" ht="12.75" hidden="false" customHeight="false" outlineLevel="0" collapsed="false">
      <c r="A9" s="383" t="s">
        <v>99</v>
      </c>
      <c r="B9" s="384" t="n">
        <f aca="false">SUM(B10:B35)</f>
        <v>1069371259.39651</v>
      </c>
      <c r="C9" s="385" t="n">
        <f aca="false">SUM(C10:C35)</f>
        <v>1059371533.80166</v>
      </c>
      <c r="D9" s="385" t="n">
        <f aca="false">SUM(D10:D35)</f>
        <v>1046682030.07077</v>
      </c>
      <c r="E9" s="385" t="n">
        <f aca="false">SUM(E10:E35)</f>
        <v>1020514979.319</v>
      </c>
      <c r="F9" s="386"/>
      <c r="G9" s="278" t="n">
        <f aca="false">SUM(G10:G35)</f>
        <v>22689229.3257451</v>
      </c>
      <c r="H9" s="193"/>
      <c r="I9" s="383" t="s">
        <v>99</v>
      </c>
      <c r="J9" s="387" t="n">
        <f aca="false">SUM(J10:J35)</f>
        <v>3629588818.14391</v>
      </c>
      <c r="K9" s="388" t="n">
        <f aca="false">SUM(K10:K35)</f>
        <v>-3000721788.30387</v>
      </c>
      <c r="L9" s="388" t="n">
        <f aca="false">SUM(L10:L35)</f>
        <v>-31623289.6034885</v>
      </c>
      <c r="M9" s="388" t="n">
        <f aca="false">SUM(M10:M35)</f>
        <v>-576833440.650174</v>
      </c>
      <c r="N9" s="387" t="n">
        <f aca="false">SUM(K9:M9)</f>
        <v>-3609178518.55753</v>
      </c>
      <c r="O9" s="389"/>
      <c r="P9" s="390" t="n">
        <f aca="false">SUM(P10:P35)</f>
        <v>20410299.5863801</v>
      </c>
      <c r="Q9" s="390" t="n">
        <f aca="false">SUM(Q10:Q35)</f>
        <v>20410299.5863801</v>
      </c>
    </row>
    <row r="10" customFormat="false" ht="12.75" hidden="false" customHeight="false" outlineLevel="0" collapsed="false">
      <c r="A10" s="391" t="n">
        <v>2000</v>
      </c>
      <c r="B10" s="331" t="n">
        <f aca="false">+SUMIF('ELBA BOOK'!$D$18:$D$324,'ELBA INCOME'!$A10,'ELBA BOOK'!$B$18:$B$323)</f>
        <v>0</v>
      </c>
      <c r="C10" s="331" t="n">
        <f aca="false">+SUMIF('ELBA BOOK'!$D$18:$D$323,$A10,'ELBA BOOK'!$F$18:$F$323)+SUMIF('ELBA BOOK'!$D$18:$D$323,$A10,'ELBA BOOK'!$W$18:$W$323)+SUMIF('ELBA BOOK'!$D$18:$D$323,$A10,'ELBA BOOK'!$AN$18:$AN$323)</f>
        <v>0</v>
      </c>
      <c r="D10" s="331" t="n">
        <f aca="false">+SUMIF('ELBA BOOK'!$D$18:$D$323,$A10,'ELBA BOOK'!$H$18:$H$323)+SUMIF('ELBA BOOK'!$D$18:$D$323,$A10,'ELBA BOOK'!$Y$18:$Y$323)+SUMIF('ELBA BOOK'!$D$18:$D$323,$A10,'ELBA BOOK'!$AP$18:$AP$323)</f>
        <v>0</v>
      </c>
      <c r="E10" s="331" t="n">
        <f aca="false">+SUMIF('ELBA BOOK'!$D$18:$D$323,$A10,'ELBA BOOK'!$J$18:$J$323)+SUMIF('ELBA BOOK'!$D$18:$D$323,$A10,'ELBA BOOK'!$AA$18:$AA$323)+SUMIF('ELBA BOOK'!$D$18:$D$323,$A10,'ELBA BOOK'!$AR$18:$AR$323)</f>
        <v>0</v>
      </c>
      <c r="F10" s="392"/>
      <c r="G10" s="393" t="n">
        <f aca="false">+SUMIF('ELBA BOOK'!$D$18:$D$323,'ELBA INCOME'!$A10,'ELBA BOOK'!$C$18:$C$323)</f>
        <v>0</v>
      </c>
      <c r="I10" s="394" t="n">
        <v>2000</v>
      </c>
      <c r="J10" s="395" t="n">
        <f aca="false">+SUMIF('ELBA BOOK'!$D$18:$D$323,'ELBA INCOME'!$I10,'ELBA BOOK'!$M$18:$M$323)+SUMIF('ELBA BOOK'!$D$18:$D$323,'ELBA INCOME'!$I10,'ELBA BOOK'!$AD$18:$AD$323)+SUMIF('ELBA BOOK'!$D$18:$D$323,'ELBA INCOME'!$I10,'ELBA BOOK'!$AU$18:$AU$323)</f>
        <v>0</v>
      </c>
      <c r="K10" s="396" t="n">
        <f aca="false">+SUMIF('ELBA BOOK'!$D$18:$D$323,'ELBA INCOME'!$I10,'ELBA BOOK'!$P$18:$P$323)+SUMIF('ELBA BOOK'!$D$18:$D$323,'ELBA INCOME'!$I10,'ELBA BOOK'!$AG$18:$AG$323)+SUMIF('ELBA BOOK'!$D$18:$D$323,'ELBA INCOME'!$I10,'ELBA BOOK'!$AX$18:$AX$323)</f>
        <v>0</v>
      </c>
      <c r="L10" s="396" t="n">
        <f aca="false">+SUMIF('ELBA BOOK'!$D$18:$D$323,'ELBA INCOME'!$I10,'ELBA BOOK'!$O$18:$O$323)+SUMIF('ELBA BOOK'!$D$18:$D$323,'ELBA INCOME'!$I10,'ELBA BOOK'!$AF$18:$AF$323)+SUMIF('ELBA BOOK'!$D$18:$D$323,'ELBA INCOME'!$I10,'ELBA BOOK'!$AW$18:$AW$323)</f>
        <v>0</v>
      </c>
      <c r="M10" s="396" t="n">
        <f aca="false">+SUMIF('ELBA BOOK'!$D$18:$D$323,'ELBA INCOME'!$I10,'ELBA BOOK'!$S$18:$S$323)+SUMIF('ELBA BOOK'!$D$18:$D$323,'ELBA INCOME'!$I10,'ELBA BOOK'!$AJ$18:$AJ$323)+SUMIF('ELBA BOOK'!$D$18:$D$323,'ELBA INCOME'!$I10,'ELBA BOOK'!$BA$18:$BA$323)-K10-L10</f>
        <v>0</v>
      </c>
      <c r="N10" s="397" t="n">
        <f aca="false">SUM(K10:M10)</f>
        <v>0</v>
      </c>
      <c r="O10" s="398"/>
      <c r="P10" s="399" t="n">
        <f aca="false">+J10+N10</f>
        <v>0</v>
      </c>
      <c r="Q10" s="399" t="n">
        <f aca="false">+P10*CURVECALC!L6</f>
        <v>0</v>
      </c>
    </row>
    <row r="11" customFormat="false" ht="12.75" hidden="false" customHeight="false" outlineLevel="0" collapsed="false">
      <c r="A11" s="400" t="n">
        <v>2001</v>
      </c>
      <c r="B11" s="401" t="n">
        <f aca="false">+SUMIF('ELBA BOOK'!$D$18:$D$324,$A11,'ELBA BOOK'!$B$18:$B$323)</f>
        <v>0</v>
      </c>
      <c r="C11" s="401" t="n">
        <f aca="false">+SUMIF('ELBA BOOK'!$D$18:$D$323,$A11,'ELBA BOOK'!$F$18:$F$323)+SUMIF('ELBA BOOK'!$D$18:$D$323,$A11,'ELBA BOOK'!$W$18:$W$323)+SUMIF('ELBA BOOK'!$D$18:$D$323,$A11,'ELBA BOOK'!$AN$18:$AN$323)</f>
        <v>0</v>
      </c>
      <c r="D11" s="401" t="n">
        <f aca="false">+SUMIF('ELBA BOOK'!$D$18:$D$323,$A11,'ELBA BOOK'!$H$18:$H$323)+SUMIF('ELBA BOOK'!$D$18:$D$323,$A11,'ELBA BOOK'!$Y$18:$Y$323)+SUMIF('ELBA BOOK'!$D$18:$D$323,$A11,'ELBA BOOK'!$AP$18:$AP$323)</f>
        <v>0</v>
      </c>
      <c r="E11" s="401" t="n">
        <f aca="false">+SUMIF('ELBA BOOK'!$D$18:$D$323,$A11,'ELBA BOOK'!$J$18:$J$323)+SUMIF('ELBA BOOK'!$D$18:$D$323,$A11,'ELBA BOOK'!$AA$18:$AA$323)+SUMIF('ELBA BOOK'!$D$18:$D$323,$A11,'ELBA BOOK'!$AR$18:$AR$323)</f>
        <v>0</v>
      </c>
      <c r="F11" s="402"/>
      <c r="G11" s="330" t="n">
        <f aca="false">+SUMIF('ELBA BOOK'!$D$18:$D$323,$A11,'ELBA BOOK'!$C$18:$C$323)</f>
        <v>0</v>
      </c>
      <c r="I11" s="394" t="n">
        <v>2001</v>
      </c>
      <c r="J11" s="395" t="n">
        <f aca="false">+SUMIF('ELBA BOOK'!$D$18:$D$323,$I11,'ELBA BOOK'!$M$18:$M$323)+SUMIF('ELBA BOOK'!$D$18:$D$323,$I11,'ELBA BOOK'!$AD$18:$AD$323)+SUMIF('ELBA BOOK'!$D$18:$D$323,$I11,'ELBA BOOK'!$AU$18:$AU$323)</f>
        <v>0</v>
      </c>
      <c r="K11" s="396" t="n">
        <f aca="false">+SUMIF('ELBA BOOK'!$D$18:$D$323,$I11,'ELBA BOOK'!$P$18:$P$323)+SUMIF('ELBA BOOK'!$D$18:$D$323,$I11,'ELBA BOOK'!$AG$18:$AG$323)+SUMIF('ELBA BOOK'!$D$18:$D$323,$I11,'ELBA BOOK'!$AX$18:$AX$323)</f>
        <v>0</v>
      </c>
      <c r="L11" s="396" t="n">
        <f aca="false">+SUMIF('ELBA BOOK'!$D$18:$D$323,$I11,'ELBA BOOK'!$O$18:$O$323)+SUMIF('ELBA BOOK'!$D$18:$D$323,$I11,'ELBA BOOK'!$AF$18:$AF$323)+SUMIF('ELBA BOOK'!$D$18:$D$323,$I11,'ELBA BOOK'!$AW$18:$AW$323)</f>
        <v>0</v>
      </c>
      <c r="M11" s="396" t="n">
        <f aca="false">+SUMIF('ELBA BOOK'!$D$18:$D$323,$I11,'ELBA BOOK'!$S$18:$S$323)+SUMIF('ELBA BOOK'!$D$18:$D$323,$I11,'ELBA BOOK'!$AJ$18:$AJ$323)+SUMIF('ELBA BOOK'!$D$18:$D$323,$I11,'ELBA BOOK'!$BA$18:$BA$323)-K11-L11</f>
        <v>0</v>
      </c>
      <c r="N11" s="397" t="n">
        <f aca="false">SUM(K11:M11)</f>
        <v>0</v>
      </c>
      <c r="O11" s="398"/>
      <c r="P11" s="399" t="n">
        <f aca="false">+J11+N11</f>
        <v>0</v>
      </c>
      <c r="Q11" s="399" t="n">
        <f aca="false">+P11*CURVECALC!L7</f>
        <v>0</v>
      </c>
    </row>
    <row r="12" customFormat="false" ht="12.75" hidden="false" customHeight="false" outlineLevel="0" collapsed="false">
      <c r="A12" s="318" t="n">
        <v>2002</v>
      </c>
      <c r="B12" s="403" t="n">
        <f aca="false">+SUMIF('ELBA BOOK'!$D$18:$D$324,$A12,'ELBA BOOK'!$B$18:$B$323)</f>
        <v>47363036.9357451</v>
      </c>
      <c r="C12" s="403" t="n">
        <f aca="false">+SUMIF('ELBA BOOK'!$D$18:$D$323,$A12,'ELBA BOOK'!$F$18:$F$323)+SUMIF('ELBA BOOK'!$D$18:$D$323,$A12,'ELBA BOOK'!$W$18:$W$323)+SUMIF('ELBA BOOK'!$D$18:$D$323,$A12,'ELBA BOOK'!$AN$18:$AN$323)</f>
        <v>25515830</v>
      </c>
      <c r="D12" s="403" t="n">
        <f aca="false">+SUMIF('ELBA BOOK'!$D$18:$D$323,$A12,'ELBA BOOK'!$H$18:$H$323)+SUMIF('ELBA BOOK'!$D$18:$D$323,$A12,'ELBA BOOK'!$Y$18:$Y$323)+SUMIF('ELBA BOOK'!$D$18:$D$323,$A12,'ELBA BOOK'!$AP$18:$AP$323)</f>
        <v>24673807.61</v>
      </c>
      <c r="E12" s="403" t="n">
        <f aca="false">+SUMIF('ELBA BOOK'!$D$18:$D$323,$A12,'ELBA BOOK'!$J$18:$J$323)+SUMIF('ELBA BOOK'!$D$18:$D$323,$A12,'ELBA BOOK'!$AA$18:$AA$323)+SUMIF('ELBA BOOK'!$D$18:$D$323,$A12,'ELBA BOOK'!$AR$18:$AR$323)</f>
        <v>24056962.41975</v>
      </c>
      <c r="F12" s="404"/>
      <c r="G12" s="348" t="n">
        <f aca="false">+SUMIF('ELBA BOOK'!$D$18:$D$323,$A12,'ELBA BOOK'!$C$18:$C$323)</f>
        <v>22689229.3257451</v>
      </c>
      <c r="I12" s="405" t="n">
        <v>2002</v>
      </c>
      <c r="J12" s="406" t="n">
        <f aca="false">+SUMIF('ELBA BOOK'!$D$18:$D$323,$I12,'ELBA BOOK'!$M$18:$M$323)+SUMIF('ELBA BOOK'!$D$18:$D$323,$I12,'ELBA BOOK'!$AD$18:$AD$323)+SUMIF('ELBA BOOK'!$D$18:$D$323,$I12,'ELBA BOOK'!$AU$18:$AU$323)</f>
        <v>78553330.6090047</v>
      </c>
      <c r="K12" s="407" t="n">
        <f aca="false">+SUMIF('ELBA BOOK'!$D$18:$D$323,$I12,'ELBA BOOK'!$P$18:$P$323)+SUMIF('ELBA BOOK'!$D$18:$D$323,$I12,'ELBA BOOK'!$AG$18:$AG$323)+SUMIF('ELBA BOOK'!$D$18:$D$323,$I12,'ELBA BOOK'!$AX$18:$AX$323)</f>
        <v>-59541798.672226</v>
      </c>
      <c r="L12" s="407" t="n">
        <f aca="false">+SUMIF('ELBA BOOK'!$D$18:$D$323,$I12,'ELBA BOOK'!$O$18:$O$323)+SUMIF('ELBA BOOK'!$D$18:$D$323,$I12,'ELBA BOOK'!$AF$18:$AF$323)+SUMIF('ELBA BOOK'!$D$18:$D$323,$I12,'ELBA BOOK'!$AW$18:$AW$323)</f>
        <v>-670838.39715995</v>
      </c>
      <c r="M12" s="407" t="n">
        <f aca="false">+SUMIF('ELBA BOOK'!$D$18:$D$323,$I12,'ELBA BOOK'!$S$18:$S$323)+SUMIF('ELBA BOOK'!$D$18:$D$323,$I12,'ELBA BOOK'!$AJ$18:$AJ$323)+SUMIF('ELBA BOOK'!$D$18:$D$323,$I12,'ELBA BOOK'!$BA$18:$BA$323)-K12-L12</f>
        <v>-17859554.2912237</v>
      </c>
      <c r="N12" s="408" t="n">
        <f aca="false">SUM(K12:M12)</f>
        <v>-78072191.3606097</v>
      </c>
      <c r="O12" s="409"/>
      <c r="P12" s="410" t="n">
        <f aca="false">+J12+N12</f>
        <v>481139.248395011</v>
      </c>
      <c r="Q12" s="410" t="n">
        <f aca="false">+P12*CURVECALC!L8</f>
        <v>481139.248395011</v>
      </c>
    </row>
    <row r="13" customFormat="false" ht="12.75" hidden="false" customHeight="false" outlineLevel="0" collapsed="false">
      <c r="A13" s="318" t="n">
        <v>2003</v>
      </c>
      <c r="B13" s="403" t="n">
        <f aca="false">+SUMIF('ELBA BOOK'!$D$18:$D$324,$A13,'ELBA BOOK'!$B$18:$B$323)</f>
        <v>62863667.2056254</v>
      </c>
      <c r="C13" s="403" t="n">
        <f aca="false">+SUMIF('ELBA BOOK'!$D$18:$D$323,$A13,'ELBA BOOK'!$F$18:$F$323)+SUMIF('ELBA BOOK'!$D$18:$D$323,$A13,'ELBA BOOK'!$W$18:$W$323)+SUMIF('ELBA BOOK'!$D$18:$D$323,$A13,'ELBA BOOK'!$AN$18:$AN$323)</f>
        <v>64533262.9172263</v>
      </c>
      <c r="D13" s="403" t="n">
        <f aca="false">+SUMIF('ELBA BOOK'!$D$18:$D$323,$A13,'ELBA BOOK'!$H$18:$H$323)+SUMIF('ELBA BOOK'!$D$18:$D$323,$A13,'ELBA BOOK'!$Y$18:$Y$323)+SUMIF('ELBA BOOK'!$D$18:$D$323,$A13,'ELBA BOOK'!$AP$18:$AP$323)</f>
        <v>62863667.2056254</v>
      </c>
      <c r="E13" s="403" t="n">
        <f aca="false">+SUMIF('ELBA BOOK'!$D$18:$D$323,$A13,'ELBA BOOK'!$J$18:$J$323)+SUMIF('ELBA BOOK'!$D$18:$D$323,$A13,'ELBA BOOK'!$AA$18:$AA$323)+SUMIF('ELBA BOOK'!$D$18:$D$323,$A13,'ELBA BOOK'!$AR$18:$AR$323)</f>
        <v>61292075.5254847</v>
      </c>
      <c r="F13" s="404"/>
      <c r="G13" s="348" t="n">
        <f aca="false">+SUMIF('ELBA BOOK'!$D$18:$D$323,$A13,'ELBA BOOK'!$C$18:$C$323)</f>
        <v>0</v>
      </c>
      <c r="I13" s="405" t="n">
        <v>2003</v>
      </c>
      <c r="J13" s="406" t="n">
        <f aca="false">+SUMIF('ELBA BOOK'!$D$18:$D$323,$I13,'ELBA BOOK'!$M$18:$M$323)+SUMIF('ELBA BOOK'!$D$18:$D$323,$I13,'ELBA BOOK'!$AD$18:$AD$323)+SUMIF('ELBA BOOK'!$D$18:$D$323,$I13,'ELBA BOOK'!$AU$18:$AU$323)</f>
        <v>195196621.040769</v>
      </c>
      <c r="K13" s="407" t="n">
        <f aca="false">+SUMIF('ELBA BOOK'!$D$18:$D$323,$I13,'ELBA BOOK'!$P$18:$P$323)+SUMIF('ELBA BOOK'!$D$18:$D$323,$I13,'ELBA BOOK'!$AG$18:$AG$323)+SUMIF('ELBA BOOK'!$D$18:$D$323,$I13,'ELBA BOOK'!$AX$18:$AX$323)</f>
        <v>-142186121.32173</v>
      </c>
      <c r="L13" s="407" t="n">
        <f aca="false">+SUMIF('ELBA BOOK'!$D$18:$D$323,$I13,'ELBA BOOK'!$O$18:$O$323)+SUMIF('ELBA BOOK'!$D$18:$D$323,$I13,'ELBA BOOK'!$AF$18:$AF$323)+SUMIF('ELBA BOOK'!$D$18:$D$323,$I13,'ELBA BOOK'!$AW$18:$AW$323)</f>
        <v>-1727980.29711268</v>
      </c>
      <c r="M13" s="407" t="n">
        <f aca="false">+SUMIF('ELBA BOOK'!$D$18:$D$323,$I13,'ELBA BOOK'!$S$18:$S$323)+SUMIF('ELBA BOOK'!$D$18:$D$323,$I13,'ELBA BOOK'!$AJ$18:$AJ$323)+SUMIF('ELBA BOOK'!$D$18:$D$323,$I13,'ELBA BOOK'!$BA$18:$BA$323)-K13-L13</f>
        <v>-50056677.9114171</v>
      </c>
      <c r="N13" s="408" t="n">
        <f aca="false">SUM(K13:M13)</f>
        <v>-193970779.53026</v>
      </c>
      <c r="O13" s="409"/>
      <c r="P13" s="410" t="n">
        <f aca="false">+J13+N13</f>
        <v>1225841.5105097</v>
      </c>
      <c r="Q13" s="410" t="n">
        <f aca="false">+P13*CURVECALC!L9</f>
        <v>1225841.5105097</v>
      </c>
    </row>
    <row r="14" customFormat="false" ht="12.75" hidden="false" customHeight="false" outlineLevel="0" collapsed="false">
      <c r="A14" s="318" t="n">
        <v>2004</v>
      </c>
      <c r="B14" s="403" t="n">
        <f aca="false">+SUMIF('ELBA BOOK'!$D$18:$D$324,$A14,'ELBA BOOK'!$B$18:$B$323)</f>
        <v>63035896.4308463</v>
      </c>
      <c r="C14" s="403" t="n">
        <f aca="false">+SUMIF('ELBA BOOK'!$D$18:$D$323,$A14,'ELBA BOOK'!$F$18:$F$323)+SUMIF('ELBA BOOK'!$D$18:$D$323,$A14,'ELBA BOOK'!$W$18:$W$323)+SUMIF('ELBA BOOK'!$D$18:$D$323,$A14,'ELBA BOOK'!$AN$18:$AN$323)</f>
        <v>63704796.797217</v>
      </c>
      <c r="D14" s="403" t="n">
        <f aca="false">+SUMIF('ELBA BOOK'!$D$18:$D$323,$A14,'ELBA BOOK'!$H$18:$H$323)+SUMIF('ELBA BOOK'!$D$18:$D$323,$A14,'ELBA BOOK'!$Y$18:$Y$323)+SUMIF('ELBA BOOK'!$D$18:$D$323,$A14,'ELBA BOOK'!$AP$18:$AP$323)</f>
        <v>63035896.4308463</v>
      </c>
      <c r="E14" s="403" t="n">
        <f aca="false">+SUMIF('ELBA BOOK'!$D$18:$D$323,$A14,'ELBA BOOK'!$J$18:$J$323)+SUMIF('ELBA BOOK'!$D$18:$D$323,$A14,'ELBA BOOK'!$AA$18:$AA$323)+SUMIF('ELBA BOOK'!$D$18:$D$323,$A14,'ELBA BOOK'!$AR$18:$AR$323)</f>
        <v>61459999.0200751</v>
      </c>
      <c r="F14" s="404"/>
      <c r="G14" s="348" t="n">
        <f aca="false">+SUMIF('ELBA BOOK'!$D$18:$D$323,$A14,'ELBA BOOK'!$C$18:$C$323)</f>
        <v>0</v>
      </c>
      <c r="I14" s="405" t="n">
        <v>2004</v>
      </c>
      <c r="J14" s="406" t="n">
        <f aca="false">+SUMIF('ELBA BOOK'!$D$18:$D$323,$I14,'ELBA BOOK'!$M$18:$M$323)+SUMIF('ELBA BOOK'!$D$18:$D$323,$I14,'ELBA BOOK'!$AD$18:$AD$323)+SUMIF('ELBA BOOK'!$D$18:$D$323,$I14,'ELBA BOOK'!$AU$18:$AU$323)</f>
        <v>194220481.766716</v>
      </c>
      <c r="K14" s="407" t="n">
        <f aca="false">+SUMIF('ELBA BOOK'!$D$18:$D$323,$I14,'ELBA BOOK'!$P$18:$P$323)+SUMIF('ELBA BOOK'!$D$18:$D$323,$I14,'ELBA BOOK'!$AG$18:$AG$323)+SUMIF('ELBA BOOK'!$D$18:$D$323,$I14,'ELBA BOOK'!$AX$18:$AX$323)</f>
        <v>-158898934.059594</v>
      </c>
      <c r="L14" s="407" t="n">
        <f aca="false">+SUMIF('ELBA BOOK'!$D$18:$D$323,$I14,'ELBA BOOK'!$O$18:$O$323)+SUMIF('ELBA BOOK'!$D$18:$D$323,$I14,'ELBA BOOK'!$AF$18:$AF$323)+SUMIF('ELBA BOOK'!$D$18:$D$323,$I14,'ELBA BOOK'!$AW$18:$AW$323)</f>
        <v>-1754475.37400447</v>
      </c>
      <c r="M14" s="407" t="n">
        <f aca="false">+SUMIF('ELBA BOOK'!$D$18:$D$323,$I14,'ELBA BOOK'!$S$18:$S$323)+SUMIF('ELBA BOOK'!$D$18:$D$323,$I14,'ELBA BOOK'!$AJ$18:$AJ$323)+SUMIF('ELBA BOOK'!$D$18:$D$323,$I14,'ELBA BOOK'!$BA$18:$BA$323)-K14-L14</f>
        <v>-32337872.3527151</v>
      </c>
      <c r="N14" s="408" t="n">
        <f aca="false">SUM(K14:M14)</f>
        <v>-192991281.786314</v>
      </c>
      <c r="O14" s="409"/>
      <c r="P14" s="410" t="n">
        <f aca="false">+J14+N14</f>
        <v>1229199.98040152</v>
      </c>
      <c r="Q14" s="410" t="n">
        <f aca="false">+P14*CURVECALC!L10</f>
        <v>1229199.98040152</v>
      </c>
    </row>
    <row r="15" customFormat="false" ht="12.75" hidden="false" customHeight="false" outlineLevel="0" collapsed="false">
      <c r="A15" s="411" t="n">
        <v>2005</v>
      </c>
      <c r="B15" s="412" t="n">
        <f aca="false">+SUMIF('ELBA BOOK'!$D$18:$D$324,$A15,'ELBA BOOK'!$B$18:$B$323)</f>
        <v>62863667.2056254</v>
      </c>
      <c r="C15" s="412" t="n">
        <f aca="false">+SUMIF('ELBA BOOK'!$D$18:$D$323,$A15,'ELBA BOOK'!$F$18:$F$323)+SUMIF('ELBA BOOK'!$D$18:$D$323,$A15,'ELBA BOOK'!$W$18:$W$323)+SUMIF('ELBA BOOK'!$D$18:$D$323,$A15,'ELBA BOOK'!$AN$18:$AN$323)</f>
        <v>63530739.9753667</v>
      </c>
      <c r="D15" s="412" t="n">
        <f aca="false">+SUMIF('ELBA BOOK'!$D$18:$D$323,$A15,'ELBA BOOK'!$H$18:$H$323)+SUMIF('ELBA BOOK'!$D$18:$D$323,$A15,'ELBA BOOK'!$Y$18:$Y$323)+SUMIF('ELBA BOOK'!$D$18:$D$323,$A15,'ELBA BOOK'!$AP$18:$AP$323)</f>
        <v>62863667.2056254</v>
      </c>
      <c r="E15" s="412" t="n">
        <f aca="false">+SUMIF('ELBA BOOK'!$D$18:$D$323,$A15,'ELBA BOOK'!$J$18:$J$323)+SUMIF('ELBA BOOK'!$D$18:$D$323,$A15,'ELBA BOOK'!$AA$18:$AA$323)+SUMIF('ELBA BOOK'!$D$18:$D$323,$A15,'ELBA BOOK'!$AR$18:$AR$323)</f>
        <v>61292075.5254847</v>
      </c>
      <c r="F15" s="413"/>
      <c r="G15" s="362" t="n">
        <f aca="false">+SUMIF('ELBA BOOK'!$D$18:$D$323,$A15,'ELBA BOOK'!$C$18:$C$323)</f>
        <v>0</v>
      </c>
      <c r="I15" s="414" t="n">
        <v>2005</v>
      </c>
      <c r="J15" s="415" t="n">
        <f aca="false">+SUMIF('ELBA BOOK'!$D$18:$D$323,$I15,'ELBA BOOK'!$M$18:$M$323)+SUMIF('ELBA BOOK'!$D$18:$D$323,$I15,'ELBA BOOK'!$AD$18:$AD$323)+SUMIF('ELBA BOOK'!$D$18:$D$323,$I15,'ELBA BOOK'!$AU$18:$AU$323)</f>
        <v>194279254.989822</v>
      </c>
      <c r="K15" s="416" t="n">
        <f aca="false">+SUMIF('ELBA BOOK'!$D$18:$D$323,$I15,'ELBA BOOK'!$P$18:$P$323)+SUMIF('ELBA BOOK'!$D$18:$D$323,$I15,'ELBA BOOK'!$AG$18:$AG$323)+SUMIF('ELBA BOOK'!$D$18:$D$323,$I15,'ELBA BOOK'!$AX$18:$AX$323)</f>
        <v>-158861199.502508</v>
      </c>
      <c r="L15" s="416" t="n">
        <f aca="false">+SUMIF('ELBA BOOK'!$D$18:$D$323,$I15,'ELBA BOOK'!$O$18:$O$323)+SUMIF('ELBA BOOK'!$D$18:$D$323,$I15,'ELBA BOOK'!$AF$18:$AF$323)+SUMIF('ELBA BOOK'!$D$18:$D$323,$I15,'ELBA BOOK'!$AW$18:$AW$323)</f>
        <v>-1771701.2734286</v>
      </c>
      <c r="M15" s="416" t="n">
        <f aca="false">+SUMIF('ELBA BOOK'!$D$18:$D$323,$I15,'ELBA BOOK'!$S$18:$S$323)+SUMIF('ELBA BOOK'!$D$18:$D$323,$I15,'ELBA BOOK'!$AJ$18:$AJ$323)+SUMIF('ELBA BOOK'!$D$18:$D$323,$I15,'ELBA BOOK'!$BA$18:$BA$323)-K15-L15</f>
        <v>-32420512.703376</v>
      </c>
      <c r="N15" s="417" t="n">
        <f aca="false">SUM(K15:M15)</f>
        <v>-193053413.479312</v>
      </c>
      <c r="O15" s="418"/>
      <c r="P15" s="419" t="n">
        <f aca="false">+J15+N15</f>
        <v>1225841.5105097</v>
      </c>
      <c r="Q15" s="419" t="n">
        <f aca="false">+P15*CURVECALC!L11</f>
        <v>1225841.5105097</v>
      </c>
    </row>
    <row r="16" customFormat="false" ht="12.75" hidden="false" customHeight="false" outlineLevel="0" collapsed="false">
      <c r="A16" s="234" t="n">
        <v>2006</v>
      </c>
      <c r="B16" s="349" t="n">
        <f aca="false">+SUMIF('ELBA BOOK'!$D$18:$D$324,$A16,'ELBA BOOK'!$B$18:$B$323)</f>
        <v>62863667.2056254</v>
      </c>
      <c r="C16" s="349" t="n">
        <f aca="false">+SUMIF('ELBA BOOK'!$D$18:$D$323,$A16,'ELBA BOOK'!$F$18:$F$323)+SUMIF('ELBA BOOK'!$D$18:$D$323,$A16,'ELBA BOOK'!$W$18:$W$323)+SUMIF('ELBA BOOK'!$D$18:$D$323,$A16,'ELBA BOOK'!$AN$18:$AN$323)</f>
        <v>63530739.9753667</v>
      </c>
      <c r="D16" s="349" t="n">
        <f aca="false">+SUMIF('ELBA BOOK'!$D$18:$D$323,$A16,'ELBA BOOK'!$H$18:$H$323)+SUMIF('ELBA BOOK'!$D$18:$D$323,$A16,'ELBA BOOK'!$Y$18:$Y$323)+SUMIF('ELBA BOOK'!$D$18:$D$323,$A16,'ELBA BOOK'!$AP$18:$AP$323)</f>
        <v>62863667.2056254</v>
      </c>
      <c r="E16" s="349" t="n">
        <f aca="false">+SUMIF('ELBA BOOK'!$D$18:$D$323,$A16,'ELBA BOOK'!$J$18:$J$323)+SUMIF('ELBA BOOK'!$D$18:$D$323,$A16,'ELBA BOOK'!$AA$18:$AA$323)+SUMIF('ELBA BOOK'!$D$18:$D$323,$A16,'ELBA BOOK'!$AR$18:$AR$323)</f>
        <v>61292075.5254847</v>
      </c>
      <c r="F16" s="404"/>
      <c r="G16" s="348" t="n">
        <f aca="false">+SUMIF('ELBA BOOK'!$D$18:$D$323,$A16,'ELBA BOOK'!$C$18:$C$323)</f>
        <v>0</v>
      </c>
      <c r="I16" s="405" t="n">
        <v>2006</v>
      </c>
      <c r="J16" s="406" t="n">
        <f aca="false">+SUMIF('ELBA BOOK'!$D$18:$D$323,$I16,'ELBA BOOK'!$M$18:$M$323)+SUMIF('ELBA BOOK'!$D$18:$D$323,$I16,'ELBA BOOK'!$AD$18:$AD$323)+SUMIF('ELBA BOOK'!$D$18:$D$323,$I16,'ELBA BOOK'!$AU$18:$AU$323)</f>
        <v>195812564.418927</v>
      </c>
      <c r="K16" s="407" t="n">
        <f aca="false">+SUMIF('ELBA BOOK'!$D$18:$D$323,$I16,'ELBA BOOK'!$P$18:$P$323)+SUMIF('ELBA BOOK'!$D$18:$D$323,$I16,'ELBA BOOK'!$AG$18:$AG$323)+SUMIF('ELBA BOOK'!$D$18:$D$323,$I16,'ELBA BOOK'!$AX$18:$AX$323)</f>
        <v>-160230307.350177</v>
      </c>
      <c r="L16" s="407" t="n">
        <f aca="false">+SUMIF('ELBA BOOK'!$D$18:$D$323,$I16,'ELBA BOOK'!$O$18:$O$323)+SUMIF('ELBA BOOK'!$D$18:$D$323,$I16,'ELBA BOOK'!$AF$18:$AF$323)+SUMIF('ELBA BOOK'!$D$18:$D$323,$I16,'ELBA BOOK'!$AW$18:$AW$323)</f>
        <v>-1793974.86058355</v>
      </c>
      <c r="M16" s="407" t="n">
        <f aca="false">+SUMIF('ELBA BOOK'!$D$18:$D$323,$I16,'ELBA BOOK'!$S$18:$S$323)+SUMIF('ELBA BOOK'!$D$18:$D$323,$I16,'ELBA BOOK'!$AJ$18:$AJ$323)+SUMIF('ELBA BOOK'!$D$18:$D$323,$I16,'ELBA BOOK'!$BA$18:$BA$323)-K16-L16</f>
        <v>-32562440.6976565</v>
      </c>
      <c r="N16" s="408" t="n">
        <f aca="false">SUM(K16:M16)</f>
        <v>-194586722.908417</v>
      </c>
      <c r="O16" s="409"/>
      <c r="P16" s="410" t="n">
        <f aca="false">+J16+N16</f>
        <v>1225841.51050973</v>
      </c>
      <c r="Q16" s="410" t="n">
        <f aca="false">+P16*CURVECALC!L12</f>
        <v>1225841.51050973</v>
      </c>
    </row>
    <row r="17" customFormat="false" ht="12.75" hidden="false" customHeight="false" outlineLevel="0" collapsed="false">
      <c r="A17" s="234" t="n">
        <v>2007</v>
      </c>
      <c r="B17" s="349" t="n">
        <f aca="false">+SUMIF('ELBA BOOK'!$D$18:$D$324,$A17,'ELBA BOOK'!$B$18:$B$323)</f>
        <v>62863667.2056254</v>
      </c>
      <c r="C17" s="349" t="n">
        <f aca="false">+SUMIF('ELBA BOOK'!$D$18:$D$323,$A17,'ELBA BOOK'!$F$18:$F$323)+SUMIF('ELBA BOOK'!$D$18:$D$323,$A17,'ELBA BOOK'!$W$18:$W$323)+SUMIF('ELBA BOOK'!$D$18:$D$323,$A17,'ELBA BOOK'!$AN$18:$AN$323)</f>
        <v>63530739.9753667</v>
      </c>
      <c r="D17" s="349" t="n">
        <f aca="false">+SUMIF('ELBA BOOK'!$D$18:$D$323,$A17,'ELBA BOOK'!$H$18:$H$323)+SUMIF('ELBA BOOK'!$D$18:$D$323,$A17,'ELBA BOOK'!$Y$18:$Y$323)+SUMIF('ELBA BOOK'!$D$18:$D$323,$A17,'ELBA BOOK'!$AP$18:$AP$323)</f>
        <v>62863667.2056254</v>
      </c>
      <c r="E17" s="349" t="n">
        <f aca="false">+SUMIF('ELBA BOOK'!$D$18:$D$323,$A17,'ELBA BOOK'!$J$18:$J$323)+SUMIF('ELBA BOOK'!$D$18:$D$323,$A17,'ELBA BOOK'!$AA$18:$AA$323)+SUMIF('ELBA BOOK'!$D$18:$D$323,$A17,'ELBA BOOK'!$AR$18:$AR$323)</f>
        <v>61292075.5254847</v>
      </c>
      <c r="F17" s="404"/>
      <c r="G17" s="348" t="n">
        <f aca="false">+SUMIF('ELBA BOOK'!$D$18:$D$323,$A17,'ELBA BOOK'!$C$18:$C$323)</f>
        <v>0</v>
      </c>
      <c r="I17" s="405" t="n">
        <v>2007</v>
      </c>
      <c r="J17" s="406" t="n">
        <f aca="false">+SUMIF('ELBA BOOK'!$D$18:$D$323,$I17,'ELBA BOOK'!$M$18:$M$323)+SUMIF('ELBA BOOK'!$D$18:$D$323,$I17,'ELBA BOOK'!$AD$18:$AD$323)+SUMIF('ELBA BOOK'!$D$18:$D$323,$I17,'ELBA BOOK'!$AU$18:$AU$323)</f>
        <v>198265254.980914</v>
      </c>
      <c r="K17" s="407" t="n">
        <f aca="false">+SUMIF('ELBA BOOK'!$D$18:$D$323,$I17,'ELBA BOOK'!$P$18:$P$323)+SUMIF('ELBA BOOK'!$D$18:$D$323,$I17,'ELBA BOOK'!$AG$18:$AG$323)+SUMIF('ELBA BOOK'!$D$18:$D$323,$I17,'ELBA BOOK'!$AX$18:$AX$323)</f>
        <v>-162515857.142547</v>
      </c>
      <c r="L17" s="407" t="n">
        <f aca="false">+SUMIF('ELBA BOOK'!$D$18:$D$323,$I17,'ELBA BOOK'!$O$18:$O$323)+SUMIF('ELBA BOOK'!$D$18:$D$323,$I17,'ELBA BOOK'!$AF$18:$AF$323)+SUMIF('ELBA BOOK'!$D$18:$D$323,$I17,'ELBA BOOK'!$AW$18:$AW$323)</f>
        <v>-1816528.46824319</v>
      </c>
      <c r="M17" s="407" t="n">
        <f aca="false">+SUMIF('ELBA BOOK'!$D$18:$D$323,$I17,'ELBA BOOK'!$S$18:$S$323)+SUMIF('ELBA BOOK'!$D$18:$D$323,$I17,'ELBA BOOK'!$AJ$18:$AJ$323)+SUMIF('ELBA BOOK'!$D$18:$D$323,$I17,'ELBA BOOK'!$BA$18:$BA$323)-K17-L17</f>
        <v>-32707027.8596139</v>
      </c>
      <c r="N17" s="408" t="n">
        <f aca="false">SUM(K17:M17)</f>
        <v>-197039413.470404</v>
      </c>
      <c r="O17" s="409"/>
      <c r="P17" s="410" t="n">
        <f aca="false">+J17+N17</f>
        <v>1225841.5105097</v>
      </c>
      <c r="Q17" s="410" t="n">
        <f aca="false">+P17*CURVECALC!L13</f>
        <v>1225841.5105097</v>
      </c>
    </row>
    <row r="18" customFormat="false" ht="12.75" hidden="false" customHeight="false" outlineLevel="0" collapsed="false">
      <c r="A18" s="234" t="n">
        <v>2008</v>
      </c>
      <c r="B18" s="349" t="n">
        <f aca="false">+SUMIF('ELBA BOOK'!$D$18:$D$324,$A18,'ELBA BOOK'!$B$18:$B$323)</f>
        <v>63035896.4308463</v>
      </c>
      <c r="C18" s="349" t="n">
        <f aca="false">+SUMIF('ELBA BOOK'!$D$18:$D$323,$A18,'ELBA BOOK'!$F$18:$F$323)+SUMIF('ELBA BOOK'!$D$18:$D$323,$A18,'ELBA BOOK'!$W$18:$W$323)+SUMIF('ELBA BOOK'!$D$18:$D$323,$A18,'ELBA BOOK'!$AN$18:$AN$323)</f>
        <v>63704796.797217</v>
      </c>
      <c r="D18" s="349" t="n">
        <f aca="false">+SUMIF('ELBA BOOK'!$D$18:$D$323,$A18,'ELBA BOOK'!$H$18:$H$323)+SUMIF('ELBA BOOK'!$D$18:$D$323,$A18,'ELBA BOOK'!$Y$18:$Y$323)+SUMIF('ELBA BOOK'!$D$18:$D$323,$A18,'ELBA BOOK'!$AP$18:$AP$323)</f>
        <v>63035896.4308463</v>
      </c>
      <c r="E18" s="349" t="n">
        <f aca="false">+SUMIF('ELBA BOOK'!$D$18:$D$323,$A18,'ELBA BOOK'!$J$18:$J$323)+SUMIF('ELBA BOOK'!$D$18:$D$323,$A18,'ELBA BOOK'!$AA$18:$AA$323)+SUMIF('ELBA BOOK'!$D$18:$D$323,$A18,'ELBA BOOK'!$AR$18:$AR$323)</f>
        <v>61459999.0200751</v>
      </c>
      <c r="F18" s="404"/>
      <c r="G18" s="348" t="n">
        <f aca="false">+SUMIF('ELBA BOOK'!$D$18:$D$323,$A18,'ELBA BOOK'!$C$18:$C$323)</f>
        <v>0</v>
      </c>
      <c r="I18" s="405" t="n">
        <v>2008</v>
      </c>
      <c r="J18" s="406" t="n">
        <f aca="false">+SUMIF('ELBA BOOK'!$D$18:$D$323,$I18,'ELBA BOOK'!$M$18:$M$323)+SUMIF('ELBA BOOK'!$D$18:$D$323,$I18,'ELBA BOOK'!$AD$18:$AD$323)+SUMIF('ELBA BOOK'!$D$18:$D$323,$I18,'ELBA BOOK'!$AU$18:$AU$323)</f>
        <v>201904325.032182</v>
      </c>
      <c r="K18" s="407" t="n">
        <f aca="false">+SUMIF('ELBA BOOK'!$D$18:$D$323,$I18,'ELBA BOOK'!$P$18:$P$323)+SUMIF('ELBA BOOK'!$D$18:$D$323,$I18,'ELBA BOOK'!$AG$18:$AG$323)+SUMIF('ELBA BOOK'!$D$18:$D$323,$I18,'ELBA BOOK'!$AX$18:$AX$323)</f>
        <v>-165918974.718239</v>
      </c>
      <c r="L18" s="407" t="n">
        <f aca="false">+SUMIF('ELBA BOOK'!$D$18:$D$323,$I18,'ELBA BOOK'!$O$18:$O$323)+SUMIF('ELBA BOOK'!$D$18:$D$323,$I18,'ELBA BOOK'!$AF$18:$AF$323)+SUMIF('ELBA BOOK'!$D$18:$D$323,$I18,'ELBA BOOK'!$AW$18:$AW$323)</f>
        <v>-1844381.25193676</v>
      </c>
      <c r="M18" s="407" t="n">
        <f aca="false">+SUMIF('ELBA BOOK'!$D$18:$D$323,$I18,'ELBA BOOK'!$S$18:$S$323)+SUMIF('ELBA BOOK'!$D$18:$D$323,$I18,'ELBA BOOK'!$AJ$18:$AJ$323)+SUMIF('ELBA BOOK'!$D$18:$D$323,$I18,'ELBA BOOK'!$BA$18:$BA$323)-K18-L18</f>
        <v>-32911769.0816045</v>
      </c>
      <c r="N18" s="408" t="n">
        <f aca="false">SUM(K18:M18)</f>
        <v>-200675125.05178</v>
      </c>
      <c r="O18" s="409"/>
      <c r="P18" s="410" t="n">
        <f aca="false">+J18+N18</f>
        <v>1229199.98040152</v>
      </c>
      <c r="Q18" s="410" t="n">
        <f aca="false">+P18*CURVECALC!L14</f>
        <v>1229199.98040152</v>
      </c>
    </row>
    <row r="19" customFormat="false" ht="12.75" hidden="false" customHeight="false" outlineLevel="0" collapsed="false">
      <c r="A19" s="234" t="n">
        <v>2009</v>
      </c>
      <c r="B19" s="349" t="n">
        <f aca="false">+SUMIF('ELBA BOOK'!$D$18:$D$324,$A19,'ELBA BOOK'!$B$18:$B$323)</f>
        <v>62863667.2056254</v>
      </c>
      <c r="C19" s="349" t="n">
        <f aca="false">+SUMIF('ELBA BOOK'!$D$18:$D$323,$A19,'ELBA BOOK'!$F$18:$F$323)+SUMIF('ELBA BOOK'!$D$18:$D$323,$A19,'ELBA BOOK'!$W$18:$W$323)+SUMIF('ELBA BOOK'!$D$18:$D$323,$A19,'ELBA BOOK'!$AN$18:$AN$323)</f>
        <v>63530739.9753667</v>
      </c>
      <c r="D19" s="349" t="n">
        <f aca="false">+SUMIF('ELBA BOOK'!$D$18:$D$323,$A19,'ELBA BOOK'!$H$18:$H$323)+SUMIF('ELBA BOOK'!$D$18:$D$323,$A19,'ELBA BOOK'!$Y$18:$Y$323)+SUMIF('ELBA BOOK'!$D$18:$D$323,$A19,'ELBA BOOK'!$AP$18:$AP$323)</f>
        <v>62863667.2056254</v>
      </c>
      <c r="E19" s="349" t="n">
        <f aca="false">+SUMIF('ELBA BOOK'!$D$18:$D$323,$A19,'ELBA BOOK'!$J$18:$J$323)+SUMIF('ELBA BOOK'!$D$18:$D$323,$A19,'ELBA BOOK'!$AA$18:$AA$323)+SUMIF('ELBA BOOK'!$D$18:$D$323,$A19,'ELBA BOOK'!$AR$18:$AR$323)</f>
        <v>61292075.5254847</v>
      </c>
      <c r="F19" s="404"/>
      <c r="G19" s="348" t="n">
        <f aca="false">+SUMIF('ELBA BOOK'!$D$18:$D$323,$A19,'ELBA BOOK'!$C$18:$C$323)</f>
        <v>0</v>
      </c>
      <c r="I19" s="405" t="n">
        <v>2009</v>
      </c>
      <c r="J19" s="406" t="n">
        <f aca="false">+SUMIF('ELBA BOOK'!$D$18:$D$323,$I19,'ELBA BOOK'!$M$18:$M$323)+SUMIF('ELBA BOOK'!$D$18:$D$323,$I19,'ELBA BOOK'!$AD$18:$AD$323)+SUMIF('ELBA BOOK'!$D$18:$D$323,$I19,'ELBA BOOK'!$AU$18:$AU$323)</f>
        <v>205009398.370652</v>
      </c>
      <c r="K19" s="407" t="n">
        <f aca="false">+SUMIF('ELBA BOOK'!$D$18:$D$323,$I19,'ELBA BOOK'!$P$18:$P$323)+SUMIF('ELBA BOOK'!$D$18:$D$323,$I19,'ELBA BOOK'!$AG$18:$AG$323)+SUMIF('ELBA BOOK'!$D$18:$D$323,$I19,'ELBA BOOK'!$AX$18:$AX$323)</f>
        <v>-168916663.825771</v>
      </c>
      <c r="L19" s="407" t="n">
        <f aca="false">+SUMIF('ELBA BOOK'!$D$18:$D$323,$I19,'ELBA BOOK'!$O$18:$O$323)+SUMIF('ELBA BOOK'!$D$18:$D$323,$I19,'ELBA BOOK'!$AF$18:$AF$323)+SUMIF('ELBA BOOK'!$D$18:$D$323,$I19,'ELBA BOOK'!$AW$18:$AW$323)</f>
        <v>-1862489.87085291</v>
      </c>
      <c r="M19" s="407" t="n">
        <f aca="false">+SUMIF('ELBA BOOK'!$D$18:$D$323,$I19,'ELBA BOOK'!$S$18:$S$323)+SUMIF('ELBA BOOK'!$D$18:$D$323,$I19,'ELBA BOOK'!$AJ$18:$AJ$323)+SUMIF('ELBA BOOK'!$D$18:$D$323,$I19,'ELBA BOOK'!$BA$18:$BA$323)-K19-L19</f>
        <v>-33004403.1635189</v>
      </c>
      <c r="N19" s="408" t="n">
        <f aca="false">SUM(K19:M19)</f>
        <v>-203783556.860142</v>
      </c>
      <c r="O19" s="409"/>
      <c r="P19" s="410" t="n">
        <f aca="false">+J19+N19</f>
        <v>1225841.5105097</v>
      </c>
      <c r="Q19" s="410" t="n">
        <f aca="false">+P19*CURVECALC!L15</f>
        <v>1225841.5105097</v>
      </c>
    </row>
    <row r="20" customFormat="false" ht="12.75" hidden="false" customHeight="false" outlineLevel="0" collapsed="false">
      <c r="A20" s="242" t="n">
        <v>2010</v>
      </c>
      <c r="B20" s="363" t="n">
        <f aca="false">+SUMIF('ELBA BOOK'!$D$18:$D$324,$A20,'ELBA BOOK'!$B$18:$B$323)</f>
        <v>62863667.2056254</v>
      </c>
      <c r="C20" s="363" t="n">
        <f aca="false">+SUMIF('ELBA BOOK'!$D$18:$D$323,$A20,'ELBA BOOK'!$F$18:$F$323)+SUMIF('ELBA BOOK'!$D$18:$D$323,$A20,'ELBA BOOK'!$W$18:$W$323)+SUMIF('ELBA BOOK'!$D$18:$D$323,$A20,'ELBA BOOK'!$AN$18:$AN$323)</f>
        <v>63530739.9753667</v>
      </c>
      <c r="D20" s="363" t="n">
        <f aca="false">+SUMIF('ELBA BOOK'!$D$18:$D$323,$A20,'ELBA BOOK'!$H$18:$H$323)+SUMIF('ELBA BOOK'!$D$18:$D$323,$A20,'ELBA BOOK'!$Y$18:$Y$323)+SUMIF('ELBA BOOK'!$D$18:$D$323,$A20,'ELBA BOOK'!$AP$18:$AP$323)</f>
        <v>62863667.2056254</v>
      </c>
      <c r="E20" s="363" t="n">
        <f aca="false">+SUMIF('ELBA BOOK'!$D$18:$D$323,$A20,'ELBA BOOK'!$J$18:$J$323)+SUMIF('ELBA BOOK'!$D$18:$D$323,$A20,'ELBA BOOK'!$AA$18:$AA$323)+SUMIF('ELBA BOOK'!$D$18:$D$323,$A20,'ELBA BOOK'!$AR$18:$AR$323)</f>
        <v>61292075.5254847</v>
      </c>
      <c r="F20" s="413"/>
      <c r="G20" s="362" t="n">
        <f aca="false">+SUMIF('ELBA BOOK'!$D$18:$D$323,$A20,'ELBA BOOK'!$C$18:$C$323)</f>
        <v>0</v>
      </c>
      <c r="I20" s="414" t="n">
        <v>2010</v>
      </c>
      <c r="J20" s="415" t="n">
        <f aca="false">+SUMIF('ELBA BOOK'!$D$18:$D$323,$I20,'ELBA BOOK'!$M$18:$M$323)+SUMIF('ELBA BOOK'!$D$18:$D$323,$I20,'ELBA BOOK'!$AD$18:$AD$323)+SUMIF('ELBA BOOK'!$D$18:$D$323,$I20,'ELBA BOOK'!$AU$18:$AU$323)</f>
        <v>209300851.198404</v>
      </c>
      <c r="K20" s="416" t="n">
        <f aca="false">+SUMIF('ELBA BOOK'!$D$18:$D$323,$I20,'ELBA BOOK'!$P$18:$P$323)+SUMIF('ELBA BOOK'!$D$18:$D$323,$I20,'ELBA BOOK'!$AG$18:$AG$323)+SUMIF('ELBA BOOK'!$D$18:$D$323,$I20,'ELBA BOOK'!$AX$18:$AX$323)</f>
        <v>-173031798.629317</v>
      </c>
      <c r="L20" s="416" t="n">
        <f aca="false">+SUMIF('ELBA BOOK'!$D$18:$D$323,$I20,'ELBA BOOK'!$O$18:$O$323)+SUMIF('ELBA BOOK'!$D$18:$D$323,$I20,'ELBA BOOK'!$AF$18:$AF$323)+SUMIF('ELBA BOOK'!$D$18:$D$323,$I20,'ELBA BOOK'!$AW$18:$AW$323)</f>
        <v>-1885904.83989189</v>
      </c>
      <c r="M20" s="416" t="n">
        <f aca="false">+SUMIF('ELBA BOOK'!$D$18:$D$323,$I20,'ELBA BOOK'!$S$18:$S$323)+SUMIF('ELBA BOOK'!$D$18:$D$323,$I20,'ELBA BOOK'!$AJ$18:$AJ$323)+SUMIF('ELBA BOOK'!$D$18:$D$323,$I20,'ELBA BOOK'!$BA$18:$BA$323)-K20-L20</f>
        <v>-33157306.2186852</v>
      </c>
      <c r="N20" s="417" t="n">
        <f aca="false">SUM(K20:M20)</f>
        <v>-208075009.687894</v>
      </c>
      <c r="O20" s="418"/>
      <c r="P20" s="419" t="n">
        <f aca="false">+J20+N20</f>
        <v>1225841.5105097</v>
      </c>
      <c r="Q20" s="419" t="n">
        <f aca="false">+P20*CURVECALC!L16</f>
        <v>1225841.5105097</v>
      </c>
    </row>
    <row r="21" customFormat="false" ht="12.75" hidden="false" customHeight="false" outlineLevel="0" collapsed="false">
      <c r="A21" s="400" t="n">
        <v>2011</v>
      </c>
      <c r="B21" s="401" t="n">
        <f aca="false">+SUMIF('ELBA BOOK'!$D$18:$D$324,$A21,'ELBA BOOK'!$B$18:$B$323)</f>
        <v>62863667.2056254</v>
      </c>
      <c r="C21" s="401" t="n">
        <f aca="false">+SUMIF('ELBA BOOK'!$D$18:$D$323,$A21,'ELBA BOOK'!$F$18:$F$323)+SUMIF('ELBA BOOK'!$D$18:$D$323,$A21,'ELBA BOOK'!$W$18:$W$323)+SUMIF('ELBA BOOK'!$D$18:$D$323,$A21,'ELBA BOOK'!$AN$18:$AN$323)</f>
        <v>63530739.9753667</v>
      </c>
      <c r="D21" s="401" t="n">
        <f aca="false">+SUMIF('ELBA BOOK'!$D$18:$D$323,$A21,'ELBA BOOK'!$H$18:$H$323)+SUMIF('ELBA BOOK'!$D$18:$D$323,$A21,'ELBA BOOK'!$Y$18:$Y$323)+SUMIF('ELBA BOOK'!$D$18:$D$323,$A21,'ELBA BOOK'!$AP$18:$AP$323)</f>
        <v>62863667.2056254</v>
      </c>
      <c r="E21" s="401" t="n">
        <f aca="false">+SUMIF('ELBA BOOK'!$D$18:$D$323,$A21,'ELBA BOOK'!$J$18:$J$323)+SUMIF('ELBA BOOK'!$D$18:$D$323,$A21,'ELBA BOOK'!$AA$18:$AA$323)+SUMIF('ELBA BOOK'!$D$18:$D$323,$A21,'ELBA BOOK'!$AR$18:$AR$323)</f>
        <v>61292075.5254847</v>
      </c>
      <c r="F21" s="402"/>
      <c r="G21" s="348" t="n">
        <f aca="false">+SUMIF('ELBA BOOK'!$D$18:$D$323,$A21,'ELBA BOOK'!$C$18:$C$323)</f>
        <v>0</v>
      </c>
      <c r="I21" s="394" t="n">
        <v>2011</v>
      </c>
      <c r="J21" s="406" t="n">
        <f aca="false">+SUMIF('ELBA BOOK'!$D$18:$D$323,$I21,'ELBA BOOK'!$M$18:$M$323)+SUMIF('ELBA BOOK'!$D$18:$D$323,$I21,'ELBA BOOK'!$AD$18:$AD$323)+SUMIF('ELBA BOOK'!$D$18:$D$323,$I21,'ELBA BOOK'!$AU$18:$AU$323)</f>
        <v>214205224.78141</v>
      </c>
      <c r="K21" s="396" t="n">
        <f aca="false">+SUMIF('ELBA BOOK'!$D$18:$D$323,$I21,'ELBA BOOK'!$P$18:$P$323)+SUMIF('ELBA BOOK'!$D$18:$D$323,$I21,'ELBA BOOK'!$AG$18:$AG$323)+SUMIF('ELBA BOOK'!$D$18:$D$323,$I21,'ELBA BOOK'!$AX$18:$AX$323)</f>
        <v>-177756670.763541</v>
      </c>
      <c r="L21" s="396" t="n">
        <f aca="false">+SUMIF('ELBA BOOK'!$D$18:$D$323,$I21,'ELBA BOOK'!$O$18:$O$323)+SUMIF('ELBA BOOK'!$D$18:$D$323,$I21,'ELBA BOOK'!$AF$18:$AF$323)+SUMIF('ELBA BOOK'!$D$18:$D$323,$I21,'ELBA BOOK'!$AW$18:$AW$323)</f>
        <v>-1909614.17873319</v>
      </c>
      <c r="M21" s="396" t="n">
        <f aca="false">+SUMIF('ELBA BOOK'!$D$18:$D$323,$I21,'ELBA BOOK'!$S$18:$S$323)+SUMIF('ELBA BOOK'!$D$18:$D$323,$I21,'ELBA BOOK'!$AJ$18:$AJ$323)+SUMIF('ELBA BOOK'!$D$18:$D$323,$I21,'ELBA BOOK'!$BA$18:$BA$323)-K21-L21</f>
        <v>-33313098.3286257</v>
      </c>
      <c r="N21" s="397" t="n">
        <f aca="false">SUM(K21:M21)</f>
        <v>-212979383.2709</v>
      </c>
      <c r="O21" s="398"/>
      <c r="P21" s="399" t="n">
        <f aca="false">+J21+N21</f>
        <v>1225841.5105097</v>
      </c>
      <c r="Q21" s="399" t="n">
        <f aca="false">+P21*CURVECALC!L17</f>
        <v>1225841.5105097</v>
      </c>
    </row>
    <row r="22" customFormat="false" ht="12.75" hidden="false" customHeight="false" outlineLevel="0" collapsed="false">
      <c r="A22" s="318" t="n">
        <v>2012</v>
      </c>
      <c r="B22" s="403" t="n">
        <f aca="false">+SUMIF('ELBA BOOK'!$D$18:$D$324,$A22,'ELBA BOOK'!$B$18:$B$323)</f>
        <v>63035896.4308463</v>
      </c>
      <c r="C22" s="403" t="n">
        <f aca="false">+SUMIF('ELBA BOOK'!$D$18:$D$323,$A22,'ELBA BOOK'!$F$18:$F$323)+SUMIF('ELBA BOOK'!$D$18:$D$323,$A22,'ELBA BOOK'!$W$18:$W$323)+SUMIF('ELBA BOOK'!$D$18:$D$323,$A22,'ELBA BOOK'!$AN$18:$AN$323)</f>
        <v>63704796.797217</v>
      </c>
      <c r="D22" s="403" t="n">
        <f aca="false">+SUMIF('ELBA BOOK'!$D$18:$D$323,$A22,'ELBA BOOK'!$H$18:$H$323)+SUMIF('ELBA BOOK'!$D$18:$D$323,$A22,'ELBA BOOK'!$Y$18:$Y$323)+SUMIF('ELBA BOOK'!$D$18:$D$323,$A22,'ELBA BOOK'!$AP$18:$AP$323)</f>
        <v>63035896.4308463</v>
      </c>
      <c r="E22" s="403" t="n">
        <f aca="false">+SUMIF('ELBA BOOK'!$D$18:$D$323,$A22,'ELBA BOOK'!$J$18:$J$323)+SUMIF('ELBA BOOK'!$D$18:$D$323,$A22,'ELBA BOOK'!$AA$18:$AA$323)+SUMIF('ELBA BOOK'!$D$18:$D$323,$A22,'ELBA BOOK'!$AR$18:$AR$323)</f>
        <v>61459999.0200751</v>
      </c>
      <c r="F22" s="404"/>
      <c r="G22" s="348" t="n">
        <f aca="false">+SUMIF('ELBA BOOK'!$D$18:$D$323,$A22,'ELBA BOOK'!$C$18:$C$323)</f>
        <v>0</v>
      </c>
      <c r="I22" s="405" t="n">
        <v>2012</v>
      </c>
      <c r="J22" s="406" t="n">
        <f aca="false">+SUMIF('ELBA BOOK'!$D$18:$D$323,$I22,'ELBA BOOK'!$M$18:$M$323)+SUMIF('ELBA BOOK'!$D$18:$D$323,$I22,'ELBA BOOK'!$AD$18:$AD$323)+SUMIF('ELBA BOOK'!$D$18:$D$323,$I22,'ELBA BOOK'!$AU$18:$AU$323)</f>
        <v>220343668.126161</v>
      </c>
      <c r="K22" s="407" t="n">
        <f aca="false">+SUMIF('ELBA BOOK'!$D$18:$D$323,$I22,'ELBA BOOK'!$P$18:$P$323)+SUMIF('ELBA BOOK'!$D$18:$D$323,$I22,'ELBA BOOK'!$AG$18:$AG$323)+SUMIF('ELBA BOOK'!$D$18:$D$323,$I22,'ELBA BOOK'!$AX$18:$AX$323)</f>
        <v>-183645458.288363</v>
      </c>
      <c r="L22" s="407" t="n">
        <f aca="false">+SUMIF('ELBA BOOK'!$D$18:$D$323,$I22,'ELBA BOOK'!$O$18:$O$323)+SUMIF('ELBA BOOK'!$D$18:$D$323,$I22,'ELBA BOOK'!$AF$18:$AF$323)+SUMIF('ELBA BOOK'!$D$18:$D$323,$I22,'ELBA BOOK'!$AW$18:$AW$323)</f>
        <v>-1938894.24320136</v>
      </c>
      <c r="M22" s="407" t="n">
        <f aca="false">+SUMIF('ELBA BOOK'!$D$18:$D$323,$I22,'ELBA BOOK'!$S$18:$S$323)+SUMIF('ELBA BOOK'!$D$18:$D$323,$I22,'ELBA BOOK'!$AJ$18:$AJ$323)+SUMIF('ELBA BOOK'!$D$18:$D$323,$I22,'ELBA BOOK'!$BA$18:$BA$323)-K22-L22</f>
        <v>-33530115.6141946</v>
      </c>
      <c r="N22" s="408" t="n">
        <f aca="false">SUM(K22:M22)</f>
        <v>-219114468.145759</v>
      </c>
      <c r="O22" s="409"/>
      <c r="P22" s="410" t="n">
        <f aca="false">+J22+N22</f>
        <v>1229199.98040155</v>
      </c>
      <c r="Q22" s="410" t="n">
        <f aca="false">+P22*CURVECALC!L18</f>
        <v>1229199.98040155</v>
      </c>
    </row>
    <row r="23" customFormat="false" ht="12.75" hidden="false" customHeight="false" outlineLevel="0" collapsed="false">
      <c r="A23" s="318" t="n">
        <v>2013</v>
      </c>
      <c r="B23" s="403" t="n">
        <f aca="false">+SUMIF('ELBA BOOK'!$D$18:$D$324,$A23,'ELBA BOOK'!$B$18:$B$323)</f>
        <v>62863667.2056254</v>
      </c>
      <c r="C23" s="403" t="n">
        <f aca="false">+SUMIF('ELBA BOOK'!$D$18:$D$323,$A23,'ELBA BOOK'!$F$18:$F$323)+SUMIF('ELBA BOOK'!$D$18:$D$323,$A23,'ELBA BOOK'!$W$18:$W$323)+SUMIF('ELBA BOOK'!$D$18:$D$323,$A23,'ELBA BOOK'!$AN$18:$AN$323)</f>
        <v>63530739.9753667</v>
      </c>
      <c r="D23" s="403" t="n">
        <f aca="false">+SUMIF('ELBA BOOK'!$D$18:$D$323,$A23,'ELBA BOOK'!$H$18:$H$323)+SUMIF('ELBA BOOK'!$D$18:$D$323,$A23,'ELBA BOOK'!$Y$18:$Y$323)+SUMIF('ELBA BOOK'!$D$18:$D$323,$A23,'ELBA BOOK'!$AP$18:$AP$323)</f>
        <v>62863667.2056254</v>
      </c>
      <c r="E23" s="403" t="n">
        <f aca="false">+SUMIF('ELBA BOOK'!$D$18:$D$323,$A23,'ELBA BOOK'!$J$18:$J$323)+SUMIF('ELBA BOOK'!$D$18:$D$323,$A23,'ELBA BOOK'!$AA$18:$AA$323)+SUMIF('ELBA BOOK'!$D$18:$D$323,$A23,'ELBA BOOK'!$AR$18:$AR$323)</f>
        <v>61292075.5254847</v>
      </c>
      <c r="F23" s="404"/>
      <c r="G23" s="348" t="n">
        <f aca="false">+SUMIF('ELBA BOOK'!$D$18:$D$323,$A23,'ELBA BOOK'!$C$18:$C$323)</f>
        <v>0</v>
      </c>
      <c r="I23" s="405" t="n">
        <v>2013</v>
      </c>
      <c r="J23" s="406" t="n">
        <f aca="false">+SUMIF('ELBA BOOK'!$D$18:$D$323,$I23,'ELBA BOOK'!$M$18:$M$323)+SUMIF('ELBA BOOK'!$D$18:$D$323,$I23,'ELBA BOOK'!$AD$18:$AD$323)+SUMIF('ELBA BOOK'!$D$18:$D$323,$I23,'ELBA BOOK'!$AU$18:$AU$323)</f>
        <v>225546273.83556</v>
      </c>
      <c r="K23" s="407" t="n">
        <f aca="false">+SUMIF('ELBA BOOK'!$D$18:$D$323,$I23,'ELBA BOOK'!$P$18:$P$323)+SUMIF('ELBA BOOK'!$D$18:$D$323,$I23,'ELBA BOOK'!$AG$18:$AG$323)+SUMIF('ELBA BOOK'!$D$18:$D$323,$I23,'ELBA BOOK'!$AX$18:$AX$323)</f>
        <v>-188728907.337975</v>
      </c>
      <c r="L23" s="407" t="n">
        <f aca="false">+SUMIF('ELBA BOOK'!$D$18:$D$323,$I23,'ELBA BOOK'!$O$18:$O$323)+SUMIF('ELBA BOOK'!$D$18:$D$323,$I23,'ELBA BOOK'!$AF$18:$AF$323)+SUMIF('ELBA BOOK'!$D$18:$D$323,$I23,'ELBA BOOK'!$AW$18:$AW$323)</f>
        <v>-1957930.81545667</v>
      </c>
      <c r="M23" s="407" t="n">
        <f aca="false">+SUMIF('ELBA BOOK'!$D$18:$D$323,$I23,'ELBA BOOK'!$S$18:$S$323)+SUMIF('ELBA BOOK'!$D$18:$D$323,$I23,'ELBA BOOK'!$AJ$18:$AJ$323)+SUMIF('ELBA BOOK'!$D$18:$D$323,$I23,'ELBA BOOK'!$BA$18:$BA$323)-K23-L23</f>
        <v>-33633594.1716186</v>
      </c>
      <c r="N23" s="408" t="n">
        <f aca="false">SUM(K23:M23)</f>
        <v>-224320432.32505</v>
      </c>
      <c r="O23" s="409"/>
      <c r="P23" s="410" t="n">
        <f aca="false">+J23+N23</f>
        <v>1225841.51050967</v>
      </c>
      <c r="Q23" s="410" t="n">
        <f aca="false">+P23*CURVECALC!L19</f>
        <v>1225841.51050967</v>
      </c>
    </row>
    <row r="24" customFormat="false" ht="12.75" hidden="false" customHeight="false" outlineLevel="0" collapsed="false">
      <c r="A24" s="318" t="n">
        <v>2014</v>
      </c>
      <c r="B24" s="403" t="n">
        <f aca="false">+SUMIF('ELBA BOOK'!$D$18:$D$324,$A24,'ELBA BOOK'!$B$18:$B$323)</f>
        <v>62863667.2056254</v>
      </c>
      <c r="C24" s="403" t="n">
        <f aca="false">+SUMIF('ELBA BOOK'!$D$18:$D$323,$A24,'ELBA BOOK'!$F$18:$F$323)+SUMIF('ELBA BOOK'!$D$18:$D$323,$A24,'ELBA BOOK'!$W$18:$W$323)+SUMIF('ELBA BOOK'!$D$18:$D$323,$A24,'ELBA BOOK'!$AN$18:$AN$323)</f>
        <v>63530739.9753667</v>
      </c>
      <c r="D24" s="403" t="n">
        <f aca="false">+SUMIF('ELBA BOOK'!$D$18:$D$323,$A24,'ELBA BOOK'!$H$18:$H$323)+SUMIF('ELBA BOOK'!$D$18:$D$323,$A24,'ELBA BOOK'!$Y$18:$Y$323)+SUMIF('ELBA BOOK'!$D$18:$D$323,$A24,'ELBA BOOK'!$AP$18:$AP$323)</f>
        <v>62863667.2056254</v>
      </c>
      <c r="E24" s="403" t="n">
        <f aca="false">+SUMIF('ELBA BOOK'!$D$18:$D$323,$A24,'ELBA BOOK'!$J$18:$J$323)+SUMIF('ELBA BOOK'!$D$18:$D$323,$A24,'ELBA BOOK'!$AA$18:$AA$323)+SUMIF('ELBA BOOK'!$D$18:$D$323,$A24,'ELBA BOOK'!$AR$18:$AR$323)</f>
        <v>61292075.5254847</v>
      </c>
      <c r="F24" s="404"/>
      <c r="G24" s="348" t="n">
        <f aca="false">+SUMIF('ELBA BOOK'!$D$18:$D$323,$A24,'ELBA BOOK'!$C$18:$C$323)</f>
        <v>0</v>
      </c>
      <c r="I24" s="405" t="n">
        <v>2014</v>
      </c>
      <c r="J24" s="406" t="n">
        <f aca="false">+SUMIF('ELBA BOOK'!$D$18:$D$323,$I24,'ELBA BOOK'!$M$18:$M$323)+SUMIF('ELBA BOOK'!$D$18:$D$323,$I24,'ELBA BOOK'!$AD$18:$AD$323)+SUMIF('ELBA BOOK'!$D$18:$D$323,$I24,'ELBA BOOK'!$AU$18:$AU$323)</f>
        <v>231982949.306703</v>
      </c>
      <c r="K24" s="407" t="n">
        <f aca="false">+SUMIF('ELBA BOOK'!$D$18:$D$323,$I24,'ELBA BOOK'!$P$18:$P$323)+SUMIF('ELBA BOOK'!$D$18:$D$323,$I24,'ELBA BOOK'!$AG$18:$AG$323)+SUMIF('ELBA BOOK'!$D$18:$D$323,$I24,'ELBA BOOK'!$AX$18:$AX$323)</f>
        <v>-194976138.518456</v>
      </c>
      <c r="L24" s="407" t="n">
        <f aca="false">+SUMIF('ELBA BOOK'!$D$18:$D$323,$I24,'ELBA BOOK'!$O$18:$O$323)+SUMIF('ELBA BOOK'!$D$18:$D$323,$I24,'ELBA BOOK'!$AF$18:$AF$323)+SUMIF('ELBA BOOK'!$D$18:$D$323,$I24,'ELBA BOOK'!$AW$18:$AW$323)</f>
        <v>-1982545.65505491</v>
      </c>
      <c r="M24" s="407" t="n">
        <f aca="false">+SUMIF('ELBA BOOK'!$D$18:$D$323,$I24,'ELBA BOOK'!$S$18:$S$323)+SUMIF('ELBA BOOK'!$D$18:$D$323,$I24,'ELBA BOOK'!$AJ$18:$AJ$323)+SUMIF('ELBA BOOK'!$D$18:$D$323,$I24,'ELBA BOOK'!$BA$18:$BA$323)-K24-L24</f>
        <v>-33798423.6226827</v>
      </c>
      <c r="N24" s="408" t="n">
        <f aca="false">SUM(K24:M24)</f>
        <v>-230757107.796193</v>
      </c>
      <c r="O24" s="409"/>
      <c r="P24" s="410" t="n">
        <f aca="false">+J24+N24</f>
        <v>1225841.5105097</v>
      </c>
      <c r="Q24" s="410" t="n">
        <f aca="false">+P24*CURVECALC!L20</f>
        <v>1225841.5105097</v>
      </c>
    </row>
    <row r="25" customFormat="false" ht="12.75" hidden="false" customHeight="false" outlineLevel="0" collapsed="false">
      <c r="A25" s="411" t="n">
        <v>2015</v>
      </c>
      <c r="B25" s="412" t="n">
        <f aca="false">+SUMIF('ELBA BOOK'!$D$18:$D$324,$A25,'ELBA BOOK'!$B$18:$B$323)</f>
        <v>62863667.2056254</v>
      </c>
      <c r="C25" s="412" t="n">
        <f aca="false">+SUMIF('ELBA BOOK'!$D$18:$D$323,$A25,'ELBA BOOK'!$F$18:$F$323)+SUMIF('ELBA BOOK'!$D$18:$D$323,$A25,'ELBA BOOK'!$W$18:$W$323)+SUMIF('ELBA BOOK'!$D$18:$D$323,$A25,'ELBA BOOK'!$AN$18:$AN$323)</f>
        <v>63530739.9753667</v>
      </c>
      <c r="D25" s="412" t="n">
        <f aca="false">+SUMIF('ELBA BOOK'!$D$18:$D$323,$A25,'ELBA BOOK'!$H$18:$H$323)+SUMIF('ELBA BOOK'!$D$18:$D$323,$A25,'ELBA BOOK'!$Y$18:$Y$323)+SUMIF('ELBA BOOK'!$D$18:$D$323,$A25,'ELBA BOOK'!$AP$18:$AP$323)</f>
        <v>62863667.2056254</v>
      </c>
      <c r="E25" s="412" t="n">
        <f aca="false">+SUMIF('ELBA BOOK'!$D$18:$D$323,$A25,'ELBA BOOK'!$J$18:$J$323)+SUMIF('ELBA BOOK'!$D$18:$D$323,$A25,'ELBA BOOK'!$AA$18:$AA$323)+SUMIF('ELBA BOOK'!$D$18:$D$323,$A25,'ELBA BOOK'!$AR$18:$AR$323)</f>
        <v>61292075.5254847</v>
      </c>
      <c r="F25" s="413"/>
      <c r="G25" s="362" t="n">
        <f aca="false">+SUMIF('ELBA BOOK'!$D$18:$D$323,$A25,'ELBA BOOK'!$C$18:$C$323)</f>
        <v>0</v>
      </c>
      <c r="I25" s="414" t="n">
        <v>2015</v>
      </c>
      <c r="J25" s="415" t="n">
        <f aca="false">+SUMIF('ELBA BOOK'!$D$18:$D$323,$I25,'ELBA BOOK'!$M$18:$M$323)+SUMIF('ELBA BOOK'!$D$18:$D$323,$I25,'ELBA BOOK'!$AD$18:$AD$323)+SUMIF('ELBA BOOK'!$D$18:$D$323,$I25,'ELBA BOOK'!$AU$18:$AU$323)</f>
        <v>238726085.155474</v>
      </c>
      <c r="K25" s="416" t="n">
        <f aca="false">+SUMIF('ELBA BOOK'!$D$18:$D$323,$I25,'ELBA BOOK'!$P$18:$P$323)+SUMIF('ELBA BOOK'!$D$18:$D$323,$I25,'ELBA BOOK'!$AG$18:$AG$323)+SUMIF('ELBA BOOK'!$D$18:$D$323,$I25,'ELBA BOOK'!$AX$18:$AX$323)</f>
        <v>-201526380.06452</v>
      </c>
      <c r="L25" s="416" t="n">
        <f aca="false">+SUMIF('ELBA BOOK'!$D$18:$D$323,$I25,'ELBA BOOK'!$O$18:$O$323)+SUMIF('ELBA BOOK'!$D$18:$D$323,$I25,'ELBA BOOK'!$AF$18:$AF$323)+SUMIF('ELBA BOOK'!$D$18:$D$323,$I25,'ELBA BOOK'!$AW$18:$AW$323)</f>
        <v>-2007469.94906475</v>
      </c>
      <c r="M25" s="416" t="n">
        <f aca="false">+SUMIF('ELBA BOOK'!$D$18:$D$323,$I25,'ELBA BOOK'!$S$18:$S$323)+SUMIF('ELBA BOOK'!$D$18:$D$323,$I25,'ELBA BOOK'!$AJ$18:$AJ$323)+SUMIF('ELBA BOOK'!$D$18:$D$323,$I25,'ELBA BOOK'!$BA$18:$BA$323)-K25-L25</f>
        <v>-33966393.6313793</v>
      </c>
      <c r="N25" s="417" t="n">
        <f aca="false">SUM(K25:M25)</f>
        <v>-237500243.644964</v>
      </c>
      <c r="O25" s="418"/>
      <c r="P25" s="419" t="n">
        <f aca="false">+J25+N25</f>
        <v>1225841.5105097</v>
      </c>
      <c r="Q25" s="419" t="n">
        <f aca="false">+P25*CURVECALC!L21</f>
        <v>1225841.5105097</v>
      </c>
    </row>
    <row r="26" customFormat="false" ht="12.75" hidden="false" customHeight="false" outlineLevel="0" collapsed="false">
      <c r="A26" s="234" t="n">
        <v>2016</v>
      </c>
      <c r="B26" s="349" t="n">
        <f aca="false">+SUMIF('ELBA BOOK'!$D$18:$D$324,$A26,'ELBA BOOK'!$B$18:$B$323)</f>
        <v>63035896.4308463</v>
      </c>
      <c r="C26" s="349" t="n">
        <f aca="false">+SUMIF('ELBA BOOK'!$D$18:$D$323,$A26,'ELBA BOOK'!$F$18:$F$323)+SUMIF('ELBA BOOK'!$D$18:$D$323,$A26,'ELBA BOOK'!$W$18:$W$323)+SUMIF('ELBA BOOK'!$D$18:$D$323,$A26,'ELBA BOOK'!$AN$18:$AN$323)</f>
        <v>63704796.797217</v>
      </c>
      <c r="D26" s="349" t="n">
        <f aca="false">+SUMIF('ELBA BOOK'!$D$18:$D$323,$A26,'ELBA BOOK'!$H$18:$H$323)+SUMIF('ELBA BOOK'!$D$18:$D$323,$A26,'ELBA BOOK'!$Y$18:$Y$323)+SUMIF('ELBA BOOK'!$D$18:$D$323,$A26,'ELBA BOOK'!$AP$18:$AP$323)</f>
        <v>63035896.4308463</v>
      </c>
      <c r="E26" s="349" t="n">
        <f aca="false">+SUMIF('ELBA BOOK'!$D$18:$D$323,$A26,'ELBA BOOK'!$J$18:$J$323)+SUMIF('ELBA BOOK'!$D$18:$D$323,$A26,'ELBA BOOK'!$AA$18:$AA$323)+SUMIF('ELBA BOOK'!$D$18:$D$323,$A26,'ELBA BOOK'!$AR$18:$AR$323)</f>
        <v>61459999.0200751</v>
      </c>
      <c r="F26" s="404"/>
      <c r="G26" s="348" t="n">
        <f aca="false">+SUMIF('ELBA BOOK'!$D$18:$D$323,$A26,'ELBA BOOK'!$C$18:$C$323)</f>
        <v>0</v>
      </c>
      <c r="I26" s="405" t="n">
        <v>2016</v>
      </c>
      <c r="J26" s="406" t="n">
        <f aca="false">+SUMIF('ELBA BOOK'!$D$18:$D$323,$I26,'ELBA BOOK'!$M$18:$M$323)+SUMIF('ELBA BOOK'!$D$18:$D$323,$I26,'ELBA BOOK'!$AD$18:$AD$323)+SUMIF('ELBA BOOK'!$D$18:$D$323,$I26,'ELBA BOOK'!$AU$18:$AU$323)</f>
        <v>246208588.150926</v>
      </c>
      <c r="K26" s="407" t="n">
        <f aca="false">+SUMIF('ELBA BOOK'!$D$18:$D$323,$I26,'ELBA BOOK'!$P$18:$P$323)+SUMIF('ELBA BOOK'!$D$18:$D$323,$I26,'ELBA BOOK'!$AG$18:$AG$323)+SUMIF('ELBA BOOK'!$D$18:$D$323,$I26,'ELBA BOOK'!$AX$18:$AX$323)</f>
        <v>-208744367.845757</v>
      </c>
      <c r="L26" s="407" t="n">
        <f aca="false">+SUMIF('ELBA BOOK'!$D$18:$D$323,$I26,'ELBA BOOK'!$O$18:$O$323)+SUMIF('ELBA BOOK'!$D$18:$D$323,$I26,'ELBA BOOK'!$AF$18:$AF$323)+SUMIF('ELBA BOOK'!$D$18:$D$323,$I26,'ELBA BOOK'!$AW$18:$AW$323)</f>
        <v>-2038250.43351084</v>
      </c>
      <c r="M26" s="407" t="n">
        <f aca="false">+SUMIF('ELBA BOOK'!$D$18:$D$323,$I26,'ELBA BOOK'!$S$18:$S$323)+SUMIF('ELBA BOOK'!$D$18:$D$323,$I26,'ELBA BOOK'!$AJ$18:$AJ$323)+SUMIF('ELBA BOOK'!$D$18:$D$323,$I26,'ELBA BOOK'!$BA$18:$BA$323)-K26-L26</f>
        <v>-34196769.8912568</v>
      </c>
      <c r="N26" s="408" t="n">
        <f aca="false">SUM(K26:M26)</f>
        <v>-244979388.170525</v>
      </c>
      <c r="O26" s="409"/>
      <c r="P26" s="410" t="n">
        <f aca="false">+J26+N26</f>
        <v>1229199.98040149</v>
      </c>
      <c r="Q26" s="410" t="n">
        <f aca="false">+P26*CURVECALC!L22</f>
        <v>1229199.98040149</v>
      </c>
    </row>
    <row r="27" customFormat="false" ht="12.75" hidden="false" customHeight="false" outlineLevel="0" collapsed="false">
      <c r="A27" s="234" t="n">
        <v>2017</v>
      </c>
      <c r="B27" s="349" t="n">
        <f aca="false">+SUMIF('ELBA BOOK'!$D$18:$D$324,$A27,'ELBA BOOK'!$B$18:$B$323)</f>
        <v>62863667.2056254</v>
      </c>
      <c r="C27" s="349" t="n">
        <f aca="false">+SUMIF('ELBA BOOK'!$D$18:$D$323,$A27,'ELBA BOOK'!$F$18:$F$323)+SUMIF('ELBA BOOK'!$D$18:$D$323,$A27,'ELBA BOOK'!$W$18:$W$323)+SUMIF('ELBA BOOK'!$D$18:$D$323,$A27,'ELBA BOOK'!$AN$18:$AN$323)</f>
        <v>63530739.9753667</v>
      </c>
      <c r="D27" s="349" t="n">
        <f aca="false">+SUMIF('ELBA BOOK'!$D$18:$D$323,$A27,'ELBA BOOK'!$H$18:$H$323)+SUMIF('ELBA BOOK'!$D$18:$D$323,$A27,'ELBA BOOK'!$Y$18:$Y$323)+SUMIF('ELBA BOOK'!$D$18:$D$323,$A27,'ELBA BOOK'!$AP$18:$AP$323)</f>
        <v>62863667.2056254</v>
      </c>
      <c r="E27" s="349" t="n">
        <f aca="false">+SUMIF('ELBA BOOK'!$D$18:$D$323,$A27,'ELBA BOOK'!$J$18:$J$323)+SUMIF('ELBA BOOK'!$D$18:$D$323,$A27,'ELBA BOOK'!$AA$18:$AA$323)+SUMIF('ELBA BOOK'!$D$18:$D$323,$A27,'ELBA BOOK'!$AR$18:$AR$323)</f>
        <v>61292075.5254847</v>
      </c>
      <c r="F27" s="404"/>
      <c r="G27" s="348" t="n">
        <f aca="false">+SUMIF('ELBA BOOK'!$D$18:$D$323,$A27,'ELBA BOOK'!$C$18:$C$323)</f>
        <v>0</v>
      </c>
      <c r="I27" s="405" t="n">
        <v>2017</v>
      </c>
      <c r="J27" s="406" t="n">
        <f aca="false">+SUMIF('ELBA BOOK'!$D$18:$D$323,$I27,'ELBA BOOK'!$M$18:$M$323)+SUMIF('ELBA BOOK'!$D$18:$D$323,$I27,'ELBA BOOK'!$AD$18:$AD$323)+SUMIF('ELBA BOOK'!$D$18:$D$323,$I27,'ELBA BOOK'!$AU$18:$AU$323)</f>
        <v>252568354.661547</v>
      </c>
      <c r="K27" s="407" t="n">
        <f aca="false">+SUMIF('ELBA BOOK'!$D$18:$D$323,$I27,'ELBA BOOK'!$P$18:$P$323)+SUMIF('ELBA BOOK'!$D$18:$D$323,$I27,'ELBA BOOK'!$AG$18:$AG$323)+SUMIF('ELBA BOOK'!$D$18:$D$323,$I27,'ELBA BOOK'!$AX$18:$AX$323)</f>
        <v>-214972227.80147</v>
      </c>
      <c r="L27" s="407" t="n">
        <f aca="false">+SUMIF('ELBA BOOK'!$D$18:$D$323,$I27,'ELBA BOOK'!$O$18:$O$323)+SUMIF('ELBA BOOK'!$D$18:$D$323,$I27,'ELBA BOOK'!$AF$18:$AF$323)+SUMIF('ELBA BOOK'!$D$18:$D$323,$I27,'ELBA BOOK'!$AW$18:$AW$323)</f>
        <v>-2058262.51090392</v>
      </c>
      <c r="M27" s="407" t="n">
        <f aca="false">+SUMIF('ELBA BOOK'!$D$18:$D$323,$I27,'ELBA BOOK'!$S$18:$S$323)+SUMIF('ELBA BOOK'!$D$18:$D$323,$I27,'ELBA BOOK'!$AJ$18:$AJ$323)+SUMIF('ELBA BOOK'!$D$18:$D$323,$I27,'ELBA BOOK'!$BA$18:$BA$323)-K27-L27</f>
        <v>-34312022.8386634</v>
      </c>
      <c r="N27" s="408" t="n">
        <f aca="false">SUM(K27:M27)</f>
        <v>-251342513.151038</v>
      </c>
      <c r="O27" s="409"/>
      <c r="P27" s="410" t="n">
        <f aca="false">+J27+N27</f>
        <v>1225841.51050967</v>
      </c>
      <c r="Q27" s="410" t="n">
        <f aca="false">+P27*CURVECALC!L23</f>
        <v>1225841.51050967</v>
      </c>
    </row>
    <row r="28" customFormat="false" ht="12.75" hidden="false" customHeight="false" outlineLevel="0" collapsed="false">
      <c r="A28" s="234" t="n">
        <v>2018</v>
      </c>
      <c r="B28" s="349" t="n">
        <f aca="false">+SUMIF('ELBA BOOK'!$D$18:$D$324,$A28,'ELBA BOOK'!$B$18:$B$323)</f>
        <v>62863667.2056254</v>
      </c>
      <c r="C28" s="349" t="n">
        <f aca="false">+SUMIF('ELBA BOOK'!$D$18:$D$323,$A28,'ELBA BOOK'!$F$18:$F$323)+SUMIF('ELBA BOOK'!$D$18:$D$323,$A28,'ELBA BOOK'!$W$18:$W$323)+SUMIF('ELBA BOOK'!$D$18:$D$323,$A28,'ELBA BOOK'!$AN$18:$AN$323)</f>
        <v>63530739.9753667</v>
      </c>
      <c r="D28" s="349" t="n">
        <f aca="false">+SUMIF('ELBA BOOK'!$D$18:$D$323,$A28,'ELBA BOOK'!$H$18:$H$323)+SUMIF('ELBA BOOK'!$D$18:$D$323,$A28,'ELBA BOOK'!$Y$18:$Y$323)+SUMIF('ELBA BOOK'!$D$18:$D$323,$A28,'ELBA BOOK'!$AP$18:$AP$323)</f>
        <v>62863667.2056254</v>
      </c>
      <c r="E28" s="349" t="n">
        <f aca="false">+SUMIF('ELBA BOOK'!$D$18:$D$323,$A28,'ELBA BOOK'!$J$18:$J$323)+SUMIF('ELBA BOOK'!$D$18:$D$323,$A28,'ELBA BOOK'!$AA$18:$AA$323)+SUMIF('ELBA BOOK'!$D$18:$D$323,$A28,'ELBA BOOK'!$AR$18:$AR$323)</f>
        <v>61292075.5254847</v>
      </c>
      <c r="F28" s="404"/>
      <c r="G28" s="348" t="n">
        <f aca="false">+SUMIF('ELBA BOOK'!$D$18:$D$323,$A28,'ELBA BOOK'!$C$18:$C$323)</f>
        <v>0</v>
      </c>
      <c r="I28" s="405" t="n">
        <v>2018</v>
      </c>
      <c r="J28" s="406" t="n">
        <f aca="false">+SUMIF('ELBA BOOK'!$D$18:$D$323,$I28,'ELBA BOOK'!$M$18:$M$323)+SUMIF('ELBA BOOK'!$D$18:$D$323,$I28,'ELBA BOOK'!$AD$18:$AD$323)+SUMIF('ELBA BOOK'!$D$18:$D$323,$I28,'ELBA BOOK'!$AU$18:$AU$323)</f>
        <v>260181334.212296</v>
      </c>
      <c r="K28" s="407" t="n">
        <f aca="false">+SUMIF('ELBA BOOK'!$D$18:$D$323,$I28,'ELBA BOOK'!$P$18:$P$323)+SUMIF('ELBA BOOK'!$D$18:$D$323,$I28,'ELBA BOOK'!$AG$18:$AG$323)+SUMIF('ELBA BOOK'!$D$18:$D$323,$I28,'ELBA BOOK'!$AX$18:$AX$323)</f>
        <v>-222381534.364661</v>
      </c>
      <c r="L28" s="407" t="n">
        <f aca="false">+SUMIF('ELBA BOOK'!$D$18:$D$323,$I28,'ELBA BOOK'!$O$18:$O$323)+SUMIF('ELBA BOOK'!$D$18:$D$323,$I28,'ELBA BOOK'!$AF$18:$AF$323)+SUMIF('ELBA BOOK'!$D$18:$D$323,$I28,'ELBA BOOK'!$AW$18:$AW$323)</f>
        <v>-2084138.70691504</v>
      </c>
      <c r="M28" s="407" t="n">
        <f aca="false">+SUMIF('ELBA BOOK'!$D$18:$D$323,$I28,'ELBA BOOK'!$S$18:$S$323)+SUMIF('ELBA BOOK'!$D$18:$D$323,$I28,'ELBA BOOK'!$AJ$18:$AJ$323)+SUMIF('ELBA BOOK'!$D$18:$D$323,$I28,'ELBA BOOK'!$BA$18:$BA$323)-K28-L28</f>
        <v>-34489819.6302109</v>
      </c>
      <c r="N28" s="408" t="n">
        <f aca="false">SUM(K28:M28)</f>
        <v>-258955492.701787</v>
      </c>
      <c r="O28" s="409"/>
      <c r="P28" s="410" t="n">
        <f aca="false">+J28+N28</f>
        <v>1225841.51050967</v>
      </c>
      <c r="Q28" s="410" t="n">
        <f aca="false">+P28*CURVECALC!L24</f>
        <v>1225841.51050967</v>
      </c>
    </row>
    <row r="29" customFormat="false" ht="12.75" hidden="false" customHeight="false" outlineLevel="0" collapsed="false">
      <c r="A29" s="234" t="n">
        <v>2019</v>
      </c>
      <c r="B29" s="349" t="n">
        <f aca="false">+SUMIF('ELBA BOOK'!$D$18:$D$324,$A29,'ELBA BOOK'!$B$18:$B$323)</f>
        <v>15500630.2698802</v>
      </c>
      <c r="C29" s="349" t="n">
        <f aca="false">+SUMIF('ELBA BOOK'!$D$18:$D$323,$A29,'ELBA BOOK'!$F$18:$F$323)+SUMIF('ELBA BOOK'!$D$18:$D$323,$A29,'ELBA BOOK'!$W$18:$W$323)+SUMIF('ELBA BOOK'!$D$18:$D$323,$A29,'ELBA BOOK'!$AN$18:$AN$323)</f>
        <v>15665113.9665288</v>
      </c>
      <c r="D29" s="349" t="n">
        <f aca="false">+SUMIF('ELBA BOOK'!$D$18:$D$323,$A29,'ELBA BOOK'!$H$18:$H$323)+SUMIF('ELBA BOOK'!$D$18:$D$323,$A29,'ELBA BOOK'!$Y$18:$Y$323)+SUMIF('ELBA BOOK'!$D$18:$D$323,$A29,'ELBA BOOK'!$AP$18:$AP$323)</f>
        <v>15500630.2698802</v>
      </c>
      <c r="E29" s="349" t="n">
        <f aca="false">+SUMIF('ELBA BOOK'!$D$18:$D$323,$A29,'ELBA BOOK'!$J$18:$J$323)+SUMIF('ELBA BOOK'!$D$18:$D$323,$A29,'ELBA BOOK'!$AA$18:$AA$323)+SUMIF('ELBA BOOK'!$D$18:$D$323,$A29,'ELBA BOOK'!$AR$18:$AR$323)</f>
        <v>15113114.5131332</v>
      </c>
      <c r="F29" s="404"/>
      <c r="G29" s="348" t="n">
        <f aca="false">+SUMIF('ELBA BOOK'!$D$18:$D$323,$A29,'ELBA BOOK'!$C$18:$C$323)</f>
        <v>0</v>
      </c>
      <c r="I29" s="405" t="n">
        <v>2019</v>
      </c>
      <c r="J29" s="406" t="n">
        <f aca="false">+SUMIF('ELBA BOOK'!$D$18:$D$323,'ELBA INCOME'!$I29,'ELBA BOOK'!$M$18:$M$323)+SUMIF('ELBA BOOK'!$D$18:$D$323,'ELBA INCOME'!$I29,'ELBA BOOK'!$AD$18:$AD$323)+SUMIF('ELBA BOOK'!$D$18:$D$323,'ELBA INCOME'!$I29,'ELBA BOOK'!$AU$18:$AU$323)</f>
        <v>67284257.5064475</v>
      </c>
      <c r="K29" s="407" t="n">
        <f aca="false">+SUMIF('ELBA BOOK'!$D$18:$D$323,$I29,'ELBA BOOK'!$P$18:$P$323)+SUMIF('ELBA BOOK'!$D$18:$D$323,$I29,'ELBA BOOK'!$AG$18:$AG$323)+SUMIF('ELBA BOOK'!$D$18:$D$323,$I29,'ELBA BOOK'!$AX$18:$AX$323)</f>
        <v>-57888448.09702</v>
      </c>
      <c r="L29" s="407" t="n">
        <f aca="false">+SUMIF('ELBA BOOK'!$D$18:$D$323,$I29,'ELBA BOOK'!$O$18:$O$323)+SUMIF('ELBA BOOK'!$D$18:$D$323,$I29,'ELBA BOOK'!$AF$18:$AF$323)+SUMIF('ELBA BOOK'!$D$18:$D$323,$I29,'ELBA BOOK'!$AW$18:$AW$323)</f>
        <v>-517908.477433762</v>
      </c>
      <c r="M29" s="407" t="n">
        <f aca="false">+SUMIF('ELBA BOOK'!$D$18:$D$323,$I29,'ELBA BOOK'!$S$18:$S$323)+SUMIF('ELBA BOOK'!$D$18:$D$323,$I29,'ELBA BOOK'!$AJ$18:$AJ$323)+SUMIF('ELBA BOOK'!$D$18:$D$323,$I29,'ELBA BOOK'!$BA$18:$BA$323)-K29-L29</f>
        <v>-8575638.64173106</v>
      </c>
      <c r="N29" s="408" t="n">
        <f aca="false">SUM(K29:M29)</f>
        <v>-66981995.2161848</v>
      </c>
      <c r="O29" s="409"/>
      <c r="P29" s="410" t="n">
        <f aca="false">+J29+N29</f>
        <v>302262.290262669</v>
      </c>
      <c r="Q29" s="410" t="n">
        <f aca="false">+P29*CURVECALC!L25</f>
        <v>302262.290262669</v>
      </c>
    </row>
    <row r="30" customFormat="false" ht="12.75" hidden="false" customHeight="false" outlineLevel="0" collapsed="false">
      <c r="A30" s="242" t="n">
        <v>2020</v>
      </c>
      <c r="B30" s="363" t="n">
        <f aca="false">+SUMIF('ELBA BOOK'!$D$18:$D$324,$A30,'ELBA BOOK'!$B$18:$B$323)</f>
        <v>0</v>
      </c>
      <c r="C30" s="363" t="n">
        <f aca="false">+SUMIF('ELBA BOOK'!$D$18:$D$323,$A30,'ELBA BOOK'!$F$18:$F$323)+SUMIF('ELBA BOOK'!$D$18:$D$323,$A30,'ELBA BOOK'!$W$18:$W$323)+SUMIF('ELBA BOOK'!$D$18:$D$323,$A30,'ELBA BOOK'!$AN$18:$AN$323)</f>
        <v>0</v>
      </c>
      <c r="D30" s="363" t="n">
        <f aca="false">+SUMIF('ELBA BOOK'!$D$18:$D$323,$A30,'ELBA BOOK'!$H$18:$H$323)+SUMIF('ELBA BOOK'!$D$18:$D$323,$A30,'ELBA BOOK'!$Y$18:$Y$323)+SUMIF('ELBA BOOK'!$D$18:$D$323,$A30,'ELBA BOOK'!$AP$18:$AP$323)</f>
        <v>0</v>
      </c>
      <c r="E30" s="363" t="n">
        <f aca="false">+SUMIF('ELBA BOOK'!$D$18:$D$323,$A30,'ELBA BOOK'!$J$18:$J$323)+SUMIF('ELBA BOOK'!$D$18:$D$323,$A30,'ELBA BOOK'!$AA$18:$AA$323)+SUMIF('ELBA BOOK'!$D$18:$D$323,$A30,'ELBA BOOK'!$AR$18:$AR$323)</f>
        <v>0</v>
      </c>
      <c r="F30" s="413"/>
      <c r="G30" s="362" t="n">
        <f aca="false">+SUMIF('ELBA BOOK'!$D$18:$D$323,$A30,'ELBA BOOK'!$C$18:$C$323)</f>
        <v>0</v>
      </c>
      <c r="I30" s="414" t="n">
        <v>2020</v>
      </c>
      <c r="J30" s="415" t="n">
        <f aca="false">+SUMIF('ELBA BOOK'!$D$18:$D$323,'ELBA INCOME'!$I30,'ELBA BOOK'!$M$18:$M$323)+SUMIF('ELBA BOOK'!$D$18:$D$323,'ELBA INCOME'!$I30,'ELBA BOOK'!$AD$18:$AD$323)+SUMIF('ELBA BOOK'!$D$18:$D$323,'ELBA INCOME'!$I30,'ELBA BOOK'!$AU$18:$AU$323)</f>
        <v>0</v>
      </c>
      <c r="K30" s="416" t="n">
        <f aca="false">+SUMIF('ELBA BOOK'!$D$18:$D$323,$I30,'ELBA BOOK'!$P$18:$P$323)+SUMIF('ELBA BOOK'!$D$18:$D$323,$I30,'ELBA BOOK'!$AG$18:$AG$323)+SUMIF('ELBA BOOK'!$D$18:$D$323,$I30,'ELBA BOOK'!$AX$18:$AX$323)</f>
        <v>0</v>
      </c>
      <c r="L30" s="416" t="n">
        <f aca="false">+SUMIF('ELBA BOOK'!$D$18:$D$323,$I30,'ELBA BOOK'!$O$18:$O$323)+SUMIF('ELBA BOOK'!$D$18:$D$323,$I30,'ELBA BOOK'!$AF$18:$AF$323)+SUMIF('ELBA BOOK'!$D$18:$D$323,$I30,'ELBA BOOK'!$AW$18:$AW$323)</f>
        <v>0</v>
      </c>
      <c r="M30" s="416" t="n">
        <f aca="false">+SUMIF('ELBA BOOK'!$D$18:$D$323,$I30,'ELBA BOOK'!$S$18:$S$323)+SUMIF('ELBA BOOK'!$D$18:$D$323,$I30,'ELBA BOOK'!$AJ$18:$AJ$323)+SUMIF('ELBA BOOK'!$D$18:$D$323,$I30,'ELBA BOOK'!$BA$18:$BA$323)-K30-L30</f>
        <v>0</v>
      </c>
      <c r="N30" s="417" t="n">
        <f aca="false">SUM(K30:M30)</f>
        <v>0</v>
      </c>
      <c r="O30" s="418"/>
      <c r="P30" s="419" t="n">
        <f aca="false">+J30+N30</f>
        <v>0</v>
      </c>
      <c r="Q30" s="419" t="n">
        <f aca="false">+P30*CURVECALC!L26</f>
        <v>0</v>
      </c>
    </row>
    <row r="31" customFormat="false" ht="12.75" hidden="false" customHeight="false" outlineLevel="0" collapsed="false">
      <c r="A31" s="318" t="n">
        <v>2021</v>
      </c>
      <c r="B31" s="403" t="n">
        <f aca="false">+SUMIF('ELBA BOOK'!$D$18:$D$324,$A31,'ELBA BOOK'!$B$18:$B$323)</f>
        <v>0</v>
      </c>
      <c r="C31" s="403" t="n">
        <f aca="false">+SUMIF('ELBA BOOK'!$D$18:$D$323,$A31,'ELBA BOOK'!$F$18:$F$323)+SUMIF('ELBA BOOK'!$D$18:$D$323,$A31,'ELBA BOOK'!$W$18:$W$323)+SUMIF('ELBA BOOK'!$D$18:$D$323,$A31,'ELBA BOOK'!$AN$18:$AN$323)</f>
        <v>0</v>
      </c>
      <c r="D31" s="403" t="n">
        <f aca="false">+SUMIF('ELBA BOOK'!$D$18:$D$323,$A31,'ELBA BOOK'!$H$18:$H$323)+SUMIF('ELBA BOOK'!$D$18:$D$323,$A31,'ELBA BOOK'!$Y$18:$Y$323)+SUMIF('ELBA BOOK'!$D$18:$D$323,$A31,'ELBA BOOK'!$AP$18:$AP$323)</f>
        <v>0</v>
      </c>
      <c r="E31" s="403" t="n">
        <f aca="false">+SUMIF('ELBA BOOK'!$D$18:$D$323,$A31,'ELBA BOOK'!$J$18:$J$323)+SUMIF('ELBA BOOK'!$D$18:$D$323,$A31,'ELBA BOOK'!$AA$18:$AA$323)+SUMIF('ELBA BOOK'!$D$18:$D$323,$A31,'ELBA BOOK'!$AR$18:$AR$323)</f>
        <v>0</v>
      </c>
      <c r="F31" s="404"/>
      <c r="G31" s="348" t="n">
        <f aca="false">+SUMIF('ELBA BOOK'!$D$18:$D$323,$A31,'ELBA BOOK'!$C$18:$C$323)</f>
        <v>0</v>
      </c>
      <c r="I31" s="405" t="n">
        <v>2021</v>
      </c>
      <c r="J31" s="406" t="n">
        <f aca="false">+SUMIF('ELBA BOOK'!$D$18:$D$323,'ELBA INCOME'!$I31,'ELBA BOOK'!$M$18:$M$323)+SUMIF('ELBA BOOK'!$D$18:$D$323,'ELBA INCOME'!$I31,'ELBA BOOK'!$AD$18:$AD$323)+SUMIF('ELBA BOOK'!$D$18:$D$323,'ELBA INCOME'!$I31,'ELBA BOOK'!$AU$18:$AU$323)</f>
        <v>0</v>
      </c>
      <c r="K31" s="407" t="n">
        <f aca="false">+SUMIF('ELBA BOOK'!$D$18:$D$323,$I31,'ELBA BOOK'!$P$18:$P$323)+SUMIF('ELBA BOOK'!$D$18:$D$323,$I31,'ELBA BOOK'!$AG$18:$AG$323)+SUMIF('ELBA BOOK'!$D$18:$D$323,$I31,'ELBA BOOK'!$AX$18:$AX$323)</f>
        <v>0</v>
      </c>
      <c r="L31" s="407" t="n">
        <f aca="false">+SUMIF('ELBA BOOK'!$D$18:$D$323,$I31,'ELBA BOOK'!$O$18:$O$323)+SUMIF('ELBA BOOK'!$D$18:$D$323,$I31,'ELBA BOOK'!$AF$18:$AF$323)+SUMIF('ELBA BOOK'!$D$18:$D$323,$I31,'ELBA BOOK'!$AW$18:$AW$323)</f>
        <v>0</v>
      </c>
      <c r="M31" s="407" t="n">
        <f aca="false">+SUMIF('ELBA BOOK'!$D$18:$D$323,$I31,'ELBA BOOK'!$S$18:$S$323)+SUMIF('ELBA BOOK'!$D$18:$D$323,$I31,'ELBA BOOK'!$AJ$18:$AJ$323)+SUMIF('ELBA BOOK'!$D$18:$D$323,$I31,'ELBA BOOK'!$BA$18:$BA$323)-K31-L31</f>
        <v>0</v>
      </c>
      <c r="N31" s="408" t="n">
        <f aca="false">SUM(K31:M31)</f>
        <v>0</v>
      </c>
      <c r="O31" s="409"/>
      <c r="P31" s="410" t="n">
        <f aca="false">+J31+N31</f>
        <v>0</v>
      </c>
      <c r="Q31" s="410" t="n">
        <f aca="false">+P31*CURVECALC!L27</f>
        <v>0</v>
      </c>
    </row>
    <row r="32" customFormat="false" ht="12.75" hidden="false" customHeight="false" outlineLevel="0" collapsed="false">
      <c r="A32" s="318" t="n">
        <v>2022</v>
      </c>
      <c r="B32" s="403" t="n">
        <f aca="false">+SUMIF('ELBA BOOK'!$D$18:$D$324,$A32,'ELBA BOOK'!$B$18:$B$323)</f>
        <v>0</v>
      </c>
      <c r="C32" s="403" t="n">
        <f aca="false">+SUMIF('ELBA BOOK'!$D$18:$D$323,$A32,'ELBA BOOK'!$F$18:$F$323)+SUMIF('ELBA BOOK'!$D$18:$D$323,$A32,'ELBA BOOK'!$W$18:$W$323)+SUMIF('ELBA BOOK'!$D$18:$D$323,$A32,'ELBA BOOK'!$AN$18:$AN$323)</f>
        <v>0</v>
      </c>
      <c r="D32" s="403" t="n">
        <f aca="false">+SUMIF('ELBA BOOK'!$D$18:$D$323,$A32,'ELBA BOOK'!$H$18:$H$323)+SUMIF('ELBA BOOK'!$D$18:$D$323,$A32,'ELBA BOOK'!$Y$18:$Y$323)+SUMIF('ELBA BOOK'!$D$18:$D$323,$A32,'ELBA BOOK'!$AP$18:$AP$323)</f>
        <v>0</v>
      </c>
      <c r="E32" s="403" t="n">
        <f aca="false">+SUMIF('ELBA BOOK'!$D$18:$D$323,$A32,'ELBA BOOK'!$J$18:$J$323)+SUMIF('ELBA BOOK'!$D$18:$D$323,$A32,'ELBA BOOK'!$AA$18:$AA$323)+SUMIF('ELBA BOOK'!$D$18:$D$323,$A32,'ELBA BOOK'!$AR$18:$AR$323)</f>
        <v>0</v>
      </c>
      <c r="F32" s="404"/>
      <c r="G32" s="348" t="n">
        <f aca="false">+SUMIF('ELBA BOOK'!$D$18:$D$323,$A32,'ELBA BOOK'!$C$18:$C$323)</f>
        <v>0</v>
      </c>
      <c r="I32" s="405" t="n">
        <v>2022</v>
      </c>
      <c r="J32" s="406" t="n">
        <f aca="false">+SUMIF('ELBA BOOK'!$D$18:$D$323,'ELBA INCOME'!$I32,'ELBA BOOK'!$M$18:$M$323)+SUMIF('ELBA BOOK'!$D$18:$D$323,'ELBA INCOME'!$I32,'ELBA BOOK'!$AD$18:$AD$323)+SUMIF('ELBA BOOK'!$D$18:$D$323,'ELBA INCOME'!$I32,'ELBA BOOK'!$AU$18:$AU$323)</f>
        <v>0</v>
      </c>
      <c r="K32" s="407" t="n">
        <f aca="false">+SUMIF('ELBA BOOK'!$D$18:$D$323,$I32,'ELBA BOOK'!$P$18:$P$323)+SUMIF('ELBA BOOK'!$D$18:$D$323,$I32,'ELBA BOOK'!$AG$18:$AG$323)+SUMIF('ELBA BOOK'!$D$18:$D$323,$I32,'ELBA BOOK'!$AX$18:$AX$323)</f>
        <v>0</v>
      </c>
      <c r="L32" s="407" t="n">
        <f aca="false">+SUMIF('ELBA BOOK'!$D$18:$D$323,$I32,'ELBA BOOK'!$O$18:$O$323)+SUMIF('ELBA BOOK'!$D$18:$D$323,$I32,'ELBA BOOK'!$AF$18:$AF$323)+SUMIF('ELBA BOOK'!$D$18:$D$323,$I32,'ELBA BOOK'!$AW$18:$AW$323)</f>
        <v>0</v>
      </c>
      <c r="M32" s="407" t="n">
        <f aca="false">+SUMIF('ELBA BOOK'!$D$18:$D$323,$I32,'ELBA BOOK'!$S$18:$S$323)+SUMIF('ELBA BOOK'!$D$18:$D$323,$I32,'ELBA BOOK'!$AJ$18:$AJ$323)+SUMIF('ELBA BOOK'!$D$18:$D$323,$I32,'ELBA BOOK'!$BA$18:$BA$323)-K32-L32</f>
        <v>0</v>
      </c>
      <c r="N32" s="408" t="n">
        <f aca="false">SUM(K32:M32)</f>
        <v>0</v>
      </c>
      <c r="O32" s="409"/>
      <c r="P32" s="410" t="n">
        <f aca="false">+J32+N32</f>
        <v>0</v>
      </c>
      <c r="Q32" s="410" t="n">
        <f aca="false">+P32*CURVECALC!L28</f>
        <v>0</v>
      </c>
    </row>
    <row r="33" customFormat="false" ht="12.75" hidden="false" customHeight="false" outlineLevel="0" collapsed="false">
      <c r="A33" s="318" t="n">
        <v>2023</v>
      </c>
      <c r="B33" s="403" t="n">
        <f aca="false">+SUMIF('ELBA BOOK'!$D$18:$D$324,$A33,'ELBA BOOK'!$B$18:$B$323)</f>
        <v>0</v>
      </c>
      <c r="C33" s="403" t="n">
        <f aca="false">+SUMIF('ELBA BOOK'!$D$18:$D$323,$A33,'ELBA BOOK'!$F$18:$F$323)+SUMIF('ELBA BOOK'!$D$18:$D$323,$A33,'ELBA BOOK'!$W$18:$W$323)+SUMIF('ELBA BOOK'!$D$18:$D$323,$A33,'ELBA BOOK'!$AN$18:$AN$323)</f>
        <v>0</v>
      </c>
      <c r="D33" s="403" t="n">
        <f aca="false">+SUMIF('ELBA BOOK'!$D$18:$D$323,$A33,'ELBA BOOK'!$H$18:$H$323)+SUMIF('ELBA BOOK'!$D$18:$D$323,$A33,'ELBA BOOK'!$Y$18:$Y$323)+SUMIF('ELBA BOOK'!$D$18:$D$323,$A33,'ELBA BOOK'!$AP$18:$AP$323)</f>
        <v>0</v>
      </c>
      <c r="E33" s="403" t="n">
        <f aca="false">+SUMIF('ELBA BOOK'!$D$18:$D$323,$A33,'ELBA BOOK'!$J$18:$J$323)+SUMIF('ELBA BOOK'!$D$18:$D$323,$A33,'ELBA BOOK'!$AA$18:$AA$323)+SUMIF('ELBA BOOK'!$D$18:$D$323,$A33,'ELBA BOOK'!$AR$18:$AR$323)</f>
        <v>0</v>
      </c>
      <c r="F33" s="404"/>
      <c r="G33" s="348" t="n">
        <f aca="false">+SUMIF('ELBA BOOK'!$D$18:$D$323,$A33,'ELBA BOOK'!$C$18:$C$323)</f>
        <v>0</v>
      </c>
      <c r="I33" s="405" t="n">
        <v>2023</v>
      </c>
      <c r="J33" s="406" t="n">
        <f aca="false">+SUMIF('ELBA BOOK'!$D$18:$D$323,'ELBA INCOME'!$I33,'ELBA BOOK'!$M$18:$M$323)+SUMIF('ELBA BOOK'!$D$18:$D$323,'ELBA INCOME'!$I33,'ELBA BOOK'!$AD$18:$AD$323)+SUMIF('ELBA BOOK'!$D$18:$D$323,'ELBA INCOME'!$I33,'ELBA BOOK'!$AU$18:$AU$323)</f>
        <v>0</v>
      </c>
      <c r="K33" s="407" t="n">
        <f aca="false">+SUMIF('ELBA BOOK'!$D$18:$D$323,$I33,'ELBA BOOK'!$P$18:$P$323)+SUMIF('ELBA BOOK'!$D$18:$D$323,$I33,'ELBA BOOK'!$AG$18:$AG$323)+SUMIF('ELBA BOOK'!$D$18:$D$323,$I33,'ELBA BOOK'!$AX$18:$AX$323)</f>
        <v>0</v>
      </c>
      <c r="L33" s="407" t="n">
        <f aca="false">+SUMIF('ELBA BOOK'!$D$18:$D$323,$I33,'ELBA BOOK'!$O$18:$O$323)+SUMIF('ELBA BOOK'!$D$18:$D$323,$I33,'ELBA BOOK'!$AF$18:$AF$323)+SUMIF('ELBA BOOK'!$D$18:$D$323,$I33,'ELBA BOOK'!$AW$18:$AW$323)</f>
        <v>0</v>
      </c>
      <c r="M33" s="407" t="n">
        <f aca="false">+SUMIF('ELBA BOOK'!$D$18:$D$323,$I33,'ELBA BOOK'!$S$18:$S$323)+SUMIF('ELBA BOOK'!$D$18:$D$323,$I33,'ELBA BOOK'!$AJ$18:$AJ$323)+SUMIF('ELBA BOOK'!$D$18:$D$323,$I33,'ELBA BOOK'!$BA$18:$BA$323)-K33-L33</f>
        <v>0</v>
      </c>
      <c r="N33" s="408" t="n">
        <f aca="false">SUM(K33:M33)</f>
        <v>0</v>
      </c>
      <c r="O33" s="409"/>
      <c r="P33" s="410" t="n">
        <f aca="false">+J33+N33</f>
        <v>0</v>
      </c>
      <c r="Q33" s="410" t="n">
        <f aca="false">+P33*CURVECALC!L29</f>
        <v>0</v>
      </c>
    </row>
    <row r="34" customFormat="false" ht="12.75" hidden="false" customHeight="false" outlineLevel="0" collapsed="false">
      <c r="A34" s="318" t="n">
        <v>2024</v>
      </c>
      <c r="B34" s="403" t="n">
        <f aca="false">+SUMIF('ELBA BOOK'!$D$18:$D$324,$A34,'ELBA BOOK'!$B$18:$B$323)</f>
        <v>0</v>
      </c>
      <c r="C34" s="403" t="n">
        <f aca="false">+SUMIF('ELBA BOOK'!$D$18:$D$323,$A34,'ELBA BOOK'!$F$18:$F$323)+SUMIF('ELBA BOOK'!$D$18:$D$323,$A34,'ELBA BOOK'!$W$18:$W$323)+SUMIF('ELBA BOOK'!$D$18:$D$323,$A34,'ELBA BOOK'!$AN$18:$AN$323)</f>
        <v>0</v>
      </c>
      <c r="D34" s="403" t="n">
        <f aca="false">+SUMIF('ELBA BOOK'!$D$18:$D$323,$A34,'ELBA BOOK'!$H$18:$H$323)+SUMIF('ELBA BOOK'!$D$18:$D$323,$A34,'ELBA BOOK'!$Y$18:$Y$323)+SUMIF('ELBA BOOK'!$D$18:$D$323,$A34,'ELBA BOOK'!$AP$18:$AP$323)</f>
        <v>0</v>
      </c>
      <c r="E34" s="403" t="n">
        <f aca="false">+SUMIF('ELBA BOOK'!$D$18:$D$323,$A34,'ELBA BOOK'!$J$18:$J$323)+SUMIF('ELBA BOOK'!$D$18:$D$323,$A34,'ELBA BOOK'!$AA$18:$AA$323)+SUMIF('ELBA BOOK'!$D$18:$D$323,$A34,'ELBA BOOK'!$AR$18:$AR$323)</f>
        <v>0</v>
      </c>
      <c r="F34" s="404"/>
      <c r="G34" s="348" t="n">
        <f aca="false">+SUMIF('ELBA BOOK'!$D$18:$D$323,$A34,'ELBA BOOK'!$C$18:$C$323)</f>
        <v>0</v>
      </c>
      <c r="I34" s="405" t="n">
        <v>2024</v>
      </c>
      <c r="J34" s="406" t="n">
        <f aca="false">+SUMIF('ELBA BOOK'!$D$18:$D$323,'ELBA INCOME'!$I34,'ELBA BOOK'!$M$18:$M$323)+SUMIF('ELBA BOOK'!$D$18:$D$323,'ELBA INCOME'!$I34,'ELBA BOOK'!$AD$18:$AD$323)+SUMIF('ELBA BOOK'!$D$18:$D$323,'ELBA INCOME'!$I34,'ELBA BOOK'!$AU$18:$AU$323)</f>
        <v>0</v>
      </c>
      <c r="K34" s="407" t="n">
        <f aca="false">+SUMIF('ELBA BOOK'!$D$18:$D$323,$I34,'ELBA BOOK'!$P$18:$P$323)+SUMIF('ELBA BOOK'!$D$18:$D$323,$I34,'ELBA BOOK'!$AG$18:$AG$323)+SUMIF('ELBA BOOK'!$D$18:$D$323,$I34,'ELBA BOOK'!$AX$18:$AX$323)</f>
        <v>0</v>
      </c>
      <c r="L34" s="407" t="n">
        <f aca="false">+SUMIF('ELBA BOOK'!$D$18:$D$323,$I34,'ELBA BOOK'!$O$18:$O$323)+SUMIF('ELBA BOOK'!$D$18:$D$323,$I34,'ELBA BOOK'!$AF$18:$AF$323)+SUMIF('ELBA BOOK'!$D$18:$D$323,$I34,'ELBA BOOK'!$AW$18:$AW$323)</f>
        <v>0</v>
      </c>
      <c r="M34" s="407" t="n">
        <f aca="false">+SUMIF('ELBA BOOK'!$D$18:$D$323,$I34,'ELBA BOOK'!$S$18:$S$323)+SUMIF('ELBA BOOK'!$D$18:$D$323,$I34,'ELBA BOOK'!$AJ$18:$AJ$323)+SUMIF('ELBA BOOK'!$D$18:$D$323,$I34,'ELBA BOOK'!$BA$18:$BA$323)-K34-L34</f>
        <v>0</v>
      </c>
      <c r="N34" s="408" t="n">
        <f aca="false">SUM(K34:M34)</f>
        <v>0</v>
      </c>
      <c r="O34" s="409"/>
      <c r="P34" s="410" t="n">
        <f aca="false">+J34+N34</f>
        <v>0</v>
      </c>
      <c r="Q34" s="410" t="n">
        <f aca="false">+P34*CURVECALC!L30</f>
        <v>0</v>
      </c>
    </row>
    <row r="35" customFormat="false" ht="12.75" hidden="false" customHeight="false" outlineLevel="0" collapsed="false">
      <c r="A35" s="411" t="n">
        <v>2025</v>
      </c>
      <c r="B35" s="412" t="n">
        <f aca="false">+SUMIF('ELBA BOOK'!$D$18:$D$324,$A35,'ELBA BOOK'!$B$18:$B$323)</f>
        <v>0</v>
      </c>
      <c r="C35" s="412" t="n">
        <f aca="false">+SUMIF('ELBA BOOK'!$D$18:$D$323,$A35,'ELBA BOOK'!$F$18:$F$323)+SUMIF('ELBA BOOK'!$D$18:$D$323,$A35,'ELBA BOOK'!$W$18:$W$323)+SUMIF('ELBA BOOK'!$D$18:$D$323,$A35,'ELBA BOOK'!$AN$18:$AN$323)</f>
        <v>0</v>
      </c>
      <c r="D35" s="412" t="n">
        <f aca="false">+SUMIF('ELBA BOOK'!$D$18:$D$323,$A35,'ELBA BOOK'!$H$18:$H$323)+SUMIF('ELBA BOOK'!$D$18:$D$323,$A35,'ELBA BOOK'!$Y$18:$Y$323)+SUMIF('ELBA BOOK'!$D$18:$D$323,$A35,'ELBA BOOK'!$AP$18:$AP$323)</f>
        <v>0</v>
      </c>
      <c r="E35" s="412" t="n">
        <f aca="false">+SUMIF('ELBA BOOK'!$D$18:$D$323,$A35,'ELBA BOOK'!$J$18:$J$323)+SUMIF('ELBA BOOK'!$D$18:$D$323,$A35,'ELBA BOOK'!$AA$18:$AA$323)+SUMIF('ELBA BOOK'!$D$18:$D$323,$A35,'ELBA BOOK'!$AR$18:$AR$323)</f>
        <v>0</v>
      </c>
      <c r="F35" s="413"/>
      <c r="G35" s="362" t="n">
        <f aca="false">+SUMIF('ELBA BOOK'!$D$18:$D$323,$A35,'ELBA BOOK'!$C$18:$C$323)</f>
        <v>0</v>
      </c>
      <c r="I35" s="414" t="n">
        <v>2025</v>
      </c>
      <c r="J35" s="415" t="n">
        <f aca="false">+SUMIF('ELBA BOOK'!$D$18:$D$323,'ELBA INCOME'!$I35,'ELBA BOOK'!$M$18:$M$323)+SUMIF('ELBA BOOK'!$D$18:$D$323,'ELBA INCOME'!$I35,'ELBA BOOK'!$AD$18:$AD$323)+SUMIF('ELBA BOOK'!$D$18:$D$323,'ELBA INCOME'!$I35,'ELBA BOOK'!$AU$18:$AU$323)</f>
        <v>0</v>
      </c>
      <c r="K35" s="416" t="n">
        <f aca="false">+SUMIF('ELBA BOOK'!$D$18:$D$323,$I35,'ELBA BOOK'!$P$18:$P$323)+SUMIF('ELBA BOOK'!$D$18:$D$323,$I35,'ELBA BOOK'!$AG$18:$AG$323)+SUMIF('ELBA BOOK'!$D$18:$D$323,$I35,'ELBA BOOK'!$AX$18:$AX$323)</f>
        <v>0</v>
      </c>
      <c r="L35" s="416" t="n">
        <f aca="false">+SUMIF('ELBA BOOK'!$D$18:$D$323,$I35,'ELBA BOOK'!$O$18:$O$323)+SUMIF('ELBA BOOK'!$D$18:$D$323,$I35,'ELBA BOOK'!$AF$18:$AF$323)+SUMIF('ELBA BOOK'!$D$18:$D$323,$I35,'ELBA BOOK'!$AW$18:$AW$323)</f>
        <v>0</v>
      </c>
      <c r="M35" s="416" t="n">
        <f aca="false">+SUMIF('ELBA BOOK'!$D$18:$D$323,$I35,'ELBA BOOK'!$S$18:$S$323)+SUMIF('ELBA BOOK'!$D$18:$D$323,$I35,'ELBA BOOK'!$AJ$18:$AJ$323)+SUMIF('ELBA BOOK'!$D$18:$D$323,$I35,'ELBA BOOK'!$BA$18:$BA$323)-K35-L35</f>
        <v>0</v>
      </c>
      <c r="N35" s="417" t="n">
        <f aca="false">SUM(K35:M35)</f>
        <v>0</v>
      </c>
      <c r="O35" s="418"/>
      <c r="P35" s="419" t="n">
        <f aca="false">+J35+N35</f>
        <v>0</v>
      </c>
      <c r="Q35" s="419" t="n">
        <f aca="false">+P35*CURVECALC!L31</f>
        <v>0</v>
      </c>
    </row>
    <row r="36" customFormat="false" ht="12.75" hidden="false" customHeight="false" outlineLevel="0" collapsed="false">
      <c r="J36" s="420"/>
      <c r="N36" s="420"/>
    </row>
    <row r="37" customFormat="false" ht="12.75" hidden="false" customHeight="false" outlineLevel="0" collapsed="false">
      <c r="N37" s="420"/>
    </row>
    <row r="38" customFormat="false" ht="12.75" hidden="false" customHeight="false" outlineLevel="0" collapsed="false">
      <c r="N38" s="420"/>
    </row>
    <row r="39" customFormat="false" ht="12.75" hidden="false" customHeight="false" outlineLevel="0" collapsed="false">
      <c r="N39" s="420"/>
    </row>
    <row r="40" customFormat="false" ht="12.75" hidden="false" customHeight="false" outlineLevel="0" collapsed="false">
      <c r="N40" s="420"/>
    </row>
    <row r="41" customFormat="false" ht="12.75" hidden="false" customHeight="false" outlineLevel="0" collapsed="false">
      <c r="N41" s="420"/>
    </row>
  </sheetData>
  <mergeCells count="5">
    <mergeCell ref="A1:Q1"/>
    <mergeCell ref="A2:Q2"/>
    <mergeCell ref="A4:G4"/>
    <mergeCell ref="I4:Q4"/>
    <mergeCell ref="J6:P6"/>
  </mergeCells>
  <printOptions headings="false" gridLines="false" gridLinesSet="true" horizontalCentered="false" verticalCentered="false"/>
  <pageMargins left="0.2" right="0.229861111111111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349"/>
  <sheetViews>
    <sheetView showFormulas="false" showGridLines="fals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99"/>
    <col collapsed="false" customWidth="true" hidden="false" outlineLevel="0" max="2" min="2" style="0" width="17.28"/>
    <col collapsed="false" customWidth="true" hidden="false" outlineLevel="0" max="3" min="3" style="0" width="17.85"/>
    <col collapsed="false" customWidth="true" hidden="false" outlineLevel="0" max="4" min="4" style="0" width="16.56"/>
    <col collapsed="false" customWidth="true" hidden="false" outlineLevel="0" max="5" min="5" style="0" width="17.56"/>
    <col collapsed="false" customWidth="true" hidden="false" outlineLevel="0" max="6" min="6" style="0" width="3.99"/>
    <col collapsed="false" customWidth="true" hidden="false" outlineLevel="0" max="9" min="7" style="0" width="17.7"/>
    <col collapsed="false" customWidth="true" hidden="false" outlineLevel="0" max="10" min="10" style="0" width="19.56"/>
    <col collapsed="false" customWidth="true" hidden="false" outlineLevel="0" max="12" min="11" style="0" width="11.13"/>
    <col collapsed="false" customWidth="true" hidden="false" outlineLevel="0" max="15" min="13" style="0" width="15.28"/>
    <col collapsed="false" customWidth="true" hidden="false" outlineLevel="0" max="18" min="16" style="0" width="14.85"/>
  </cols>
  <sheetData>
    <row r="1" customFormat="false" ht="23.25" hidden="false" customHeight="false" outlineLevel="0" collapsed="false">
      <c r="A1" s="421" t="s">
        <v>128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</row>
    <row r="2" customFormat="false" ht="18" hidden="false" customHeight="false" outlineLevel="0" collapsed="false">
      <c r="A2" s="422" t="s">
        <v>129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</row>
    <row r="3" customFormat="false" ht="12.75" hidden="false" customHeight="false" outlineLevel="0" collapsed="false">
      <c r="A3" s="423" t="n">
        <f aca="true">+TODAY()</f>
        <v>45926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</row>
    <row r="4" customFormat="false" ht="12.75" hidden="false" customHeight="false" outlineLevel="0" collapsed="false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</row>
    <row r="5" customFormat="false" ht="12.75" hidden="false" customHeight="false" outlineLevel="0" collapsed="false">
      <c r="A5" s="127"/>
      <c r="B5" s="424"/>
      <c r="C5" s="425" t="s">
        <v>130</v>
      </c>
      <c r="D5" s="426" t="s">
        <v>131</v>
      </c>
      <c r="E5" s="427" t="s">
        <v>124</v>
      </c>
      <c r="F5" s="127"/>
      <c r="G5" s="193" t="s">
        <v>132</v>
      </c>
      <c r="H5" s="193" t="s">
        <v>132</v>
      </c>
      <c r="I5" s="193" t="s">
        <v>132</v>
      </c>
      <c r="J5" s="193" t="s">
        <v>133</v>
      </c>
      <c r="K5" s="127"/>
      <c r="L5" s="127"/>
      <c r="M5" s="428" t="s">
        <v>134</v>
      </c>
      <c r="N5" s="429" t="s">
        <v>135</v>
      </c>
      <c r="O5" s="429"/>
      <c r="Q5" s="127"/>
      <c r="R5" s="127"/>
      <c r="S5" s="127"/>
      <c r="T5" s="127"/>
      <c r="U5" s="127"/>
    </row>
    <row r="6" customFormat="false" ht="12.75" hidden="false" customHeight="false" outlineLevel="0" collapsed="false">
      <c r="A6" s="127"/>
      <c r="B6" s="377" t="s">
        <v>130</v>
      </c>
      <c r="C6" s="310" t="s">
        <v>136</v>
      </c>
      <c r="D6" s="430" t="s">
        <v>137</v>
      </c>
      <c r="E6" s="378" t="s">
        <v>137</v>
      </c>
      <c r="F6" s="127"/>
      <c r="G6" s="193" t="s">
        <v>130</v>
      </c>
      <c r="H6" s="193" t="s">
        <v>11</v>
      </c>
      <c r="I6" s="193" t="s">
        <v>12</v>
      </c>
      <c r="J6" s="193" t="s">
        <v>132</v>
      </c>
      <c r="K6" s="127"/>
      <c r="L6" s="127"/>
      <c r="M6" s="424" t="s">
        <v>138</v>
      </c>
      <c r="N6" s="424" t="s">
        <v>138</v>
      </c>
      <c r="O6" s="427" t="s">
        <v>138</v>
      </c>
      <c r="Q6" s="127"/>
      <c r="R6" s="127"/>
      <c r="S6" s="127"/>
      <c r="T6" s="127"/>
      <c r="U6" s="127"/>
    </row>
    <row r="7" customFormat="false" ht="12.75" hidden="false" customHeight="false" outlineLevel="0" collapsed="false">
      <c r="A7" s="193" t="s">
        <v>139</v>
      </c>
      <c r="B7" s="380" t="s">
        <v>140</v>
      </c>
      <c r="C7" s="431" t="s">
        <v>141</v>
      </c>
      <c r="D7" s="432" t="s">
        <v>142</v>
      </c>
      <c r="E7" s="381" t="s">
        <v>142</v>
      </c>
      <c r="F7" s="127"/>
      <c r="G7" s="193" t="s">
        <v>143</v>
      </c>
      <c r="H7" s="193" t="s">
        <v>143</v>
      </c>
      <c r="I7" s="193" t="s">
        <v>143</v>
      </c>
      <c r="J7" s="193" t="s">
        <v>144</v>
      </c>
      <c r="K7" s="127"/>
      <c r="L7" s="127"/>
      <c r="M7" s="377" t="s">
        <v>145</v>
      </c>
      <c r="N7" s="377" t="s">
        <v>145</v>
      </c>
      <c r="O7" s="378" t="s">
        <v>145</v>
      </c>
      <c r="Q7" s="127"/>
      <c r="R7" s="127"/>
      <c r="S7" s="127"/>
      <c r="T7" s="127"/>
      <c r="U7" s="127"/>
    </row>
    <row r="8" customFormat="false" ht="12.75" hidden="false" customHeight="false" outlineLevel="0" collapsed="false">
      <c r="A8" s="193" t="s">
        <v>133</v>
      </c>
      <c r="B8" s="433" t="n">
        <f aca="false">SUM(B9:B34)</f>
        <v>3629588818.14391</v>
      </c>
      <c r="C8" s="434" t="n">
        <f aca="false">SUM(C9:C34)</f>
        <v>-3609178518.55753</v>
      </c>
      <c r="D8" s="387" t="n">
        <f aca="false">+'ELBA INCOME'!P9</f>
        <v>20410299.5863801</v>
      </c>
      <c r="E8" s="387" t="n">
        <f aca="false">+'ELBA INCOME'!Q9</f>
        <v>20410299.5863801</v>
      </c>
      <c r="F8" s="127"/>
      <c r="G8" s="435" t="n">
        <f aca="false">SUM(G9:G34)</f>
        <v>-4108086.36895505</v>
      </c>
      <c r="H8" s="388" t="n">
        <f aca="false">SUM(H9:H34)</f>
        <v>-186007706.175223</v>
      </c>
      <c r="I8" s="388" t="n">
        <f aca="false">SUM(I9:I34)</f>
        <v>-308741995.098016</v>
      </c>
      <c r="J8" s="387" t="n">
        <f aca="false">SUM(G8:I8)</f>
        <v>-498857787.642194</v>
      </c>
      <c r="K8" s="127"/>
      <c r="L8" s="127"/>
      <c r="M8" s="130" t="s">
        <v>130</v>
      </c>
      <c r="N8" s="436" t="s">
        <v>11</v>
      </c>
      <c r="O8" s="437" t="s">
        <v>146</v>
      </c>
      <c r="P8" s="127"/>
      <c r="Q8" s="127"/>
      <c r="R8" s="127"/>
      <c r="S8" s="127"/>
      <c r="T8" s="127"/>
      <c r="U8" s="127"/>
    </row>
    <row r="9" customFormat="false" ht="12.75" hidden="false" customHeight="false" outlineLevel="0" collapsed="false">
      <c r="A9" s="43" t="n">
        <f aca="false">+'ELBA INCOME'!A10</f>
        <v>2000</v>
      </c>
      <c r="B9" s="350" t="n">
        <f aca="false">+'ELBA INCOME'!J10</f>
        <v>0</v>
      </c>
      <c r="C9" s="351" t="n">
        <f aca="false">+'ELBA INCOME'!N10</f>
        <v>0</v>
      </c>
      <c r="D9" s="438" t="n">
        <f aca="false">+'ELBA INCOME'!P10</f>
        <v>0</v>
      </c>
      <c r="E9" s="438" t="n">
        <f aca="false">+'ELBA INCOME'!Q10</f>
        <v>0</v>
      </c>
      <c r="G9" s="350" t="n">
        <f aca="false">-(SUMIF('ELBA BOOK'!$D$18:$D$323,$A9,'ELBA BOOK'!$BD$18:$BD$323)+SUMIF('ELBA BOOK'!$D$18:$D$323,$A9,'ELBA BOOK'!$R$18:$R$323)+SUMIF('ELBA BOOK'!$D$18:$D$323,$A9,'ELBA BOOK'!$AI$18:$AI$323)+SUMIF('ELBA BOOK'!$D$18:$D$323,$A9,'ELBA BOOK'!$AZ$18:$AZ$323))</f>
        <v>-0</v>
      </c>
      <c r="H9" s="351" t="n">
        <f aca="false">-((+N9/365.25)*SUMIF('ELBA BOOK'!$D$18:$D$323,$A9,H$43:H$348))</f>
        <v>-1432518.82272416</v>
      </c>
      <c r="I9" s="351" t="n">
        <f aca="false">-((+O9/365.25)*SUMIF('ELBA BOOK'!$D$18:$D$323,$A9,I$43:I$348))</f>
        <v>-0</v>
      </c>
      <c r="J9" s="406" t="n">
        <f aca="false">SUM(G9:I9)</f>
        <v>-1432518.82272416</v>
      </c>
      <c r="M9" s="329" t="n">
        <f aca="false">+'ELBA INCOME'!G10</f>
        <v>0</v>
      </c>
      <c r="N9" s="329" t="n">
        <f aca="false">+'SHIP POSITIONS'!E9</f>
        <v>365</v>
      </c>
      <c r="O9" s="393" t="n">
        <f aca="false">+'SHIP POSITIONS'!F9</f>
        <v>365</v>
      </c>
    </row>
    <row r="10" customFormat="false" ht="12.75" hidden="false" customHeight="false" outlineLevel="0" collapsed="false">
      <c r="A10" s="43" t="n">
        <f aca="false">+'ELBA INCOME'!A11</f>
        <v>2001</v>
      </c>
      <c r="B10" s="350" t="n">
        <f aca="false">+'ELBA INCOME'!J11</f>
        <v>0</v>
      </c>
      <c r="C10" s="351" t="n">
        <f aca="false">+'ELBA INCOME'!N11</f>
        <v>0</v>
      </c>
      <c r="D10" s="438" t="n">
        <f aca="false">+'ELBA INCOME'!P11</f>
        <v>0</v>
      </c>
      <c r="E10" s="438" t="n">
        <f aca="false">+'ELBA INCOME'!Q11</f>
        <v>0</v>
      </c>
      <c r="G10" s="350" t="n">
        <f aca="false">-(SUMIF('ELBA BOOK'!$D$18:$D$323,$A10,'ELBA BOOK'!$BD$18:$BD$323)+SUMIF('ELBA BOOK'!$D$18:$D$323,$A10,'ELBA BOOK'!$R$18:$R$323)+SUMIF('ELBA BOOK'!$D$18:$D$323,$A10,'ELBA BOOK'!$AI$18:$AI$323)+SUMIF('ELBA BOOK'!$D$18:$D$323,$A10,'ELBA BOOK'!$AZ$18:$AZ$323))</f>
        <v>-0</v>
      </c>
      <c r="H10" s="351" t="n">
        <f aca="false">-((+N10/365.25)*SUMIF('ELBA BOOK'!$D$18:$D$323,A10,$H$43:$H$348))</f>
        <v>-8620990.91330788</v>
      </c>
      <c r="I10" s="351" t="n">
        <f aca="false">-((+O10/365.25)*SUMIF('ELBA BOOK'!$D$18:$D$323,$A10,I$43:I$348))</f>
        <v>-0</v>
      </c>
      <c r="J10" s="406" t="n">
        <f aca="false">SUM(G10:I10)</f>
        <v>-8620990.91330788</v>
      </c>
      <c r="M10" s="347" t="n">
        <f aca="false">+'ELBA INCOME'!G11</f>
        <v>0</v>
      </c>
      <c r="N10" s="347" t="n">
        <f aca="false">+'SHIP POSITIONS'!E10</f>
        <v>365</v>
      </c>
      <c r="O10" s="439" t="n">
        <f aca="false">+'SHIP POSITIONS'!F10</f>
        <v>365</v>
      </c>
    </row>
    <row r="11" customFormat="false" ht="12.75" hidden="false" customHeight="false" outlineLevel="0" collapsed="false">
      <c r="A11" s="43" t="n">
        <f aca="false">+'ELBA INCOME'!A12</f>
        <v>2002</v>
      </c>
      <c r="B11" s="350" t="n">
        <f aca="false">+'ELBA INCOME'!J12</f>
        <v>78553330.6090047</v>
      </c>
      <c r="C11" s="351" t="n">
        <f aca="false">+'ELBA INCOME'!N12</f>
        <v>-78072191.3606097</v>
      </c>
      <c r="D11" s="438" t="n">
        <f aca="false">+'ELBA INCOME'!P12</f>
        <v>481139.248395011</v>
      </c>
      <c r="E11" s="438" t="n">
        <f aca="false">+'ELBA INCOME'!Q12</f>
        <v>481139.248395011</v>
      </c>
      <c r="G11" s="350" t="n">
        <f aca="false">-(SUMIF('ELBA BOOK'!$D$18:$D$323,$A11,'ELBA BOOK'!$BD$18:$BD$323)+SUMIF('ELBA BOOK'!$D$18:$D$323,$A11,'ELBA BOOK'!$R$18:$R$323)+SUMIF('ELBA BOOK'!$D$18:$D$323,$A11,'ELBA BOOK'!$AI$18:$AI$323)+SUMIF('ELBA BOOK'!$D$18:$D$323,$A11,'ELBA BOOK'!$AZ$18:$AZ$323))</f>
        <v>-4108086.36895505</v>
      </c>
      <c r="H11" s="351" t="n">
        <f aca="false">-((+N11/365.25)*SUMIF('ELBA BOOK'!$D$18:$D$323,A11,$H$43:$H$348))</f>
        <v>-2157645.27807441</v>
      </c>
      <c r="I11" s="351" t="n">
        <f aca="false">-((+O11/365.25)*SUMIF('ELBA BOOK'!$D$18:$D$323,$A11,I$43:I$348))</f>
        <v>-0</v>
      </c>
      <c r="J11" s="406" t="n">
        <f aca="false">SUM(G11:I11)</f>
        <v>-6265731.64702946</v>
      </c>
      <c r="M11" s="347" t="n">
        <f aca="false">+'ELBA INCOME'!G12</f>
        <v>22689229.3257451</v>
      </c>
      <c r="N11" s="347" t="n">
        <f aca="false">+'SHIP POSITIONS'!E11</f>
        <v>90</v>
      </c>
      <c r="O11" s="439" t="n">
        <f aca="false">+'SHIP POSITIONS'!F11</f>
        <v>365</v>
      </c>
    </row>
    <row r="12" customFormat="false" ht="12.75" hidden="false" customHeight="false" outlineLevel="0" collapsed="false">
      <c r="A12" s="43" t="n">
        <f aca="false">+'ELBA INCOME'!A13</f>
        <v>2003</v>
      </c>
      <c r="B12" s="350" t="n">
        <f aca="false">+'ELBA INCOME'!J13</f>
        <v>195196621.040769</v>
      </c>
      <c r="C12" s="351" t="n">
        <f aca="false">+'ELBA INCOME'!N13</f>
        <v>-193970779.53026</v>
      </c>
      <c r="D12" s="438" t="n">
        <f aca="false">+'ELBA INCOME'!P13</f>
        <v>1225841.5105097</v>
      </c>
      <c r="E12" s="438" t="n">
        <f aca="false">+'ELBA INCOME'!Q13</f>
        <v>1225841.5105097</v>
      </c>
      <c r="G12" s="350" t="n">
        <f aca="false">-(SUMIF('ELBA BOOK'!$D$18:$D$323,$A12,'ELBA BOOK'!$BD$18:$BD$323)+SUMIF('ELBA BOOK'!$D$18:$D$323,$A12,'ELBA BOOK'!$R$18:$R$323)+SUMIF('ELBA BOOK'!$D$18:$D$323,$A12,'ELBA BOOK'!$AI$18:$AI$323)+SUMIF('ELBA BOOK'!$D$18:$D$323,$A12,'ELBA BOOK'!$AZ$18:$AZ$323))</f>
        <v>-0</v>
      </c>
      <c r="H12" s="351" t="n">
        <f aca="false">-((+N12/365.25)*SUMIF('ELBA BOOK'!$D$18:$D$323,A12,$H$43:$H$348))</f>
        <v>-0</v>
      </c>
      <c r="I12" s="351" t="n">
        <f aca="false">-((+O12/365.25)*SUMIF('ELBA BOOK'!$D$18:$D$323,$A12,I$43:I$348))</f>
        <v>-10349151.1538763</v>
      </c>
      <c r="J12" s="406" t="n">
        <f aca="false">SUM(G12:I12)</f>
        <v>-10349151.1538763</v>
      </c>
      <c r="M12" s="347" t="n">
        <f aca="false">+'ELBA INCOME'!G13</f>
        <v>0</v>
      </c>
      <c r="N12" s="347" t="n">
        <f aca="false">+'SHIP POSITIONS'!E12</f>
        <v>0</v>
      </c>
      <c r="O12" s="439" t="n">
        <f aca="false">+'SHIP POSITIONS'!F12</f>
        <v>165</v>
      </c>
    </row>
    <row r="13" customFormat="false" ht="12.75" hidden="false" customHeight="false" outlineLevel="0" collapsed="false">
      <c r="A13" s="43" t="n">
        <f aca="false">+'ELBA INCOME'!A14</f>
        <v>2004</v>
      </c>
      <c r="B13" s="350" t="n">
        <f aca="false">+'ELBA INCOME'!J14</f>
        <v>194220481.766716</v>
      </c>
      <c r="C13" s="351" t="n">
        <f aca="false">+'ELBA INCOME'!N14</f>
        <v>-192991281.786314</v>
      </c>
      <c r="D13" s="438" t="n">
        <f aca="false">+'ELBA INCOME'!P14</f>
        <v>1229199.98040152</v>
      </c>
      <c r="E13" s="438" t="n">
        <f aca="false">+'ELBA INCOME'!Q14</f>
        <v>1229199.98040152</v>
      </c>
      <c r="G13" s="350" t="n">
        <f aca="false">-(SUMIF('ELBA BOOK'!$D$18:$D$323,$A13,'ELBA BOOK'!$BD$18:$BD$323)+SUMIF('ELBA BOOK'!$D$18:$D$323,$A13,'ELBA BOOK'!$R$18:$R$323)+SUMIF('ELBA BOOK'!$D$18:$D$323,$A13,'ELBA BOOK'!$AI$18:$AI$323)+SUMIF('ELBA BOOK'!$D$18:$D$323,$A13,'ELBA BOOK'!$AZ$18:$AZ$323))</f>
        <v>-0</v>
      </c>
      <c r="H13" s="351" t="n">
        <f aca="false">-((+N13/365.25)*SUMIF('ELBA BOOK'!$D$18:$D$323,A13,$H$43:$H$348))</f>
        <v>-11423089.6851043</v>
      </c>
      <c r="I13" s="351" t="n">
        <f aca="false">-((+O13/365.25)*SUMIF('ELBA BOOK'!$D$18:$D$323,$A13,I$43:I$348))</f>
        <v>-8022624.81763864</v>
      </c>
      <c r="J13" s="406" t="n">
        <f aca="false">SUM(G13:I13)</f>
        <v>-19445714.5027429</v>
      </c>
      <c r="M13" s="347" t="n">
        <f aca="false">+'ELBA INCOME'!G14</f>
        <v>0</v>
      </c>
      <c r="N13" s="347" t="n">
        <f aca="false">+'SHIP POSITIONS'!E13</f>
        <v>365</v>
      </c>
      <c r="O13" s="439" t="n">
        <f aca="false">+'SHIP POSITIONS'!F13</f>
        <v>127</v>
      </c>
    </row>
    <row r="14" customFormat="false" ht="12.75" hidden="false" customHeight="false" outlineLevel="0" collapsed="false">
      <c r="A14" s="43" t="n">
        <f aca="false">+'ELBA INCOME'!A15</f>
        <v>2005</v>
      </c>
      <c r="B14" s="350" t="n">
        <f aca="false">+'ELBA INCOME'!J15</f>
        <v>194279254.989822</v>
      </c>
      <c r="C14" s="351" t="n">
        <f aca="false">+'ELBA INCOME'!N15</f>
        <v>-193053413.479312</v>
      </c>
      <c r="D14" s="438" t="n">
        <f aca="false">+'ELBA INCOME'!P15</f>
        <v>1225841.5105097</v>
      </c>
      <c r="E14" s="438" t="n">
        <f aca="false">+'ELBA INCOME'!Q15</f>
        <v>1225841.5105097</v>
      </c>
      <c r="G14" s="350" t="n">
        <f aca="false">-(SUMIF('ELBA BOOK'!$D$18:$D$323,$A14,'ELBA BOOK'!$BD$18:$BD$323)+SUMIF('ELBA BOOK'!$D$18:$D$323,$A14,'ELBA BOOK'!$R$18:$R$323)+SUMIF('ELBA BOOK'!$D$18:$D$323,$A14,'ELBA BOOK'!$AI$18:$AI$323)+SUMIF('ELBA BOOK'!$D$18:$D$323,$A14,'ELBA BOOK'!$AZ$18:$AZ$323))</f>
        <v>-0</v>
      </c>
      <c r="H14" s="351" t="n">
        <f aca="false">-((+N14/365.25)*SUMIF('ELBA BOOK'!$D$18:$D$323,A14,$H$43:$H$348))</f>
        <v>-11532524.9117773</v>
      </c>
      <c r="I14" s="351" t="n">
        <f aca="false">-((+O14/365.25)*SUMIF('ELBA BOOK'!$D$18:$D$323,$A14,I$43:I$348))</f>
        <v>-8099939.49818455</v>
      </c>
      <c r="J14" s="406" t="n">
        <f aca="false">SUM(G14:I14)</f>
        <v>-19632464.4099619</v>
      </c>
      <c r="M14" s="347" t="n">
        <f aca="false">+'ELBA INCOME'!G15</f>
        <v>0</v>
      </c>
      <c r="N14" s="347" t="n">
        <f aca="false">+'SHIP POSITIONS'!E14</f>
        <v>365</v>
      </c>
      <c r="O14" s="439" t="n">
        <f aca="false">+'SHIP POSITIONS'!F14</f>
        <v>128</v>
      </c>
    </row>
    <row r="15" customFormat="false" ht="12.75" hidden="false" customHeight="false" outlineLevel="0" collapsed="false">
      <c r="A15" s="43" t="n">
        <f aca="false">+'ELBA INCOME'!A16</f>
        <v>2006</v>
      </c>
      <c r="B15" s="350" t="n">
        <f aca="false">+'ELBA INCOME'!J16</f>
        <v>195812564.418927</v>
      </c>
      <c r="C15" s="351" t="n">
        <f aca="false">+'ELBA INCOME'!N16</f>
        <v>-194586722.908417</v>
      </c>
      <c r="D15" s="438" t="n">
        <f aca="false">+'ELBA INCOME'!P16</f>
        <v>1225841.51050973</v>
      </c>
      <c r="E15" s="438" t="n">
        <f aca="false">+'ELBA INCOME'!Q16</f>
        <v>1225841.51050973</v>
      </c>
      <c r="G15" s="350" t="n">
        <f aca="false">-(SUMIF('ELBA BOOK'!$D$18:$D$323,$A15,'ELBA BOOK'!$BD$18:$BD$323)+SUMIF('ELBA BOOK'!$D$18:$D$323,$A15,'ELBA BOOK'!$R$18:$R$323)+SUMIF('ELBA BOOK'!$D$18:$D$323,$A15,'ELBA BOOK'!$AI$18:$AI$323)+SUMIF('ELBA BOOK'!$D$18:$D$323,$A15,'ELBA BOOK'!$AZ$18:$AZ$323))</f>
        <v>-0</v>
      </c>
      <c r="H15" s="351" t="n">
        <f aca="false">-((+N15/365.25)*SUMIF('ELBA BOOK'!$D$18:$D$323,A15,$H$43:$H$348))</f>
        <v>-11676581.167727</v>
      </c>
      <c r="I15" s="351" t="n">
        <f aca="false">-((+O15/365.25)*SUMIF('ELBA BOOK'!$D$18:$D$323,$A15,I$43:I$348))</f>
        <v>-8137054.91485241</v>
      </c>
      <c r="J15" s="406" t="n">
        <f aca="false">SUM(G15:I15)</f>
        <v>-19813636.0825794</v>
      </c>
      <c r="M15" s="347" t="n">
        <f aca="false">+'ELBA INCOME'!G16</f>
        <v>0</v>
      </c>
      <c r="N15" s="347" t="n">
        <f aca="false">+'SHIP POSITIONS'!E15</f>
        <v>365</v>
      </c>
      <c r="O15" s="439" t="n">
        <f aca="false">+'SHIP POSITIONS'!F15</f>
        <v>128</v>
      </c>
    </row>
    <row r="16" customFormat="false" ht="12.75" hidden="false" customHeight="false" outlineLevel="0" collapsed="false">
      <c r="A16" s="43" t="n">
        <f aca="false">+'ELBA INCOME'!A17</f>
        <v>2007</v>
      </c>
      <c r="B16" s="350" t="n">
        <f aca="false">+'ELBA INCOME'!J17</f>
        <v>198265254.980914</v>
      </c>
      <c r="C16" s="351" t="n">
        <f aca="false">+'ELBA INCOME'!N17</f>
        <v>-197039413.470404</v>
      </c>
      <c r="D16" s="438" t="n">
        <f aca="false">+'ELBA INCOME'!P17</f>
        <v>1225841.5105097</v>
      </c>
      <c r="E16" s="438" t="n">
        <f aca="false">+'ELBA INCOME'!Q17</f>
        <v>1225841.5105097</v>
      </c>
      <c r="G16" s="350" t="n">
        <f aca="false">-(SUMIF('ELBA BOOK'!$D$18:$D$323,$A16,'ELBA BOOK'!$BD$18:$BD$323)+SUMIF('ELBA BOOK'!$D$18:$D$323,$A16,'ELBA BOOK'!$R$18:$R$323)+SUMIF('ELBA BOOK'!$D$18:$D$323,$A16,'ELBA BOOK'!$AI$18:$AI$323)+SUMIF('ELBA BOOK'!$D$18:$D$323,$A16,'ELBA BOOK'!$AZ$18:$AZ$323))</f>
        <v>-0</v>
      </c>
      <c r="H16" s="351" t="n">
        <f aca="false">-((+N16/365.25)*SUMIF('ELBA BOOK'!$D$18:$D$323,A16,$H$43:$H$348))</f>
        <v>-11824280.3841085</v>
      </c>
      <c r="I16" s="351" t="n">
        <f aca="false">-((+O16/365.25)*SUMIF('ELBA BOOK'!$D$18:$D$323,$A16,I$43:I$348))</f>
        <v>-8175108.92313809</v>
      </c>
      <c r="J16" s="406" t="n">
        <f aca="false">SUM(G16:I16)</f>
        <v>-19999389.3072466</v>
      </c>
      <c r="M16" s="347" t="n">
        <f aca="false">+'ELBA INCOME'!G17</f>
        <v>0</v>
      </c>
      <c r="N16" s="347" t="n">
        <f aca="false">+'SHIP POSITIONS'!E16</f>
        <v>365</v>
      </c>
      <c r="O16" s="439" t="n">
        <f aca="false">+'SHIP POSITIONS'!F16</f>
        <v>128</v>
      </c>
    </row>
    <row r="17" customFormat="false" ht="12.75" hidden="false" customHeight="false" outlineLevel="0" collapsed="false">
      <c r="A17" s="43" t="n">
        <f aca="false">+'ELBA INCOME'!A18</f>
        <v>2008</v>
      </c>
      <c r="B17" s="350" t="n">
        <f aca="false">+'ELBA INCOME'!J18</f>
        <v>201904325.032182</v>
      </c>
      <c r="C17" s="351" t="n">
        <f aca="false">+'ELBA INCOME'!N18</f>
        <v>-200675125.05178</v>
      </c>
      <c r="D17" s="438" t="n">
        <f aca="false">+'ELBA INCOME'!P18</f>
        <v>1229199.98040152</v>
      </c>
      <c r="E17" s="438" t="n">
        <f aca="false">+'ELBA INCOME'!Q18</f>
        <v>1229199.98040152</v>
      </c>
      <c r="G17" s="350" t="n">
        <f aca="false">-(SUMIF('ELBA BOOK'!$D$18:$D$323,$A17,'ELBA BOOK'!$BD$18:$BD$323)+SUMIF('ELBA BOOK'!$D$18:$D$323,$A17,'ELBA BOOK'!$R$18:$R$323)+SUMIF('ELBA BOOK'!$D$18:$D$323,$A17,'ELBA BOOK'!$AI$18:$AI$323)+SUMIF('ELBA BOOK'!$D$18:$D$323,$A17,'ELBA BOOK'!$AZ$18:$AZ$323))</f>
        <v>-0</v>
      </c>
      <c r="H17" s="351" t="n">
        <f aca="false">-((+N17/365.25)*SUMIF('ELBA BOOK'!$D$18:$D$323,A17,$H$43:$H$348))</f>
        <v>-12008366.7327193</v>
      </c>
      <c r="I17" s="351" t="n">
        <f aca="false">-((+O17/365.25)*SUMIF('ELBA BOOK'!$D$18:$D$323,$A17,I$43:I$348))</f>
        <v>-8172240.6184912</v>
      </c>
      <c r="J17" s="406" t="n">
        <f aca="false">SUM(G17:I17)</f>
        <v>-20180607.3512105</v>
      </c>
      <c r="M17" s="347" t="n">
        <f aca="false">+'ELBA INCOME'!G18</f>
        <v>0</v>
      </c>
      <c r="N17" s="347" t="n">
        <f aca="false">+'SHIP POSITIONS'!E17</f>
        <v>365</v>
      </c>
      <c r="O17" s="439" t="n">
        <f aca="false">+'SHIP POSITIONS'!F17</f>
        <v>127</v>
      </c>
    </row>
    <row r="18" customFormat="false" ht="12.75" hidden="false" customHeight="false" outlineLevel="0" collapsed="false">
      <c r="A18" s="43" t="n">
        <f aca="false">+'ELBA INCOME'!A19</f>
        <v>2009</v>
      </c>
      <c r="B18" s="350" t="n">
        <f aca="false">+'ELBA INCOME'!J19</f>
        <v>205009398.370652</v>
      </c>
      <c r="C18" s="351" t="n">
        <f aca="false">+'ELBA INCOME'!N19</f>
        <v>-203783556.860142</v>
      </c>
      <c r="D18" s="438" t="n">
        <f aca="false">+'ELBA INCOME'!P19</f>
        <v>1225841.5105097</v>
      </c>
      <c r="E18" s="438" t="n">
        <f aca="false">+'ELBA INCOME'!Q19</f>
        <v>1225841.5105097</v>
      </c>
      <c r="G18" s="350" t="n">
        <f aca="false">-(SUMIF('ELBA BOOK'!$D$18:$D$323,$A18,'ELBA BOOK'!$BD$18:$BD$323)+SUMIF('ELBA BOOK'!$D$18:$D$323,$A18,'ELBA BOOK'!$R$18:$R$323)+SUMIF('ELBA BOOK'!$D$18:$D$323,$A18,'ELBA BOOK'!$AI$18:$AI$323)+SUMIF('ELBA BOOK'!$D$18:$D$323,$A18,'ELBA BOOK'!$AZ$18:$AZ$323))</f>
        <v>-0</v>
      </c>
      <c r="H18" s="351" t="n">
        <f aca="false">-((+N18/365.25)*SUMIF('ELBA BOOK'!$D$18:$D$323,A18,$H$43:$H$348))</f>
        <v>-12130978.5272546</v>
      </c>
      <c r="I18" s="351" t="n">
        <f aca="false">-((+O18/365.25)*SUMIF('ELBA BOOK'!$D$18:$D$323,$A18,I$43:I$348))</f>
        <v>-8254128.25693295</v>
      </c>
      <c r="J18" s="406" t="n">
        <f aca="false">SUM(G18:I18)</f>
        <v>-20385106.7841876</v>
      </c>
      <c r="M18" s="347" t="n">
        <f aca="false">+'ELBA INCOME'!G19</f>
        <v>0</v>
      </c>
      <c r="N18" s="347" t="n">
        <f aca="false">+'SHIP POSITIONS'!E18</f>
        <v>365</v>
      </c>
      <c r="O18" s="439" t="n">
        <f aca="false">+'SHIP POSITIONS'!F18</f>
        <v>128</v>
      </c>
    </row>
    <row r="19" customFormat="false" ht="12.75" hidden="false" customHeight="false" outlineLevel="0" collapsed="false">
      <c r="A19" s="43" t="n">
        <f aca="false">+'ELBA INCOME'!A20</f>
        <v>2010</v>
      </c>
      <c r="B19" s="350" t="n">
        <f aca="false">+'ELBA INCOME'!J20</f>
        <v>209300851.198404</v>
      </c>
      <c r="C19" s="351" t="n">
        <f aca="false">+'ELBA INCOME'!N20</f>
        <v>-208075009.687894</v>
      </c>
      <c r="D19" s="438" t="n">
        <f aca="false">+'ELBA INCOME'!P20</f>
        <v>1225841.5105097</v>
      </c>
      <c r="E19" s="438" t="n">
        <f aca="false">+'ELBA INCOME'!Q20</f>
        <v>1225841.5105097</v>
      </c>
      <c r="G19" s="350" t="n">
        <f aca="false">-(SUMIF('ELBA BOOK'!$D$18:$D$323,$A19,'ELBA BOOK'!$BD$18:$BD$323)+SUMIF('ELBA BOOK'!$D$18:$D$323,$A19,'ELBA BOOK'!$R$18:$R$323)+SUMIF('ELBA BOOK'!$D$18:$D$323,$A19,'ELBA BOOK'!$AI$18:$AI$323)+SUMIF('ELBA BOOK'!$D$18:$D$323,$A19,'ELBA BOOK'!$AZ$18:$AZ$323))</f>
        <v>-0</v>
      </c>
      <c r="H19" s="351" t="n">
        <f aca="false">-((+N19/365.25)*SUMIF('ELBA BOOK'!$D$18:$D$323,A19,$H$43:$H$348))</f>
        <v>-12290168.7517158</v>
      </c>
      <c r="I19" s="351" t="n">
        <f aca="false">-((+O19/365.25)*SUMIF('ELBA BOOK'!$D$18:$D$323,$A19,I$43:I$348))</f>
        <v>-8295142.86939372</v>
      </c>
      <c r="J19" s="406" t="n">
        <f aca="false">SUM(G19:I19)</f>
        <v>-20585311.6211095</v>
      </c>
      <c r="M19" s="347" t="n">
        <f aca="false">+'ELBA INCOME'!G20</f>
        <v>0</v>
      </c>
      <c r="N19" s="347" t="n">
        <f aca="false">+'SHIP POSITIONS'!E19</f>
        <v>365</v>
      </c>
      <c r="O19" s="439" t="n">
        <f aca="false">+'SHIP POSITIONS'!F19</f>
        <v>128</v>
      </c>
    </row>
    <row r="20" customFormat="false" ht="12.75" hidden="false" customHeight="false" outlineLevel="0" collapsed="false">
      <c r="A20" s="43" t="n">
        <f aca="false">+'ELBA INCOME'!A21</f>
        <v>2011</v>
      </c>
      <c r="B20" s="350" t="n">
        <f aca="false">+'ELBA INCOME'!J21</f>
        <v>214205224.78141</v>
      </c>
      <c r="C20" s="351" t="n">
        <f aca="false">+'ELBA INCOME'!N21</f>
        <v>-212979383.2709</v>
      </c>
      <c r="D20" s="438" t="n">
        <f aca="false">+'ELBA INCOME'!P21</f>
        <v>1225841.5105097</v>
      </c>
      <c r="E20" s="438" t="n">
        <f aca="false">+'ELBA INCOME'!Q21</f>
        <v>1225841.5105097</v>
      </c>
      <c r="G20" s="350" t="n">
        <f aca="false">-(SUMIF('ELBA BOOK'!$D$18:$D$323,$A20,'ELBA BOOK'!$BD$18:$BD$323)+SUMIF('ELBA BOOK'!$D$18:$D$323,$A20,'ELBA BOOK'!$R$18:$R$323)+SUMIF('ELBA BOOK'!$D$18:$D$323,$A20,'ELBA BOOK'!$AI$18:$AI$323)+SUMIF('ELBA BOOK'!$D$18:$D$323,$A20,'ELBA BOOK'!$AZ$18:$AZ$323))</f>
        <v>-0</v>
      </c>
      <c r="H20" s="351" t="n">
        <f aca="false">-((+N20/365.25)*SUMIF('ELBA BOOK'!$D$18:$D$323,A20,$H$43:$H$348))</f>
        <v>-12453384.6513205</v>
      </c>
      <c r="I20" s="351" t="n">
        <f aca="false">-((+O20/365.25)*SUMIF('ELBA BOOK'!$D$18:$D$323,$A20,I$43:I$348))</f>
        <v>-8337194.6781174</v>
      </c>
      <c r="J20" s="406" t="n">
        <f aca="false">SUM(G20:I20)</f>
        <v>-20790579.3294378</v>
      </c>
      <c r="M20" s="347" t="n">
        <f aca="false">+'ELBA INCOME'!G21</f>
        <v>0</v>
      </c>
      <c r="N20" s="347" t="n">
        <f aca="false">+'SHIP POSITIONS'!E20</f>
        <v>365</v>
      </c>
      <c r="O20" s="439" t="n">
        <f aca="false">+'SHIP POSITIONS'!F20</f>
        <v>128</v>
      </c>
    </row>
    <row r="21" customFormat="false" ht="12.75" hidden="false" customHeight="false" outlineLevel="0" collapsed="false">
      <c r="A21" s="43" t="n">
        <f aca="false">+'ELBA INCOME'!A22</f>
        <v>2012</v>
      </c>
      <c r="B21" s="350" t="n">
        <f aca="false">+'ELBA INCOME'!J22</f>
        <v>220343668.126161</v>
      </c>
      <c r="C21" s="351" t="n">
        <f aca="false">+'ELBA INCOME'!N22</f>
        <v>-219114468.145759</v>
      </c>
      <c r="D21" s="438" t="n">
        <f aca="false">+'ELBA INCOME'!P22</f>
        <v>1229199.98040155</v>
      </c>
      <c r="E21" s="438" t="n">
        <f aca="false">+'ELBA INCOME'!Q22</f>
        <v>1229199.98040155</v>
      </c>
      <c r="G21" s="350" t="n">
        <f aca="false">-(SUMIF('ELBA BOOK'!$D$18:$D$323,$A21,'ELBA BOOK'!$BD$18:$BD$323)+SUMIF('ELBA BOOK'!$D$18:$D$323,$A21,'ELBA BOOK'!$R$18:$R$323)+SUMIF('ELBA BOOK'!$D$18:$D$323,$A21,'ELBA BOOK'!$AI$18:$AI$323)+SUMIF('ELBA BOOK'!$D$18:$D$323,$A21,'ELBA BOOK'!$AZ$18:$AZ$323))</f>
        <v>-0</v>
      </c>
      <c r="H21" s="351" t="n">
        <f aca="false">-((+N21/365.25)*SUMIF('ELBA BOOK'!$D$18:$D$323,A21,$H$43:$H$348))</f>
        <v>-12655130.6234478</v>
      </c>
      <c r="I21" s="351" t="n">
        <f aca="false">-((+O21/365.25)*SUMIF('ELBA BOOK'!$D$18:$D$323,$A21,I$43:I$348))</f>
        <v>-8337574.45119178</v>
      </c>
      <c r="J21" s="406" t="n">
        <f aca="false">SUM(G21:I21)</f>
        <v>-20992705.0746396</v>
      </c>
      <c r="M21" s="347" t="n">
        <f aca="false">+'ELBA INCOME'!G22</f>
        <v>0</v>
      </c>
      <c r="N21" s="347" t="n">
        <f aca="false">+'SHIP POSITIONS'!E21</f>
        <v>365</v>
      </c>
      <c r="O21" s="439" t="n">
        <f aca="false">+'SHIP POSITIONS'!F21</f>
        <v>127</v>
      </c>
    </row>
    <row r="22" customFormat="false" ht="12.75" hidden="false" customHeight="false" outlineLevel="0" collapsed="false">
      <c r="A22" s="43" t="n">
        <f aca="false">+'ELBA INCOME'!A23</f>
        <v>2013</v>
      </c>
      <c r="B22" s="350" t="n">
        <f aca="false">+'ELBA INCOME'!J23</f>
        <v>225546273.83556</v>
      </c>
      <c r="C22" s="351" t="n">
        <f aca="false">+'ELBA INCOME'!N23</f>
        <v>-224320432.32505</v>
      </c>
      <c r="D22" s="438" t="n">
        <f aca="false">+'ELBA INCOME'!P23</f>
        <v>1225841.51050967</v>
      </c>
      <c r="E22" s="438" t="n">
        <f aca="false">+'ELBA INCOME'!Q23</f>
        <v>1225841.51050967</v>
      </c>
      <c r="G22" s="350" t="n">
        <f aca="false">-(SUMIF('ELBA BOOK'!$D$18:$D$323,$A22,'ELBA BOOK'!$BD$18:$BD$323)+SUMIF('ELBA BOOK'!$D$18:$D$323,$A22,'ELBA BOOK'!$R$18:$R$323)+SUMIF('ELBA BOOK'!$D$18:$D$323,$A22,'ELBA BOOK'!$AI$18:$AI$323)+SUMIF('ELBA BOOK'!$D$18:$D$323,$A22,'ELBA BOOK'!$AZ$18:$AZ$323))</f>
        <v>-0</v>
      </c>
      <c r="H22" s="351" t="n">
        <f aca="false">-((+N22/365.25)*SUMIF('ELBA BOOK'!$D$18:$D$323,A22,$H$43:$H$348))</f>
        <v>-12792303.2628545</v>
      </c>
      <c r="I22" s="351" t="n">
        <f aca="false">-((+O22/365.25)*SUMIF('ELBA BOOK'!$D$18:$D$323,$A22,I$43:I$348))</f>
        <v>-8424515.46401905</v>
      </c>
      <c r="J22" s="406" t="n">
        <f aca="false">SUM(G22:I22)</f>
        <v>-21216818.7268735</v>
      </c>
      <c r="M22" s="347" t="n">
        <f aca="false">+'ELBA INCOME'!G23</f>
        <v>0</v>
      </c>
      <c r="N22" s="347" t="n">
        <f aca="false">+'SHIP POSITIONS'!E22</f>
        <v>365</v>
      </c>
      <c r="O22" s="439" t="n">
        <f aca="false">+'SHIP POSITIONS'!F22</f>
        <v>128</v>
      </c>
    </row>
    <row r="23" customFormat="false" ht="12.75" hidden="false" customHeight="false" outlineLevel="0" collapsed="false">
      <c r="A23" s="43" t="n">
        <f aca="false">+'ELBA INCOME'!A24</f>
        <v>2014</v>
      </c>
      <c r="B23" s="350" t="n">
        <f aca="false">+'ELBA INCOME'!J24</f>
        <v>231982949.306703</v>
      </c>
      <c r="C23" s="351" t="n">
        <f aca="false">+'ELBA INCOME'!N24</f>
        <v>-230757107.796193</v>
      </c>
      <c r="D23" s="438" t="n">
        <f aca="false">+'ELBA INCOME'!P24</f>
        <v>1225841.5105097</v>
      </c>
      <c r="E23" s="438" t="n">
        <f aca="false">+'ELBA INCOME'!Q24</f>
        <v>1225841.5105097</v>
      </c>
      <c r="G23" s="350" t="n">
        <f aca="false">-(SUMIF('ELBA BOOK'!$D$18:$D$323,$A23,'ELBA BOOK'!$BD$18:$BD$323)+SUMIF('ELBA BOOK'!$D$18:$D$323,$A23,'ELBA BOOK'!$R$18:$R$323)+SUMIF('ELBA BOOK'!$D$18:$D$323,$A23,'ELBA BOOK'!$AI$18:$AI$323)+SUMIF('ELBA BOOK'!$D$18:$D$323,$A23,'ELBA BOOK'!$AZ$18:$AZ$323))</f>
        <v>-0</v>
      </c>
      <c r="H23" s="351" t="n">
        <f aca="false">-((+N23/365.25)*SUMIF('ELBA BOOK'!$D$18:$D$323,A23,$H$43:$H$348))</f>
        <v>-12968217.3694439</v>
      </c>
      <c r="I23" s="351" t="n">
        <f aca="false">-((+O23/365.25)*SUMIF('ELBA BOOK'!$D$18:$D$323,$A23,I$43:I$348))</f>
        <v>-8469838.90603672</v>
      </c>
      <c r="J23" s="406" t="n">
        <f aca="false">SUM(G23:I23)</f>
        <v>-21438056.2754806</v>
      </c>
      <c r="M23" s="347" t="n">
        <f aca="false">+'ELBA INCOME'!G24</f>
        <v>0</v>
      </c>
      <c r="N23" s="347" t="n">
        <f aca="false">+'SHIP POSITIONS'!E23</f>
        <v>365</v>
      </c>
      <c r="O23" s="439" t="n">
        <f aca="false">+'SHIP POSITIONS'!F23</f>
        <v>128</v>
      </c>
    </row>
    <row r="24" customFormat="false" ht="12.75" hidden="false" customHeight="false" outlineLevel="0" collapsed="false">
      <c r="A24" s="43" t="n">
        <f aca="false">+'ELBA INCOME'!A25</f>
        <v>2015</v>
      </c>
      <c r="B24" s="350" t="n">
        <f aca="false">+'ELBA INCOME'!J25</f>
        <v>238726085.155474</v>
      </c>
      <c r="C24" s="351" t="n">
        <f aca="false">+'ELBA INCOME'!N25</f>
        <v>-237500243.644964</v>
      </c>
      <c r="D24" s="438" t="n">
        <f aca="false">+'ELBA INCOME'!P25</f>
        <v>1225841.5105097</v>
      </c>
      <c r="E24" s="438" t="n">
        <f aca="false">+'ELBA INCOME'!Q25</f>
        <v>1225841.5105097</v>
      </c>
      <c r="G24" s="350" t="n">
        <f aca="false">-(SUMIF('ELBA BOOK'!$D$18:$D$323,$A24,'ELBA BOOK'!$BD$18:$BD$323)+SUMIF('ELBA BOOK'!$D$18:$D$323,$A24,'ELBA BOOK'!$R$18:$R$323)+SUMIF('ELBA BOOK'!$D$18:$D$323,$A24,'ELBA BOOK'!$AI$18:$AI$323)+SUMIF('ELBA BOOK'!$D$18:$D$323,$A24,'ELBA BOOK'!$AZ$18:$AZ$323))</f>
        <v>-0</v>
      </c>
      <c r="H24" s="351" t="n">
        <f aca="false">-((+N24/365.25)*SUMIF('ELBA BOOK'!$D$18:$D$323,A24,$H$43:$H$348))</f>
        <v>-13148580.0723505</v>
      </c>
      <c r="I24" s="351" t="n">
        <f aca="false">-((+O24/365.25)*SUMIF('ELBA BOOK'!$D$18:$D$323,$A24,I$43:I$348))</f>
        <v>-8516308.50796819</v>
      </c>
      <c r="J24" s="406" t="n">
        <f aca="false">SUM(G24:I24)</f>
        <v>-21664888.5803187</v>
      </c>
      <c r="M24" s="347" t="n">
        <f aca="false">+'ELBA INCOME'!G25</f>
        <v>0</v>
      </c>
      <c r="N24" s="347" t="n">
        <f aca="false">+'SHIP POSITIONS'!E24</f>
        <v>365</v>
      </c>
      <c r="O24" s="439" t="n">
        <f aca="false">+'SHIP POSITIONS'!F24</f>
        <v>128</v>
      </c>
    </row>
    <row r="25" customFormat="false" ht="12.75" hidden="false" customHeight="false" outlineLevel="0" collapsed="false">
      <c r="A25" s="43" t="n">
        <f aca="false">+'ELBA INCOME'!A26</f>
        <v>2016</v>
      </c>
      <c r="B25" s="350" t="n">
        <f aca="false">+'ELBA INCOME'!J26</f>
        <v>246208588.150926</v>
      </c>
      <c r="C25" s="351" t="n">
        <f aca="false">+'ELBA INCOME'!N26</f>
        <v>-244979388.170525</v>
      </c>
      <c r="D25" s="438" t="n">
        <f aca="false">+'ELBA INCOME'!P26</f>
        <v>1229199.98040149</v>
      </c>
      <c r="E25" s="438" t="n">
        <f aca="false">+'ELBA INCOME'!Q26</f>
        <v>1229199.98040149</v>
      </c>
      <c r="G25" s="350" t="n">
        <f aca="false">-(SUMIF('ELBA BOOK'!$D$18:$D$323,$A25,'ELBA BOOK'!$BD$18:$BD$323)+SUMIF('ELBA BOOK'!$D$18:$D$323,$A25,'ELBA BOOK'!$R$18:$R$323)+SUMIF('ELBA BOOK'!$D$18:$D$323,$A25,'ELBA BOOK'!$AI$18:$AI$323)+SUMIF('ELBA BOOK'!$D$18:$D$323,$A25,'ELBA BOOK'!$AZ$18:$AZ$323))</f>
        <v>-0</v>
      </c>
      <c r="H25" s="351" t="n">
        <f aca="false">-((+N25/365.25)*SUMIF('ELBA BOOK'!$D$18:$D$323,A25,$H$43:$H$348))</f>
        <v>-13369840.9167267</v>
      </c>
      <c r="I25" s="351" t="n">
        <f aca="false">-((+O25/365.25)*SUMIF('ELBA BOOK'!$D$18:$D$323,$A25,I$43:I$348))</f>
        <v>-8520277.58869263</v>
      </c>
      <c r="J25" s="406" t="n">
        <f aca="false">SUM(G25:I25)</f>
        <v>-21890118.5054193</v>
      </c>
      <c r="M25" s="347" t="n">
        <f aca="false">+'ELBA INCOME'!G26</f>
        <v>0</v>
      </c>
      <c r="N25" s="347" t="n">
        <f aca="false">+'SHIP POSITIONS'!E25</f>
        <v>365</v>
      </c>
      <c r="O25" s="439" t="n">
        <f aca="false">+'SHIP POSITIONS'!F25</f>
        <v>127</v>
      </c>
    </row>
    <row r="26" customFormat="false" ht="12.75" hidden="false" customHeight="false" outlineLevel="0" collapsed="false">
      <c r="A26" s="43" t="n">
        <f aca="false">+'ELBA INCOME'!A27</f>
        <v>2017</v>
      </c>
      <c r="B26" s="350" t="n">
        <f aca="false">+'ELBA INCOME'!J27</f>
        <v>252568354.661547</v>
      </c>
      <c r="C26" s="351" t="n">
        <f aca="false">+'ELBA INCOME'!N27</f>
        <v>-251342513.151038</v>
      </c>
      <c r="D26" s="438" t="n">
        <f aca="false">+'ELBA INCOME'!P27</f>
        <v>1225841.51050967</v>
      </c>
      <c r="E26" s="438" t="n">
        <f aca="false">+'ELBA INCOME'!Q27</f>
        <v>1225841.51050967</v>
      </c>
      <c r="G26" s="350" t="n">
        <f aca="false">-(SUMIF('ELBA BOOK'!$D$18:$D$323,$A26,'ELBA BOOK'!$BD$18:$BD$323)+SUMIF('ELBA BOOK'!$D$18:$D$323,$A26,'ELBA BOOK'!$R$18:$R$323)+SUMIF('ELBA BOOK'!$D$18:$D$323,$A26,'ELBA BOOK'!$AI$18:$AI$323)+SUMIF('ELBA BOOK'!$D$18:$D$323,$A26,'ELBA BOOK'!$AZ$18:$AZ$323))</f>
        <v>-0</v>
      </c>
      <c r="H26" s="351" t="n">
        <f aca="false">-((+N26/365.25)*SUMIF('ELBA BOOK'!$D$18:$D$323,A26,$H$43:$H$348))</f>
        <v>-13523104.1045662</v>
      </c>
      <c r="I26" s="351" t="n">
        <f aca="false">-((+O26/365.25)*SUMIF('ELBA BOOK'!$D$18:$D$323,$A26,I$43:I$348))</f>
        <v>-8612802.86301144</v>
      </c>
      <c r="J26" s="406" t="n">
        <f aca="false">SUM(G26:I26)</f>
        <v>-22135906.9675776</v>
      </c>
      <c r="M26" s="347" t="n">
        <f aca="false">+'ELBA INCOME'!G27</f>
        <v>0</v>
      </c>
      <c r="N26" s="347" t="n">
        <f aca="false">+'SHIP POSITIONS'!E26</f>
        <v>365</v>
      </c>
      <c r="O26" s="439" t="n">
        <f aca="false">+'SHIP POSITIONS'!F26</f>
        <v>128</v>
      </c>
    </row>
    <row r="27" customFormat="false" ht="12.75" hidden="false" customHeight="false" outlineLevel="0" collapsed="false">
      <c r="A27" s="43" t="n">
        <f aca="false">+'ELBA INCOME'!A28</f>
        <v>2018</v>
      </c>
      <c r="B27" s="350" t="n">
        <f aca="false">+'ELBA INCOME'!J28</f>
        <v>260181334.212296</v>
      </c>
      <c r="C27" s="351" t="n">
        <f aca="false">+'ELBA INCOME'!N28</f>
        <v>-258955492.701787</v>
      </c>
      <c r="D27" s="438" t="n">
        <f aca="false">+'ELBA INCOME'!P28</f>
        <v>1225841.51050967</v>
      </c>
      <c r="E27" s="438" t="n">
        <f aca="false">+'ELBA INCOME'!Q28</f>
        <v>1225841.51050967</v>
      </c>
      <c r="G27" s="350" t="n">
        <f aca="false">-(SUMIF('ELBA BOOK'!$D$18:$D$323,$A27,'ELBA BOOK'!$BD$18:$BD$323)+SUMIF('ELBA BOOK'!$D$18:$D$323,$A27,'ELBA BOOK'!$R$18:$R$323)+SUMIF('ELBA BOOK'!$D$18:$D$323,$A27,'ELBA BOOK'!$AI$18:$AI$323)+SUMIF('ELBA BOOK'!$D$18:$D$323,$A27,'ELBA BOOK'!$AZ$18:$AZ$323))</f>
        <v>-0</v>
      </c>
      <c r="H27" s="351" t="n">
        <f aca="false">-((+N27/365.25)*SUMIF('ELBA BOOK'!$D$18:$D$323,A27,$H$43:$H$348))</f>
        <v>-0</v>
      </c>
      <c r="I27" s="351" t="n">
        <f aca="false">-((+O27/365.25)*SUMIF('ELBA BOOK'!$D$18:$D$323,$A27,I$43:I$348))</f>
        <v>-8662887.80281903</v>
      </c>
      <c r="J27" s="406" t="n">
        <f aca="false">SUM(G27:I27)</f>
        <v>-8662887.80281903</v>
      </c>
      <c r="M27" s="347" t="n">
        <f aca="false">+'ELBA INCOME'!G28</f>
        <v>0</v>
      </c>
      <c r="N27" s="347" t="n">
        <f aca="false">+'SHIP POSITIONS'!E27</f>
        <v>365</v>
      </c>
      <c r="O27" s="439" t="n">
        <f aca="false">+'SHIP POSITIONS'!F27</f>
        <v>128</v>
      </c>
    </row>
    <row r="28" customFormat="false" ht="12.75" hidden="false" customHeight="false" outlineLevel="0" collapsed="false">
      <c r="A28" s="43" t="n">
        <f aca="false">+'ELBA INCOME'!A29</f>
        <v>2019</v>
      </c>
      <c r="B28" s="350" t="n">
        <f aca="false">+'ELBA INCOME'!J29</f>
        <v>67284257.5064475</v>
      </c>
      <c r="C28" s="351" t="n">
        <f aca="false">+'ELBA INCOME'!N29</f>
        <v>-66981995.2161848</v>
      </c>
      <c r="D28" s="438" t="n">
        <f aca="false">+'ELBA INCOME'!P29</f>
        <v>302262.290262669</v>
      </c>
      <c r="E28" s="438" t="n">
        <f aca="false">+'ELBA INCOME'!Q29</f>
        <v>302262.290262669</v>
      </c>
      <c r="G28" s="350" t="n">
        <f aca="false">-(SUMIF('ELBA BOOK'!$D$18:$D$323,$A28,'ELBA BOOK'!$BD$18:$BD$323)+SUMIF('ELBA BOOK'!$D$18:$D$323,$A28,'ELBA BOOK'!$R$18:$R$323)+SUMIF('ELBA BOOK'!$D$18:$D$323,$A28,'ELBA BOOK'!$AI$18:$AI$323)+SUMIF('ELBA BOOK'!$D$18:$D$323,$A28,'ELBA BOOK'!$AZ$18:$AZ$323))</f>
        <v>-0</v>
      </c>
      <c r="H28" s="351" t="n">
        <f aca="false">-((+N28/365.25)*SUMIF('ELBA BOOK'!$D$18:$D$323,A28,$H$43:$H$348))</f>
        <v>-0</v>
      </c>
      <c r="I28" s="351" t="n">
        <f aca="false">-((+O28/365.25)*SUMIF('ELBA BOOK'!$D$18:$D$323,$A28,I$43:I$348))</f>
        <v>-20832478.3587701</v>
      </c>
      <c r="J28" s="406" t="n">
        <f aca="false">SUM(G28:I28)</f>
        <v>-20832478.3587701</v>
      </c>
      <c r="M28" s="347" t="n">
        <f aca="false">+'ELBA INCOME'!G29</f>
        <v>0</v>
      </c>
      <c r="N28" s="347" t="n">
        <f aca="false">+'SHIP POSITIONS'!E28</f>
        <v>365</v>
      </c>
      <c r="O28" s="439" t="n">
        <f aca="false">+'SHIP POSITIONS'!F28</f>
        <v>306</v>
      </c>
    </row>
    <row r="29" customFormat="false" ht="12.75" hidden="false" customHeight="false" outlineLevel="0" collapsed="false">
      <c r="A29" s="43" t="n">
        <f aca="false">+'ELBA INCOME'!A30</f>
        <v>2020</v>
      </c>
      <c r="B29" s="350" t="n">
        <f aca="false">+'ELBA INCOME'!J30</f>
        <v>0</v>
      </c>
      <c r="C29" s="351" t="n">
        <f aca="false">+'ELBA INCOME'!N30</f>
        <v>0</v>
      </c>
      <c r="D29" s="438" t="n">
        <f aca="false">+'ELBA INCOME'!P30</f>
        <v>0</v>
      </c>
      <c r="E29" s="438" t="n">
        <f aca="false">+'ELBA INCOME'!Q30</f>
        <v>0</v>
      </c>
      <c r="G29" s="350" t="n">
        <f aca="false">-(SUMIF('ELBA BOOK'!$D$18:$D$323,$A29,'ELBA BOOK'!$BD$18:$BD$323)+SUMIF('ELBA BOOK'!$D$18:$D$323,$A29,'ELBA BOOK'!$R$18:$R$323)+SUMIF('ELBA BOOK'!$D$18:$D$323,$A29,'ELBA BOOK'!$AI$18:$AI$323)+SUMIF('ELBA BOOK'!$D$18:$D$323,$A29,'ELBA BOOK'!$AZ$18:$AZ$323))</f>
        <v>-0</v>
      </c>
      <c r="H29" s="351" t="n">
        <f aca="false">-((+N29/365.25)*SUMIF('ELBA BOOK'!$D$18:$D$323,A29,$H$43:$H$348))</f>
        <v>-0</v>
      </c>
      <c r="I29" s="351" t="n">
        <f aca="false">-((+O29/365.25)*SUMIF('ELBA BOOK'!$D$18:$D$323,$A29,I$43:I$348))</f>
        <v>-25067667.6748435</v>
      </c>
      <c r="J29" s="406" t="n">
        <f aca="false">SUM(G29:I29)</f>
        <v>-25067667.6748435</v>
      </c>
      <c r="M29" s="347" t="n">
        <f aca="false">+'ELBA INCOME'!G30</f>
        <v>0</v>
      </c>
      <c r="N29" s="347" t="n">
        <f aca="false">+'SHIP POSITIONS'!E29</f>
        <v>365</v>
      </c>
      <c r="O29" s="439" t="n">
        <f aca="false">+'SHIP POSITIONS'!F29</f>
        <v>365</v>
      </c>
    </row>
    <row r="30" customFormat="false" ht="12.75" hidden="false" customHeight="false" outlineLevel="0" collapsed="false">
      <c r="A30" s="43" t="n">
        <f aca="false">+'ELBA INCOME'!A31</f>
        <v>2021</v>
      </c>
      <c r="B30" s="350" t="n">
        <f aca="false">+'ELBA INCOME'!J31</f>
        <v>0</v>
      </c>
      <c r="C30" s="351" t="n">
        <f aca="false">+'ELBA INCOME'!N31</f>
        <v>0</v>
      </c>
      <c r="D30" s="438" t="n">
        <f aca="false">+'ELBA INCOME'!P31</f>
        <v>0</v>
      </c>
      <c r="E30" s="438" t="n">
        <f aca="false">+'ELBA INCOME'!Q31</f>
        <v>0</v>
      </c>
      <c r="G30" s="350" t="n">
        <f aca="false">-(SUMIF('ELBA BOOK'!$D$18:$D$323,$A30,'ELBA BOOK'!$BD$18:$BD$323)+SUMIF('ELBA BOOK'!$D$18:$D$323,$A30,'ELBA BOOK'!$R$18:$R$323)+SUMIF('ELBA BOOK'!$D$18:$D$323,$A30,'ELBA BOOK'!$AI$18:$AI$323)+SUMIF('ELBA BOOK'!$D$18:$D$323,$A30,'ELBA BOOK'!$AZ$18:$AZ$323))</f>
        <v>-0</v>
      </c>
      <c r="H30" s="351" t="n">
        <f aca="false">-((+N30/365.25)*SUMIF('ELBA BOOK'!$D$18:$D$323,A30,$H$43:$H$348))</f>
        <v>-0</v>
      </c>
      <c r="I30" s="351" t="n">
        <f aca="false">-((+O30/365.25)*SUMIF('ELBA BOOK'!$D$18:$D$323,$A30,I$43:I$348))</f>
        <v>-25153264.8918896</v>
      </c>
      <c r="J30" s="406" t="n">
        <f aca="false">SUM(G30:I30)</f>
        <v>-25153264.8918896</v>
      </c>
      <c r="M30" s="347" t="n">
        <f aca="false">+'ELBA INCOME'!G31</f>
        <v>0</v>
      </c>
      <c r="N30" s="347" t="n">
        <f aca="false">+'SHIP POSITIONS'!E30</f>
        <v>365</v>
      </c>
      <c r="O30" s="439" t="n">
        <f aca="false">+'SHIP POSITIONS'!F30</f>
        <v>365</v>
      </c>
    </row>
    <row r="31" customFormat="false" ht="12.75" hidden="false" customHeight="false" outlineLevel="0" collapsed="false">
      <c r="A31" s="43" t="n">
        <f aca="false">+'ELBA INCOME'!A32</f>
        <v>2022</v>
      </c>
      <c r="B31" s="350" t="n">
        <f aca="false">+'ELBA INCOME'!J32</f>
        <v>0</v>
      </c>
      <c r="C31" s="351" t="n">
        <f aca="false">+'ELBA INCOME'!N32</f>
        <v>0</v>
      </c>
      <c r="D31" s="438" t="n">
        <f aca="false">+'ELBA INCOME'!P32</f>
        <v>0</v>
      </c>
      <c r="E31" s="438" t="n">
        <f aca="false">+'ELBA INCOME'!Q32</f>
        <v>0</v>
      </c>
      <c r="G31" s="350" t="n">
        <f aca="false">-(SUMIF('ELBA BOOK'!$D$18:$D$323,$A31,'ELBA BOOK'!$BD$18:$BD$323)+SUMIF('ELBA BOOK'!$D$18:$D$323,$A31,'ELBA BOOK'!$R$18:$R$323)+SUMIF('ELBA BOOK'!$D$18:$D$323,$A31,'ELBA BOOK'!$AI$18:$AI$323)+SUMIF('ELBA BOOK'!$D$18:$D$323,$A31,'ELBA BOOK'!$AZ$18:$AZ$323))</f>
        <v>-0</v>
      </c>
      <c r="H31" s="351" t="n">
        <f aca="false">-((+N31/365.25)*SUMIF('ELBA BOOK'!$D$18:$D$323,A31,$H$43:$H$348))</f>
        <v>-0</v>
      </c>
      <c r="I31" s="351" t="n">
        <f aca="false">-((+O31/365.25)*SUMIF('ELBA BOOK'!$D$18:$D$323,$A31,I$43:I$348))</f>
        <v>-25311089.3558301</v>
      </c>
      <c r="J31" s="406" t="n">
        <f aca="false">SUM(G31:I31)</f>
        <v>-25311089.3558301</v>
      </c>
      <c r="M31" s="347" t="n">
        <f aca="false">+'ELBA INCOME'!G32</f>
        <v>0</v>
      </c>
      <c r="N31" s="347" t="n">
        <f aca="false">+'SHIP POSITIONS'!E31</f>
        <v>365</v>
      </c>
      <c r="O31" s="439" t="n">
        <f aca="false">+'SHIP POSITIONS'!F31</f>
        <v>365</v>
      </c>
    </row>
    <row r="32" customFormat="false" ht="12.75" hidden="false" customHeight="false" outlineLevel="0" collapsed="false">
      <c r="A32" s="43" t="n">
        <f aca="false">+'ELBA INCOME'!A33</f>
        <v>2023</v>
      </c>
      <c r="B32" s="350" t="n">
        <f aca="false">+'ELBA INCOME'!J33</f>
        <v>0</v>
      </c>
      <c r="C32" s="351" t="n">
        <f aca="false">+'ELBA INCOME'!N33</f>
        <v>0</v>
      </c>
      <c r="D32" s="438" t="n">
        <f aca="false">+'ELBA INCOME'!P33</f>
        <v>0</v>
      </c>
      <c r="E32" s="438" t="n">
        <f aca="false">+'ELBA INCOME'!Q33</f>
        <v>0</v>
      </c>
      <c r="G32" s="350" t="n">
        <f aca="false">-(SUMIF('ELBA BOOK'!$D$18:$D$323,$A32,'ELBA BOOK'!$BD$18:$BD$323)+SUMIF('ELBA BOOK'!$D$18:$D$323,$A32,'ELBA BOOK'!$R$18:$R$323)+SUMIF('ELBA BOOK'!$D$18:$D$323,$A32,'ELBA BOOK'!$AI$18:$AI$323)+SUMIF('ELBA BOOK'!$D$18:$D$323,$A32,'ELBA BOOK'!$AZ$18:$AZ$323))</f>
        <v>-0</v>
      </c>
      <c r="H32" s="351" t="n">
        <f aca="false">-((+N32/365.25)*SUMIF('ELBA BOOK'!$D$18:$D$323,A32,$H$43:$H$348))</f>
        <v>-0</v>
      </c>
      <c r="I32" s="351" t="n">
        <f aca="false">-((+O32/365.25)*SUMIF('ELBA BOOK'!$D$18:$D$323,$A32,I$43:I$348))</f>
        <v>-25472904.9569379</v>
      </c>
      <c r="J32" s="406" t="n">
        <f aca="false">SUM(G32:I32)</f>
        <v>-25472904.9569379</v>
      </c>
      <c r="M32" s="347" t="n">
        <f aca="false">+'ELBA INCOME'!G33</f>
        <v>0</v>
      </c>
      <c r="N32" s="347" t="n">
        <f aca="false">+'SHIP POSITIONS'!E32</f>
        <v>365</v>
      </c>
      <c r="O32" s="439" t="n">
        <f aca="false">+'SHIP POSITIONS'!F32</f>
        <v>365</v>
      </c>
    </row>
    <row r="33" customFormat="false" ht="12.75" hidden="false" customHeight="false" outlineLevel="0" collapsed="false">
      <c r="A33" s="43" t="n">
        <f aca="false">+'ELBA INCOME'!A34</f>
        <v>2024</v>
      </c>
      <c r="B33" s="350" t="n">
        <f aca="false">+'ELBA INCOME'!J34</f>
        <v>0</v>
      </c>
      <c r="C33" s="351" t="n">
        <f aca="false">+'ELBA INCOME'!N34</f>
        <v>0</v>
      </c>
      <c r="D33" s="438" t="n">
        <f aca="false">+'ELBA INCOME'!P34</f>
        <v>0</v>
      </c>
      <c r="E33" s="438" t="n">
        <f aca="false">+'ELBA INCOME'!Q34</f>
        <v>0</v>
      </c>
      <c r="G33" s="350" t="n">
        <f aca="false">-(SUMIF('ELBA BOOK'!$D$18:$D$323,$A33,'ELBA BOOK'!$BD$18:$BD$323)+SUMIF('ELBA BOOK'!$D$18:$D$323,$A33,'ELBA BOOK'!$R$18:$R$323)+SUMIF('ELBA BOOK'!$D$18:$D$323,$A33,'ELBA BOOK'!$AI$18:$AI$323)+SUMIF('ELBA BOOK'!$D$18:$D$323,$A33,'ELBA BOOK'!$AZ$18:$AZ$323))</f>
        <v>-0</v>
      </c>
      <c r="H33" s="351" t="n">
        <f aca="false">-((+N33/365.25)*SUMIF('ELBA BOOK'!$D$18:$D$323,A33,$H$43:$H$348))</f>
        <v>-0</v>
      </c>
      <c r="I33" s="351" t="n">
        <f aca="false">-((+O33/365.25)*SUMIF('ELBA BOOK'!$D$18:$D$323,$A33,I$43:I$348))</f>
        <v>-25708882.7035665</v>
      </c>
      <c r="J33" s="406" t="n">
        <f aca="false">SUM(G33:I33)</f>
        <v>-25708882.7035665</v>
      </c>
      <c r="M33" s="347" t="n">
        <f aca="false">+'ELBA INCOME'!G34</f>
        <v>0</v>
      </c>
      <c r="N33" s="347" t="n">
        <f aca="false">+'SHIP POSITIONS'!E33</f>
        <v>365</v>
      </c>
      <c r="O33" s="439" t="n">
        <f aca="false">+'SHIP POSITIONS'!F33</f>
        <v>365</v>
      </c>
    </row>
    <row r="34" customFormat="false" ht="12.75" hidden="false" customHeight="false" outlineLevel="0" collapsed="false">
      <c r="A34" s="43" t="n">
        <f aca="false">+'ELBA INCOME'!A35</f>
        <v>2025</v>
      </c>
      <c r="B34" s="366" t="n">
        <f aca="false">+'ELBA INCOME'!J35</f>
        <v>0</v>
      </c>
      <c r="C34" s="367" t="n">
        <f aca="false">+'ELBA INCOME'!N35</f>
        <v>0</v>
      </c>
      <c r="D34" s="440" t="n">
        <f aca="false">+'ELBA INCOME'!P35</f>
        <v>0</v>
      </c>
      <c r="E34" s="440" t="n">
        <f aca="false">+'ELBA INCOME'!Q35</f>
        <v>0</v>
      </c>
      <c r="G34" s="366" t="n">
        <f aca="false">-(SUMIF('ELBA BOOK'!$D$18:$D$323,$A34,'ELBA BOOK'!$BD$18:$BD$323)+SUMIF('ELBA BOOK'!$D$18:$D$323,$A34,'ELBA BOOK'!$R$18:$R$323)+SUMIF('ELBA BOOK'!$D$18:$D$323,$A34,'ELBA BOOK'!$AI$18:$AI$323)+SUMIF('ELBA BOOK'!$D$18:$D$323,$A34,'ELBA BOOK'!$AZ$18:$AZ$323))</f>
        <v>-0</v>
      </c>
      <c r="H34" s="367" t="n">
        <f aca="false">-((+N34/365.25)*SUMIF('ELBA BOOK'!$D$18:$D$323,A34,$H$43:$H$348))</f>
        <v>-0</v>
      </c>
      <c r="I34" s="367" t="n">
        <f aca="false">-((+O34/365.25)*SUMIF('ELBA BOOK'!$D$18:$D$323,$A34,I$43:I$348))</f>
        <v>-25808915.8418139</v>
      </c>
      <c r="J34" s="415" t="n">
        <f aca="false">SUM(G34:I34)</f>
        <v>-25808915.8418139</v>
      </c>
      <c r="M34" s="361" t="n">
        <f aca="false">+'ELBA INCOME'!G35</f>
        <v>0</v>
      </c>
      <c r="N34" s="361" t="n">
        <f aca="false">+'SHIP POSITIONS'!E34</f>
        <v>365</v>
      </c>
      <c r="O34" s="441" t="n">
        <f aca="false">+'SHIP POSITIONS'!F34</f>
        <v>365</v>
      </c>
    </row>
    <row r="35" customFormat="false" ht="12.75" hidden="false" customHeight="false" outlineLevel="0" collapsed="false">
      <c r="A35" s="43"/>
      <c r="B35" s="43"/>
    </row>
    <row r="36" customFormat="false" ht="12.75" hidden="false" customHeight="false" outlineLevel="0" collapsed="false">
      <c r="A36" s="43"/>
      <c r="B36" s="43"/>
    </row>
    <row r="37" customFormat="false" ht="12.75" hidden="false" customHeight="false" outlineLevel="0" collapsed="false">
      <c r="A37" s="43"/>
      <c r="B37" s="43"/>
    </row>
    <row r="38" customFormat="false" ht="12.75" hidden="false" customHeight="false" outlineLevel="0" collapsed="false">
      <c r="A38" s="43"/>
      <c r="B38" s="43"/>
    </row>
    <row r="39" customFormat="false" ht="12.75" hidden="false" customHeight="false" outlineLevel="0" collapsed="false">
      <c r="B39" s="43"/>
    </row>
    <row r="40" customFormat="false" ht="12.75" hidden="false" customHeight="false" outlineLevel="0" collapsed="false">
      <c r="B40" s="43"/>
    </row>
    <row r="43" customFormat="false" ht="12.75" hidden="false" customHeight="false" outlineLevel="0" collapsed="false">
      <c r="G43" s="25" t="n">
        <f aca="false">+'ELBA BOOK'!A18</f>
        <v>36708</v>
      </c>
      <c r="H43" s="420" t="n">
        <f aca="false">+(SHIPS!C26+SHIPS!C336)*($G44-$G43)</f>
        <v>0</v>
      </c>
      <c r="I43" s="420" t="n">
        <f aca="false">+(SHIPS!D26+SHIPS!D336)*($G44-$G43)</f>
        <v>0</v>
      </c>
      <c r="J43" s="420"/>
    </row>
    <row r="44" customFormat="false" ht="12.75" hidden="false" customHeight="false" outlineLevel="0" collapsed="false">
      <c r="G44" s="25" t="n">
        <f aca="false">+'ELBA BOOK'!A19</f>
        <v>36739</v>
      </c>
      <c r="H44" s="420" t="n">
        <f aca="false">+(SHIPS!C27+SHIPS!C337)*($G45-$G44)</f>
        <v>0</v>
      </c>
      <c r="I44" s="420" t="n">
        <f aca="false">+(SHIPS!D27+SHIPS!D337)*($G45-$G44)</f>
        <v>0</v>
      </c>
      <c r="J44" s="420"/>
    </row>
    <row r="45" customFormat="false" ht="12.75" hidden="false" customHeight="false" outlineLevel="0" collapsed="false">
      <c r="G45" s="25" t="n">
        <f aca="false">+'ELBA BOOK'!A20</f>
        <v>36770</v>
      </c>
      <c r="H45" s="420" t="n">
        <f aca="false">+(SHIPS!C28+SHIPS!C338)*($G46-$G45)</f>
        <v>0</v>
      </c>
      <c r="I45" s="420" t="n">
        <f aca="false">+(SHIPS!D28+SHIPS!D338)*($G46-$G45)</f>
        <v>0</v>
      </c>
      <c r="J45" s="420"/>
    </row>
    <row r="46" customFormat="false" ht="12.75" hidden="false" customHeight="false" outlineLevel="0" collapsed="false">
      <c r="G46" s="25" t="n">
        <f aca="false">+'ELBA BOOK'!A21</f>
        <v>36800</v>
      </c>
      <c r="H46" s="420" t="n">
        <f aca="false">+(SHIPS!C29+SHIPS!C339)*($G47-$G46)</f>
        <v>0</v>
      </c>
      <c r="I46" s="420" t="n">
        <f aca="false">+(SHIPS!D29+SHIPS!D339)*($G47-$G46)</f>
        <v>0</v>
      </c>
      <c r="J46" s="420"/>
    </row>
    <row r="47" customFormat="false" ht="12.75" hidden="false" customHeight="false" outlineLevel="0" collapsed="false">
      <c r="G47" s="25" t="n">
        <f aca="false">+'ELBA BOOK'!A22</f>
        <v>36831</v>
      </c>
      <c r="H47" s="420" t="n">
        <f aca="false">+(SHIPS!C30+SHIPS!C340)*($G48-$G47)</f>
        <v>705000</v>
      </c>
      <c r="I47" s="420" t="n">
        <f aca="false">+(SHIPS!D30+SHIPS!D340)*($G48-$G47)</f>
        <v>0</v>
      </c>
      <c r="J47" s="420"/>
    </row>
    <row r="48" customFormat="false" ht="12.75" hidden="false" customHeight="false" outlineLevel="0" collapsed="false">
      <c r="G48" s="25" t="n">
        <f aca="false">+'ELBA BOOK'!A23</f>
        <v>36861</v>
      </c>
      <c r="H48" s="420" t="n">
        <f aca="false">+(SHIPS!C31+SHIPS!C341)*($G49-$G48)</f>
        <v>728500</v>
      </c>
      <c r="I48" s="420" t="n">
        <f aca="false">+(SHIPS!D31+SHIPS!D341)*($G49-$G48)</f>
        <v>0</v>
      </c>
      <c r="J48" s="420"/>
    </row>
    <row r="49" customFormat="false" ht="12.75" hidden="false" customHeight="false" outlineLevel="0" collapsed="false">
      <c r="G49" s="25" t="n">
        <f aca="false">+'ELBA BOOK'!A24</f>
        <v>36892</v>
      </c>
      <c r="H49" s="420" t="n">
        <f aca="false">+(SHIPS!C32+SHIPS!C342)*($G50-$G49)</f>
        <v>728500</v>
      </c>
      <c r="I49" s="420" t="n">
        <f aca="false">+(SHIPS!D32+SHIPS!D342)*($G50-$G49)</f>
        <v>0</v>
      </c>
      <c r="J49" s="420"/>
    </row>
    <row r="50" customFormat="false" ht="12.75" hidden="false" customHeight="false" outlineLevel="0" collapsed="false">
      <c r="G50" s="25" t="n">
        <f aca="false">+'ELBA BOOK'!A25</f>
        <v>36923</v>
      </c>
      <c r="H50" s="420" t="n">
        <f aca="false">+(SHIPS!C33+SHIPS!C343)*($G51-$G50)</f>
        <v>658000</v>
      </c>
      <c r="I50" s="420" t="n">
        <f aca="false">+(SHIPS!D33+SHIPS!D343)*($G51-$G50)</f>
        <v>0</v>
      </c>
      <c r="J50" s="420"/>
    </row>
    <row r="51" customFormat="false" ht="12.75" hidden="false" customHeight="false" outlineLevel="0" collapsed="false">
      <c r="G51" s="25" t="n">
        <f aca="false">+'ELBA BOOK'!A26</f>
        <v>36951</v>
      </c>
      <c r="H51" s="420" t="n">
        <f aca="false">+(SHIPS!C34+SHIPS!C344)*($G52-$G51)</f>
        <v>729404.166666667</v>
      </c>
      <c r="I51" s="420" t="n">
        <f aca="false">+(SHIPS!D34+SHIPS!D344)*($G52-$G51)</f>
        <v>0</v>
      </c>
      <c r="J51" s="420"/>
    </row>
    <row r="52" customFormat="false" ht="12.75" hidden="false" customHeight="false" outlineLevel="0" collapsed="false">
      <c r="G52" s="25" t="n">
        <f aca="false">+'ELBA BOOK'!A27</f>
        <v>36982</v>
      </c>
      <c r="H52" s="420" t="n">
        <f aca="false">+(SHIPS!C35+SHIPS!C345)*($G53-$G52)</f>
        <v>706751.822916667</v>
      </c>
      <c r="I52" s="420" t="n">
        <f aca="false">+(SHIPS!D35+SHIPS!D345)*($G53-$G52)</f>
        <v>0</v>
      </c>
      <c r="J52" s="420"/>
    </row>
    <row r="53" customFormat="false" ht="12.75" hidden="false" customHeight="false" outlineLevel="0" collapsed="false">
      <c r="G53" s="25" t="n">
        <f aca="false">+'ELBA BOOK'!A28</f>
        <v>37012</v>
      </c>
      <c r="H53" s="420" t="n">
        <f aca="false">+(SHIPS!C36+SHIPS!C346)*($G54-$G53)</f>
        <v>731218.154966001</v>
      </c>
      <c r="I53" s="420" t="n">
        <f aca="false">+(SHIPS!D36+SHIPS!D346)*($G54-$G53)</f>
        <v>0</v>
      </c>
      <c r="J53" s="420"/>
    </row>
    <row r="54" customFormat="false" ht="12.75" hidden="false" customHeight="false" outlineLevel="0" collapsed="false">
      <c r="G54" s="25" t="n">
        <f aca="false">+'ELBA BOOK'!A29</f>
        <v>37043</v>
      </c>
      <c r="H54" s="420" t="n">
        <f aca="false">+(SHIPS!C37+SHIPS!C347)*($G55-$G54)</f>
        <v>708510.952698884</v>
      </c>
      <c r="I54" s="420" t="n">
        <f aca="false">+(SHIPS!D37+SHIPS!D347)*($G55-$G54)</f>
        <v>0</v>
      </c>
      <c r="J54" s="420"/>
    </row>
    <row r="55" customFormat="false" ht="12.75" hidden="false" customHeight="false" outlineLevel="0" collapsed="false">
      <c r="G55" s="25" t="n">
        <f aca="false">+'ELBA BOOK'!A30</f>
        <v>37073</v>
      </c>
      <c r="H55" s="420" t="n">
        <f aca="false">+(SHIPS!C38+SHIPS!C348)*($G56-$G55)</f>
        <v>733039.70942313</v>
      </c>
      <c r="I55" s="420" t="n">
        <f aca="false">+(SHIPS!D38+SHIPS!D348)*($G56-$G55)</f>
        <v>0</v>
      </c>
      <c r="J55" s="420"/>
    </row>
    <row r="56" customFormat="false" ht="12.75" hidden="false" customHeight="false" outlineLevel="0" collapsed="false">
      <c r="G56" s="25" t="n">
        <f aca="false">+'ELBA BOOK'!A31</f>
        <v>37104</v>
      </c>
      <c r="H56" s="420" t="n">
        <f aca="false">+(SHIPS!C39+SHIPS!C349)*($G57-$G56)</f>
        <v>733953.333817761</v>
      </c>
      <c r="I56" s="420" t="n">
        <f aca="false">+(SHIPS!D39+SHIPS!D349)*($G57-$G56)</f>
        <v>0</v>
      </c>
      <c r="J56" s="420"/>
    </row>
    <row r="57" customFormat="false" ht="12.75" hidden="false" customHeight="false" outlineLevel="0" collapsed="false">
      <c r="G57" s="25" t="n">
        <f aca="false">+'ELBA BOOK'!A32</f>
        <v>37135</v>
      </c>
      <c r="H57" s="420" t="n">
        <f aca="false">+(SHIPS!C40+SHIPS!C350)*($G58-$G57)</f>
        <v>711163.414448272</v>
      </c>
      <c r="I57" s="420" t="n">
        <f aca="false">+(SHIPS!D40+SHIPS!D350)*($G58-$G57)</f>
        <v>0</v>
      </c>
      <c r="J57" s="420"/>
    </row>
    <row r="58" customFormat="false" ht="12.75" hidden="false" customHeight="false" outlineLevel="0" collapsed="false">
      <c r="G58" s="25" t="n">
        <f aca="false">+'ELBA BOOK'!A33</f>
        <v>37165</v>
      </c>
      <c r="H58" s="420" t="n">
        <f aca="false">+(SHIPS!C41+SHIPS!C351)*($G59-$G58)</f>
        <v>735786.296724874</v>
      </c>
      <c r="I58" s="420" t="n">
        <f aca="false">+(SHIPS!D41+SHIPS!D351)*($G59-$G58)</f>
        <v>0</v>
      </c>
      <c r="J58" s="420"/>
    </row>
    <row r="59" customFormat="false" ht="12.75" hidden="false" customHeight="false" outlineLevel="0" collapsed="false">
      <c r="G59" s="25" t="n">
        <f aca="false">+'ELBA BOOK'!A34</f>
        <v>37196</v>
      </c>
      <c r="H59" s="420" t="n">
        <f aca="false">+(SHIPS!C42+SHIPS!C352)*($G60-$G59)</f>
        <v>712940.945009404</v>
      </c>
      <c r="I59" s="420" t="n">
        <f aca="false">+(SHIPS!D42+SHIPS!D352)*($G60-$G59)</f>
        <v>0</v>
      </c>
      <c r="J59" s="420"/>
    </row>
    <row r="60" customFormat="false" ht="12.75" hidden="false" customHeight="false" outlineLevel="0" collapsed="false">
      <c r="G60" s="25" t="n">
        <f aca="false">+'ELBA BOOK'!A35</f>
        <v>37226</v>
      </c>
      <c r="H60" s="420" t="n">
        <f aca="false">+(SHIPS!C43+SHIPS!C353)*($G61-$G60)</f>
        <v>737626.904933002</v>
      </c>
      <c r="I60" s="420" t="n">
        <f aca="false">+(SHIPS!D43+SHIPS!D353)*($G61-$G60)</f>
        <v>0</v>
      </c>
      <c r="J60" s="420"/>
    </row>
    <row r="61" customFormat="false" ht="12.75" hidden="false" customHeight="false" outlineLevel="0" collapsed="false">
      <c r="G61" s="25" t="n">
        <f aca="false">+'ELBA BOOK'!A36</f>
        <v>37257</v>
      </c>
      <c r="H61" s="420" t="n">
        <f aca="false">+(SHIPS!C44+SHIPS!C354)*($G62-$G61)</f>
        <v>738550.085984946</v>
      </c>
      <c r="I61" s="420" t="n">
        <f aca="false">+(SHIPS!D44+SHIPS!D354)*($G62-$G61)</f>
        <v>0</v>
      </c>
      <c r="J61" s="420"/>
    </row>
    <row r="62" customFormat="false" ht="12.75" hidden="false" customHeight="false" outlineLevel="0" collapsed="false">
      <c r="G62" s="25" t="n">
        <f aca="false">+'ELBA BOOK'!A37</f>
        <v>37288</v>
      </c>
      <c r="H62" s="420" t="n">
        <f aca="false">+(SHIPS!C45+SHIPS!C355)*($G63-$G62)</f>
        <v>667913.07513745</v>
      </c>
      <c r="I62" s="420" t="n">
        <f aca="false">+(SHIPS!D45+SHIPS!D355)*($G63-$G62)</f>
        <v>0</v>
      </c>
      <c r="J62" s="420"/>
    </row>
    <row r="63" customFormat="false" ht="12.75" hidden="false" customHeight="false" outlineLevel="0" collapsed="false">
      <c r="G63" s="25" t="n">
        <f aca="false">+'ELBA BOOK'!A38</f>
        <v>37316</v>
      </c>
      <c r="H63" s="420" t="n">
        <f aca="false">+(SHIPS!C46+SHIPS!C356)*($G64-$G63)</f>
        <v>740402.22197727</v>
      </c>
      <c r="I63" s="420" t="n">
        <f aca="false">+(SHIPS!D46+SHIPS!D356)*($G64-$G63)</f>
        <v>0</v>
      </c>
      <c r="J63" s="420"/>
    </row>
    <row r="64" customFormat="false" ht="12.75" hidden="false" customHeight="false" outlineLevel="0" collapsed="false">
      <c r="G64" s="25" t="n">
        <f aca="false">+'ELBA BOOK'!A39</f>
        <v>37347</v>
      </c>
      <c r="H64" s="420" t="n">
        <f aca="false">+(SHIPS!C47+SHIPS!C357)*($G65-$G64)</f>
        <v>717417.275748119</v>
      </c>
      <c r="I64" s="420" t="n">
        <f aca="false">+(SHIPS!D47+SHIPS!D357)*($G65-$G64)</f>
        <v>0</v>
      </c>
      <c r="J64" s="420"/>
    </row>
    <row r="65" customFormat="false" ht="12.75" hidden="false" customHeight="false" outlineLevel="0" collapsed="false">
      <c r="G65" s="25" t="n">
        <f aca="false">+'ELBA BOOK'!A40</f>
        <v>37377</v>
      </c>
      <c r="H65" s="420" t="n">
        <f aca="false">+(SHIPS!C48+SHIPS!C358)*($G66-$G65)</f>
        <v>742262.083241681</v>
      </c>
      <c r="I65" s="420" t="n">
        <f aca="false">+(SHIPS!D48+SHIPS!D358)*($G66-$G65)</f>
        <v>0</v>
      </c>
      <c r="J65" s="420"/>
    </row>
    <row r="66" customFormat="false" ht="12.75" hidden="false" customHeight="false" outlineLevel="0" collapsed="false">
      <c r="G66" s="25" t="n">
        <f aca="false">+'ELBA BOOK'!A41</f>
        <v>37408</v>
      </c>
      <c r="H66" s="420" t="n">
        <f aca="false">+(SHIPS!C49+SHIPS!C359)*($G67-$G66)</f>
        <v>719220.891208162</v>
      </c>
      <c r="I66" s="420" t="n">
        <f aca="false">+(SHIPS!D49+SHIPS!D359)*($G67-$G66)</f>
        <v>0</v>
      </c>
      <c r="J66" s="420"/>
    </row>
    <row r="67" customFormat="false" ht="12.75" hidden="false" customHeight="false" outlineLevel="0" collapsed="false">
      <c r="G67" s="25" t="n">
        <f aca="false">+'ELBA BOOK'!A42</f>
        <v>37438</v>
      </c>
      <c r="H67" s="420" t="n">
        <f aca="false">+(SHIPS!C50+SHIPS!C360)*($G68-$G67)</f>
        <v>744129.702000341</v>
      </c>
      <c r="I67" s="420" t="n">
        <f aca="false">+(SHIPS!D50+SHIPS!D360)*($G68-$G67)</f>
        <v>0</v>
      </c>
      <c r="J67" s="420"/>
    </row>
    <row r="68" customFormat="false" ht="12.75" hidden="false" customHeight="false" outlineLevel="0" collapsed="false">
      <c r="G68" s="25" t="n">
        <f aca="false">+'ELBA BOOK'!A43</f>
        <v>37469</v>
      </c>
      <c r="H68" s="420" t="n">
        <f aca="false">+(SHIPS!C51+SHIPS!C361)*($G69-$G68)</f>
        <v>745066.430546175</v>
      </c>
      <c r="I68" s="420" t="n">
        <f aca="false">+(SHIPS!D51+SHIPS!D361)*($G69-$G68)</f>
        <v>0</v>
      </c>
      <c r="J68" s="420"/>
    </row>
    <row r="69" customFormat="false" ht="12.75" hidden="false" customHeight="false" outlineLevel="0" collapsed="false">
      <c r="G69" s="25" t="n">
        <f aca="false">+'ELBA BOOK'!A44</f>
        <v>37500</v>
      </c>
      <c r="H69" s="420" t="n">
        <f aca="false">+(SHIPS!C52+SHIPS!C362)*($G70-$G69)</f>
        <v>721940.4296224</v>
      </c>
      <c r="I69" s="420" t="n">
        <f aca="false">+(SHIPS!D52+SHIPS!D362)*($G70-$G69)</f>
        <v>0</v>
      </c>
      <c r="J69" s="420"/>
    </row>
    <row r="70" customFormat="false" ht="12.75" hidden="false" customHeight="false" outlineLevel="0" collapsed="false">
      <c r="G70" s="25" t="n">
        <f aca="false">+'ELBA BOOK'!A45</f>
        <v>37530</v>
      </c>
      <c r="H70" s="420" t="n">
        <f aca="false">+(SHIPS!C53+SHIPS!C363)*($G71-$G70)</f>
        <v>746945.746256917</v>
      </c>
      <c r="I70" s="420" t="n">
        <f aca="false">+(SHIPS!D53+SHIPS!D363)*($G71-$G70)</f>
        <v>0</v>
      </c>
      <c r="J70" s="420"/>
    </row>
    <row r="71" customFormat="false" ht="12.75" hidden="false" customHeight="false" outlineLevel="0" collapsed="false">
      <c r="G71" s="25" t="n">
        <f aca="false">+'ELBA BOOK'!A46</f>
        <v>37561</v>
      </c>
      <c r="H71" s="420" t="n">
        <f aca="false">+(SHIPS!C54+SHIPS!C364)*($G72-$G71)</f>
        <v>723762.911188663</v>
      </c>
      <c r="I71" s="420" t="n">
        <f aca="false">+(SHIPS!D54+SHIPS!D364)*($G72-$G71)</f>
        <v>0</v>
      </c>
      <c r="J71" s="420"/>
    </row>
    <row r="72" customFormat="false" ht="12.75" hidden="false" customHeight="false" outlineLevel="0" collapsed="false">
      <c r="G72" s="25" t="n">
        <f aca="false">+'ELBA BOOK'!A47</f>
        <v>37591</v>
      </c>
      <c r="H72" s="420" t="n">
        <f aca="false">+(SHIPS!C55+SHIPS!C365)*($G73-$G72)</f>
        <v>748832.900606539</v>
      </c>
      <c r="I72" s="420" t="n">
        <f aca="false">+(SHIPS!D55+SHIPS!D365)*($G73-$G72)</f>
        <v>0</v>
      </c>
      <c r="J72" s="420"/>
    </row>
    <row r="73" customFormat="false" ht="12.75" hidden="false" customHeight="false" outlineLevel="0" collapsed="false">
      <c r="G73" s="25" t="n">
        <f aca="false">+'ELBA BOOK'!A48</f>
        <v>37622</v>
      </c>
      <c r="H73" s="420" t="n">
        <f aca="false">+(SHIPS!C56+SHIPS!C366)*($G74-$G73)</f>
        <v>951279.427482802</v>
      </c>
      <c r="I73" s="420" t="n">
        <f aca="false">+(SHIPS!D56+SHIPS!D366)*($G74-$G73)</f>
        <v>1941840</v>
      </c>
      <c r="J73" s="420"/>
    </row>
    <row r="74" customFormat="false" ht="12.75" hidden="false" customHeight="false" outlineLevel="0" collapsed="false">
      <c r="G74" s="25" t="n">
        <f aca="false">+'ELBA BOOK'!A49</f>
        <v>37653</v>
      </c>
      <c r="H74" s="420" t="n">
        <f aca="false">+(SHIPS!C57+SHIPS!C367)*($G75-$G74)</f>
        <v>860076.836649085</v>
      </c>
      <c r="I74" s="420" t="n">
        <f aca="false">+(SHIPS!D57+SHIPS!D367)*($G75-$G74)</f>
        <v>1754549.41666667</v>
      </c>
      <c r="J74" s="420"/>
    </row>
    <row r="75" customFormat="false" ht="12.75" hidden="false" customHeight="false" outlineLevel="0" collapsed="false">
      <c r="G75" s="25" t="n">
        <f aca="false">+'ELBA BOOK'!A50</f>
        <v>37681</v>
      </c>
      <c r="H75" s="420" t="n">
        <f aca="false">+(SHIPS!C58+SHIPS!C368)*($G76-$G75)</f>
        <v>953178.401136496</v>
      </c>
      <c r="I75" s="420" t="n">
        <f aca="false">+(SHIPS!D58+SHIPS!D368)*($G76-$G75)</f>
        <v>1943235.16011285</v>
      </c>
      <c r="J75" s="420"/>
    </row>
    <row r="76" customFormat="false" ht="12.75" hidden="false" customHeight="false" outlineLevel="0" collapsed="false">
      <c r="G76" s="25" t="n">
        <f aca="false">+'ELBA BOOK'!A51</f>
        <v>37712</v>
      </c>
      <c r="H76" s="420" t="n">
        <f aca="false">+(SHIPS!C59+SHIPS!C369)*($G77-$G76)</f>
        <v>923352.441424707</v>
      </c>
      <c r="I76" s="420" t="n">
        <f aca="false">+(SHIPS!D59+SHIPS!D369)*($G77-$G76)</f>
        <v>1881227.34277073</v>
      </c>
      <c r="J76" s="420"/>
    </row>
    <row r="77" customFormat="false" ht="12.75" hidden="false" customHeight="false" outlineLevel="0" collapsed="false">
      <c r="G77" s="25" t="n">
        <f aca="false">+'ELBA BOOK'!A52</f>
        <v>37742</v>
      </c>
      <c r="H77" s="420" t="n">
        <f aca="false">+(SHIPS!C60+SHIPS!C370)*($G78-$G77)</f>
        <v>955085.295422486</v>
      </c>
      <c r="I77" s="420" t="n">
        <f aca="false">+(SHIPS!D60+SHIPS!D370)*($G78-$G77)</f>
        <v>1944636.13944821</v>
      </c>
      <c r="J77" s="420"/>
    </row>
    <row r="78" customFormat="false" ht="12.75" hidden="false" customHeight="false" outlineLevel="0" collapsed="false">
      <c r="G78" s="25" t="n">
        <f aca="false">+'ELBA BOOK'!A53</f>
        <v>37773</v>
      </c>
      <c r="H78" s="420" t="n">
        <f aca="false">+(SHIPS!C61+SHIPS!C371)*($G79-$G78)</f>
        <v>925201.667536726</v>
      </c>
      <c r="I78" s="420" t="n">
        <f aca="false">+(SHIPS!D61+SHIPS!D371)*($G79-$G78)</f>
        <v>1882585.95377942</v>
      </c>
      <c r="J78" s="420"/>
    </row>
    <row r="79" customFormat="false" ht="12.75" hidden="false" customHeight="false" outlineLevel="0" collapsed="false">
      <c r="G79" s="25" t="n">
        <f aca="false">+'ELBA BOOK'!A54</f>
        <v>37803</v>
      </c>
      <c r="H79" s="420" t="n">
        <f aca="false">+(SHIPS!C62+SHIPS!C372)*($G80-$G79)</f>
        <v>957000.143377786</v>
      </c>
      <c r="I79" s="420" t="n">
        <f aca="false">+(SHIPS!D62+SHIPS!D372)*($G80-$G79)</f>
        <v>1946042.96227812</v>
      </c>
      <c r="J79" s="420"/>
    </row>
    <row r="80" customFormat="false" ht="12.75" hidden="false" customHeight="false" outlineLevel="0" collapsed="false">
      <c r="G80" s="25" t="n">
        <f aca="false">+'ELBA BOOK'!A55</f>
        <v>37834</v>
      </c>
      <c r="H80" s="420" t="n">
        <f aca="false">+(SHIPS!C63+SHIPS!C373)*($G81-$G80)</f>
        <v>957960.560343156</v>
      </c>
      <c r="I80" s="420" t="n">
        <f aca="false">+(SHIPS!D63+SHIPS!D373)*($G81-$G80)</f>
        <v>1946748.5726162</v>
      </c>
      <c r="J80" s="420"/>
    </row>
    <row r="81" customFormat="false" ht="12.75" hidden="false" customHeight="false" outlineLevel="0" collapsed="false">
      <c r="G81" s="25" t="n">
        <f aca="false">+'ELBA BOOK'!A56</f>
        <v>37865</v>
      </c>
      <c r="H81" s="420" t="n">
        <f aca="false">+(SHIPS!C64+SHIPS!C374)*($G82-$G81)</f>
        <v>927989.978881166</v>
      </c>
      <c r="I81" s="420" t="n">
        <f aca="false">+(SHIPS!D64+SHIPS!D374)*($G82-$G81)</f>
        <v>1884634.50287982</v>
      </c>
      <c r="J81" s="420"/>
    </row>
    <row r="82" customFormat="false" ht="12.75" hidden="false" customHeight="false" outlineLevel="0" collapsed="false">
      <c r="G82" s="25" t="n">
        <f aca="false">+'ELBA BOOK'!A57</f>
        <v>37895</v>
      </c>
      <c r="H82" s="420" t="n">
        <f aca="false">+(SHIPS!C65+SHIPS!C375)*($G83-$G82)</f>
        <v>959887.401048407</v>
      </c>
      <c r="I82" s="420" t="n">
        <f aca="false">+(SHIPS!D65+SHIPS!D375)*($G83-$G82)</f>
        <v>1948164.20641951</v>
      </c>
      <c r="J82" s="420"/>
    </row>
    <row r="83" customFormat="false" ht="12.75" hidden="false" customHeight="false" outlineLevel="0" collapsed="false">
      <c r="G83" s="25" t="n">
        <f aca="false">+'ELBA BOOK'!A58</f>
        <v>37926</v>
      </c>
      <c r="H83" s="420" t="n">
        <f aca="false">+(SHIPS!C66+SHIPS!C376)*($G84-$G83)</f>
        <v>929858.548194121</v>
      </c>
      <c r="I83" s="420" t="n">
        <f aca="false">+(SHIPS!D66+SHIPS!D376)*($G84-$G83)</f>
        <v>1886007.32517699</v>
      </c>
      <c r="J83" s="420"/>
    </row>
    <row r="84" customFormat="false" ht="12.75" hidden="false" customHeight="false" outlineLevel="0" collapsed="false">
      <c r="G84" s="25" t="n">
        <f aca="false">+'ELBA BOOK'!A59</f>
        <v>37956</v>
      </c>
      <c r="H84" s="420" t="n">
        <f aca="false">+(SHIPS!C67+SHIPS!C377)*($G85-$G84)</f>
        <v>961822.278619621</v>
      </c>
      <c r="I84" s="420" t="n">
        <f aca="false">+(SHIPS!D67+SHIPS!D377)*($G85-$G84)</f>
        <v>1949585.74484125</v>
      </c>
      <c r="J84" s="420"/>
    </row>
    <row r="85" customFormat="false" ht="12.75" hidden="false" customHeight="false" outlineLevel="0" collapsed="false">
      <c r="G85" s="25" t="n">
        <f aca="false">+'ELBA BOOK'!A60</f>
        <v>37987</v>
      </c>
      <c r="H85" s="420" t="n">
        <f aca="false">+(SHIPS!C68+SHIPS!C378)*($G86-$G85)</f>
        <v>962792.741700078</v>
      </c>
      <c r="I85" s="420" t="n">
        <f aca="false">+(SHIPS!D68+SHIPS!D378)*($G86-$G85)</f>
        <v>1950298.73597634</v>
      </c>
      <c r="J85" s="420"/>
    </row>
    <row r="86" customFormat="false" ht="12.75" hidden="false" customHeight="false" outlineLevel="0" collapsed="false">
      <c r="G86" s="25" t="n">
        <f aca="false">+'ELBA BOOK'!A61</f>
        <v>38018</v>
      </c>
      <c r="H86" s="420" t="n">
        <f aca="false">+(SHIPS!C69+SHIPS!C379)*($G87-$G86)</f>
        <v>901586.82486387</v>
      </c>
      <c r="I86" s="420" t="n">
        <f aca="false">+(SHIPS!D69+SHIPS!D379)*($G87-$G86)</f>
        <v>1825141.39234771</v>
      </c>
      <c r="J86" s="420"/>
    </row>
    <row r="87" customFormat="false" ht="12.75" hidden="false" customHeight="false" outlineLevel="0" collapsed="false">
      <c r="G87" s="25" t="n">
        <f aca="false">+'ELBA BOOK'!A62</f>
        <v>38047</v>
      </c>
      <c r="H87" s="420" t="n">
        <f aca="false">+(SHIPS!C70+SHIPS!C380)*($G88-$G87)</f>
        <v>964739.737467325</v>
      </c>
      <c r="I87" s="420" t="n">
        <f aca="false">+(SHIPS!D70+SHIPS!D380)*($G88-$G87)</f>
        <v>1951729.17753569</v>
      </c>
      <c r="J87" s="420"/>
    </row>
    <row r="88" customFormat="false" ht="12.75" hidden="false" customHeight="false" outlineLevel="0" collapsed="false">
      <c r="G88" s="25" t="n">
        <f aca="false">+'ELBA BOOK'!A63</f>
        <v>38078</v>
      </c>
      <c r="H88" s="420" t="n">
        <f aca="false">+(SHIPS!C71+SHIPS!C381)*($G89-$G88)</f>
        <v>934564.140568112</v>
      </c>
      <c r="I88" s="420" t="n">
        <f aca="false">+(SHIPS!D71+SHIPS!D381)*($G89-$G88)</f>
        <v>1889464.48466666</v>
      </c>
      <c r="J88" s="420"/>
    </row>
    <row r="89" customFormat="false" ht="12.75" hidden="false" customHeight="false" outlineLevel="0" collapsed="false">
      <c r="G89" s="25" t="n">
        <f aca="false">+'ELBA BOOK'!A64</f>
        <v>38108</v>
      </c>
      <c r="H89" s="420" t="n">
        <f aca="false">+(SHIPS!C72+SHIPS!C382)*($G90-$G89)</f>
        <v>966694.854167439</v>
      </c>
      <c r="I89" s="420" t="n">
        <f aca="false">+(SHIPS!D72+SHIPS!D382)*($G90-$G89)</f>
        <v>1953165.58547671</v>
      </c>
      <c r="J89" s="420"/>
    </row>
    <row r="90" customFormat="false" ht="12.75" hidden="false" customHeight="false" outlineLevel="0" collapsed="false">
      <c r="G90" s="25" t="n">
        <f aca="false">+'ELBA BOOK'!A65</f>
        <v>38139</v>
      </c>
      <c r="H90" s="420" t="n">
        <f aca="false">+(SHIPS!C73+SHIPS!C383)*($G91-$G90)</f>
        <v>936460.130755117</v>
      </c>
      <c r="I90" s="420" t="n">
        <f aca="false">+(SHIPS!D73+SHIPS!D383)*($G91-$G90)</f>
        <v>1890857.45285141</v>
      </c>
      <c r="J90" s="420"/>
    </row>
    <row r="91" customFormat="false" ht="12.75" hidden="false" customHeight="false" outlineLevel="0" collapsed="false">
      <c r="G91" s="25" t="n">
        <f aca="false">+'ELBA BOOK'!A66</f>
        <v>38169</v>
      </c>
      <c r="H91" s="420" t="n">
        <f aca="false">+(SHIPS!C74+SHIPS!C384)*($G92-$G91)</f>
        <v>968658.125672886</v>
      </c>
      <c r="I91" s="420" t="n">
        <f aca="false">+(SHIPS!D74+SHIPS!D384)*($G92-$G91)</f>
        <v>1954607.98468523</v>
      </c>
      <c r="J91" s="420"/>
    </row>
    <row r="92" customFormat="false" ht="12.75" hidden="false" customHeight="false" outlineLevel="0" collapsed="false">
      <c r="G92" s="25" t="n">
        <f aca="false">+'ELBA BOOK'!A67</f>
        <v>38200</v>
      </c>
      <c r="H92" s="420" t="n">
        <f aca="false">+(SHIPS!C75+SHIPS!C385)*($G93-$G92)</f>
        <v>969642.830101371</v>
      </c>
      <c r="I92" s="420" t="n">
        <f aca="false">+(SHIPS!D75+SHIPS!D385)*($G93-$G92)</f>
        <v>1955331.43881999</v>
      </c>
      <c r="J92" s="420"/>
    </row>
    <row r="93" customFormat="false" ht="12.75" hidden="false" customHeight="false" outlineLevel="0" collapsed="false">
      <c r="G93" s="25" t="n">
        <f aca="false">+'ELBA BOOK'!A68</f>
        <v>38231</v>
      </c>
      <c r="H93" s="420" t="n">
        <f aca="false">+(SHIPS!C76+SHIPS!C386)*($G94-$G93)</f>
        <v>939318.954191047</v>
      </c>
      <c r="I93" s="420" t="n">
        <f aca="false">+(SHIPS!D76+SHIPS!D386)*($G94-$G93)</f>
        <v>1892957.80659761</v>
      </c>
      <c r="J93" s="420"/>
    </row>
    <row r="94" customFormat="false" ht="12.75" hidden="false" customHeight="false" outlineLevel="0" collapsed="false">
      <c r="G94" s="25" t="n">
        <f aca="false">+'ELBA BOOK'!A69</f>
        <v>38261</v>
      </c>
      <c r="H94" s="420" t="n">
        <f aca="false">+(SHIPS!C77+SHIPS!C387)*($G95-$G94)</f>
        <v>971618.39763491</v>
      </c>
      <c r="I94" s="420" t="n">
        <f aca="false">+(SHIPS!D77+SHIPS!D387)*($G95-$G94)</f>
        <v>1956782.87181785</v>
      </c>
      <c r="J94" s="420"/>
    </row>
    <row r="95" customFormat="false" ht="12.75" hidden="false" customHeight="false" outlineLevel="0" collapsed="false">
      <c r="G95" s="25" t="n">
        <f aca="false">+'ELBA BOOK'!A70</f>
        <v>38292</v>
      </c>
      <c r="H95" s="420" t="n">
        <f aca="false">+(SHIPS!C78+SHIPS!C388)*($G96-$G95)</f>
        <v>941234.776738693</v>
      </c>
      <c r="I95" s="420" t="n">
        <f aca="false">+(SHIPS!D78+SHIPS!D388)*($G96-$G95)</f>
        <v>1894365.34545239</v>
      </c>
      <c r="J95" s="420"/>
    </row>
    <row r="96" customFormat="false" ht="12.75" hidden="false" customHeight="false" outlineLevel="0" collapsed="false">
      <c r="G96" s="25" t="n">
        <f aca="false">+'ELBA BOOK'!A71</f>
        <v>38322</v>
      </c>
      <c r="H96" s="420" t="n">
        <f aca="false">+(SHIPS!C79+SHIPS!C389)*($G97-$G96)</f>
        <v>973602.205274351</v>
      </c>
      <c r="I96" s="420" t="n">
        <f aca="false">+(SHIPS!D79+SHIPS!D389)*($G97-$G96)</f>
        <v>1958240.35875282</v>
      </c>
      <c r="J96" s="420"/>
    </row>
    <row r="97" customFormat="false" ht="12.75" hidden="false" customHeight="false" outlineLevel="0" collapsed="false">
      <c r="G97" s="25" t="n">
        <f aca="false">+'ELBA BOOK'!A72</f>
        <v>38353</v>
      </c>
      <c r="H97" s="420" t="n">
        <f aca="false">+(SHIPS!C80+SHIPS!C390)*($G98-$G97)</f>
        <v>974597.209868673</v>
      </c>
      <c r="I97" s="420" t="n">
        <f aca="false">+(SHIPS!D80+SHIPS!D390)*($G98-$G97)</f>
        <v>1958971.38033355</v>
      </c>
      <c r="J97" s="420"/>
    </row>
    <row r="98" customFormat="false" ht="12.75" hidden="false" customHeight="false" outlineLevel="0" collapsed="false">
      <c r="G98" s="25" t="n">
        <f aca="false">+'ELBA BOOK'!A73</f>
        <v>38384</v>
      </c>
      <c r="H98" s="420" t="n">
        <f aca="false">+(SHIPS!C81+SHIPS!C391)*($G99-$G98)</f>
        <v>881181.936996726</v>
      </c>
      <c r="I98" s="420" t="n">
        <f aca="false">+(SHIPS!D81+SHIPS!D391)*($G99-$G98)</f>
        <v>1770055.15795244</v>
      </c>
      <c r="J98" s="420"/>
    </row>
    <row r="99" customFormat="false" ht="12.75" hidden="false" customHeight="false" outlineLevel="0" collapsed="false">
      <c r="G99" s="25" t="n">
        <f aca="false">+'ELBA BOOK'!A74</f>
        <v>38412</v>
      </c>
      <c r="H99" s="420" t="n">
        <f aca="false">+(SHIPS!C82+SHIPS!C392)*($G100-$G99)</f>
        <v>976593.442154627</v>
      </c>
      <c r="I99" s="420" t="n">
        <f aca="false">+(SHIPS!D82+SHIPS!D392)*($G100-$G99)</f>
        <v>1960437.99555274</v>
      </c>
      <c r="J99" s="420"/>
    </row>
    <row r="100" customFormat="false" ht="12.75" hidden="false" customHeight="false" outlineLevel="0" collapsed="false">
      <c r="G100" s="25" t="n">
        <f aca="false">+'ELBA BOOK'!A75</f>
        <v>38443</v>
      </c>
      <c r="H100" s="420" t="n">
        <f aca="false">+(SHIPS!C83+SHIPS!C393)*($G101-$G100)</f>
        <v>946059.366283015</v>
      </c>
      <c r="I100" s="420" t="n">
        <f aca="false">+(SHIPS!D83+SHIPS!D393)*($G101-$G100)</f>
        <v>1897909.9311711</v>
      </c>
      <c r="J100" s="420"/>
    </row>
    <row r="101" customFormat="false" ht="12.75" hidden="false" customHeight="false" outlineLevel="0" collapsed="false">
      <c r="G101" s="25" t="n">
        <f aca="false">+'ELBA BOOK'!A76</f>
        <v>38473</v>
      </c>
      <c r="H101" s="420" t="n">
        <f aca="false">+(SHIPS!C84+SHIPS!C394)*($G102-$G101)</f>
        <v>978598.000739308</v>
      </c>
      <c r="I101" s="420" t="n">
        <f aca="false">+(SHIPS!D84+SHIPS!D394)*($G102-$G101)</f>
        <v>1961910.72803419</v>
      </c>
      <c r="J101" s="420"/>
    </row>
    <row r="102" customFormat="false" ht="12.75" hidden="false" customHeight="false" outlineLevel="0" collapsed="false">
      <c r="G102" s="25" t="n">
        <f aca="false">+'ELBA BOOK'!A77</f>
        <v>38504</v>
      </c>
      <c r="H102" s="420" t="n">
        <f aca="false">+(SHIPS!C85+SHIPS!C395)*($G103-$G102)</f>
        <v>948003.303136305</v>
      </c>
      <c r="I102" s="420" t="n">
        <f aca="false">+(SHIPS!D85+SHIPS!D395)*($G103-$G102)</f>
        <v>1899338.12537186</v>
      </c>
      <c r="J102" s="420"/>
    </row>
    <row r="103" customFormat="false" ht="12.75" hidden="false" customHeight="false" outlineLevel="0" collapsed="false">
      <c r="G103" s="25" t="n">
        <f aca="false">+'ELBA BOOK'!A78</f>
        <v>38534</v>
      </c>
      <c r="H103" s="420" t="n">
        <f aca="false">+(SHIPS!C86+SHIPS!C396)*($G104-$G103)</f>
        <v>980610.920351767</v>
      </c>
      <c r="I103" s="420" t="n">
        <f aca="false">+(SHIPS!D86+SHIPS!D396)*($G104-$G103)</f>
        <v>1963389.60329305</v>
      </c>
      <c r="J103" s="420"/>
    </row>
    <row r="104" customFormat="false" ht="12.75" hidden="false" customHeight="false" outlineLevel="0" collapsed="false">
      <c r="G104" s="25" t="n">
        <f aca="false">+'ELBA BOOK'!A79</f>
        <v>38565</v>
      </c>
      <c r="H104" s="420" t="n">
        <f aca="false">+(SHIPS!C87+SHIPS!C397)*($G105-$G104)</f>
        <v>981620.526435833</v>
      </c>
      <c r="I104" s="420" t="n">
        <f aca="false">+(SHIPS!D87+SHIPS!D397)*($G105-$G104)</f>
        <v>1964131.35246657</v>
      </c>
      <c r="J104" s="420"/>
    </row>
    <row r="105" customFormat="false" ht="12.75" hidden="false" customHeight="false" outlineLevel="0" collapsed="false">
      <c r="G105" s="25" t="n">
        <f aca="false">+'ELBA BOOK'!A80</f>
        <v>38596</v>
      </c>
      <c r="H105" s="420" t="n">
        <f aca="false">+(SHIPS!C88+SHIPS!C398)*($G106-$G105)</f>
        <v>950934.421805717</v>
      </c>
      <c r="I105" s="420" t="n">
        <f aca="false">+(SHIPS!D88+SHIPS!D398)*($G106-$G105)</f>
        <v>1901491.59382343</v>
      </c>
      <c r="J105" s="420"/>
    </row>
    <row r="106" customFormat="false" ht="12.75" hidden="false" customHeight="false" outlineLevel="0" collapsed="false">
      <c r="G106" s="25" t="n">
        <f aca="false">+'ELBA BOOK'!A81</f>
        <v>38626</v>
      </c>
      <c r="H106" s="420" t="n">
        <f aca="false">+(SHIPS!C89+SHIPS!C399)*($G107-$G106)</f>
        <v>983646.053023962</v>
      </c>
      <c r="I106" s="420" t="n">
        <f aca="false">+(SHIPS!D89+SHIPS!D399)*($G107-$G106)</f>
        <v>1965619.48996536</v>
      </c>
      <c r="J106" s="420"/>
    </row>
    <row r="107" customFormat="false" ht="12.75" hidden="false" customHeight="false" outlineLevel="0" collapsed="false">
      <c r="G107" s="25" t="n">
        <f aca="false">+'ELBA BOOK'!A82</f>
        <v>38657</v>
      </c>
      <c r="H107" s="420" t="n">
        <f aca="false">+(SHIPS!C90+SHIPS!C400)*($G108-$G107)</f>
        <v>952898.692549447</v>
      </c>
      <c r="I107" s="420" t="n">
        <f aca="false">+(SHIPS!D90+SHIPS!D400)*($G108-$G107)</f>
        <v>1902934.72716399</v>
      </c>
      <c r="J107" s="420"/>
    </row>
    <row r="108" customFormat="false" ht="12.75" hidden="false" customHeight="false" outlineLevel="0" collapsed="false">
      <c r="G108" s="25" t="n">
        <f aca="false">+'ELBA BOOK'!A83</f>
        <v>38687</v>
      </c>
      <c r="H108" s="420" t="n">
        <f aca="false">+(SHIPS!C91+SHIPS!C401)*($G109-$G108)</f>
        <v>985680.028097556</v>
      </c>
      <c r="I108" s="420" t="n">
        <f aca="false">+(SHIPS!D91+SHIPS!D401)*($G109-$G108)</f>
        <v>1967113.83449599</v>
      </c>
      <c r="J108" s="420"/>
    </row>
    <row r="109" customFormat="false" ht="12.75" hidden="false" customHeight="false" outlineLevel="0" collapsed="false">
      <c r="G109" s="25" t="n">
        <f aca="false">+'ELBA BOOK'!A84</f>
        <v>38718</v>
      </c>
      <c r="H109" s="420" t="n">
        <f aca="false">+(SHIPS!C92+SHIPS!C402)*($G110-$G109)</f>
        <v>986700.194822759</v>
      </c>
      <c r="I109" s="420" t="n">
        <f aca="false">+(SHIPS!D92+SHIPS!D402)*($G110-$G109)</f>
        <v>1967863.34248452</v>
      </c>
      <c r="J109" s="420"/>
    </row>
    <row r="110" customFormat="false" ht="12.75" hidden="false" customHeight="false" outlineLevel="0" collapsed="false">
      <c r="G110" s="25" t="n">
        <f aca="false">+'ELBA BOOK'!A85</f>
        <v>38749</v>
      </c>
      <c r="H110" s="420" t="n">
        <f aca="false">+(SHIPS!C93+SHIPS!C403)*($G111-$G110)</f>
        <v>892136.439776406</v>
      </c>
      <c r="I110" s="420" t="n">
        <f aca="false">+(SHIPS!D93+SHIPS!D403)*($G111-$G110)</f>
        <v>1778103.33982403</v>
      </c>
      <c r="J110" s="420"/>
    </row>
    <row r="111" customFormat="false" ht="12.75" hidden="false" customHeight="false" outlineLevel="0" collapsed="false">
      <c r="G111" s="25" t="n">
        <f aca="false">+'ELBA BOOK'!A86</f>
        <v>38777</v>
      </c>
      <c r="H111" s="420" t="n">
        <f aca="false">+(SHIPS!C94+SHIPS!C404)*($G112-$G111)</f>
        <v>988746.908743005</v>
      </c>
      <c r="I111" s="420" t="n">
        <f aca="false">+(SHIPS!D94+SHIPS!D404)*($G112-$G111)</f>
        <v>1969367.04613959</v>
      </c>
      <c r="J111" s="420"/>
    </row>
    <row r="112" customFormat="false" ht="12.75" hidden="false" customHeight="false" outlineLevel="0" collapsed="false">
      <c r="G112" s="25" t="n">
        <f aca="false">+'ELBA BOOK'!A87</f>
        <v>38808</v>
      </c>
      <c r="H112" s="420" t="n">
        <f aca="false">+(SHIPS!C95+SHIPS!C405)*($G113-$G112)</f>
        <v>957845.288518922</v>
      </c>
      <c r="I112" s="420" t="n">
        <f aca="false">+(SHIPS!D95+SHIPS!D405)*($G113-$G112)</f>
        <v>1906568.94998618</v>
      </c>
      <c r="J112" s="420"/>
    </row>
    <row r="113" customFormat="false" ht="12.75" hidden="false" customHeight="false" outlineLevel="0" collapsed="false">
      <c r="G113" s="25" t="n">
        <f aca="false">+'ELBA BOOK'!A88</f>
        <v>38838</v>
      </c>
      <c r="H113" s="420" t="n">
        <f aca="false">+(SHIPS!C96+SHIPS!C406)*($G114-$G113)</f>
        <v>990802.159521226</v>
      </c>
      <c r="I113" s="420" t="n">
        <f aca="false">+(SHIPS!D96+SHIPS!D406)*($G114-$G113)</f>
        <v>1970877.02175305</v>
      </c>
      <c r="J113" s="420"/>
    </row>
    <row r="114" customFormat="false" ht="12.75" hidden="false" customHeight="false" outlineLevel="0" collapsed="false">
      <c r="G114" s="25" t="n">
        <f aca="false">+'ELBA BOOK'!A89</f>
        <v>38869</v>
      </c>
      <c r="H114" s="420" t="n">
        <f aca="false">+(SHIPS!C97+SHIPS!C407)*($G115-$G114)</f>
        <v>959838.384535705</v>
      </c>
      <c r="I114" s="420" t="n">
        <f aca="false">+(SHIPS!D97+SHIPS!D407)*($G115-$G114)</f>
        <v>1908033.26101455</v>
      </c>
      <c r="J114" s="420"/>
    </row>
    <row r="115" customFormat="false" ht="12.75" hidden="false" customHeight="false" outlineLevel="0" collapsed="false">
      <c r="G115" s="25" t="n">
        <f aca="false">+'ELBA BOOK'!A90</f>
        <v>38899</v>
      </c>
      <c r="H115" s="420" t="n">
        <f aca="false">+(SHIPS!C98+SHIPS!C408)*($G116-$G115)</f>
        <v>992865.982764715</v>
      </c>
      <c r="I115" s="420" t="n">
        <f aca="false">+(SHIPS!D98+SHIPS!D408)*($G116-$G115)</f>
        <v>1972393.29548527</v>
      </c>
      <c r="J115" s="420"/>
    </row>
    <row r="116" customFormat="false" ht="12.75" hidden="false" customHeight="false" outlineLevel="0" collapsed="false">
      <c r="G116" s="25" t="n">
        <f aca="false">+'ELBA BOOK'!A91</f>
        <v>38930</v>
      </c>
      <c r="H116" s="420" t="n">
        <f aca="false">+(SHIPS!C99+SHIPS!C409)*($G117-$G116)</f>
        <v>993901.120228808</v>
      </c>
      <c r="I116" s="420" t="n">
        <f aca="false">+(SHIPS!D99+SHIPS!D409)*($G117-$G116)</f>
        <v>1973153.80235087</v>
      </c>
      <c r="J116" s="420"/>
    </row>
    <row r="117" customFormat="false" ht="12.75" hidden="false" customHeight="false" outlineLevel="0" collapsed="false">
      <c r="G117" s="25" t="n">
        <f aca="false">+'ELBA BOOK'!A92</f>
        <v>38961</v>
      </c>
      <c r="H117" s="420" t="n">
        <f aca="false">+(SHIPS!C100+SHIPS!C410)*($G118-$G117)</f>
        <v>962843.626673502</v>
      </c>
      <c r="I117" s="420" t="n">
        <f aca="false">+(SHIPS!D100+SHIPS!D410)*($G118-$G117)</f>
        <v>1910241.18736042</v>
      </c>
      <c r="J117" s="420"/>
    </row>
    <row r="118" customFormat="false" ht="12.75" hidden="false" customHeight="false" outlineLevel="0" collapsed="false">
      <c r="G118" s="25" t="n">
        <f aca="false">+'ELBA BOOK'!A93</f>
        <v>38991</v>
      </c>
      <c r="H118" s="420" t="n">
        <f aca="false">+(SHIPS!C101+SHIPS!C411)*($G119-$G118)</f>
        <v>995977.869258929</v>
      </c>
      <c r="I118" s="420" t="n">
        <f aca="false">+(SHIPS!D101+SHIPS!D411)*($G119-$G118)</f>
        <v>1974679.57255077</v>
      </c>
      <c r="J118" s="420"/>
    </row>
    <row r="119" customFormat="false" ht="12.75" hidden="false" customHeight="false" outlineLevel="0" collapsed="false">
      <c r="G119" s="25" t="n">
        <f aca="false">+'ELBA BOOK'!A94</f>
        <v>39022</v>
      </c>
      <c r="H119" s="420" t="n">
        <f aca="false">+(SHIPS!C102+SHIPS!C412)*($G120-$G119)</f>
        <v>964857.570793438</v>
      </c>
      <c r="I119" s="420" t="n">
        <f aca="false">+(SHIPS!D102+SHIPS!D412)*($G120-$G119)</f>
        <v>1911720.81531638</v>
      </c>
      <c r="J119" s="420"/>
    </row>
    <row r="120" customFormat="false" ht="12.75" hidden="false" customHeight="false" outlineLevel="0" collapsed="false">
      <c r="G120" s="25" t="n">
        <f aca="false">+'ELBA BOOK'!A95</f>
        <v>39052</v>
      </c>
      <c r="H120" s="420" t="n">
        <f aca="false">+(SHIPS!C103+SHIPS!C413)*($G121-$G120)</f>
        <v>998063.280423677</v>
      </c>
      <c r="I120" s="420" t="n">
        <f aca="false">+(SHIPS!D103+SHIPS!D413)*($G121-$G120)</f>
        <v>1976211.70674878</v>
      </c>
      <c r="J120" s="420"/>
    </row>
    <row r="121" customFormat="false" ht="12.75" hidden="false" customHeight="false" outlineLevel="0" collapsed="false">
      <c r="G121" s="25" t="n">
        <f aca="false">+'ELBA BOOK'!A96</f>
        <v>39083</v>
      </c>
      <c r="H121" s="420" t="n">
        <f aca="false">+(SHIPS!C104+SHIPS!C414)*($G122-$G121)</f>
        <v>999109.245591226</v>
      </c>
      <c r="I121" s="420" t="n">
        <f aca="false">+(SHIPS!D104+SHIPS!D414)*($G122-$G121)</f>
        <v>1976980.16863784</v>
      </c>
      <c r="J121" s="420"/>
    </row>
    <row r="122" customFormat="false" ht="12.75" hidden="false" customHeight="false" outlineLevel="0" collapsed="false">
      <c r="G122" s="25" t="n">
        <f aca="false">+'ELBA BOOK'!A97</f>
        <v>39114</v>
      </c>
      <c r="H122" s="420" t="n">
        <f aca="false">+(SHIPS!C105+SHIPS!C415)*($G123-$G122)</f>
        <v>903367.965028403</v>
      </c>
      <c r="I122" s="420" t="n">
        <f aca="false">+(SHIPS!D105+SHIPS!D415)*($G123-$G122)</f>
        <v>1786355.04779667</v>
      </c>
      <c r="J122" s="420"/>
    </row>
    <row r="123" customFormat="false" ht="12.75" hidden="false" customHeight="false" outlineLevel="0" collapsed="false">
      <c r="G123" s="25" t="n">
        <f aca="false">+'ELBA BOOK'!A98</f>
        <v>39142</v>
      </c>
      <c r="H123" s="420" t="n">
        <f aca="false">+(SHIPS!C106+SHIPS!C416)*($G124-$G123)</f>
        <v>1001207.7177484</v>
      </c>
      <c r="I123" s="420" t="n">
        <f aca="false">+(SHIPS!D106+SHIPS!D416)*($G124-$G123)</f>
        <v>1978521.89863811</v>
      </c>
      <c r="J123" s="420"/>
    </row>
    <row r="124" customFormat="false" ht="12.75" hidden="false" customHeight="false" outlineLevel="0" collapsed="false">
      <c r="G124" s="25" t="n">
        <f aca="false">+'ELBA BOOK'!A99</f>
        <v>39173</v>
      </c>
      <c r="H124" s="420" t="n">
        <f aca="false">+(SHIPS!C107+SHIPS!C417)*($G125-$G124)</f>
        <v>969929.258542301</v>
      </c>
      <c r="I124" s="420" t="n">
        <f aca="false">+(SHIPS!D107+SHIPS!D417)*($G125-$G124)</f>
        <v>1915446.94202607</v>
      </c>
      <c r="J124" s="420"/>
    </row>
    <row r="125" customFormat="false" ht="12.75" hidden="false" customHeight="false" outlineLevel="0" collapsed="false">
      <c r="G125" s="25" t="n">
        <f aca="false">+'ELBA BOOK'!A100</f>
        <v>39203</v>
      </c>
      <c r="H125" s="420" t="n">
        <f aca="false">+(SHIPS!C108+SHIPS!C418)*($G126-$G125)</f>
        <v>1003314.94264752</v>
      </c>
      <c r="I125" s="420" t="n">
        <f aca="false">+(SHIPS!D108+SHIPS!D418)*($G126-$G125)</f>
        <v>1980070.05920491</v>
      </c>
      <c r="J125" s="420"/>
    </row>
    <row r="126" customFormat="false" ht="12.75" hidden="false" customHeight="false" outlineLevel="0" collapsed="false">
      <c r="G126" s="25" t="n">
        <f aca="false">+'ELBA BOOK'!A101</f>
        <v>39234</v>
      </c>
      <c r="H126" s="420" t="n">
        <f aca="false">+(SHIPS!C109+SHIPS!C419)*($G127-$G126)</f>
        <v>971972.756881967</v>
      </c>
      <c r="I126" s="420" t="n">
        <f aca="false">+(SHIPS!D109+SHIPS!D419)*($G127-$G126)</f>
        <v>1916948.28322089</v>
      </c>
      <c r="J126" s="420"/>
    </row>
    <row r="127" customFormat="false" ht="12.75" hidden="false" customHeight="false" outlineLevel="0" collapsed="false">
      <c r="G127" s="25" t="n">
        <f aca="false">+'ELBA BOOK'!A102</f>
        <v>39264</v>
      </c>
      <c r="H127" s="420" t="n">
        <f aca="false">+(SHIPS!C110+SHIPS!C420)*($G128-$G127)</f>
        <v>1005430.95679632</v>
      </c>
      <c r="I127" s="420" t="n">
        <f aca="false">+(SHIPS!D110+SHIPS!D420)*($G128-$G127)</f>
        <v>1981624.67716019</v>
      </c>
      <c r="J127" s="420"/>
    </row>
    <row r="128" customFormat="false" ht="12.75" hidden="false" customHeight="false" outlineLevel="0" collapsed="false">
      <c r="G128" s="25" t="n">
        <f aca="false">+'ELBA BOOK'!A103</f>
        <v>39295</v>
      </c>
      <c r="H128" s="420" t="n">
        <f aca="false">+(SHIPS!C111+SHIPS!C421)*($G129-$G128)</f>
        <v>1006492.27128965</v>
      </c>
      <c r="I128" s="420" t="n">
        <f aca="false">+(SHIPS!D111+SHIPS!D421)*($G129-$G128)</f>
        <v>1982404.41607094</v>
      </c>
      <c r="J128" s="420"/>
    </row>
    <row r="129" customFormat="false" ht="12.75" hidden="false" customHeight="false" outlineLevel="0" collapsed="false">
      <c r="G129" s="25" t="n">
        <f aca="false">+'ELBA BOOK'!A104</f>
        <v>39326</v>
      </c>
      <c r="H129" s="420" t="n">
        <f aca="false">+(SHIPS!C112+SHIPS!C422)*($G130-$G129)</f>
        <v>975053.99695629</v>
      </c>
      <c r="I129" s="420" t="n">
        <f aca="false">+(SHIPS!D112+SHIPS!D422)*($G130-$G129)</f>
        <v>1919212.04461718</v>
      </c>
      <c r="J129" s="420"/>
    </row>
    <row r="130" customFormat="false" ht="12.75" hidden="false" customHeight="false" outlineLevel="0" collapsed="false">
      <c r="G130" s="25" t="n">
        <f aca="false">+'ELBA BOOK'!A105</f>
        <v>39356</v>
      </c>
      <c r="H130" s="420" t="n">
        <f aca="false">+(SHIPS!C113+SHIPS!C423)*($G131-$G130)</f>
        <v>1008621.53809828</v>
      </c>
      <c r="I130" s="420" t="n">
        <f aca="false">+(SHIPS!D113+SHIPS!D423)*($G131-$G130)</f>
        <v>1983968.77064492</v>
      </c>
      <c r="J130" s="420"/>
    </row>
    <row r="131" customFormat="false" ht="12.75" hidden="false" customHeight="false" outlineLevel="0" collapsed="false">
      <c r="G131" s="25" t="n">
        <f aca="false">+'ELBA BOOK'!A106</f>
        <v>39387</v>
      </c>
      <c r="H131" s="420" t="n">
        <f aca="false">+(SHIPS!C114+SHIPS!C424)*($G132-$G131)</f>
        <v>977118.87061547</v>
      </c>
      <c r="I131" s="420" t="n">
        <f aca="false">+(SHIPS!D114+SHIPS!D424)*($G132-$G131)</f>
        <v>1920729.09008106</v>
      </c>
      <c r="J131" s="420"/>
    </row>
    <row r="132" customFormat="false" ht="12.75" hidden="false" customHeight="false" outlineLevel="0" collapsed="false">
      <c r="G132" s="25" t="n">
        <f aca="false">+'ELBA BOOK'!A107</f>
        <v>39417</v>
      </c>
      <c r="H132" s="420" t="n">
        <f aca="false">+(SHIPS!C115+SHIPS!C425)*($G133-$G132)</f>
        <v>1010759.68609356</v>
      </c>
      <c r="I132" s="420" t="n">
        <f aca="false">+(SHIPS!D115+SHIPS!D425)*($G133-$G132)</f>
        <v>1985539.65015268</v>
      </c>
      <c r="J132" s="420"/>
    </row>
    <row r="133" customFormat="false" ht="12.75" hidden="false" customHeight="false" outlineLevel="0" collapsed="false">
      <c r="G133" s="25" t="n">
        <f aca="false">+'ELBA BOOK'!A108</f>
        <v>39448</v>
      </c>
      <c r="H133" s="420" t="n">
        <f aca="false">+(SHIPS!C116+SHIPS!C426)*($G134-$G133)</f>
        <v>1011832.10210626</v>
      </c>
      <c r="I133" s="420" t="n">
        <f aca="false">+(SHIPS!D116+SHIPS!D426)*($G134-$G133)</f>
        <v>1986327.54525717</v>
      </c>
      <c r="J133" s="420"/>
    </row>
    <row r="134" customFormat="false" ht="12.75" hidden="false" customHeight="false" outlineLevel="0" collapsed="false">
      <c r="G134" s="25" t="n">
        <f aca="false">+'ELBA BOOK'!A109</f>
        <v>39479</v>
      </c>
      <c r="H134" s="420" t="n">
        <f aca="false">+(SHIPS!C117+SHIPS!C427)*($G135-$G134)</f>
        <v>947557.929588721</v>
      </c>
      <c r="I134" s="420" t="n">
        <f aca="false">+(SHIPS!D117+SHIPS!D427)*($G135-$G134)</f>
        <v>1858915.97975754</v>
      </c>
      <c r="J134" s="420"/>
    </row>
    <row r="135" customFormat="false" ht="12.75" hidden="false" customHeight="false" outlineLevel="0" collapsed="false">
      <c r="G135" s="25" t="n">
        <f aca="false">+'ELBA BOOK'!A110</f>
        <v>39508</v>
      </c>
      <c r="H135" s="420" t="n">
        <f aca="false">+(SHIPS!C118+SHIPS!C428)*($G136-$G135)</f>
        <v>1013983.64138631</v>
      </c>
      <c r="I135" s="420" t="n">
        <f aca="false">+(SHIPS!D118+SHIPS!D428)*($G136-$G135)</f>
        <v>1987908.26323022</v>
      </c>
      <c r="J135" s="420"/>
    </row>
    <row r="136" customFormat="false" ht="12.75" hidden="false" customHeight="false" outlineLevel="0" collapsed="false">
      <c r="G136" s="25" t="n">
        <f aca="false">+'ELBA BOOK'!A111</f>
        <v>39539</v>
      </c>
      <c r="H136" s="420" t="n">
        <f aca="false">+(SHIPS!C119+SHIPS!C429)*($G137-$G136)</f>
        <v>982318.813521803</v>
      </c>
      <c r="I136" s="420" t="n">
        <f aca="false">+(SHIPS!D119+SHIPS!D429)*($G137-$G136)</f>
        <v>1924549.44478576</v>
      </c>
      <c r="J136" s="420"/>
    </row>
    <row r="137" customFormat="false" ht="12.75" hidden="false" customHeight="false" outlineLevel="0" collapsed="false">
      <c r="G137" s="25" t="n">
        <f aca="false">+'ELBA BOOK'!A112</f>
        <v>39569</v>
      </c>
      <c r="H137" s="420" t="n">
        <f aca="false">+(SHIPS!C120+SHIPS!C430)*($G138-$G137)</f>
        <v>1016144.15475164</v>
      </c>
      <c r="I137" s="420" t="n">
        <f aca="false">+(SHIPS!D120+SHIPS!D430)*($G138-$G137)</f>
        <v>1989495.57438892</v>
      </c>
      <c r="J137" s="420"/>
    </row>
    <row r="138" customFormat="false" ht="12.75" hidden="false" customHeight="false" outlineLevel="0" collapsed="false">
      <c r="G138" s="25" t="n">
        <f aca="false">+'ELBA BOOK'!A113</f>
        <v>39600</v>
      </c>
      <c r="H138" s="420" t="n">
        <f aca="false">+(SHIPS!C121+SHIPS!C431)*($G139-$G138)</f>
        <v>984413.988781328</v>
      </c>
      <c r="I138" s="420" t="n">
        <f aca="false">+(SHIPS!D121+SHIPS!D431)*($G139-$G138)</f>
        <v>1926088.75258281</v>
      </c>
      <c r="J138" s="420"/>
    </row>
    <row r="139" customFormat="false" ht="12.75" hidden="false" customHeight="false" outlineLevel="0" collapsed="false">
      <c r="G139" s="25" t="n">
        <f aca="false">+'ELBA BOOK'!A114</f>
        <v>39630</v>
      </c>
      <c r="H139" s="420" t="n">
        <f aca="false">+(SHIPS!C122+SHIPS!C432)*($G140-$G139)</f>
        <v>1018313.67963322</v>
      </c>
      <c r="I139" s="420" t="n">
        <f aca="false">+(SHIPS!D122+SHIPS!D432)*($G140-$G139)</f>
        <v>1991089.50623349</v>
      </c>
      <c r="J139" s="420"/>
    </row>
    <row r="140" customFormat="false" ht="12.75" hidden="false" customHeight="false" outlineLevel="0" collapsed="false">
      <c r="G140" s="25" t="n">
        <f aca="false">+'ELBA BOOK'!A115</f>
        <v>39661</v>
      </c>
      <c r="H140" s="420" t="n">
        <f aca="false">+(SHIPS!C123+SHIPS!C433)*($G141-$G140)</f>
        <v>1019401.83313246</v>
      </c>
      <c r="I140" s="420" t="n">
        <f aca="false">+(SHIPS!D123+SHIPS!D433)*($G141-$G140)</f>
        <v>1991888.96353814</v>
      </c>
      <c r="J140" s="420"/>
    </row>
    <row r="141" customFormat="false" ht="12.75" hidden="false" customHeight="false" outlineLevel="0" collapsed="false">
      <c r="G141" s="25" t="n">
        <f aca="false">+'ELBA BOOK'!A116</f>
        <v>39692</v>
      </c>
      <c r="H141" s="420" t="n">
        <f aca="false">+(SHIPS!C124+SHIPS!C434)*($G142-$G141)</f>
        <v>987573.148662725</v>
      </c>
      <c r="I141" s="420" t="n">
        <f aca="false">+(SHIPS!D124+SHIPS!D434)*($G142-$G141)</f>
        <v>1928409.76101179</v>
      </c>
      <c r="J141" s="420"/>
    </row>
    <row r="142" customFormat="false" ht="12.75" hidden="false" customHeight="false" outlineLevel="0" collapsed="false">
      <c r="G142" s="25" t="n">
        <f aca="false">+'ELBA BOOK'!A117</f>
        <v>39722</v>
      </c>
      <c r="H142" s="420" t="n">
        <f aca="false">+(SHIPS!C125+SHIPS!C435)*($G143-$G142)</f>
        <v>1021584.94581319</v>
      </c>
      <c r="I142" s="420" t="n">
        <f aca="false">+(SHIPS!D125+SHIPS!D435)*($G143-$G142)</f>
        <v>1993492.87822547</v>
      </c>
      <c r="J142" s="420"/>
    </row>
    <row r="143" customFormat="false" ht="12.75" hidden="false" customHeight="false" outlineLevel="0" collapsed="false">
      <c r="G143" s="25" t="n">
        <f aca="false">+'ELBA BOOK'!A118</f>
        <v>39753</v>
      </c>
      <c r="H143" s="420" t="n">
        <f aca="false">+(SHIPS!C126+SHIPS!C436)*($G144-$G143)</f>
        <v>989690.239790611</v>
      </c>
      <c r="I143" s="420" t="n">
        <f aca="false">+(SHIPS!D126+SHIPS!D436)*($G144-$G143)</f>
        <v>1929965.17021462</v>
      </c>
      <c r="J143" s="420"/>
    </row>
    <row r="144" customFormat="false" ht="12.75" hidden="false" customHeight="false" outlineLevel="0" collapsed="false">
      <c r="G144" s="25" t="n">
        <f aca="false">+'ELBA BOOK'!A119</f>
        <v>39783</v>
      </c>
      <c r="H144" s="420" t="n">
        <f aca="false">+(SHIPS!C127+SHIPS!C437)*($G145-$G144)</f>
        <v>1023777.16427207</v>
      </c>
      <c r="I144" s="420" t="n">
        <f aca="false">+(SHIPS!D127+SHIPS!D437)*($G145-$G144)</f>
        <v>1995103.4828521</v>
      </c>
      <c r="J144" s="420"/>
    </row>
    <row r="145" customFormat="false" ht="12.75" hidden="false" customHeight="false" outlineLevel="0" collapsed="false">
      <c r="G145" s="25" t="n">
        <f aca="false">+'ELBA BOOK'!A120</f>
        <v>39814</v>
      </c>
      <c r="H145" s="420" t="n">
        <f aca="false">+(SHIPS!C128+SHIPS!C438)*($G146-$G145)</f>
        <v>1024876.70003097</v>
      </c>
      <c r="I145" s="420" t="n">
        <f aca="false">+(SHIPS!D128+SHIPS!D438)*($G146-$G145)</f>
        <v>1995911.30260804</v>
      </c>
      <c r="J145" s="420"/>
    </row>
    <row r="146" customFormat="false" ht="12.75" hidden="false" customHeight="false" outlineLevel="0" collapsed="false">
      <c r="G146" s="25" t="n">
        <f aca="false">+'ELBA BOOK'!A121</f>
        <v>39845</v>
      </c>
      <c r="H146" s="420" t="n">
        <f aca="false">+(SHIPS!C129+SHIPS!C439)*($G147-$G146)</f>
        <v>926690.281990397</v>
      </c>
      <c r="I146" s="420" t="n">
        <f aca="false">+(SHIPS!D129+SHIPS!D439)*($G147-$G146)</f>
        <v>1803489.7596455</v>
      </c>
      <c r="J146" s="420"/>
    </row>
    <row r="147" customFormat="false" ht="12.75" hidden="false" customHeight="false" outlineLevel="0" collapsed="false">
      <c r="G147" s="25" t="n">
        <f aca="false">+'ELBA BOOK'!A122</f>
        <v>39873</v>
      </c>
      <c r="H147" s="420" t="n">
        <f aca="false">+(SHIPS!C130+SHIPS!C440)*($G148-$G147)</f>
        <v>1027082.64841955</v>
      </c>
      <c r="I147" s="420" t="n">
        <f aca="false">+(SHIPS!D130+SHIPS!D440)*($G148-$G147)</f>
        <v>1997531.99449956</v>
      </c>
      <c r="J147" s="420"/>
    </row>
    <row r="148" customFormat="false" ht="12.75" hidden="false" customHeight="false" outlineLevel="0" collapsed="false">
      <c r="G148" s="25" t="n">
        <f aca="false">+'ELBA BOOK'!A123</f>
        <v>39904</v>
      </c>
      <c r="H148" s="420" t="n">
        <f aca="false">+(SHIPS!C131+SHIPS!C441)*($G149-$G148)</f>
        <v>995021.681229446</v>
      </c>
      <c r="I148" s="420" t="n">
        <f aca="false">+(SHIPS!D131+SHIPS!D441)*($G149-$G148)</f>
        <v>1933882.13579493</v>
      </c>
      <c r="J148" s="420"/>
    </row>
    <row r="149" customFormat="false" ht="12.75" hidden="false" customHeight="false" outlineLevel="0" collapsed="false">
      <c r="G149" s="25" t="n">
        <f aca="false">+'ELBA BOOK'!A124</f>
        <v>39934</v>
      </c>
      <c r="H149" s="420" t="n">
        <f aca="false">+(SHIPS!C132+SHIPS!C442)*($G150-$G149)</f>
        <v>1029297.79783419</v>
      </c>
      <c r="I149" s="420" t="n">
        <f aca="false">+(SHIPS!D132+SHIPS!D442)*($G150-$G149)</f>
        <v>1999159.44630821</v>
      </c>
      <c r="J149" s="420"/>
    </row>
    <row r="150" customFormat="false" ht="12.75" hidden="false" customHeight="false" outlineLevel="0" collapsed="false">
      <c r="G150" s="25" t="n">
        <f aca="false">+'ELBA BOOK'!A125</f>
        <v>39965</v>
      </c>
      <c r="H150" s="420" t="n">
        <f aca="false">+(SHIPS!C133+SHIPS!C443)*($G151-$G150)</f>
        <v>997169.840238394</v>
      </c>
      <c r="I150" s="420" t="n">
        <f aca="false">+(SHIPS!D133+SHIPS!D443)*($G151-$G150)</f>
        <v>1935460.37031099</v>
      </c>
      <c r="J150" s="420"/>
    </row>
    <row r="151" customFormat="false" ht="12.75" hidden="false" customHeight="false" outlineLevel="0" collapsed="false">
      <c r="G151" s="25" t="n">
        <f aca="false">+'ELBA BOOK'!A126</f>
        <v>39995</v>
      </c>
      <c r="H151" s="420" t="n">
        <f aca="false">+(SHIPS!C134+SHIPS!C444)*($G152-$G151)</f>
        <v>1031522.18665241</v>
      </c>
      <c r="I151" s="420" t="n">
        <f aca="false">+(SHIPS!D134+SHIPS!D444)*($G152-$G151)</f>
        <v>2000793.68622966</v>
      </c>
      <c r="J151" s="420"/>
    </row>
    <row r="152" customFormat="false" ht="12.75" hidden="false" customHeight="false" outlineLevel="0" collapsed="false">
      <c r="G152" s="25" t="n">
        <f aca="false">+'ELBA BOOK'!A127</f>
        <v>40026</v>
      </c>
      <c r="H152" s="420" t="n">
        <f aca="false">+(SHIPS!C135+SHIPS!C445)*($G153-$G152)</f>
        <v>1032637.8578746</v>
      </c>
      <c r="I152" s="420" t="n">
        <f aca="false">+(SHIPS!D135+SHIPS!D445)*($G153-$G152)</f>
        <v>2001613.36057598</v>
      </c>
      <c r="J152" s="420"/>
    </row>
    <row r="153" customFormat="false" ht="12.75" hidden="false" customHeight="false" outlineLevel="0" collapsed="false">
      <c r="G153" s="25" t="n">
        <f aca="false">+'ELBA BOOK'!A128</f>
        <v>40057</v>
      </c>
      <c r="H153" s="420" t="n">
        <f aca="false">+(SHIPS!C136+SHIPS!C446)*($G154-$G153)</f>
        <v>1000408.89039856</v>
      </c>
      <c r="I153" s="420" t="n">
        <f aca="false">+(SHIPS!D136+SHIPS!D446)*($G154-$G153)</f>
        <v>1937840.07346178</v>
      </c>
      <c r="J153" s="420"/>
    </row>
    <row r="154" customFormat="false" ht="12.75" hidden="false" customHeight="false" outlineLevel="0" collapsed="false">
      <c r="G154" s="25" t="n">
        <f aca="false">+'ELBA BOOK'!A129</f>
        <v>40087</v>
      </c>
      <c r="H154" s="420" t="n">
        <f aca="false">+(SHIPS!C137+SHIPS!C447)*($G155-$G154)</f>
        <v>1034876.17810645</v>
      </c>
      <c r="I154" s="420" t="n">
        <f aca="false">+(SHIPS!D137+SHIPS!D447)*($G155-$G154)</f>
        <v>2003257.83579088</v>
      </c>
      <c r="J154" s="420"/>
    </row>
    <row r="155" customFormat="false" ht="12.75" hidden="false" customHeight="false" outlineLevel="0" collapsed="false">
      <c r="G155" s="25" t="n">
        <f aca="false">+'ELBA BOOK'!A130</f>
        <v>40118</v>
      </c>
      <c r="H155" s="420" t="n">
        <f aca="false">+(SHIPS!C138+SHIPS!C448)*($G156-$G155)</f>
        <v>1002579.51949436</v>
      </c>
      <c r="I155" s="420" t="n">
        <f aca="false">+(SHIPS!D138+SHIPS!D448)*($G156-$G155)</f>
        <v>1939434.81656333</v>
      </c>
      <c r="J155" s="420"/>
    </row>
    <row r="156" customFormat="false" ht="12.75" hidden="false" customHeight="false" outlineLevel="0" collapsed="false">
      <c r="G156" s="25" t="n">
        <f aca="false">+'ELBA BOOK'!A131</f>
        <v>40148</v>
      </c>
      <c r="H156" s="420" t="n">
        <f aca="false">+(SHIPS!C139+SHIPS!C449)*($G157-$G156)</f>
        <v>1037123.83438753</v>
      </c>
      <c r="I156" s="420" t="n">
        <f aca="false">+(SHIPS!D139+SHIPS!D449)*($G157-$G156)</f>
        <v>2004909.17012332</v>
      </c>
      <c r="J156" s="420"/>
    </row>
    <row r="157" customFormat="false" ht="12.75" hidden="false" customHeight="false" outlineLevel="0" collapsed="false">
      <c r="G157" s="25" t="n">
        <f aca="false">+'ELBA BOOK'!A132</f>
        <v>40179</v>
      </c>
      <c r="H157" s="420" t="n">
        <f aca="false">+(SHIPS!C140+SHIPS!C450)*($G158-$G157)</f>
        <v>1038251.17570917</v>
      </c>
      <c r="I157" s="420" t="n">
        <f aca="false">+(SHIPS!D140+SHIPS!D450)*($G158-$G157)</f>
        <v>2005737.41839441</v>
      </c>
      <c r="J157" s="420"/>
    </row>
    <row r="158" customFormat="false" ht="12.75" hidden="false" customHeight="false" outlineLevel="0" collapsed="false">
      <c r="G158" s="25" t="n">
        <f aca="false">+'ELBA BOOK'!A133</f>
        <v>40210</v>
      </c>
      <c r="H158" s="420" t="n">
        <f aca="false">+(SHIPS!C141+SHIPS!C451)*($G159-$G158)</f>
        <v>938795.62059483</v>
      </c>
      <c r="I158" s="420" t="n">
        <f aca="false">+(SHIPS!D141+SHIPS!D451)*($G159-$G158)</f>
        <v>1812383.45100376</v>
      </c>
      <c r="J158" s="420"/>
    </row>
    <row r="159" customFormat="false" ht="12.75" hidden="false" customHeight="false" outlineLevel="0" collapsed="false">
      <c r="G159" s="25" t="n">
        <f aca="false">+'ELBA BOOK'!A134</f>
        <v>40238</v>
      </c>
      <c r="H159" s="420" t="n">
        <f aca="false">+(SHIPS!C142+SHIPS!C452)*($G160-$G159)</f>
        <v>1040512.90912868</v>
      </c>
      <c r="I159" s="420" t="n">
        <f aca="false">+(SHIPS!D142+SHIPS!D452)*($G160-$G159)</f>
        <v>2007399.09508311</v>
      </c>
      <c r="J159" s="420"/>
    </row>
    <row r="160" customFormat="false" ht="12.75" hidden="false" customHeight="false" outlineLevel="0" collapsed="false">
      <c r="G160" s="25" t="n">
        <f aca="false">+'ELBA BOOK'!A135</f>
        <v>40269</v>
      </c>
      <c r="H160" s="420" t="n">
        <f aca="false">+(SHIPS!C143+SHIPS!C453)*($G161-$G160)</f>
        <v>1008045.78486068</v>
      </c>
      <c r="I160" s="420" t="n">
        <f aca="false">+(SHIPS!D143+SHIPS!D453)*($G161-$G160)</f>
        <v>1943450.83615923</v>
      </c>
      <c r="J160" s="420"/>
    </row>
    <row r="161" customFormat="false" ht="12.75" hidden="false" customHeight="false" outlineLevel="0" collapsed="false">
      <c r="G161" s="25" t="n">
        <f aca="false">+'ELBA BOOK'!A136</f>
        <v>40299</v>
      </c>
      <c r="H161" s="420" t="n">
        <f aca="false">+(SHIPS!C144+SHIPS!C454)*($G162-$G161)</f>
        <v>1042784.076254</v>
      </c>
      <c r="I161" s="420" t="n">
        <f aca="false">+(SHIPS!D144+SHIPS!D454)*($G162-$G161)</f>
        <v>2009067.70263682</v>
      </c>
      <c r="J161" s="420"/>
    </row>
    <row r="162" customFormat="false" ht="12.75" hidden="false" customHeight="false" outlineLevel="0" collapsed="false">
      <c r="G162" s="25" t="n">
        <f aca="false">+'ELBA BOOK'!A137</f>
        <v>40330</v>
      </c>
      <c r="H162" s="420" t="n">
        <f aca="false">+(SHIPS!C145+SHIPS!C455)*($G163-$G162)</f>
        <v>1010248.26749632</v>
      </c>
      <c r="I162" s="420" t="n">
        <f aca="false">+(SHIPS!D145+SHIPS!D455)*($G163-$G162)</f>
        <v>1945068.98179095</v>
      </c>
      <c r="J162" s="420"/>
    </row>
    <row r="163" customFormat="false" ht="12.75" hidden="false" customHeight="false" outlineLevel="0" collapsed="false">
      <c r="G163" s="25" t="n">
        <f aca="false">+'ELBA BOOK'!A138</f>
        <v>40360</v>
      </c>
      <c r="H163" s="420" t="n">
        <f aca="false">+(SHIPS!C146+SHIPS!C456)*($G164-$G163)</f>
        <v>1045064.71643317</v>
      </c>
      <c r="I163" s="420" t="n">
        <f aca="false">+(SHIPS!D146+SHIPS!D456)*($G164-$G163)</f>
        <v>2010743.26996423</v>
      </c>
      <c r="J163" s="420"/>
    </row>
    <row r="164" customFormat="false" ht="12.75" hidden="false" customHeight="false" outlineLevel="0" collapsed="false">
      <c r="G164" s="25" t="n">
        <f aca="false">+'ELBA BOOK'!A139</f>
        <v>40391</v>
      </c>
      <c r="H164" s="420" t="n">
        <f aca="false">+(SHIPS!C147+SHIPS!C457)*($G165-$G164)</f>
        <v>1046208.60125907</v>
      </c>
      <c r="I164" s="420" t="n">
        <f aca="false">+(SHIPS!D147+SHIPS!D457)*($G165-$G164)</f>
        <v>2011583.67260999</v>
      </c>
      <c r="J164" s="420"/>
    </row>
    <row r="165" customFormat="false" ht="12.75" hidden="false" customHeight="false" outlineLevel="0" collapsed="false">
      <c r="G165" s="25" t="n">
        <f aca="false">+'ELBA BOOK'!A140</f>
        <v>40422</v>
      </c>
      <c r="H165" s="420" t="n">
        <f aca="false">+(SHIPS!C148+SHIPS!C458)*($G166-$G165)</f>
        <v>1013569.22823712</v>
      </c>
      <c r="I165" s="420" t="n">
        <f aca="false">+(SHIPS!D148+SHIPS!D458)*($G166-$G165)</f>
        <v>1947508.86396251</v>
      </c>
      <c r="J165" s="420"/>
    </row>
    <row r="166" customFormat="false" ht="12.75" hidden="false" customHeight="false" outlineLevel="0" collapsed="false">
      <c r="G166" s="25" t="n">
        <f aca="false">+'ELBA BOOK'!A141</f>
        <v>40452</v>
      </c>
      <c r="H166" s="420" t="n">
        <f aca="false">+(SHIPS!C149+SHIPS!C459)*($G167-$G166)</f>
        <v>1048503.52515581</v>
      </c>
      <c r="I166" s="420" t="n">
        <f aca="false">+(SHIPS!D149+SHIPS!D459)*($G167-$G166)</f>
        <v>2013269.73406562</v>
      </c>
      <c r="J166" s="420"/>
    </row>
    <row r="167" customFormat="false" ht="12.75" hidden="false" customHeight="false" outlineLevel="0" collapsed="false">
      <c r="G167" s="25" t="n">
        <f aca="false">+'ELBA BOOK'!A142</f>
        <v>40483</v>
      </c>
      <c r="H167" s="420" t="n">
        <f aca="false">+(SHIPS!C150+SHIPS!C460)*($G168-$G167)</f>
        <v>1015794.74919344</v>
      </c>
      <c r="I167" s="420" t="n">
        <f aca="false">+(SHIPS!D150+SHIPS!D460)*($G168-$G167)</f>
        <v>1949143.93565638</v>
      </c>
      <c r="J167" s="420"/>
    </row>
    <row r="168" customFormat="false" ht="12.75" hidden="false" customHeight="false" outlineLevel="0" collapsed="false">
      <c r="G168" s="25" t="n">
        <f aca="false">+'ELBA BOOK'!A143</f>
        <v>40513</v>
      </c>
      <c r="H168" s="420" t="n">
        <f aca="false">+(SHIPS!C151+SHIPS!C461)*($G169-$G168)</f>
        <v>1050808.02119607</v>
      </c>
      <c r="I168" s="420" t="n">
        <f aca="false">+(SHIPS!D151+SHIPS!D461)*($G169-$G168)</f>
        <v>2014962.8280953</v>
      </c>
      <c r="J168" s="420"/>
    </row>
    <row r="169" customFormat="false" ht="12.75" hidden="false" customHeight="false" outlineLevel="0" collapsed="false">
      <c r="G169" s="25" t="n">
        <f aca="false">+'ELBA BOOK'!A144</f>
        <v>40544</v>
      </c>
      <c r="H169" s="420" t="n">
        <f aca="false">+(SHIPS!C152+SHIPS!C462)*($G170-$G169)</f>
        <v>1051963.87124023</v>
      </c>
      <c r="I169" s="420" t="n">
        <f aca="false">+(SHIPS!D152+SHIPS!D462)*($G170-$G169)</f>
        <v>2015812.02148716</v>
      </c>
      <c r="J169" s="420"/>
    </row>
    <row r="170" customFormat="false" ht="12.75" hidden="false" customHeight="false" outlineLevel="0" collapsed="false">
      <c r="G170" s="25" t="n">
        <f aca="false">+'ELBA BOOK'!A145</f>
        <v>40575</v>
      </c>
      <c r="H170" s="420" t="n">
        <f aca="false">+(SHIPS!C153+SHIPS!C463)*($G171-$G170)</f>
        <v>951207.084533829</v>
      </c>
      <c r="I170" s="420" t="n">
        <f aca="false">+(SHIPS!D153+SHIPS!D463)*($G171-$G170)</f>
        <v>1821502.05009335</v>
      </c>
      <c r="J170" s="420"/>
    </row>
    <row r="171" customFormat="false" ht="12.75" hidden="false" customHeight="false" outlineLevel="0" collapsed="false">
      <c r="G171" s="25" t="n">
        <f aca="false">+'ELBA BOOK'!A146</f>
        <v>40603</v>
      </c>
      <c r="H171" s="420" t="n">
        <f aca="false">+(SHIPS!C154+SHIPS!C464)*($G172-$G171)</f>
        <v>1054282.80040803</v>
      </c>
      <c r="I171" s="420" t="n">
        <f aca="false">+(SHIPS!D154+SHIPS!D464)*($G172-$G171)</f>
        <v>2017515.71941533</v>
      </c>
      <c r="J171" s="420"/>
    </row>
    <row r="172" customFormat="false" ht="12.75" hidden="false" customHeight="false" outlineLevel="0" collapsed="false">
      <c r="G172" s="25" t="n">
        <f aca="false">+'ELBA BOOK'!A147</f>
        <v>40634</v>
      </c>
      <c r="H172" s="420" t="n">
        <f aca="false">+(SHIPS!C155+SHIPS!C465)*($G173-$G172)</f>
        <v>1021399.24797634</v>
      </c>
      <c r="I172" s="420" t="n">
        <f aca="false">+(SHIPS!D155+SHIPS!D465)*($G173-$G172)</f>
        <v>1953261.51419107</v>
      </c>
      <c r="J172" s="420"/>
    </row>
    <row r="173" customFormat="false" ht="12.75" hidden="false" customHeight="false" outlineLevel="0" collapsed="false">
      <c r="G173" s="25" t="n">
        <f aca="false">+'ELBA BOOK'!A148</f>
        <v>40664</v>
      </c>
      <c r="H173" s="420" t="n">
        <f aca="false">+(SHIPS!C156+SHIPS!C466)*($G174-$G173)</f>
        <v>1056611.4018455</v>
      </c>
      <c r="I173" s="420" t="n">
        <f aca="false">+(SHIPS!D156+SHIPS!D466)*($G174-$G173)</f>
        <v>2019226.52347938</v>
      </c>
      <c r="J173" s="420"/>
    </row>
    <row r="174" customFormat="false" ht="12.75" hidden="false" customHeight="false" outlineLevel="0" collapsed="false">
      <c r="G174" s="25" t="n">
        <f aca="false">+'ELBA BOOK'!A149</f>
        <v>40695</v>
      </c>
      <c r="H174" s="420" t="n">
        <f aca="false">+(SHIPS!C157+SHIPS!C467)*($G175-$G174)</f>
        <v>1023657.42799936</v>
      </c>
      <c r="I174" s="420" t="n">
        <f aca="false">+(SHIPS!D157+SHIPS!D467)*($G175-$G174)</f>
        <v>1954920.580229</v>
      </c>
      <c r="J174" s="420"/>
    </row>
    <row r="175" customFormat="false" ht="12.75" hidden="false" customHeight="false" outlineLevel="0" collapsed="false">
      <c r="G175" s="25" t="n">
        <f aca="false">+'ELBA BOOK'!A150</f>
        <v>40725</v>
      </c>
      <c r="H175" s="420" t="n">
        <f aca="false">+(SHIPS!C158+SHIPS!C468)*($G176-$G175)</f>
        <v>1058949.71589573</v>
      </c>
      <c r="I175" s="420" t="n">
        <f aca="false">+(SHIPS!D158+SHIPS!D468)*($G176-$G175)</f>
        <v>2020944.46331907</v>
      </c>
      <c r="J175" s="420"/>
    </row>
    <row r="176" customFormat="false" ht="12.75" hidden="false" customHeight="false" outlineLevel="0" collapsed="false">
      <c r="G176" s="25" t="n">
        <f aca="false">+'ELBA BOOK'!A151</f>
        <v>40756</v>
      </c>
      <c r="H176" s="420" t="n">
        <f aca="false">+(SHIPS!C159+SHIPS!C469)*($G177-$G176)</f>
        <v>1060122.52780385</v>
      </c>
      <c r="I176" s="420" t="n">
        <f aca="false">+(SHIPS!D159+SHIPS!D469)*($G177-$G176)</f>
        <v>2021806.11845098</v>
      </c>
      <c r="J176" s="420"/>
    </row>
    <row r="177" customFormat="false" ht="12.75" hidden="false" customHeight="false" outlineLevel="0" collapsed="false">
      <c r="G177" s="25" t="n">
        <f aca="false">+'ELBA BOOK'!A152</f>
        <v>40787</v>
      </c>
      <c r="H177" s="420" t="n">
        <f aca="false">+(SHIPS!C160+SHIPS!C470)*($G178-$G177)</f>
        <v>1027062.370713</v>
      </c>
      <c r="I177" s="420" t="n">
        <f aca="false">+(SHIPS!D160+SHIPS!D470)*($G178-$G177)</f>
        <v>1957422.16325589</v>
      </c>
      <c r="J177" s="420"/>
    </row>
    <row r="178" customFormat="false" ht="12.75" hidden="false" customHeight="false" outlineLevel="0" collapsed="false">
      <c r="G178" s="25" t="n">
        <f aca="false">+'ELBA BOOK'!A153</f>
        <v>40817</v>
      </c>
      <c r="H178" s="420" t="n">
        <f aca="false">+(SHIPS!C161+SHIPS!C471)*($G179-$G178)</f>
        <v>1062475.48678483</v>
      </c>
      <c r="I178" s="420" t="n">
        <f aca="false">+(SHIPS!D161+SHIPS!D471)*($G179-$G178)</f>
        <v>2023534.81779921</v>
      </c>
      <c r="J178" s="420"/>
    </row>
    <row r="179" customFormat="false" ht="12.75" hidden="false" customHeight="false" outlineLevel="0" collapsed="false">
      <c r="G179" s="25" t="n">
        <f aca="false">+'ELBA BOOK'!A154</f>
        <v>40848</v>
      </c>
      <c r="H179" s="420" t="n">
        <f aca="false">+(SHIPS!C162+SHIPS!C472)*($G180-$G179)</f>
        <v>1029344.17166029</v>
      </c>
      <c r="I179" s="420" t="n">
        <f aca="false">+(SHIPS!D162+SHIPS!D472)*($G180-$G179)</f>
        <v>1959098.58338996</v>
      </c>
      <c r="J179" s="420"/>
    </row>
    <row r="180" customFormat="false" ht="12.75" hidden="false" customHeight="false" outlineLevel="0" collapsed="false">
      <c r="G180" s="25" t="n">
        <f aca="false">+'ELBA BOOK'!A155</f>
        <v>40878</v>
      </c>
      <c r="H180" s="420" t="n">
        <f aca="false">+(SHIPS!C163+SHIPS!C473)*($G181-$G180)</f>
        <v>1064838.25997407</v>
      </c>
      <c r="I180" s="420" t="n">
        <f aca="false">+(SHIPS!D163+SHIPS!D473)*($G181-$G180)</f>
        <v>2025270.72756442</v>
      </c>
      <c r="J180" s="420"/>
    </row>
    <row r="181" customFormat="false" ht="12.75" hidden="false" customHeight="false" outlineLevel="0" collapsed="false">
      <c r="G181" s="25" t="n">
        <f aca="false">+'ELBA BOOK'!A156</f>
        <v>40909</v>
      </c>
      <c r="H181" s="420" t="n">
        <f aca="false">+(SHIPS!C164+SHIPS!C474)*($G182-$G181)</f>
        <v>1066023.33968235</v>
      </c>
      <c r="I181" s="420" t="n">
        <f aca="false">+(SHIPS!D164+SHIPS!D474)*($G182-$G181)</f>
        <v>2026141.39574685</v>
      </c>
      <c r="J181" s="420"/>
    </row>
    <row r="182" customFormat="false" ht="12.75" hidden="false" customHeight="false" outlineLevel="0" collapsed="false">
      <c r="G182" s="25" t="n">
        <f aca="false">+'ELBA BOOK'!A157</f>
        <v>40940</v>
      </c>
      <c r="H182" s="420" t="n">
        <f aca="false">+(SHIPS!C165+SHIPS!C475)*($G183-$G182)</f>
        <v>998358.572932063</v>
      </c>
      <c r="I182" s="420" t="n">
        <f aca="false">+(SHIPS!D165+SHIPS!D475)*($G183-$G182)</f>
        <v>1896238.78892962</v>
      </c>
      <c r="J182" s="420"/>
    </row>
    <row r="183" customFormat="false" ht="12.75" hidden="false" customHeight="false" outlineLevel="0" collapsed="false">
      <c r="G183" s="25" t="n">
        <f aca="false">+'ELBA BOOK'!A158</f>
        <v>40969</v>
      </c>
      <c r="H183" s="420" t="n">
        <f aca="false">+(SHIPS!C166+SHIPS!C476)*($G184-$G183)</f>
        <v>1068400.91099066</v>
      </c>
      <c r="I183" s="420" t="n">
        <f aca="false">+(SHIPS!D166+SHIPS!D476)*($G184-$G183)</f>
        <v>2027888.17756678</v>
      </c>
      <c r="J183" s="420"/>
    </row>
    <row r="184" customFormat="false" ht="12.75" hidden="false" customHeight="false" outlineLevel="0" collapsed="false">
      <c r="G184" s="25" t="n">
        <f aca="false">+'ELBA BOOK'!A159</f>
        <v>41000</v>
      </c>
      <c r="H184" s="420" t="n">
        <f aca="false">+(SHIPS!C167+SHIPS!C477)*($G185-$G184)</f>
        <v>1035090.39956957</v>
      </c>
      <c r="I184" s="420" t="n">
        <f aca="false">+(SHIPS!D167+SHIPS!D477)*($G185-$G184)</f>
        <v>1963320.2891323</v>
      </c>
      <c r="J184" s="420"/>
    </row>
    <row r="185" customFormat="false" ht="12.75" hidden="false" customHeight="false" outlineLevel="0" collapsed="false">
      <c r="G185" s="25" t="n">
        <f aca="false">+'ELBA BOOK'!A160</f>
        <v>41030</v>
      </c>
      <c r="H185" s="420" t="n">
        <f aca="false">+(SHIPS!C168+SHIPS!C478)*($G186-$G185)</f>
        <v>1070788.39916541</v>
      </c>
      <c r="I185" s="420" t="n">
        <f aca="false">+(SHIPS!D168+SHIPS!D478)*($G186-$G185)</f>
        <v>2029642.24522582</v>
      </c>
      <c r="J185" s="420"/>
    </row>
    <row r="186" customFormat="false" ht="12.75" hidden="false" customHeight="false" outlineLevel="0" collapsed="false">
      <c r="G186" s="25" t="n">
        <f aca="false">+'ELBA BOOK'!A161</f>
        <v>41061</v>
      </c>
      <c r="H186" s="420" t="n">
        <f aca="false">+(SHIPS!C169+SHIPS!C479)*($G187-$G186)</f>
        <v>1037405.68548097</v>
      </c>
      <c r="I186" s="420" t="n">
        <f aca="false">+(SHIPS!D169+SHIPS!D479)*($G187-$G186)</f>
        <v>1965021.31039036</v>
      </c>
      <c r="J186" s="420"/>
    </row>
    <row r="187" customFormat="false" ht="12.75" hidden="false" customHeight="false" outlineLevel="0" collapsed="false">
      <c r="G187" s="25" t="n">
        <f aca="false">+'ELBA BOOK'!A162</f>
        <v>41091</v>
      </c>
      <c r="H187" s="420" t="n">
        <f aca="false">+(SHIPS!C170+SHIPS!C480)*($G188-$G187)</f>
        <v>1073185.84556991</v>
      </c>
      <c r="I187" s="420" t="n">
        <f aca="false">+(SHIPS!D170+SHIPS!D480)*($G188-$G187)</f>
        <v>2031403.62911324</v>
      </c>
      <c r="J187" s="420"/>
    </row>
    <row r="188" customFormat="false" ht="12.75" hidden="false" customHeight="false" outlineLevel="0" collapsed="false">
      <c r="G188" s="25" t="n">
        <f aca="false">+'ELBA BOOK'!A163</f>
        <v>41122</v>
      </c>
      <c r="H188" s="420" t="n">
        <f aca="false">+(SHIPS!C171+SHIPS!C481)*($G189-$G188)</f>
        <v>1074388.31608152</v>
      </c>
      <c r="I188" s="420" t="n">
        <f aca="false">+(SHIPS!D171+SHIPS!D481)*($G189-$G188)</f>
        <v>2032287.07417389</v>
      </c>
      <c r="J188" s="420"/>
    </row>
    <row r="189" customFormat="false" ht="12.75" hidden="false" customHeight="false" outlineLevel="0" collapsed="false">
      <c r="G189" s="25" t="n">
        <f aca="false">+'ELBA BOOK'!A164</f>
        <v>41153</v>
      </c>
      <c r="H189" s="420" t="n">
        <f aca="false">+(SHIPS!C172+SHIPS!C482)*($G190-$G189)</f>
        <v>1040896.73394196</v>
      </c>
      <c r="I189" s="420" t="n">
        <f aca="false">+(SHIPS!D172+SHIPS!D482)*($G190-$G189)</f>
        <v>1967586.15459202</v>
      </c>
      <c r="J189" s="420"/>
    </row>
    <row r="190" customFormat="false" ht="12.75" hidden="false" customHeight="false" outlineLevel="0" collapsed="false">
      <c r="G190" s="25" t="n">
        <f aca="false">+'ELBA BOOK'!A165</f>
        <v>41183</v>
      </c>
      <c r="H190" s="420" t="n">
        <f aca="false">+(SHIPS!C173+SHIPS!C483)*($G191-$G190)</f>
        <v>1076800.77776448</v>
      </c>
      <c r="I190" s="420" t="n">
        <f aca="false">+(SHIPS!D173+SHIPS!D483)*($G191-$G190)</f>
        <v>2034059.48966122</v>
      </c>
      <c r="J190" s="420"/>
    </row>
    <row r="191" customFormat="false" ht="12.75" hidden="false" customHeight="false" outlineLevel="0" collapsed="false">
      <c r="G191" s="25" t="n">
        <f aca="false">+'ELBA BOOK'!A166</f>
        <v>41214</v>
      </c>
      <c r="H191" s="420" t="n">
        <f aca="false">+(SHIPS!C174+SHIPS!C484)*($G192-$G191)</f>
        <v>1043236.23811434</v>
      </c>
      <c r="I191" s="420" t="n">
        <f aca="false">+(SHIPS!D174+SHIPS!D484)*($G192-$G191)</f>
        <v>1969304.96880453</v>
      </c>
      <c r="J191" s="420"/>
    </row>
    <row r="192" customFormat="false" ht="12.75" hidden="false" customHeight="false" outlineLevel="0" collapsed="false">
      <c r="G192" s="25" t="n">
        <f aca="false">+'ELBA BOOK'!A167</f>
        <v>41244</v>
      </c>
      <c r="H192" s="420" t="n">
        <f aca="false">+(SHIPS!C175+SHIPS!C485)*($G193-$G192)</f>
        <v>1079223.30184187</v>
      </c>
      <c r="I192" s="420" t="n">
        <f aca="false">+(SHIPS!D175+SHIPS!D485)*($G193-$G192)</f>
        <v>2035839.29790586</v>
      </c>
      <c r="J192" s="420"/>
    </row>
    <row r="193" customFormat="false" ht="12.75" hidden="false" customHeight="false" outlineLevel="0" collapsed="false">
      <c r="G193" s="25" t="n">
        <f aca="false">+'ELBA BOOK'!A168</f>
        <v>41275</v>
      </c>
      <c r="H193" s="420" t="n">
        <f aca="false">+(SHIPS!C176+SHIPS!C486)*($G194-$G193)</f>
        <v>1080438.35038738</v>
      </c>
      <c r="I193" s="420" t="n">
        <f aca="false">+(SHIPS!D176+SHIPS!D486)*($G194-$G193)</f>
        <v>2036731.98394316</v>
      </c>
      <c r="J193" s="420"/>
    </row>
    <row r="194" customFormat="false" ht="12.75" hidden="false" customHeight="false" outlineLevel="0" collapsed="false">
      <c r="G194" s="25" t="n">
        <f aca="false">+'ELBA BOOK'!A169</f>
        <v>41306</v>
      </c>
      <c r="H194" s="420" t="n">
        <f aca="false">+(SHIPS!C177+SHIPS!C487)*($G195-$G194)</f>
        <v>976979.549933952</v>
      </c>
      <c r="I194" s="420" t="n">
        <f aca="false">+(SHIPS!D177+SHIPS!D487)*($G195-$G194)</f>
        <v>1840436.86557436</v>
      </c>
      <c r="J194" s="420"/>
    </row>
    <row r="195" customFormat="false" ht="12.75" hidden="false" customHeight="false" outlineLevel="0" collapsed="false">
      <c r="G195" s="25" t="n">
        <f aca="false">+'ELBA BOOK'!A170</f>
        <v>41334</v>
      </c>
      <c r="H195" s="420" t="n">
        <f aca="false">+(SHIPS!C178+SHIPS!C488)*($G196-$G195)</f>
        <v>1082876.04680544</v>
      </c>
      <c r="I195" s="420" t="n">
        <f aca="false">+(SHIPS!D178+SHIPS!D488)*($G196-$G195)</f>
        <v>2038522.93918001</v>
      </c>
      <c r="J195" s="420"/>
    </row>
    <row r="196" customFormat="false" ht="12.75" hidden="false" customHeight="false" outlineLevel="0" collapsed="false">
      <c r="G196" s="25" t="n">
        <f aca="false">+'ELBA BOOK'!A171</f>
        <v>41365</v>
      </c>
      <c r="H196" s="420" t="n">
        <f aca="false">+(SHIPS!C179+SHIPS!C489)*($G197-$G196)</f>
        <v>1049127.77926092</v>
      </c>
      <c r="I196" s="420" t="n">
        <f aca="false">+(SHIPS!D179+SHIPS!D489)*($G197-$G196)</f>
        <v>1973633.43497094</v>
      </c>
      <c r="J196" s="420"/>
    </row>
    <row r="197" customFormat="false" ht="12.75" hidden="false" customHeight="false" outlineLevel="0" collapsed="false">
      <c r="G197" s="25" t="n">
        <f aca="false">+'ELBA BOOK'!A172</f>
        <v>41395</v>
      </c>
      <c r="H197" s="420" t="n">
        <f aca="false">+(SHIPS!C180+SHIPS!C490)*($G198-$G197)</f>
        <v>1085323.9108722</v>
      </c>
      <c r="I197" s="420" t="n">
        <f aca="false">+(SHIPS!D180+SHIPS!D490)*($G198-$G197)</f>
        <v>2040321.36450359</v>
      </c>
      <c r="J197" s="420"/>
    </row>
    <row r="198" customFormat="false" ht="12.75" hidden="false" customHeight="false" outlineLevel="0" collapsed="false">
      <c r="G198" s="25" t="n">
        <f aca="false">+'ELBA BOOK'!A173</f>
        <v>41426</v>
      </c>
      <c r="H198" s="420" t="n">
        <f aca="false">+(SHIPS!C181+SHIPS!C491)*($G199-$G198)</f>
        <v>1051501.6151805</v>
      </c>
      <c r="I198" s="420" t="n">
        <f aca="false">+(SHIPS!D181+SHIPS!D491)*($G199-$G198)</f>
        <v>1975377.47243191</v>
      </c>
      <c r="J198" s="420"/>
    </row>
    <row r="199" customFormat="false" ht="12.75" hidden="false" customHeight="false" outlineLevel="0" collapsed="false">
      <c r="G199" s="25" t="n">
        <f aca="false">+'ELBA BOOK'!A174</f>
        <v>41456</v>
      </c>
      <c r="H199" s="420" t="n">
        <f aca="false">+(SHIPS!C182+SHIPS!C492)*($G200-$G199)</f>
        <v>1087781.98499697</v>
      </c>
      <c r="I199" s="420" t="n">
        <f aca="false">+(SHIPS!D182+SHIPS!D492)*($G200-$G199)</f>
        <v>2042127.29107168</v>
      </c>
      <c r="J199" s="420"/>
    </row>
    <row r="200" customFormat="false" ht="12.75" hidden="false" customHeight="false" outlineLevel="0" collapsed="false">
      <c r="G200" s="25" t="n">
        <f aca="false">+'ELBA BOOK'!A175</f>
        <v>41487</v>
      </c>
      <c r="H200" s="420" t="n">
        <f aca="false">+(SHIPS!C183+SHIPS!C493)*($G201-$G200)</f>
        <v>1089014.86413238</v>
      </c>
      <c r="I200" s="420" t="n">
        <f aca="false">+(SHIPS!D183+SHIPS!D493)*($G201-$G200)</f>
        <v>2043033.07709474</v>
      </c>
      <c r="J200" s="420"/>
    </row>
    <row r="201" customFormat="false" ht="12.75" hidden="false" customHeight="false" outlineLevel="0" collapsed="false">
      <c r="G201" s="25" t="n">
        <f aca="false">+'ELBA BOOK'!A176</f>
        <v>41518</v>
      </c>
      <c r="H201" s="420" t="n">
        <f aca="false">+(SHIPS!C184+SHIPS!C494)*($G202-$G201)</f>
        <v>1055080.94687031</v>
      </c>
      <c r="I201" s="420" t="n">
        <f aca="false">+(SHIPS!D184+SHIPS!D494)*($G202-$G201)</f>
        <v>1978007.17758583</v>
      </c>
      <c r="J201" s="420"/>
    </row>
    <row r="202" customFormat="false" ht="12.75" hidden="false" customHeight="false" outlineLevel="0" collapsed="false">
      <c r="G202" s="25" t="n">
        <f aca="false">+'ELBA BOOK'!A177</f>
        <v>41548</v>
      </c>
      <c r="H202" s="420" t="n">
        <f aca="false">+(SHIPS!C185+SHIPS!C495)*($G203-$G202)</f>
        <v>1091488.33324884</v>
      </c>
      <c r="I202" s="420" t="n">
        <f aca="false">+(SHIPS!D185+SHIPS!D495)*($G203-$G202)</f>
        <v>2044850.31423488</v>
      </c>
      <c r="J202" s="420"/>
    </row>
    <row r="203" customFormat="false" ht="12.75" hidden="false" customHeight="false" outlineLevel="0" collapsed="false">
      <c r="G203" s="25" t="n">
        <f aca="false">+'ELBA BOOK'!A178</f>
        <v>41579</v>
      </c>
      <c r="H203" s="420" t="n">
        <f aca="false">+(SHIPS!C186+SHIPS!C496)*($G204-$G203)</f>
        <v>1057479.61349333</v>
      </c>
      <c r="I203" s="420" t="n">
        <f aca="false">+(SHIPS!D186+SHIPS!D496)*($G204-$G203)</f>
        <v>1979769.45795762</v>
      </c>
      <c r="J203" s="420"/>
    </row>
    <row r="204" customFormat="false" ht="12.75" hidden="false" customHeight="false" outlineLevel="0" collapsed="false">
      <c r="G204" s="25" t="n">
        <f aca="false">+'ELBA BOOK'!A179</f>
        <v>41609</v>
      </c>
      <c r="H204" s="420" t="n">
        <f aca="false">+(SHIPS!C187+SHIPS!C497)*($G205-$G204)</f>
        <v>1093972.11922215</v>
      </c>
      <c r="I204" s="420" t="n">
        <f aca="false">+(SHIPS!D187+SHIPS!D497)*($G205-$G204)</f>
        <v>2046675.13108375</v>
      </c>
      <c r="J204" s="420"/>
    </row>
    <row r="205" customFormat="false" ht="12.75" hidden="false" customHeight="false" outlineLevel="0" collapsed="false">
      <c r="G205" s="25" t="n">
        <f aca="false">+'ELBA BOOK'!A180</f>
        <v>41640</v>
      </c>
      <c r="H205" s="420" t="n">
        <f aca="false">+(SHIPS!C188+SHIPS!C498)*($G206-$G205)</f>
        <v>1095217.89447053</v>
      </c>
      <c r="I205" s="420" t="n">
        <f aca="false">+(SHIPS!D188+SHIPS!D498)*($G206-$G205)</f>
        <v>2047590.39177351</v>
      </c>
      <c r="J205" s="420"/>
    </row>
    <row r="206" customFormat="false" ht="12.75" hidden="false" customHeight="false" outlineLevel="0" collapsed="false">
      <c r="G206" s="25" t="n">
        <f aca="false">+'ELBA BOOK'!A181</f>
        <v>41671</v>
      </c>
      <c r="H206" s="420" t="n">
        <f aca="false">+(SHIPS!C189+SHIPS!C499)*($G207-$G206)</f>
        <v>990356.626527497</v>
      </c>
      <c r="I206" s="420" t="n">
        <f aca="false">+(SHIPS!D189+SHIPS!D499)*($G207-$G206)</f>
        <v>1850264.89223156</v>
      </c>
      <c r="J206" s="420"/>
    </row>
    <row r="207" customFormat="false" ht="12.75" hidden="false" customHeight="false" outlineLevel="0" collapsed="false">
      <c r="G207" s="25" t="n">
        <f aca="false">+'ELBA BOOK'!A182</f>
        <v>41699</v>
      </c>
      <c r="H207" s="420" t="n">
        <f aca="false">+(SHIPS!C190+SHIPS!C500)*($G208-$G207)</f>
        <v>1097717.23646961</v>
      </c>
      <c r="I207" s="420" t="n">
        <f aca="false">+(SHIPS!D190+SHIPS!D500)*($G208-$G207)</f>
        <v>2049426.63750482</v>
      </c>
      <c r="J207" s="420"/>
    </row>
    <row r="208" customFormat="false" ht="12.75" hidden="false" customHeight="false" outlineLevel="0" collapsed="false">
      <c r="G208" s="25" t="n">
        <f aca="false">+'ELBA BOOK'!A183</f>
        <v>41730</v>
      </c>
      <c r="H208" s="420" t="n">
        <f aca="false">+(SHIPS!C191+SHIPS!C501)*($G209-$G208)</f>
        <v>1063520.14262476</v>
      </c>
      <c r="I208" s="420" t="n">
        <f aca="false">+(SHIPS!D191+SHIPS!D501)*($G209-$G208)</f>
        <v>1984207.38435448</v>
      </c>
      <c r="J208" s="420"/>
    </row>
    <row r="209" customFormat="false" ht="12.75" hidden="false" customHeight="false" outlineLevel="0" collapsed="false">
      <c r="G209" s="25" t="n">
        <f aca="false">+'ELBA BOOK'!A184</f>
        <v>41760</v>
      </c>
      <c r="H209" s="420" t="n">
        <f aca="false">+(SHIPS!C192+SHIPS!C502)*($G210-$G209)</f>
        <v>1100227.00324151</v>
      </c>
      <c r="I209" s="420" t="n">
        <f aca="false">+(SHIPS!D192+SHIPS!D502)*($G210-$G209)</f>
        <v>2051270.54222983</v>
      </c>
      <c r="J209" s="420"/>
    </row>
    <row r="210" customFormat="false" ht="12.75" hidden="false" customHeight="false" outlineLevel="0" collapsed="false">
      <c r="G210" s="25" t="n">
        <f aca="false">+'ELBA BOOK'!A185</f>
        <v>41791</v>
      </c>
      <c r="H210" s="420" t="n">
        <f aca="false">+(SHIPS!C193+SHIPS!C503)*($G211-$G210)</f>
        <v>1065954.00919187</v>
      </c>
      <c r="I210" s="420" t="n">
        <f aca="false">+(SHIPS!D193+SHIPS!D503)*($G211-$G210)</f>
        <v>1985995.52583175</v>
      </c>
      <c r="J210" s="420"/>
    </row>
    <row r="211" customFormat="false" ht="12.75" hidden="false" customHeight="false" outlineLevel="0" collapsed="false">
      <c r="G211" s="25" t="n">
        <f aca="false">+'ELBA BOOK'!A186</f>
        <v>41821</v>
      </c>
      <c r="H211" s="420" t="n">
        <f aca="false">+(SHIPS!C194+SHIPS!C504)*($G212-$G211)</f>
        <v>1102747.23826805</v>
      </c>
      <c r="I211" s="420" t="n">
        <f aca="false">+(SHIPS!D194+SHIPS!D504)*($G212-$G211)</f>
        <v>2053122.13789426</v>
      </c>
      <c r="J211" s="420"/>
    </row>
    <row r="212" customFormat="false" ht="12.75" hidden="false" customHeight="false" outlineLevel="0" collapsed="false">
      <c r="G212" s="25" t="n">
        <f aca="false">+'ELBA BOOK'!A187</f>
        <v>41852</v>
      </c>
      <c r="H212" s="420" t="n">
        <f aca="false">+(SHIPS!C195+SHIPS!C505)*($G213-$G212)</f>
        <v>1104011.29501445</v>
      </c>
      <c r="I212" s="420" t="n">
        <f aca="false">+(SHIPS!D195+SHIPS!D505)*($G213-$G212)</f>
        <v>2054050.8298482</v>
      </c>
      <c r="J212" s="420"/>
    </row>
    <row r="213" customFormat="false" ht="12.75" hidden="false" customHeight="false" outlineLevel="0" collapsed="false">
      <c r="G213" s="25" t="n">
        <f aca="false">+'ELBA BOOK'!A188</f>
        <v>41883</v>
      </c>
      <c r="H213" s="420" t="n">
        <f aca="false">+(SHIPS!C196+SHIPS!C506)*($G214-$G213)</f>
        <v>1069623.85665715</v>
      </c>
      <c r="I213" s="420" t="n">
        <f aca="false">+(SHIPS!D196+SHIPS!D506)*($G214-$G213)</f>
        <v>1988691.73217134</v>
      </c>
      <c r="J213" s="420"/>
    </row>
    <row r="214" customFormat="false" ht="12.75" hidden="false" customHeight="false" outlineLevel="0" collapsed="false">
      <c r="G214" s="25" t="n">
        <f aca="false">+'ELBA BOOK'!A189</f>
        <v>41913</v>
      </c>
      <c r="H214" s="420" t="n">
        <f aca="false">+(SHIPS!C197+SHIPS!C507)*($G215-$G214)</f>
        <v>1106547.31434825</v>
      </c>
      <c r="I214" s="420" t="n">
        <f aca="false">+(SHIPS!D197+SHIPS!D507)*($G215-$G214)</f>
        <v>2055914.02211159</v>
      </c>
      <c r="J214" s="420"/>
    </row>
    <row r="215" customFormat="false" ht="12.75" hidden="false" customHeight="false" outlineLevel="0" collapsed="false">
      <c r="G215" s="25" t="n">
        <f aca="false">+'ELBA BOOK'!A190</f>
        <v>41944</v>
      </c>
      <c r="H215" s="420" t="n">
        <f aca="false">+(SHIPS!C198+SHIPS!C508)*($G216-$G215)</f>
        <v>1072083.18185788</v>
      </c>
      <c r="I215" s="420" t="n">
        <f aca="false">+(SHIPS!D198+SHIPS!D508)*($G216-$G215)</f>
        <v>1990498.5778945</v>
      </c>
      <c r="J215" s="420"/>
    </row>
    <row r="216" customFormat="false" ht="12.75" hidden="false" customHeight="false" outlineLevel="0" collapsed="false">
      <c r="G216" s="25" t="n">
        <f aca="false">+'ELBA BOOK'!A191</f>
        <v>41974</v>
      </c>
      <c r="H216" s="420" t="n">
        <f aca="false">+(SHIPS!C199+SHIPS!C509)*($G217-$G216)</f>
        <v>1109093.91143631</v>
      </c>
      <c r="I216" s="420" t="n">
        <f aca="false">+(SHIPS!D199+SHIPS!D509)*($G217-$G216)</f>
        <v>2057784.98576284</v>
      </c>
      <c r="J216" s="420"/>
    </row>
    <row r="217" customFormat="false" ht="12.75" hidden="false" customHeight="false" outlineLevel="0" collapsed="false">
      <c r="G217" s="25" t="n">
        <f aca="false">+'ELBA BOOK'!A192</f>
        <v>42005</v>
      </c>
      <c r="H217" s="420" t="n">
        <f aca="false">+(SHIPS!C200+SHIPS!C510)*($G218-$G217)</f>
        <v>1110371.19041847</v>
      </c>
      <c r="I217" s="420" t="n">
        <f aca="false">+(SHIPS!D200+SHIPS!D510)*($G218-$G217)</f>
        <v>2058723.39198318</v>
      </c>
      <c r="J217" s="420"/>
    </row>
    <row r="218" customFormat="false" ht="12.75" hidden="false" customHeight="false" outlineLevel="0" collapsed="false">
      <c r="G218" s="25" t="n">
        <f aca="false">+'ELBA BOOK'!A193</f>
        <v>42036</v>
      </c>
      <c r="H218" s="420" t="n">
        <f aca="false">+(SHIPS!C201+SHIPS!C511)*($G219-$G218)</f>
        <v>1004071.98874704</v>
      </c>
      <c r="I218" s="420" t="n">
        <f aca="false">+(SHIPS!D201+SHIPS!D511)*($G219-$G218)</f>
        <v>1860341.45451811</v>
      </c>
      <c r="J218" s="420"/>
    </row>
    <row r="219" customFormat="false" ht="12.75" hidden="false" customHeight="false" outlineLevel="0" collapsed="false">
      <c r="G219" s="25" t="n">
        <f aca="false">+'ELBA BOOK'!A194</f>
        <v>42064</v>
      </c>
      <c r="H219" s="420" t="n">
        <f aca="false">+(SHIPS!C202+SHIPS!C512)*($G220-$G219)</f>
        <v>1112933.73692017</v>
      </c>
      <c r="I219" s="420" t="n">
        <f aca="false">+(SHIPS!D202+SHIPS!D512)*($G220-$G219)</f>
        <v>2060606.07353568</v>
      </c>
      <c r="J219" s="420"/>
    </row>
    <row r="220" customFormat="false" ht="12.75" hidden="false" customHeight="false" outlineLevel="0" collapsed="false">
      <c r="G220" s="25" t="n">
        <f aca="false">+'ELBA BOOK'!A195</f>
        <v>42095</v>
      </c>
      <c r="H220" s="420" t="n">
        <f aca="false">+(SHIPS!C203+SHIPS!C513)*($G221-$G220)</f>
        <v>1078276.46665041</v>
      </c>
      <c r="I220" s="420" t="n">
        <f aca="false">+(SHIPS!D203+SHIPS!D513)*($G221-$G220)</f>
        <v>1995048.73260214</v>
      </c>
      <c r="J220" s="420"/>
    </row>
    <row r="221" customFormat="false" ht="12.75" hidden="false" customHeight="false" outlineLevel="0" collapsed="false">
      <c r="G221" s="25" t="n">
        <f aca="false">+'ELBA BOOK'!A196</f>
        <v>42125</v>
      </c>
      <c r="H221" s="420" t="n">
        <f aca="false">+(SHIPS!C204+SHIPS!C514)*($G222-$G221)</f>
        <v>1115506.97182113</v>
      </c>
      <c r="I221" s="420" t="n">
        <f aca="false">+(SHIPS!D204+SHIPS!D514)*($G222-$G221)</f>
        <v>2062496.60776601</v>
      </c>
      <c r="J221" s="420"/>
    </row>
    <row r="222" customFormat="false" ht="12.75" hidden="false" customHeight="false" outlineLevel="0" collapsed="false">
      <c r="G222" s="25" t="n">
        <f aca="false">+'ELBA BOOK'!A197</f>
        <v>42156</v>
      </c>
      <c r="H222" s="420" t="n">
        <f aca="false">+(SHIPS!C205+SHIPS!C515)*($G223-$G222)</f>
        <v>1080771.88194751</v>
      </c>
      <c r="I222" s="420" t="n">
        <f aca="false">+(SHIPS!D205+SHIPS!D515)*($G223-$G222)</f>
        <v>1996882.09341825</v>
      </c>
      <c r="J222" s="420"/>
    </row>
    <row r="223" customFormat="false" ht="12.75" hidden="false" customHeight="false" outlineLevel="0" collapsed="false">
      <c r="G223" s="25" t="n">
        <f aca="false">+'ELBA BOOK'!A198</f>
        <v>42186</v>
      </c>
      <c r="H223" s="420" t="n">
        <f aca="false">+(SHIPS!C206+SHIPS!C516)*($G224-$G223)</f>
        <v>1118090.93970273</v>
      </c>
      <c r="I223" s="420" t="n">
        <f aca="false">+(SHIPS!D206+SHIPS!D516)*($G224-$G223)</f>
        <v>2064395.02742774</v>
      </c>
      <c r="J223" s="420"/>
    </row>
    <row r="224" customFormat="false" ht="12.75" hidden="false" customHeight="false" outlineLevel="0" collapsed="false">
      <c r="G224" s="25" t="n">
        <f aca="false">+'ELBA BOOK'!A199</f>
        <v>42217</v>
      </c>
      <c r="H224" s="420" t="n">
        <f aca="false">+(SHIPS!C207+SHIPS!C517)*($G225-$G224)</f>
        <v>1119386.96249377</v>
      </c>
      <c r="I224" s="420" t="n">
        <f aca="false">+(SHIPS!D207+SHIPS!D517)*($G225-$G224)</f>
        <v>2065347.20456822</v>
      </c>
      <c r="J224" s="420"/>
    </row>
    <row r="225" customFormat="false" ht="12.75" hidden="false" customHeight="false" outlineLevel="0" collapsed="false">
      <c r="G225" s="25" t="n">
        <f aca="false">+'ELBA BOOK'!A200</f>
        <v>42248</v>
      </c>
      <c r="H225" s="420" t="n">
        <f aca="false">+(SHIPS!C208+SHIPS!C518)*($G226-$G225)</f>
        <v>1084534.53419255</v>
      </c>
      <c r="I225" s="420" t="n">
        <f aca="false">+(SHIPS!D208+SHIPS!D518)*($G226-$G225)</f>
        <v>1999646.48265587</v>
      </c>
      <c r="J225" s="420"/>
    </row>
    <row r="226" customFormat="false" ht="12.75" hidden="false" customHeight="false" outlineLevel="0" collapsed="false">
      <c r="G226" s="25" t="n">
        <f aca="false">+'ELBA BOOK'!A201</f>
        <v>42278</v>
      </c>
      <c r="H226" s="420" t="n">
        <f aca="false">+(SHIPS!C209+SHIPS!C519)*($G227-$G226)</f>
        <v>1121987.11384341</v>
      </c>
      <c r="I226" s="420" t="n">
        <f aca="false">+(SHIPS!D209+SHIPS!D519)*($G227-$G226)</f>
        <v>2067257.51408901</v>
      </c>
      <c r="J226" s="420"/>
    </row>
    <row r="227" customFormat="false" ht="12.75" hidden="false" customHeight="false" outlineLevel="0" collapsed="false">
      <c r="G227" s="25" t="n">
        <f aca="false">+'ELBA BOOK'!A202</f>
        <v>42309</v>
      </c>
      <c r="H227" s="420" t="n">
        <f aca="false">+(SHIPS!C210+SHIPS!C520)*($G228-$G227)</f>
        <v>1087056.05193282</v>
      </c>
      <c r="I227" s="420" t="n">
        <f aca="false">+(SHIPS!D210+SHIPS!D520)*($G228-$G227)</f>
        <v>2001499.02071938</v>
      </c>
      <c r="J227" s="420"/>
    </row>
    <row r="228" customFormat="false" ht="12.75" hidden="false" customHeight="false" outlineLevel="0" collapsed="false">
      <c r="G228" s="25" t="n">
        <f aca="false">+'ELBA BOOK'!A203</f>
        <v>42339</v>
      </c>
      <c r="H228" s="420" t="n">
        <f aca="false">+(SHIPS!C211+SHIPS!C521)*($G229-$G228)</f>
        <v>1124598.11044238</v>
      </c>
      <c r="I228" s="420" t="n">
        <f aca="false">+(SHIPS!D211+SHIPS!D521)*($G229-$G228)</f>
        <v>2069175.79152408</v>
      </c>
      <c r="J228" s="420"/>
    </row>
    <row r="229" customFormat="false" ht="12.75" hidden="false" customHeight="false" outlineLevel="0" collapsed="false">
      <c r="G229" s="25" t="n">
        <f aca="false">+'ELBA BOOK'!A204</f>
        <v>42370</v>
      </c>
      <c r="H229" s="420" t="n">
        <f aca="false">+(SHIPS!C212+SHIPS!C522)*($G230-$G229)</f>
        <v>1125907.68983914</v>
      </c>
      <c r="I229" s="420" t="n">
        <f aca="false">+(SHIPS!D212+SHIPS!D522)*($G230-$G229)</f>
        <v>2070137.92858975</v>
      </c>
      <c r="J229" s="420"/>
    </row>
    <row r="230" customFormat="false" ht="12.75" hidden="false" customHeight="false" outlineLevel="0" collapsed="false">
      <c r="G230" s="25" t="n">
        <f aca="false">+'ELBA BOOK'!A205</f>
        <v>42401</v>
      </c>
      <c r="H230" s="420" t="n">
        <f aca="false">+(SHIPS!C213+SHIPS!C523)*($G231-$G230)</f>
        <v>1054496.12671816</v>
      </c>
      <c r="I230" s="420" t="n">
        <f aca="false">+(SHIPS!D213+SHIPS!D523)*($G231-$G230)</f>
        <v>1937482.5817136</v>
      </c>
      <c r="J230" s="420"/>
    </row>
    <row r="231" customFormat="false" ht="12.75" hidden="false" customHeight="false" outlineLevel="0" collapsed="false">
      <c r="G231" s="25" t="n">
        <f aca="false">+'ELBA BOOK'!A206</f>
        <v>42430</v>
      </c>
      <c r="H231" s="420" t="n">
        <f aca="false">+(SHIPS!C214+SHIPS!C524)*($G232-$G231)</f>
        <v>1128535.03918782</v>
      </c>
      <c r="I231" s="420" t="n">
        <f aca="false">+(SHIPS!D214+SHIPS!D524)*($G232-$G231)</f>
        <v>2072068.2202537</v>
      </c>
      <c r="J231" s="420"/>
    </row>
    <row r="232" customFormat="false" ht="12.75" hidden="false" customHeight="false" outlineLevel="0" collapsed="false">
      <c r="G232" s="25" t="n">
        <f aca="false">+'ELBA BOOK'!A207</f>
        <v>42461</v>
      </c>
      <c r="H232" s="420" t="n">
        <f aca="false">+(SHIPS!C215+SHIPS!C525)*($G233-$G232)</f>
        <v>1093405.95534141</v>
      </c>
      <c r="I232" s="420" t="n">
        <f aca="false">+(SHIPS!D215+SHIPS!D525)*($G233-$G232)</f>
        <v>2006164.24181861</v>
      </c>
      <c r="J232" s="420"/>
    </row>
    <row r="233" customFormat="false" ht="12.75" hidden="false" customHeight="false" outlineLevel="0" collapsed="false">
      <c r="G233" s="25" t="n">
        <f aca="false">+'ELBA BOOK'!A208</f>
        <v>42491</v>
      </c>
      <c r="H233" s="420" t="n">
        <f aca="false">+(SHIPS!C216+SHIPS!C526)*($G234-$G233)</f>
        <v>1131173.34722888</v>
      </c>
      <c r="I233" s="420" t="n">
        <f aca="false">+(SHIPS!D216+SHIPS!D526)*($G234-$G233)</f>
        <v>2074006.56317759</v>
      </c>
      <c r="J233" s="420"/>
    </row>
    <row r="234" customFormat="false" ht="12.75" hidden="false" customHeight="false" outlineLevel="0" collapsed="false">
      <c r="G234" s="25" t="n">
        <f aca="false">+'ELBA BOOK'!A209</f>
        <v>42522</v>
      </c>
      <c r="H234" s="420" t="n">
        <f aca="false">+(SHIPS!C217+SHIPS!C527)*($G235-$G234)</f>
        <v>1095964.47584091</v>
      </c>
      <c r="I234" s="420" t="n">
        <f aca="false">+(SHIPS!D217+SHIPS!D527)*($G235-$G234)</f>
        <v>2008043.96550085</v>
      </c>
      <c r="J234" s="420"/>
    </row>
    <row r="235" customFormat="false" ht="12.75" hidden="false" customHeight="false" outlineLevel="0" collapsed="false">
      <c r="G235" s="25" t="n">
        <f aca="false">+'ELBA BOOK'!A210</f>
        <v>42552</v>
      </c>
      <c r="H235" s="420" t="n">
        <f aca="false">+(SHIPS!C218+SHIPS!C528)*($G236-$G235)</f>
        <v>1133822.65967109</v>
      </c>
      <c r="I235" s="420" t="n">
        <f aca="false">+(SHIPS!D218+SHIPS!D528)*($G236-$G235)</f>
        <v>2075952.99094328</v>
      </c>
      <c r="J235" s="420"/>
    </row>
    <row r="236" customFormat="false" ht="12.75" hidden="false" customHeight="false" outlineLevel="0" collapsed="false">
      <c r="G236" s="25" t="n">
        <f aca="false">+'ELBA BOOK'!A211</f>
        <v>42583</v>
      </c>
      <c r="H236" s="420" t="n">
        <f aca="false">+(SHIPS!C219+SHIPS!C529)*($G237-$G236)</f>
        <v>1135151.45687874</v>
      </c>
      <c r="I236" s="420" t="n">
        <f aca="false">+(SHIPS!D219+SHIPS!D529)*($G237-$G236)</f>
        <v>2076929.24717441</v>
      </c>
      <c r="J236" s="420"/>
    </row>
    <row r="237" customFormat="false" ht="12.75" hidden="false" customHeight="false" outlineLevel="0" collapsed="false">
      <c r="G237" s="25" t="n">
        <f aca="false">+'ELBA BOOK'!A212</f>
        <v>42614</v>
      </c>
      <c r="H237" s="420" t="n">
        <f aca="false">+(SHIPS!C220+SHIPS!C530)*($G238-$G237)</f>
        <v>1099822.27975539</v>
      </c>
      <c r="I237" s="420" t="n">
        <f aca="false">+(SHIPS!D220+SHIPS!D530)*($G238-$G237)</f>
        <v>2010878.2618768</v>
      </c>
      <c r="J237" s="420"/>
    </row>
    <row r="238" customFormat="false" ht="12.75" hidden="false" customHeight="false" outlineLevel="0" collapsed="false">
      <c r="G238" s="25" t="n">
        <f aca="false">+'ELBA BOOK'!A213</f>
        <v>42644</v>
      </c>
      <c r="H238" s="420" t="n">
        <f aca="false">+(SHIPS!C221+SHIPS!C531)*($G239-$G238)</f>
        <v>1137817.36204393</v>
      </c>
      <c r="I238" s="420" t="n">
        <f aca="false">+(SHIPS!D221+SHIPS!D531)*($G239-$G238)</f>
        <v>2078887.86547534</v>
      </c>
      <c r="J238" s="420"/>
    </row>
    <row r="239" customFormat="false" ht="12.75" hidden="false" customHeight="false" outlineLevel="0" collapsed="false">
      <c r="G239" s="25" t="n">
        <f aca="false">+'ELBA BOOK'!A214</f>
        <v>42675</v>
      </c>
      <c r="H239" s="420" t="n">
        <f aca="false">+(SHIPS!C222+SHIPS!C532)*($G240-$G239)</f>
        <v>1102407.56278857</v>
      </c>
      <c r="I239" s="420" t="n">
        <f aca="false">+(SHIPS!D222+SHIPS!D532)*($G240-$G239)</f>
        <v>2012777.64776943</v>
      </c>
      <c r="J239" s="420"/>
    </row>
    <row r="240" customFormat="false" ht="12.75" hidden="false" customHeight="false" outlineLevel="0" collapsed="false">
      <c r="G240" s="25" t="n">
        <f aca="false">+'ELBA BOOK'!A215</f>
        <v>42705</v>
      </c>
      <c r="H240" s="420" t="n">
        <f aca="false">+(SHIPS!C223+SHIPS!C533)*($G241-$G240)</f>
        <v>1140494.38671808</v>
      </c>
      <c r="I240" s="420" t="n">
        <f aca="false">+(SHIPS!D223+SHIPS!D533)*($G241-$G240)</f>
        <v>2080854.65318681</v>
      </c>
      <c r="J240" s="420"/>
    </row>
    <row r="241" customFormat="false" ht="12.75" hidden="false" customHeight="false" outlineLevel="0" collapsed="false">
      <c r="G241" s="25" t="n">
        <f aca="false">+'ELBA BOOK'!A216</f>
        <v>42736</v>
      </c>
      <c r="H241" s="420" t="n">
        <f aca="false">+(SHIPS!C224+SHIPS!C534)*($G242-$G241)</f>
        <v>1141837.08335708</v>
      </c>
      <c r="I241" s="420" t="n">
        <f aca="false">+(SHIPS!D224+SHIPS!D534)*($G242-$G241)</f>
        <v>2081841.12121428</v>
      </c>
      <c r="J241" s="420"/>
    </row>
    <row r="242" customFormat="false" ht="12.75" hidden="false" customHeight="false" outlineLevel="0" collapsed="false">
      <c r="G242" s="25" t="n">
        <f aca="false">+'ELBA BOOK'!A217</f>
        <v>42767</v>
      </c>
      <c r="H242" s="420" t="n">
        <f aca="false">+(SHIPS!C225+SHIPS!C535)*($G243-$G242)</f>
        <v>1032552.00528583</v>
      </c>
      <c r="I242" s="420" t="n">
        <f aca="false">+(SHIPS!D225+SHIPS!D535)*($G243-$G242)</f>
        <v>1881265.48524959</v>
      </c>
      <c r="J242" s="420"/>
    </row>
    <row r="243" customFormat="false" ht="12.75" hidden="false" customHeight="false" outlineLevel="0" collapsed="false">
      <c r="G243" s="25" t="n">
        <f aca="false">+'ELBA BOOK'!A218</f>
        <v>42795</v>
      </c>
      <c r="H243" s="420" t="n">
        <f aca="false">+(SHIPS!C226+SHIPS!C536)*($G244-$G243)</f>
        <v>1144530.87431674</v>
      </c>
      <c r="I243" s="420" t="n">
        <f aca="false">+(SHIPS!D226+SHIPS!D536)*($G244-$G243)</f>
        <v>2083820.22697594</v>
      </c>
      <c r="J243" s="420"/>
    </row>
    <row r="244" customFormat="false" ht="12.75" hidden="false" customHeight="false" outlineLevel="0" collapsed="false">
      <c r="G244" s="25" t="n">
        <f aca="false">+'ELBA BOOK'!A219</f>
        <v>42826</v>
      </c>
      <c r="H244" s="420" t="n">
        <f aca="false">+(SHIPS!C227+SHIPS!C537)*($G245-$G244)</f>
        <v>1108918.04545636</v>
      </c>
      <c r="I244" s="420" t="n">
        <f aca="false">+(SHIPS!D227+SHIPS!D537)*($G245-$G244)</f>
        <v>2017560.84511175</v>
      </c>
      <c r="J244" s="420"/>
    </row>
    <row r="245" customFormat="false" ht="12.75" hidden="false" customHeight="false" outlineLevel="0" collapsed="false">
      <c r="G245" s="25" t="n">
        <f aca="false">+'ELBA BOOK'!A220</f>
        <v>42856</v>
      </c>
      <c r="H245" s="420" t="n">
        <f aca="false">+(SHIPS!C228+SHIPS!C538)*($G246-$G245)</f>
        <v>1147235.9010972</v>
      </c>
      <c r="I245" s="420" t="n">
        <f aca="false">+(SHIPS!D228+SHIPS!D538)*($G246-$G245)</f>
        <v>2085807.58760148</v>
      </c>
      <c r="J245" s="420"/>
    </row>
    <row r="246" customFormat="false" ht="12.75" hidden="false" customHeight="false" outlineLevel="0" collapsed="false">
      <c r="G246" s="25" t="n">
        <f aca="false">+'ELBA BOOK'!A221</f>
        <v>42887</v>
      </c>
      <c r="H246" s="420" t="n">
        <f aca="false">+(SHIPS!C229+SHIPS!C539)*($G247-$G246)</f>
        <v>1111541.26699144</v>
      </c>
      <c r="I246" s="420" t="n">
        <f aca="false">+(SHIPS!D229+SHIPS!D539)*($G247-$G246)</f>
        <v>2019488.10410547</v>
      </c>
      <c r="J246" s="420"/>
    </row>
    <row r="247" customFormat="false" ht="12.75" hidden="false" customHeight="false" outlineLevel="0" collapsed="false">
      <c r="G247" s="25" t="n">
        <f aca="false">+'ELBA BOOK'!A222</f>
        <v>42917</v>
      </c>
      <c r="H247" s="420" t="n">
        <f aca="false">+(SHIPS!C230+SHIPS!C540)*($G248-$G247)</f>
        <v>1149952.21056315</v>
      </c>
      <c r="I247" s="420" t="n">
        <f aca="false">+(SHIPS!D230+SHIPS!D540)*($G248-$G247)</f>
        <v>2087803.23752199</v>
      </c>
      <c r="J247" s="420"/>
    </row>
    <row r="248" customFormat="false" ht="12.75" hidden="false" customHeight="false" outlineLevel="0" collapsed="false">
      <c r="G248" s="25" t="n">
        <f aca="false">+'ELBA BOOK'!A223</f>
        <v>42948</v>
      </c>
      <c r="H248" s="420" t="n">
        <f aca="false">+(SHIPS!C231+SHIPS!C541)*($G249-$G248)</f>
        <v>1151314.61100183</v>
      </c>
      <c r="I248" s="420" t="n">
        <f aca="false">+(SHIPS!D231+SHIPS!D541)*($G249-$G248)</f>
        <v>2088804.18176682</v>
      </c>
      <c r="J248" s="420"/>
    </row>
    <row r="249" customFormat="false" ht="12.75" hidden="false" customHeight="false" outlineLevel="0" collapsed="false">
      <c r="G249" s="25" t="n">
        <f aca="false">+'ELBA BOOK'!A224</f>
        <v>42979</v>
      </c>
      <c r="H249" s="420" t="n">
        <f aca="false">+(SHIPS!C232+SHIPS!C542)*($G250-$G249)</f>
        <v>1115496.62881427</v>
      </c>
      <c r="I249" s="420" t="n">
        <f aca="false">+(SHIPS!D232+SHIPS!D542)*($G250-$G249)</f>
        <v>2022394.07546339</v>
      </c>
      <c r="J249" s="420"/>
    </row>
    <row r="250" customFormat="false" ht="12.75" hidden="false" customHeight="false" outlineLevel="0" collapsed="false">
      <c r="G250" s="25" t="n">
        <f aca="false">+'ELBA BOOK'!A225</f>
        <v>43009</v>
      </c>
      <c r="H250" s="420" t="n">
        <f aca="false">+(SHIPS!C233+SHIPS!C543)*($G251-$G250)</f>
        <v>1154047.93279511</v>
      </c>
      <c r="I250" s="420" t="n">
        <f aca="false">+(SHIPS!D233+SHIPS!D543)*($G251-$G250)</f>
        <v>2090812.33050241</v>
      </c>
      <c r="J250" s="420"/>
    </row>
    <row r="251" customFormat="false" ht="12.75" hidden="false" customHeight="false" outlineLevel="0" collapsed="false">
      <c r="G251" s="25" t="n">
        <f aca="false">+'ELBA BOOK'!A226</f>
        <v>43040</v>
      </c>
      <c r="H251" s="420" t="n">
        <f aca="false">+(SHIPS!C234+SHIPS!C544)*($G252-$G251)</f>
        <v>1118147.28966623</v>
      </c>
      <c r="I251" s="420" t="n">
        <f aca="false">+(SHIPS!D234+SHIPS!D544)*($G252-$G251)</f>
        <v>2024341.49389447</v>
      </c>
      <c r="J251" s="420"/>
    </row>
    <row r="252" customFormat="false" ht="12.75" hidden="false" customHeight="false" outlineLevel="0" collapsed="false">
      <c r="G252" s="25" t="n">
        <f aca="false">+'ELBA BOOK'!A227</f>
        <v>43070</v>
      </c>
      <c r="H252" s="420" t="n">
        <f aca="false">+(SHIPS!C235+SHIPS!C545)*($G253-$G252)</f>
        <v>1156792.65529258</v>
      </c>
      <c r="I252" s="420" t="n">
        <f aca="false">+(SHIPS!D235+SHIPS!D545)*($G253-$G252)</f>
        <v>2092828.85524031</v>
      </c>
      <c r="J252" s="420"/>
    </row>
    <row r="253" customFormat="false" ht="12.75" hidden="false" customHeight="false" outlineLevel="0" collapsed="false">
      <c r="G253" s="25" t="n">
        <f aca="false">+'ELBA BOOK'!A228</f>
        <v>43101</v>
      </c>
      <c r="H253" s="420" t="n">
        <f aca="false">+(SHIPS!C236+SHIPS!C546)*($G254-$G253)</f>
        <v>0</v>
      </c>
      <c r="I253" s="420" t="n">
        <f aca="false">+(SHIPS!D236+SHIPS!D546)*($G254-$G253)</f>
        <v>2093840.26952206</v>
      </c>
      <c r="J253" s="420"/>
    </row>
    <row r="254" customFormat="false" ht="12.75" hidden="false" customHeight="false" outlineLevel="0" collapsed="false">
      <c r="G254" s="25" t="n">
        <f aca="false">+'ELBA BOOK'!A229</f>
        <v>43132</v>
      </c>
      <c r="H254" s="420" t="n">
        <f aca="false">+(SHIPS!C237+SHIPS!C547)*($G255-$G254)</f>
        <v>0</v>
      </c>
      <c r="I254" s="420" t="n">
        <f aca="false">+(SHIPS!D237+SHIPS!D547)*($G255-$G254)</f>
        <v>1892126.00469913</v>
      </c>
      <c r="J254" s="420"/>
    </row>
    <row r="255" customFormat="false" ht="12.75" hidden="false" customHeight="false" outlineLevel="0" collapsed="false">
      <c r="G255" s="25" t="n">
        <f aca="false">+'ELBA BOOK'!A230</f>
        <v>43160</v>
      </c>
      <c r="H255" s="420" t="n">
        <f aca="false">+(SHIPS!C238+SHIPS!C548)*($G256-$G255)</f>
        <v>0</v>
      </c>
      <c r="I255" s="420" t="n">
        <f aca="false">+(SHIPS!D238+SHIPS!D548)*($G256-$G255)</f>
        <v>2095869.42381464</v>
      </c>
      <c r="J255" s="420"/>
    </row>
    <row r="256" customFormat="false" ht="12.75" hidden="false" customHeight="false" outlineLevel="0" collapsed="false">
      <c r="G256" s="25" t="n">
        <f aca="false">+'ELBA BOOK'!A231</f>
        <v>43191</v>
      </c>
      <c r="H256" s="420" t="n">
        <f aca="false">+(SHIPS!C239+SHIPS!C549)*($G257-$G256)</f>
        <v>0</v>
      </c>
      <c r="I256" s="420" t="n">
        <f aca="false">+(SHIPS!D239+SHIPS!D549)*($G257-$G256)</f>
        <v>2029245.65091702</v>
      </c>
      <c r="J256" s="420"/>
    </row>
    <row r="257" customFormat="false" ht="12.75" hidden="false" customHeight="false" outlineLevel="0" collapsed="false">
      <c r="G257" s="25" t="n">
        <f aca="false">+'ELBA BOOK'!A232</f>
        <v>43221</v>
      </c>
      <c r="H257" s="420" t="n">
        <f aca="false">+(SHIPS!C240+SHIPS!C550)*($G258-$G257)</f>
        <v>0</v>
      </c>
      <c r="I257" s="420" t="n">
        <f aca="false">+(SHIPS!D240+SHIPS!D550)*($G258-$G257)</f>
        <v>2097907.04172387</v>
      </c>
      <c r="J257" s="420"/>
    </row>
    <row r="258" customFormat="false" ht="12.75" hidden="false" customHeight="false" outlineLevel="0" collapsed="false">
      <c r="G258" s="25" t="n">
        <f aca="false">+'ELBA BOOK'!A233</f>
        <v>43252</v>
      </c>
      <c r="H258" s="420" t="n">
        <f aca="false">+(SHIPS!C241+SHIPS!C551)*($G259-$G258)</f>
        <v>0</v>
      </c>
      <c r="I258" s="420" t="n">
        <f aca="false">+(SHIPS!D241+SHIPS!D551)*($G259-$G258)</f>
        <v>2031221.6473169</v>
      </c>
      <c r="J258" s="420"/>
    </row>
    <row r="259" customFormat="false" ht="12.75" hidden="false" customHeight="false" outlineLevel="0" collapsed="false">
      <c r="G259" s="25" t="n">
        <f aca="false">+'ELBA BOOK'!A234</f>
        <v>43282</v>
      </c>
      <c r="H259" s="420" t="n">
        <f aca="false">+(SHIPS!C242+SHIPS!C552)*($G260-$G259)</f>
        <v>0</v>
      </c>
      <c r="I259" s="420" t="n">
        <f aca="false">+(SHIPS!D242+SHIPS!D552)*($G260-$G259)</f>
        <v>2099953.15855154</v>
      </c>
      <c r="J259" s="420"/>
    </row>
    <row r="260" customFormat="false" ht="12.75" hidden="false" customHeight="false" outlineLevel="0" collapsed="false">
      <c r="G260" s="25" t="n">
        <f aca="false">+'ELBA BOOK'!A235</f>
        <v>43313</v>
      </c>
      <c r="H260" s="420" t="n">
        <f aca="false">+(SHIPS!C243+SHIPS!C553)*($G261-$G260)</f>
        <v>0</v>
      </c>
      <c r="I260" s="420" t="n">
        <f aca="false">+(SHIPS!D243+SHIPS!D553)*($G261-$G260)</f>
        <v>2100979.41513186</v>
      </c>
      <c r="J260" s="420"/>
    </row>
    <row r="261" customFormat="false" ht="12.75" hidden="false" customHeight="false" outlineLevel="0" collapsed="false">
      <c r="G261" s="25" t="n">
        <f aca="false">+'ELBA BOOK'!A236</f>
        <v>43344</v>
      </c>
      <c r="H261" s="420" t="n">
        <f aca="false">+(SHIPS!C244+SHIPS!C554)*($G262-$G261)</f>
        <v>0</v>
      </c>
      <c r="I261" s="420" t="n">
        <f aca="false">+(SHIPS!D244+SHIPS!D554)*($G262-$G261)</f>
        <v>2034201.1062065</v>
      </c>
      <c r="J261" s="420"/>
    </row>
    <row r="262" customFormat="false" ht="12.75" hidden="false" customHeight="false" outlineLevel="0" collapsed="false">
      <c r="G262" s="25" t="n">
        <f aca="false">+'ELBA BOOK'!A237</f>
        <v>43374</v>
      </c>
      <c r="H262" s="420" t="n">
        <f aca="false">+(SHIPS!C245+SHIPS!C555)*($G263-$G262)</f>
        <v>0</v>
      </c>
      <c r="I262" s="420" t="n">
        <f aca="false">+(SHIPS!D245+SHIPS!D555)*($G263-$G262)</f>
        <v>2103038.34685036</v>
      </c>
      <c r="J262" s="420"/>
    </row>
    <row r="263" customFormat="false" ht="12.75" hidden="false" customHeight="false" outlineLevel="0" collapsed="false">
      <c r="G263" s="25" t="n">
        <f aca="false">+'ELBA BOOK'!A238</f>
        <v>43405</v>
      </c>
      <c r="H263" s="420" t="n">
        <f aca="false">+(SHIPS!C246+SHIPS!C556)*($G264-$G263)</f>
        <v>0</v>
      </c>
      <c r="I263" s="420" t="n">
        <f aca="false">+(SHIPS!D246+SHIPS!D556)*($G264-$G263)</f>
        <v>2036197.7718448</v>
      </c>
      <c r="J263" s="420"/>
    </row>
    <row r="264" customFormat="false" ht="12.75" hidden="false" customHeight="false" outlineLevel="0" collapsed="false">
      <c r="G264" s="25" t="n">
        <f aca="false">+'ELBA BOOK'!A239</f>
        <v>43435</v>
      </c>
      <c r="H264" s="420" t="n">
        <f aca="false">+(SHIPS!C247+SHIPS!C557)*($G265-$G264)</f>
        <v>0</v>
      </c>
      <c r="I264" s="420" t="n">
        <f aca="false">+(SHIPS!D247+SHIPS!D557)*($G265-$G264)</f>
        <v>2105105.86638735</v>
      </c>
      <c r="J264" s="420"/>
    </row>
    <row r="265" customFormat="false" ht="12.75" hidden="false" customHeight="false" outlineLevel="0" collapsed="false">
      <c r="G265" s="25" t="n">
        <f aca="false">+'ELBA BOOK'!A240</f>
        <v>43466</v>
      </c>
      <c r="H265" s="420" t="n">
        <f aca="false">+(SHIPS!C248+SHIPS!C558)*($G266-$G265)</f>
        <v>0</v>
      </c>
      <c r="I265" s="420" t="n">
        <f aca="false">+(SHIPS!D248+SHIPS!D558)*($G266-$G265)</f>
        <v>2106142.85777566</v>
      </c>
      <c r="J265" s="420"/>
    </row>
    <row r="266" customFormat="false" ht="12.75" hidden="false" customHeight="false" outlineLevel="0" collapsed="false">
      <c r="G266" s="25" t="n">
        <f aca="false">+'ELBA BOOK'!A241</f>
        <v>43497</v>
      </c>
      <c r="H266" s="420" t="n">
        <f aca="false">+(SHIPS!C249+SHIPS!C559)*($G267-$G266)</f>
        <v>0</v>
      </c>
      <c r="I266" s="420" t="n">
        <f aca="false">+(SHIPS!D249+SHIPS!D559)*($G267-$G266)</f>
        <v>1903261.16992759</v>
      </c>
      <c r="J266" s="420"/>
    </row>
    <row r="267" customFormat="false" ht="12.75" hidden="false" customHeight="false" outlineLevel="0" collapsed="false">
      <c r="G267" s="25" t="n">
        <f aca="false">+'ELBA BOOK'!A242</f>
        <v>43525</v>
      </c>
      <c r="H267" s="420" t="n">
        <f aca="false">+(SHIPS!C250+SHIPS!C560)*($G268-$G267)</f>
        <v>0</v>
      </c>
      <c r="I267" s="420" t="n">
        <f aca="false">+(SHIPS!D250+SHIPS!D560)*($G268-$G267)</f>
        <v>2108223.32624928</v>
      </c>
      <c r="J267" s="420"/>
    </row>
    <row r="268" customFormat="false" ht="12.75" hidden="false" customHeight="false" outlineLevel="0" collapsed="false">
      <c r="G268" s="25" t="n">
        <f aca="false">+'ELBA BOOK'!A243</f>
        <v>43556</v>
      </c>
      <c r="H268" s="420" t="n">
        <f aca="false">+(SHIPS!C251+SHIPS!C561)*($G269-$G268)</f>
        <v>0</v>
      </c>
      <c r="I268" s="420" t="n">
        <f aca="false">+(SHIPS!D251+SHIPS!D561)*($G269-$G268)</f>
        <v>2041225.94743126</v>
      </c>
      <c r="J268" s="420"/>
    </row>
    <row r="269" customFormat="false" ht="12.75" hidden="false" customHeight="false" outlineLevel="0" collapsed="false">
      <c r="G269" s="25" t="n">
        <f aca="false">+'ELBA BOOK'!A244</f>
        <v>43586</v>
      </c>
      <c r="H269" s="420" t="n">
        <f aca="false">+(SHIPS!C252+SHIPS!C562)*($G270-$G269)</f>
        <v>0</v>
      </c>
      <c r="I269" s="420" t="n">
        <f aca="false">+(SHIPS!D252+SHIPS!D562)*($G270-$G269)</f>
        <v>2110312.47237135</v>
      </c>
      <c r="J269" s="420"/>
    </row>
    <row r="270" customFormat="false" ht="12.75" hidden="false" customHeight="false" outlineLevel="0" collapsed="false">
      <c r="G270" s="25" t="n">
        <f aca="false">+'ELBA BOOK'!A245</f>
        <v>43617</v>
      </c>
      <c r="H270" s="420" t="n">
        <f aca="false">+(SHIPS!C253+SHIPS!C563)*($G271-$G270)</f>
        <v>0</v>
      </c>
      <c r="I270" s="420" t="n">
        <f aca="false">+(SHIPS!D253+SHIPS!D563)*($G271-$G270)</f>
        <v>2043251.91373109</v>
      </c>
      <c r="J270" s="420"/>
    </row>
    <row r="271" customFormat="false" ht="12.75" hidden="false" customHeight="false" outlineLevel="0" collapsed="false">
      <c r="G271" s="25" t="n">
        <f aca="false">+'ELBA BOOK'!A246</f>
        <v>43647</v>
      </c>
      <c r="H271" s="420" t="n">
        <f aca="false">+(SHIPS!C254+SHIPS!C564)*($G272-$G271)</f>
        <v>0</v>
      </c>
      <c r="I271" s="420" t="n">
        <f aca="false">+(SHIPS!D254+SHIPS!D564)*($G272-$G271)</f>
        <v>2112410.33233641</v>
      </c>
      <c r="J271" s="420"/>
    </row>
    <row r="272" customFormat="false" ht="12.75" hidden="false" customHeight="false" outlineLevel="0" collapsed="false">
      <c r="G272" s="25" t="n">
        <f aca="false">+'ELBA BOOK'!A247</f>
        <v>43678</v>
      </c>
      <c r="H272" s="420" t="n">
        <f aca="false">+(SHIPS!C255+SHIPS!C565)*($G273-$G272)</f>
        <v>0</v>
      </c>
      <c r="I272" s="420" t="n">
        <f aca="false">+(SHIPS!D255+SHIPS!D565)*($G273-$G272)</f>
        <v>2113462.54136211</v>
      </c>
      <c r="J272" s="420"/>
    </row>
    <row r="273" customFormat="false" ht="12.75" hidden="false" customHeight="false" outlineLevel="0" collapsed="false">
      <c r="G273" s="25" t="n">
        <f aca="false">+'ELBA BOOK'!A248</f>
        <v>43709</v>
      </c>
      <c r="H273" s="420" t="n">
        <f aca="false">+(SHIPS!C256+SHIPS!C566)*($G274-$G273)</f>
        <v>0</v>
      </c>
      <c r="I273" s="420" t="n">
        <f aca="false">+(SHIPS!D256+SHIPS!D566)*($G274-$G273)</f>
        <v>2046306.71853866</v>
      </c>
      <c r="J273" s="420"/>
    </row>
    <row r="274" customFormat="false" ht="12.75" hidden="false" customHeight="false" outlineLevel="0" collapsed="false">
      <c r="G274" s="25" t="n">
        <f aca="false">+'ELBA BOOK'!A249</f>
        <v>43739</v>
      </c>
      <c r="H274" s="420" t="n">
        <f aca="false">+(SHIPS!C257+SHIPS!C567)*($G275-$G274)</f>
        <v>0</v>
      </c>
      <c r="I274" s="420" t="n">
        <f aca="false">+(SHIPS!D257+SHIPS!D567)*($G275-$G274)</f>
        <v>2115573.5402868</v>
      </c>
      <c r="J274" s="420"/>
    </row>
    <row r="275" customFormat="false" ht="12.75" hidden="false" customHeight="false" outlineLevel="0" collapsed="false">
      <c r="G275" s="25" t="n">
        <f aca="false">+'ELBA BOOK'!A250</f>
        <v>43770</v>
      </c>
      <c r="H275" s="420" t="n">
        <f aca="false">+(SHIPS!C258+SHIPS!C568)*($G276-$G275)</f>
        <v>0</v>
      </c>
      <c r="I275" s="420" t="n">
        <f aca="false">+(SHIPS!D258+SHIPS!D568)*($G276-$G275)</f>
        <v>2048353.87677006</v>
      </c>
      <c r="J275" s="420"/>
    </row>
    <row r="276" customFormat="false" ht="12.75" hidden="false" customHeight="false" outlineLevel="0" collapsed="false">
      <c r="G276" s="25" t="n">
        <f aca="false">+'ELBA BOOK'!A251</f>
        <v>43800</v>
      </c>
      <c r="H276" s="420" t="n">
        <f aca="false">+(SHIPS!C259+SHIPS!C569)*($G277-$G276)</f>
        <v>0</v>
      </c>
      <c r="I276" s="420" t="n">
        <f aca="false">+(SHIPS!D259+SHIPS!D569)*($G277-$G276)</f>
        <v>2117693.34420267</v>
      </c>
      <c r="J276" s="420"/>
    </row>
    <row r="277" customFormat="false" ht="12.75" hidden="false" customHeight="false" outlineLevel="0" collapsed="false">
      <c r="G277" s="25" t="n">
        <f aca="false">+'ELBA BOOK'!A252</f>
        <v>43831</v>
      </c>
      <c r="H277" s="420" t="n">
        <f aca="false">+(SHIPS!C260+SHIPS!C570)*($G278-$G277)</f>
        <v>0</v>
      </c>
      <c r="I277" s="420" t="n">
        <f aca="false">+(SHIPS!D260+SHIPS!D570)*($G278-$G277)</f>
        <v>2118756.55950309</v>
      </c>
      <c r="J277" s="420"/>
    </row>
    <row r="278" customFormat="false" ht="12.75" hidden="false" customHeight="false" outlineLevel="0" collapsed="false">
      <c r="G278" s="25" t="n">
        <f aca="false">+'ELBA BOOK'!A253</f>
        <v>43862</v>
      </c>
      <c r="H278" s="420" t="n">
        <f aca="false">+(SHIPS!C261+SHIPS!C571)*($G279-$G278)</f>
        <v>0</v>
      </c>
      <c r="I278" s="420" t="n">
        <f aca="false">+(SHIPS!D261+SHIPS!D571)*($G279-$G278)</f>
        <v>1983059.28081375</v>
      </c>
      <c r="J278" s="420"/>
    </row>
    <row r="279" customFormat="false" ht="12.75" hidden="false" customHeight="false" outlineLevel="0" collapsed="false">
      <c r="G279" s="25" t="n">
        <f aca="false">+'ELBA BOOK'!A254</f>
        <v>43891</v>
      </c>
      <c r="H279" s="420" t="n">
        <f aca="false">+(SHIPS!C262+SHIPS!C572)*($G280-$G279)</f>
        <v>0</v>
      </c>
      <c r="I279" s="420" t="n">
        <f aca="false">+(SHIPS!D262+SHIPS!D572)*($G280-$G279)</f>
        <v>2120889.63981421</v>
      </c>
      <c r="J279" s="420"/>
    </row>
    <row r="280" customFormat="false" ht="12.75" hidden="false" customHeight="false" outlineLevel="0" collapsed="false">
      <c r="G280" s="25" t="n">
        <f aca="false">+'ELBA BOOK'!A255</f>
        <v>43922</v>
      </c>
      <c r="H280" s="420" t="n">
        <f aca="false">+(SHIPS!C263+SHIPS!C573)*($G281-$G280)</f>
        <v>0</v>
      </c>
      <c r="I280" s="420" t="n">
        <f aca="false">+(SHIPS!D263+SHIPS!D573)*($G281-$G280)</f>
        <v>2053509.20715854</v>
      </c>
      <c r="J280" s="420"/>
    </row>
    <row r="281" customFormat="false" ht="12.75" hidden="false" customHeight="false" outlineLevel="0" collapsed="false">
      <c r="G281" s="25" t="n">
        <f aca="false">+'ELBA BOOK'!A256</f>
        <v>43952</v>
      </c>
      <c r="H281" s="420" t="n">
        <f aca="false">+(SHIPS!C264+SHIPS!C574)*($G282-$G281)</f>
        <v>0</v>
      </c>
      <c r="I281" s="420" t="n">
        <f aca="false">+(SHIPS!D264+SHIPS!D574)*($G282-$G281)</f>
        <v>2123031.61721812</v>
      </c>
      <c r="J281" s="420"/>
    </row>
    <row r="282" customFormat="false" ht="12.75" hidden="false" customHeight="false" outlineLevel="0" collapsed="false">
      <c r="G282" s="25" t="n">
        <f aca="false">+'ELBA BOOK'!A257</f>
        <v>43983</v>
      </c>
      <c r="H282" s="420" t="n">
        <f aca="false">+(SHIPS!C265+SHIPS!C575)*($G283-$G282)</f>
        <v>0</v>
      </c>
      <c r="I282" s="420" t="n">
        <f aca="false">+(SHIPS!D265+SHIPS!D575)*($G283-$G282)</f>
        <v>2055586.40701999</v>
      </c>
      <c r="J282" s="420"/>
    </row>
    <row r="283" customFormat="false" ht="12.75" hidden="false" customHeight="false" outlineLevel="0" collapsed="false">
      <c r="G283" s="25" t="n">
        <f aca="false">+'ELBA BOOK'!A258</f>
        <v>44013</v>
      </c>
      <c r="H283" s="420" t="n">
        <f aca="false">+(SHIPS!C266+SHIPS!C576)*($G284-$G283)</f>
        <v>0</v>
      </c>
      <c r="I283" s="420" t="n">
        <f aca="false">+(SHIPS!D266+SHIPS!D576)*($G284-$G283)</f>
        <v>2125182.52882466</v>
      </c>
      <c r="J283" s="420"/>
    </row>
    <row r="284" customFormat="false" ht="12.75" hidden="false" customHeight="false" outlineLevel="0" collapsed="false">
      <c r="G284" s="25" t="n">
        <f aca="false">+'ELBA BOOK'!A259</f>
        <v>44044</v>
      </c>
      <c r="H284" s="420" t="n">
        <f aca="false">+(SHIPS!C267+SHIPS!C577)*($G285-$G284)</f>
        <v>0</v>
      </c>
      <c r="I284" s="420" t="n">
        <f aca="false">+(SHIPS!D267+SHIPS!D577)*($G285-$G284)</f>
        <v>2126261.34659305</v>
      </c>
      <c r="J284" s="420"/>
    </row>
    <row r="285" customFormat="false" ht="12.75" hidden="false" customHeight="false" outlineLevel="0" collapsed="false">
      <c r="G285" s="25" t="n">
        <f aca="false">+'ELBA BOOK'!A260</f>
        <v>44075</v>
      </c>
      <c r="H285" s="420" t="n">
        <f aca="false">+(SHIPS!C268+SHIPS!C578)*($G286-$G285)</f>
        <v>0</v>
      </c>
      <c r="I285" s="420" t="n">
        <f aca="false">+(SHIPS!D268+SHIPS!D578)*($G286-$G285)</f>
        <v>2058718.46312753</v>
      </c>
      <c r="J285" s="420"/>
    </row>
    <row r="286" customFormat="false" ht="12.75" hidden="false" customHeight="false" outlineLevel="0" collapsed="false">
      <c r="G286" s="25" t="n">
        <f aca="false">+'ELBA BOOK'!A261</f>
        <v>44105</v>
      </c>
      <c r="H286" s="420" t="n">
        <f aca="false">+(SHIPS!C269+SHIPS!C579)*($G287-$G286)</f>
        <v>0</v>
      </c>
      <c r="I286" s="420" t="n">
        <f aca="false">+(SHIPS!D269+SHIPS!D579)*($G287-$G286)</f>
        <v>2128425.72942324</v>
      </c>
      <c r="J286" s="420"/>
    </row>
    <row r="287" customFormat="false" ht="12.75" hidden="false" customHeight="false" outlineLevel="0" collapsed="false">
      <c r="G287" s="25" t="n">
        <f aca="false">+'ELBA BOOK'!A262</f>
        <v>44136</v>
      </c>
      <c r="H287" s="420" t="n">
        <f aca="false">+(SHIPS!C270+SHIPS!C580)*($G288-$G287)</f>
        <v>0</v>
      </c>
      <c r="I287" s="420" t="n">
        <f aca="false">+(SHIPS!D270+SHIPS!D580)*($G288-$G287)</f>
        <v>2060817.39083181</v>
      </c>
      <c r="J287" s="420"/>
    </row>
    <row r="288" customFormat="false" ht="12.75" hidden="false" customHeight="false" outlineLevel="0" collapsed="false">
      <c r="G288" s="25" t="n">
        <f aca="false">+'ELBA BOOK'!A263</f>
        <v>44166</v>
      </c>
      <c r="H288" s="420" t="n">
        <f aca="false">+(SHIPS!C271+SHIPS!C581)*($G289-$G288)</f>
        <v>0</v>
      </c>
      <c r="I288" s="420" t="n">
        <f aca="false">+(SHIPS!D271+SHIPS!D581)*($G289-$G288)</f>
        <v>2130599.13990924</v>
      </c>
      <c r="J288" s="420"/>
    </row>
    <row r="289" customFormat="false" ht="12.75" hidden="false" customHeight="false" outlineLevel="0" collapsed="false">
      <c r="G289" s="25" t="n">
        <f aca="false">+'ELBA BOOK'!A264</f>
        <v>44197</v>
      </c>
      <c r="H289" s="420" t="n">
        <f aca="false">+(SHIPS!C272+SHIPS!C582)*($G290-$G289)</f>
        <v>0</v>
      </c>
      <c r="I289" s="420" t="n">
        <f aca="false">+(SHIPS!D272+SHIPS!D582)*($G290-$G289)</f>
        <v>2131689.24228406</v>
      </c>
      <c r="J289" s="420"/>
    </row>
    <row r="290" customFormat="false" ht="12.75" hidden="false" customHeight="false" outlineLevel="0" collapsed="false">
      <c r="G290" s="25" t="n">
        <f aca="false">+'ELBA BOOK'!A265</f>
        <v>44228</v>
      </c>
      <c r="H290" s="420" t="n">
        <f aca="false">+(SHIPS!C273+SHIPS!C583)*($G291-$G290)</f>
        <v>0</v>
      </c>
      <c r="I290" s="420" t="n">
        <f aca="false">+(SHIPS!D273+SHIPS!D583)*($G291-$G290)</f>
        <v>1926383.39483076</v>
      </c>
      <c r="J290" s="420"/>
    </row>
    <row r="291" customFormat="false" ht="12.75" hidden="false" customHeight="false" outlineLevel="0" collapsed="false">
      <c r="G291" s="25" t="n">
        <f aca="false">+'ELBA BOOK'!A266</f>
        <v>44256</v>
      </c>
      <c r="H291" s="420" t="n">
        <f aca="false">+(SHIPS!C274+SHIPS!C584)*($G292-$G291)</f>
        <v>0</v>
      </c>
      <c r="I291" s="420" t="n">
        <f aca="false">+(SHIPS!D274+SHIPS!D584)*($G292-$G291)</f>
        <v>2133876.26490487</v>
      </c>
      <c r="J291" s="420"/>
    </row>
    <row r="292" customFormat="false" ht="12.75" hidden="false" customHeight="false" outlineLevel="0" collapsed="false">
      <c r="G292" s="25" t="n">
        <f aca="false">+'ELBA BOOK'!A267</f>
        <v>44287</v>
      </c>
      <c r="H292" s="420" t="n">
        <f aca="false">+(SHIPS!C275+SHIPS!C585)*($G293-$G292)</f>
        <v>0</v>
      </c>
      <c r="I292" s="420" t="n">
        <f aca="false">+(SHIPS!D275+SHIPS!D585)*($G293-$G292)</f>
        <v>2066103.09157105</v>
      </c>
      <c r="J292" s="420"/>
    </row>
    <row r="293" customFormat="false" ht="12.75" hidden="false" customHeight="false" outlineLevel="0" collapsed="false">
      <c r="G293" s="25" t="n">
        <f aca="false">+'ELBA BOOK'!A268</f>
        <v>44317</v>
      </c>
      <c r="H293" s="420" t="n">
        <f aca="false">+(SHIPS!C276+SHIPS!C586)*($G294-$G293)</f>
        <v>0</v>
      </c>
      <c r="I293" s="420" t="n">
        <f aca="false">+(SHIPS!D276+SHIPS!D586)*($G294-$G293)</f>
        <v>2136072.40961222</v>
      </c>
      <c r="J293" s="420"/>
    </row>
    <row r="294" customFormat="false" ht="12.75" hidden="false" customHeight="false" outlineLevel="0" collapsed="false">
      <c r="G294" s="25" t="n">
        <f aca="false">+'ELBA BOOK'!A269</f>
        <v>44348</v>
      </c>
      <c r="H294" s="420" t="n">
        <f aca="false">+(SHIPS!C277+SHIPS!C587)*($G295-$G294)</f>
        <v>0</v>
      </c>
      <c r="I294" s="420" t="n">
        <f aca="false">+(SHIPS!D277+SHIPS!D587)*($G295-$G294)</f>
        <v>2068232.82061185</v>
      </c>
      <c r="J294" s="420"/>
    </row>
    <row r="295" customFormat="false" ht="12.75" hidden="false" customHeight="false" outlineLevel="0" collapsed="false">
      <c r="G295" s="25" t="n">
        <f aca="false">+'ELBA BOOK'!A270</f>
        <v>44378</v>
      </c>
      <c r="H295" s="420" t="n">
        <f aca="false">+(SHIPS!C278+SHIPS!C588)*($G296-$G295)</f>
        <v>0</v>
      </c>
      <c r="I295" s="420" t="n">
        <f aca="false">+(SHIPS!D278+SHIPS!D588)*($G296-$G295)</f>
        <v>2138277.71445439</v>
      </c>
      <c r="J295" s="420"/>
    </row>
    <row r="296" customFormat="false" ht="12.75" hidden="false" customHeight="false" outlineLevel="0" collapsed="false">
      <c r="G296" s="25" t="n">
        <f aca="false">+'ELBA BOOK'!A271</f>
        <v>44409</v>
      </c>
      <c r="H296" s="420" t="n">
        <f aca="false">+(SHIPS!C279+SHIPS!C589)*($G297-$G296)</f>
        <v>0</v>
      </c>
      <c r="I296" s="420" t="n">
        <f aca="false">+(SHIPS!D279+SHIPS!D589)*($G297-$G296)</f>
        <v>2139383.81385951</v>
      </c>
      <c r="J296" s="420"/>
    </row>
    <row r="297" customFormat="false" ht="12.75" hidden="false" customHeight="false" outlineLevel="0" collapsed="false">
      <c r="G297" s="25" t="n">
        <f aca="false">+'ELBA BOOK'!A272</f>
        <v>44440</v>
      </c>
      <c r="H297" s="420" t="n">
        <f aca="false">+(SHIPS!C280+SHIPS!C590)*($G298-$G297)</f>
        <v>0</v>
      </c>
      <c r="I297" s="420" t="n">
        <f aca="false">+(SHIPS!D280+SHIPS!D590)*($G298-$G297)</f>
        <v>2071444.08158553</v>
      </c>
      <c r="J297" s="420"/>
    </row>
    <row r="298" customFormat="false" ht="12.75" hidden="false" customHeight="false" outlineLevel="0" collapsed="false">
      <c r="G298" s="25" t="n">
        <f aca="false">+'ELBA BOOK'!A273</f>
        <v>44470</v>
      </c>
      <c r="H298" s="420" t="n">
        <f aca="false">+(SHIPS!C281+SHIPS!C591)*($G299-$G298)</f>
        <v>0</v>
      </c>
      <c r="I298" s="420" t="n">
        <f aca="false">+(SHIPS!D281+SHIPS!D591)*($G299-$G298)</f>
        <v>2141602.93059179</v>
      </c>
      <c r="J298" s="420"/>
    </row>
    <row r="299" customFormat="false" ht="12.75" hidden="false" customHeight="false" outlineLevel="0" collapsed="false">
      <c r="G299" s="25" t="n">
        <f aca="false">+'ELBA BOOK'!A274</f>
        <v>44501</v>
      </c>
      <c r="H299" s="420" t="n">
        <f aca="false">+(SHIPS!C282+SHIPS!C592)*($G300-$G299)</f>
        <v>0</v>
      </c>
      <c r="I299" s="420" t="n">
        <f aca="false">+(SHIPS!D282+SHIPS!D592)*($G300-$G299)</f>
        <v>2073596.08793277</v>
      </c>
      <c r="J299" s="420"/>
    </row>
    <row r="300" customFormat="false" ht="12.75" hidden="false" customHeight="false" outlineLevel="0" collapsed="false">
      <c r="G300" s="25" t="n">
        <f aca="false">+'ELBA BOOK'!A275</f>
        <v>44531</v>
      </c>
      <c r="H300" s="420" t="n">
        <f aca="false">+(SHIPS!C283+SHIPS!C593)*($G301-$G300)</f>
        <v>0</v>
      </c>
      <c r="I300" s="420" t="n">
        <f aca="false">+(SHIPS!D283+SHIPS!D593)*($G301-$G300)</f>
        <v>2143831.30327538</v>
      </c>
      <c r="J300" s="420"/>
    </row>
    <row r="301" customFormat="false" ht="12.75" hidden="false" customHeight="false" outlineLevel="0" collapsed="false">
      <c r="G301" s="25" t="n">
        <f aca="false">+'ELBA BOOK'!A276</f>
        <v>44562</v>
      </c>
      <c r="H301" s="420" t="n">
        <f aca="false">+(SHIPS!C284+SHIPS!C594)*($G302-$G301)</f>
        <v>0</v>
      </c>
      <c r="I301" s="420" t="n">
        <f aca="false">+(SHIPS!D284+SHIPS!D594)*($G302-$G301)</f>
        <v>2144948.97265721</v>
      </c>
      <c r="J301" s="420"/>
    </row>
    <row r="302" customFormat="false" ht="12.75" hidden="false" customHeight="false" outlineLevel="0" collapsed="false">
      <c r="G302" s="25" t="n">
        <f aca="false">+'ELBA BOOK'!A277</f>
        <v>44593</v>
      </c>
      <c r="H302" s="420" t="n">
        <f aca="false">+(SHIPS!C285+SHIPS!C595)*($G303-$G302)</f>
        <v>0</v>
      </c>
      <c r="I302" s="420" t="n">
        <f aca="false">+(SHIPS!D285+SHIPS!D595)*($G303-$G302)</f>
        <v>1938384.87659592</v>
      </c>
      <c r="J302" s="420"/>
    </row>
    <row r="303" customFormat="false" ht="12.75" hidden="false" customHeight="false" outlineLevel="0" collapsed="false">
      <c r="G303" s="25" t="n">
        <f aca="false">+'ELBA BOOK'!A278</f>
        <v>44621</v>
      </c>
      <c r="H303" s="420" t="n">
        <f aca="false">+(SHIPS!C286+SHIPS!C596)*($G304-$G303)</f>
        <v>0</v>
      </c>
      <c r="I303" s="420" t="n">
        <f aca="false">+(SHIPS!D286+SHIPS!D596)*($G304-$G303)</f>
        <v>2147191.30170549</v>
      </c>
      <c r="J303" s="420"/>
    </row>
    <row r="304" customFormat="false" ht="12.75" hidden="false" customHeight="false" outlineLevel="0" collapsed="false">
      <c r="G304" s="25" t="n">
        <f aca="false">+'ELBA BOOK'!A279</f>
        <v>44652</v>
      </c>
      <c r="H304" s="420" t="n">
        <f aca="false">+(SHIPS!C287+SHIPS!C597)*($G305-$G304)</f>
        <v>0</v>
      </c>
      <c r="I304" s="420" t="n">
        <f aca="false">+(SHIPS!D287+SHIPS!D597)*($G305-$G304)</f>
        <v>2079015.45588778</v>
      </c>
      <c r="J304" s="420"/>
    </row>
    <row r="305" customFormat="false" ht="12.75" hidden="false" customHeight="false" outlineLevel="0" collapsed="false">
      <c r="G305" s="25" t="n">
        <f aca="false">+'ELBA BOOK'!A280</f>
        <v>44682</v>
      </c>
      <c r="H305" s="420" t="n">
        <f aca="false">+(SHIPS!C288+SHIPS!C598)*($G306-$G305)</f>
        <v>0</v>
      </c>
      <c r="I305" s="420" t="n">
        <f aca="false">+(SHIPS!D288+SHIPS!D598)*($G306-$G305)</f>
        <v>2149442.9835238</v>
      </c>
      <c r="J305" s="420"/>
    </row>
    <row r="306" customFormat="false" ht="12.75" hidden="false" customHeight="false" outlineLevel="0" collapsed="false">
      <c r="G306" s="25" t="n">
        <f aca="false">+'ELBA BOOK'!A281</f>
        <v>44713</v>
      </c>
      <c r="H306" s="420" t="n">
        <f aca="false">+(SHIPS!C289+SHIPS!C599)*($G307-$G306)</f>
        <v>0</v>
      </c>
      <c r="I306" s="420" t="n">
        <f aca="false">+(SHIPS!D289+SHIPS!D599)*($G307-$G306)</f>
        <v>2081199.04248981</v>
      </c>
      <c r="J306" s="420"/>
    </row>
    <row r="307" customFormat="false" ht="12.75" hidden="false" customHeight="false" outlineLevel="0" collapsed="false">
      <c r="G307" s="25" t="n">
        <f aca="false">+'ELBA BOOK'!A282</f>
        <v>44743</v>
      </c>
      <c r="H307" s="420" t="n">
        <f aca="false">+(SHIPS!C290+SHIPS!C600)*($G308-$G307)</f>
        <v>0</v>
      </c>
      <c r="I307" s="420" t="n">
        <f aca="false">+(SHIPS!D290+SHIPS!D600)*($G308-$G307)</f>
        <v>2151704.05712261</v>
      </c>
      <c r="J307" s="420"/>
    </row>
    <row r="308" customFormat="false" ht="12.75" hidden="false" customHeight="false" outlineLevel="0" collapsed="false">
      <c r="G308" s="25" t="n">
        <f aca="false">+'ELBA BOOK'!A283</f>
        <v>44774</v>
      </c>
      <c r="H308" s="420" t="n">
        <f aca="false">+(SHIPS!C291+SHIPS!C601)*($G309-$G308)</f>
        <v>0</v>
      </c>
      <c r="I308" s="420" t="n">
        <f aca="false">+(SHIPS!D291+SHIPS!D601)*($G309-$G308)</f>
        <v>2152838.12807495</v>
      </c>
      <c r="J308" s="420"/>
    </row>
    <row r="309" customFormat="false" ht="12.75" hidden="false" customHeight="false" outlineLevel="0" collapsed="false">
      <c r="G309" s="25" t="n">
        <f aca="false">+'ELBA BOOK'!A284</f>
        <v>44805</v>
      </c>
      <c r="H309" s="420" t="n">
        <f aca="false">+(SHIPS!C292+SHIPS!C602)*($G310-$G309)</f>
        <v>0</v>
      </c>
      <c r="I309" s="420" t="n">
        <f aca="false">+(SHIPS!D292+SHIPS!D602)*($G310-$G309)</f>
        <v>2084491.51129849</v>
      </c>
      <c r="J309" s="420"/>
    </row>
    <row r="310" customFormat="false" ht="12.75" hidden="false" customHeight="false" outlineLevel="0" collapsed="false">
      <c r="G310" s="25" t="n">
        <f aca="false">+'ELBA BOOK'!A285</f>
        <v>44835</v>
      </c>
      <c r="H310" s="420" t="n">
        <f aca="false">+(SHIPS!C293+SHIPS!C603)*($G311-$G310)</f>
        <v>0</v>
      </c>
      <c r="I310" s="420" t="n">
        <f aca="false">+(SHIPS!D293+SHIPS!D603)*($G311-$G310)</f>
        <v>2155113.36284526</v>
      </c>
      <c r="J310" s="420"/>
    </row>
    <row r="311" customFormat="false" ht="12.75" hidden="false" customHeight="false" outlineLevel="0" collapsed="false">
      <c r="G311" s="25" t="n">
        <f aca="false">+'ELBA BOOK'!A286</f>
        <v>44866</v>
      </c>
      <c r="H311" s="420" t="n">
        <f aca="false">+(SHIPS!C294+SHIPS!C604)*($G312-$G311)</f>
        <v>0</v>
      </c>
      <c r="I311" s="420" t="n">
        <f aca="false">+(SHIPS!D294+SHIPS!D604)*($G312-$G311)</f>
        <v>2086697.93856567</v>
      </c>
      <c r="J311" s="420"/>
    </row>
    <row r="312" customFormat="false" ht="12.75" hidden="false" customHeight="false" outlineLevel="0" collapsed="false">
      <c r="G312" s="25" t="n">
        <f aca="false">+'ELBA BOOK'!A287</f>
        <v>44896</v>
      </c>
      <c r="H312" s="420" t="n">
        <f aca="false">+(SHIPS!C295+SHIPS!C605)*($G313-$G312)</f>
        <v>0</v>
      </c>
      <c r="I312" s="420" t="n">
        <f aca="false">+(SHIPS!D295+SHIPS!D605)*($G313-$G312)</f>
        <v>2157398.0876356</v>
      </c>
      <c r="J312" s="420"/>
    </row>
    <row r="313" customFormat="false" ht="12.75" hidden="false" customHeight="false" outlineLevel="0" collapsed="false">
      <c r="G313" s="25" t="n">
        <f aca="false">+'ELBA BOOK'!A288</f>
        <v>44927</v>
      </c>
      <c r="H313" s="420" t="n">
        <f aca="false">+(SHIPS!C296+SHIPS!C606)*($G314-$G313)</f>
        <v>0</v>
      </c>
      <c r="I313" s="420" t="n">
        <f aca="false">+(SHIPS!D296+SHIPS!D606)*($G314-$G313)</f>
        <v>2158544.02115151</v>
      </c>
      <c r="J313" s="420"/>
    </row>
    <row r="314" customFormat="false" ht="12.75" hidden="false" customHeight="false" outlineLevel="0" collapsed="false">
      <c r="G314" s="25" t="n">
        <f aca="false">+'ELBA BOOK'!A289</f>
        <v>44958</v>
      </c>
      <c r="H314" s="420" t="n">
        <f aca="false">+(SHIPS!C297+SHIPS!C607)*($G315-$G314)</f>
        <v>0</v>
      </c>
      <c r="I314" s="420" t="n">
        <f aca="false">+(SHIPS!D297+SHIPS!D607)*($G315-$G314)</f>
        <v>1950689.85731643</v>
      </c>
      <c r="J314" s="420"/>
    </row>
    <row r="315" customFormat="false" ht="12.75" hidden="false" customHeight="false" outlineLevel="0" collapsed="false">
      <c r="G315" s="25" t="n">
        <f aca="false">+'ELBA BOOK'!A290</f>
        <v>44986</v>
      </c>
      <c r="H315" s="420" t="n">
        <f aca="false">+(SHIPS!C298+SHIPS!C608)*($G316-$G315)</f>
        <v>0</v>
      </c>
      <c r="I315" s="420" t="n">
        <f aca="false">+(SHIPS!D298+SHIPS!D608)*($G316-$G315)</f>
        <v>2160843.05524147</v>
      </c>
      <c r="J315" s="420"/>
    </row>
    <row r="316" customFormat="false" ht="12.75" hidden="false" customHeight="false" outlineLevel="0" collapsed="false">
      <c r="G316" s="25" t="n">
        <f aca="false">+'ELBA BOOK'!A291</f>
        <v>45017</v>
      </c>
      <c r="H316" s="420" t="n">
        <f aca="false">+(SHIPS!C299+SHIPS!C609)*($G317-$G316)</f>
        <v>0</v>
      </c>
      <c r="I316" s="420" t="n">
        <f aca="false">+(SHIPS!D299+SHIPS!D609)*($G317-$G316)</f>
        <v>2092254.35397409</v>
      </c>
      <c r="J316" s="420"/>
    </row>
    <row r="317" customFormat="false" ht="12.75" hidden="false" customHeight="false" outlineLevel="0" collapsed="false">
      <c r="G317" s="25" t="n">
        <f aca="false">+'ELBA BOOK'!A292</f>
        <v>45047</v>
      </c>
      <c r="H317" s="420" t="n">
        <f aca="false">+(SHIPS!C300+SHIPS!C610)*($G318-$G317)</f>
        <v>0</v>
      </c>
      <c r="I317" s="420" t="n">
        <f aca="false">+(SHIPS!D300+SHIPS!D610)*($G318-$G317)</f>
        <v>2163151.67861858</v>
      </c>
      <c r="J317" s="420"/>
    </row>
    <row r="318" customFormat="false" ht="12.75" hidden="false" customHeight="false" outlineLevel="0" collapsed="false">
      <c r="G318" s="25" t="n">
        <f aca="false">+'ELBA BOOK'!A293</f>
        <v>45078</v>
      </c>
      <c r="H318" s="420" t="n">
        <f aca="false">+(SHIPS!C301+SHIPS!C611)*($G319-$G318)</f>
        <v>0</v>
      </c>
      <c r="I318" s="420" t="n">
        <f aca="false">+(SHIPS!D301+SHIPS!D611)*($G319-$G318)</f>
        <v>2094493.16011197</v>
      </c>
      <c r="J318" s="420"/>
    </row>
    <row r="319" customFormat="false" ht="12.75" hidden="false" customHeight="false" outlineLevel="0" collapsed="false">
      <c r="G319" s="25" t="n">
        <f aca="false">+'ELBA BOOK'!A294</f>
        <v>45108</v>
      </c>
      <c r="H319" s="420" t="n">
        <f aca="false">+(SHIPS!C302+SHIPS!C612)*($G320-$G319)</f>
        <v>0</v>
      </c>
      <c r="I319" s="420" t="n">
        <f aca="false">+(SHIPS!D302+SHIPS!D612)*($G320-$G319)</f>
        <v>2165469.93127983</v>
      </c>
      <c r="J319" s="420"/>
    </row>
    <row r="320" customFormat="false" ht="12.75" hidden="false" customHeight="false" outlineLevel="0" collapsed="false">
      <c r="G320" s="25" t="n">
        <f aca="false">+'ELBA BOOK'!A295</f>
        <v>45139</v>
      </c>
      <c r="H320" s="420" t="n">
        <f aca="false">+(SHIPS!C303+SHIPS!C613)*($G321-$G320)</f>
        <v>0</v>
      </c>
      <c r="I320" s="420" t="n">
        <f aca="false">+(SHIPS!D303+SHIPS!D613)*($G321-$G320)</f>
        <v>2166632.68113667</v>
      </c>
      <c r="J320" s="420"/>
    </row>
    <row r="321" customFormat="false" ht="12.75" hidden="false" customHeight="false" outlineLevel="0" collapsed="false">
      <c r="G321" s="25" t="n">
        <f aca="false">+'ELBA BOOK'!A296</f>
        <v>45170</v>
      </c>
      <c r="H321" s="420" t="n">
        <f aca="false">+(SHIPS!C304+SHIPS!C614)*($G322-$G321)</f>
        <v>0</v>
      </c>
      <c r="I321" s="420" t="n">
        <f aca="false">+(SHIPS!D304+SHIPS!D614)*($G322-$G321)</f>
        <v>2097868.89037649</v>
      </c>
      <c r="J321" s="420"/>
    </row>
    <row r="322" customFormat="false" ht="12.75" hidden="false" customHeight="false" outlineLevel="0" collapsed="false">
      <c r="G322" s="25" t="n">
        <f aca="false">+'ELBA BOOK'!A297</f>
        <v>45200</v>
      </c>
      <c r="H322" s="420" t="n">
        <f aca="false">+(SHIPS!C305+SHIPS!C615)*($G323-$G322)</f>
        <v>0</v>
      </c>
      <c r="I322" s="420" t="n">
        <f aca="false">+(SHIPS!D305+SHIPS!D615)*($G323-$G322)</f>
        <v>2168965.4530836</v>
      </c>
      <c r="J322" s="420"/>
    </row>
    <row r="323" customFormat="false" ht="12.75" hidden="false" customHeight="false" outlineLevel="0" collapsed="false">
      <c r="G323" s="25" t="n">
        <f aca="false">+'ELBA BOOK'!A298</f>
        <v>45231</v>
      </c>
      <c r="H323" s="420" t="n">
        <f aca="false">+(SHIPS!C306+SHIPS!C616)*($G324-$G323)</f>
        <v>0</v>
      </c>
      <c r="I323" s="420" t="n">
        <f aca="false">+(SHIPS!D306+SHIPS!D616)*($G324-$G323)</f>
        <v>2100131.1147847</v>
      </c>
      <c r="J323" s="420"/>
    </row>
    <row r="324" customFormat="false" ht="12.75" hidden="false" customHeight="false" outlineLevel="0" collapsed="false">
      <c r="G324" s="25" t="n">
        <f aca="false">+'ELBA BOOK'!A299</f>
        <v>45261</v>
      </c>
      <c r="H324" s="420" t="n">
        <f aca="false">+(SHIPS!C307+SHIPS!C617)*($G325-$G324)</f>
        <v>0</v>
      </c>
      <c r="I324" s="420" t="n">
        <f aca="false">+(SHIPS!D307+SHIPS!D617)*($G325-$G324)</f>
        <v>2171307.95503852</v>
      </c>
      <c r="J324" s="420"/>
    </row>
    <row r="325" customFormat="false" ht="12.75" hidden="false" customHeight="false" outlineLevel="0" collapsed="false">
      <c r="G325" s="25" t="n">
        <f aca="false">+'ELBA BOOK'!A300</f>
        <v>45292</v>
      </c>
      <c r="H325" s="420" t="n">
        <f aca="false">+(SHIPS!C308+SHIPS!C618)*($G326-$G325)</f>
        <v>0</v>
      </c>
      <c r="I325" s="420" t="n">
        <f aca="false">+(SHIPS!D308+SHIPS!D618)*($G326-$G325)</f>
        <v>2172482.86744485</v>
      </c>
      <c r="J325" s="420"/>
    </row>
    <row r="326" customFormat="false" ht="12.75" hidden="false" customHeight="false" outlineLevel="0" collapsed="false">
      <c r="G326" s="25" t="n">
        <f aca="false">+'ELBA BOOK'!A301</f>
        <v>45323</v>
      </c>
      <c r="H326" s="420" t="n">
        <f aca="false">+(SHIPS!C309+SHIPS!C619)*($G327-$G326)</f>
        <v>0</v>
      </c>
      <c r="I326" s="420" t="n">
        <f aca="false">+(SHIPS!D309+SHIPS!D619)*($G327-$G326)</f>
        <v>2033424.08387017</v>
      </c>
      <c r="J326" s="420"/>
    </row>
    <row r="327" customFormat="false" ht="12.75" hidden="false" customHeight="false" outlineLevel="0" collapsed="false">
      <c r="G327" s="25" t="n">
        <f aca="false">+'ELBA BOOK'!A302</f>
        <v>45352</v>
      </c>
      <c r="H327" s="420" t="n">
        <f aca="false">+(SHIPS!C310+SHIPS!C620)*($G328-$G327)</f>
        <v>0</v>
      </c>
      <c r="I327" s="420" t="n">
        <f aca="false">+(SHIPS!D310+SHIPS!D620)*($G328-$G327)</f>
        <v>2174840.04055949</v>
      </c>
      <c r="J327" s="420"/>
    </row>
    <row r="328" customFormat="false" ht="12.75" hidden="false" customHeight="false" outlineLevel="0" collapsed="false">
      <c r="G328" s="25" t="n">
        <f aca="false">+'ELBA BOOK'!A303</f>
        <v>45383</v>
      </c>
      <c r="H328" s="420" t="n">
        <f aca="false">+(SHIPS!C311+SHIPS!C621)*($G329-$G328)</f>
        <v>0</v>
      </c>
      <c r="I328" s="420" t="n">
        <f aca="false">+(SHIPS!D311+SHIPS!D621)*($G329-$G328)</f>
        <v>2105828.04336515</v>
      </c>
      <c r="J328" s="420"/>
    </row>
    <row r="329" customFormat="false" ht="12.75" hidden="false" customHeight="false" outlineLevel="0" collapsed="false">
      <c r="G329" s="25" t="n">
        <f aca="false">+'ELBA BOOK'!A304</f>
        <v>45413</v>
      </c>
      <c r="H329" s="420" t="n">
        <f aca="false">+(SHIPS!C312+SHIPS!C622)*($G330-$G329)</f>
        <v>0</v>
      </c>
      <c r="I329" s="420" t="n">
        <f aca="false">+(SHIPS!D312+SHIPS!D622)*($G330-$G329)</f>
        <v>2177207.04545957</v>
      </c>
      <c r="J329" s="420"/>
    </row>
    <row r="330" customFormat="false" ht="12.75" hidden="false" customHeight="false" outlineLevel="0" collapsed="false">
      <c r="G330" s="25" t="n">
        <f aca="false">+'ELBA BOOK'!A305</f>
        <v>45444</v>
      </c>
      <c r="H330" s="420" t="n">
        <f aca="false">+(SHIPS!C313+SHIPS!C623)*($G331-$G330)</f>
        <v>0</v>
      </c>
      <c r="I330" s="420" t="n">
        <f aca="false">+(SHIPS!D313+SHIPS!D623)*($G331-$G330)</f>
        <v>2108123.46545575</v>
      </c>
      <c r="J330" s="420"/>
    </row>
    <row r="331" customFormat="false" ht="12.75" hidden="false" customHeight="false" outlineLevel="0" collapsed="false">
      <c r="G331" s="25" t="n">
        <f aca="false">+'ELBA BOOK'!A306</f>
        <v>45474</v>
      </c>
      <c r="H331" s="420" t="n">
        <f aca="false">+(SHIPS!C314+SHIPS!C624)*($G332-$G331)</f>
        <v>0</v>
      </c>
      <c r="I331" s="420" t="n">
        <f aca="false">+(SHIPS!D314+SHIPS!D624)*($G332-$G331)</f>
        <v>2179583.92315352</v>
      </c>
      <c r="J331" s="420"/>
    </row>
    <row r="332" customFormat="false" ht="12.75" hidden="false" customHeight="false" outlineLevel="0" collapsed="false">
      <c r="G332" s="25" t="n">
        <f aca="false">+'ELBA BOOK'!A307</f>
        <v>45505</v>
      </c>
      <c r="H332" s="420" t="n">
        <f aca="false">+(SHIPS!C315+SHIPS!C625)*($G333-$G332)</f>
        <v>0</v>
      </c>
      <c r="I332" s="420" t="n">
        <f aca="false">+(SHIPS!D315+SHIPS!D625)*($G333-$G332)</f>
        <v>2180776.07716009</v>
      </c>
      <c r="J332" s="420"/>
    </row>
    <row r="333" customFormat="false" ht="12.75" hidden="false" customHeight="false" outlineLevel="0" collapsed="false">
      <c r="G333" s="25" t="n">
        <f aca="false">+'ELBA BOOK'!A308</f>
        <v>45536</v>
      </c>
      <c r="H333" s="420" t="n">
        <f aca="false">+(SHIPS!C316+SHIPS!C626)*($G334-$G333)</f>
        <v>0</v>
      </c>
      <c r="I333" s="420" t="n">
        <f aca="false">+(SHIPS!D316+SHIPS!D626)*($G334-$G333)</f>
        <v>2111584.56272985</v>
      </c>
      <c r="J333" s="420"/>
    </row>
    <row r="334" customFormat="false" ht="12.75" hidden="false" customHeight="false" outlineLevel="0" collapsed="false">
      <c r="G334" s="25" t="n">
        <f aca="false">+'ELBA BOOK'!A309</f>
        <v>45566</v>
      </c>
      <c r="H334" s="420" t="n">
        <f aca="false">+(SHIPS!C317+SHIPS!C627)*($G335-$G334)</f>
        <v>0</v>
      </c>
      <c r="I334" s="420" t="n">
        <f aca="false">+(SHIPS!D317+SHIPS!D627)*($G335-$G334)</f>
        <v>2183167.84131005</v>
      </c>
      <c r="J334" s="420"/>
    </row>
    <row r="335" customFormat="false" ht="12.75" hidden="false" customHeight="false" outlineLevel="0" collapsed="false">
      <c r="G335" s="25" t="n">
        <f aca="false">+'ELBA BOOK'!A310</f>
        <v>45597</v>
      </c>
      <c r="H335" s="420" t="n">
        <f aca="false">+(SHIPS!C318+SHIPS!C628)*($G336-$G335)</f>
        <v>0</v>
      </c>
      <c r="I335" s="420" t="n">
        <f aca="false">+(SHIPS!D318+SHIPS!D628)*($G336-$G335)</f>
        <v>2113903.99530269</v>
      </c>
      <c r="J335" s="420"/>
    </row>
    <row r="336" customFormat="false" ht="12.75" hidden="false" customHeight="false" outlineLevel="0" collapsed="false">
      <c r="G336" s="25" t="n">
        <f aca="false">+'ELBA BOOK'!A311</f>
        <v>45627</v>
      </c>
      <c r="H336" s="420" t="n">
        <f aca="false">+(SHIPS!C319+SHIPS!C629)*($G337-$G336)</f>
        <v>0</v>
      </c>
      <c r="I336" s="420" t="n">
        <f aca="false">+(SHIPS!D319+SHIPS!D629)*($G337-$G336)</f>
        <v>2185569.58152489</v>
      </c>
      <c r="J336" s="420"/>
    </row>
    <row r="337" customFormat="false" ht="12.75" hidden="false" customHeight="false" outlineLevel="0" collapsed="false">
      <c r="G337" s="25" t="n">
        <f aca="false">+'ELBA BOOK'!A312</f>
        <v>45658</v>
      </c>
      <c r="H337" s="420" t="n">
        <f aca="false">+(SHIPS!C320+SHIPS!C630)*($G338-$G337)</f>
        <v>0</v>
      </c>
      <c r="I337" s="420" t="n">
        <f aca="false">+(SHIPS!D320+SHIPS!D630)*($G338-$G337)</f>
        <v>2186774.20565307</v>
      </c>
      <c r="J337" s="420"/>
    </row>
    <row r="338" customFormat="false" ht="12.75" hidden="false" customHeight="false" outlineLevel="0" collapsed="false">
      <c r="G338" s="25" t="n">
        <f aca="false">+'ELBA BOOK'!A313</f>
        <v>45689</v>
      </c>
      <c r="H338" s="420" t="n">
        <f aca="false">+(SHIPS!C321+SHIPS!C631)*($G339-$G338)</f>
        <v>0</v>
      </c>
      <c r="I338" s="420" t="n">
        <f aca="false">+(SHIPS!D321+SHIPS!D631)*($G339-$G338)</f>
        <v>1976241.20979405</v>
      </c>
      <c r="J338" s="420"/>
    </row>
    <row r="339" customFormat="false" ht="12.75" hidden="false" customHeight="false" outlineLevel="0" collapsed="false">
      <c r="G339" s="25" t="n">
        <f aca="false">+'ELBA BOOK'!A314</f>
        <v>45717</v>
      </c>
      <c r="H339" s="420" t="n">
        <f aca="false">+(SHIPS!C322+SHIPS!C632)*($G340-$G339)</f>
        <v>0</v>
      </c>
      <c r="I339" s="420" t="n">
        <f aca="false">+(SHIPS!D322+SHIPS!D632)*($G340-$G339)</f>
        <v>2189190.98803863</v>
      </c>
      <c r="J339" s="420"/>
    </row>
    <row r="340" customFormat="false" ht="12.75" hidden="false" customHeight="false" outlineLevel="0" collapsed="false">
      <c r="G340" s="25" t="n">
        <f aca="false">+'ELBA BOOK'!A315</f>
        <v>45748</v>
      </c>
      <c r="H340" s="420" t="n">
        <f aca="false">+(SHIPS!C323+SHIPS!C633)*($G341-$G340)</f>
        <v>0</v>
      </c>
      <c r="I340" s="420" t="n">
        <f aca="false">+(SHIPS!D323+SHIPS!D633)*($G341-$G340)</f>
        <v>2119744.99041649</v>
      </c>
      <c r="J340" s="420"/>
    </row>
    <row r="341" customFormat="false" ht="12.75" hidden="false" customHeight="false" outlineLevel="0" collapsed="false">
      <c r="G341" s="25" t="n">
        <f aca="false">+'ELBA BOOK'!A316</f>
        <v>45778</v>
      </c>
      <c r="H341" s="420" t="n">
        <f aca="false">+(SHIPS!C324+SHIPS!C634)*($G342-$G341)</f>
        <v>0</v>
      </c>
      <c r="I341" s="420" t="n">
        <f aca="false">+(SHIPS!D324+SHIPS!D634)*($G342-$G341)</f>
        <v>2191617.8508403</v>
      </c>
      <c r="J341" s="420"/>
    </row>
    <row r="342" customFormat="false" ht="12.75" hidden="false" customHeight="false" outlineLevel="0" collapsed="false">
      <c r="G342" s="25" t="n">
        <f aca="false">+'ELBA BOOK'!A317</f>
        <v>45809</v>
      </c>
      <c r="H342" s="420" t="n">
        <f aca="false">+(SHIPS!C325+SHIPS!C635)*($G343-$G342)</f>
        <v>0</v>
      </c>
      <c r="I342" s="420" t="n">
        <f aca="false">+(SHIPS!D325+SHIPS!D635)*($G343-$G342)</f>
        <v>2122098.46018989</v>
      </c>
      <c r="J342" s="420"/>
    </row>
    <row r="343" customFormat="false" ht="12.75" hidden="false" customHeight="false" outlineLevel="0" collapsed="false">
      <c r="G343" s="25" t="n">
        <f aca="false">+'ELBA BOOK'!A318</f>
        <v>45839</v>
      </c>
      <c r="H343" s="420" t="n">
        <f aca="false">+(SHIPS!C326+SHIPS!C636)*($G344-$G343)</f>
        <v>0</v>
      </c>
      <c r="I343" s="420" t="n">
        <f aca="false">+(SHIPS!D326+SHIPS!D636)*($G344-$G343)</f>
        <v>2194054.83610357</v>
      </c>
      <c r="J343" s="420"/>
    </row>
    <row r="344" customFormat="false" ht="12.75" hidden="false" customHeight="false" outlineLevel="0" collapsed="false">
      <c r="G344" s="25" t="n">
        <f aca="false">+'ELBA BOOK'!A319</f>
        <v>45870</v>
      </c>
      <c r="H344" s="420" t="n">
        <f aca="false">+(SHIPS!C327+SHIPS!C637)*($G345-$G344)</f>
        <v>0</v>
      </c>
      <c r="I344" s="420" t="n">
        <f aca="false">+(SHIPS!D327+SHIPS!D637)*($G345-$G344)</f>
        <v>2195277.13784545</v>
      </c>
      <c r="J344" s="420"/>
    </row>
    <row r="345" customFormat="false" ht="12.75" hidden="false" customHeight="false" outlineLevel="0" collapsed="false">
      <c r="G345" s="25" t="n">
        <f aca="false">+'ELBA BOOK'!A320</f>
        <v>45901</v>
      </c>
      <c r="H345" s="420" t="n">
        <f aca="false">+(SHIPS!C328+SHIPS!C638)*($G346-$G345)</f>
        <v>0</v>
      </c>
      <c r="I345" s="420" t="n">
        <f aca="false">+(SHIPS!D328+SHIPS!D638)*($G346-$G345)</f>
        <v>2125647.08327351</v>
      </c>
      <c r="J345" s="420"/>
    </row>
    <row r="346" customFormat="false" ht="12.75" hidden="false" customHeight="false" outlineLevel="0" collapsed="false">
      <c r="G346" s="25" t="n">
        <f aca="false">+'ELBA BOOK'!A321</f>
        <v>45931</v>
      </c>
      <c r="H346" s="420" t="n">
        <f aca="false">+(SHIPS!C329+SHIPS!C639)*($G347-$G346)</f>
        <v>0</v>
      </c>
      <c r="I346" s="420" t="n">
        <f aca="false">+(SHIPS!D329+SHIPS!D639)*($G347-$G346)</f>
        <v>2197729.38602023</v>
      </c>
      <c r="J346" s="420"/>
    </row>
    <row r="347" customFormat="false" ht="12.75" hidden="false" customHeight="false" outlineLevel="0" collapsed="false">
      <c r="G347" s="25" t="n">
        <f aca="false">+'ELBA BOOK'!A322</f>
        <v>45962</v>
      </c>
      <c r="H347" s="420" t="n">
        <f aca="false">+(SHIPS!C330+SHIPS!C640)*($G348-$G347)</f>
        <v>0</v>
      </c>
      <c r="I347" s="420" t="n">
        <f aca="false">+(SHIPS!D330+SHIPS!D640)*($G348-$G347)</f>
        <v>2128025.1707172</v>
      </c>
      <c r="J347" s="420"/>
    </row>
    <row r="348" customFormat="false" ht="12.75" hidden="false" customHeight="false" outlineLevel="0" collapsed="false">
      <c r="G348" s="25" t="n">
        <f aca="false">+'ELBA BOOK'!A323</f>
        <v>45992</v>
      </c>
      <c r="H348" s="420" t="n">
        <f aca="false">+(SHIPS!C331+SHIPS!C641)*($G349-$G348)</f>
        <v>0</v>
      </c>
      <c r="I348" s="420" t="n">
        <f aca="false">+(SHIPS!D331+SHIPS!D641)*($G349-$G348)</f>
        <v>2200191.86253918</v>
      </c>
      <c r="J348" s="420"/>
    </row>
    <row r="349" customFormat="false" ht="12.75" hidden="false" customHeight="false" outlineLevel="0" collapsed="false">
      <c r="G349" s="25" t="n">
        <f aca="false">+'ELBA BOOK'!A324</f>
        <v>46023</v>
      </c>
    </row>
  </sheetData>
  <mergeCells count="1">
    <mergeCell ref="N5:O5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1998-10-15T19:21:23Z</dcterms:created>
  <dc:creator>Enron</dc:creator>
  <dc:description/>
  <dc:language>en-US</dc:language>
  <cp:lastModifiedBy>egroves</cp:lastModifiedBy>
  <cp:lastPrinted>2000-07-24T13:43:37Z</cp:lastPrinted>
  <cp:revision>0</cp:revision>
  <dc:subject/>
  <dc:title/>
</cp:coreProperties>
</file>