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3100" sheetId="1" state="visible" r:id="rId3"/>
  </sheets>
  <definedNames>
    <definedName function="false" hidden="false" localSheetId="0" name="_xlnm.Print_Area" vbProcedure="false">'053100'!$A$1:$AX$365</definedName>
    <definedName function="false" hidden="false" name="EndDate" vbProcedure="false">'053100'!$B$25</definedName>
    <definedName function="false" hidden="false" name="StartDate" vbProcedure="false">'053100'!$B$23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1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extrapolated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9</xdr:row>
                <xdr:rowOff>8</xdr:rowOff>
              </xdr:from>
              <xdr:to>
                <xdr:col>9</xdr:col>
                <xdr:colOff>12</xdr:colOff>
                <xdr:row>13</xdr:row>
                <xdr:rowOff>11</xdr:rowOff>
              </xdr:to>
            </anchor>
          </commentPr>
        </mc:Choice>
        <mc:Fallback/>
      </mc:AlternateContent>
    </comment>
    <comment ref="G12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extrapolated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10</xdr:row>
                <xdr:rowOff>8</xdr:rowOff>
              </xdr:from>
              <xdr:to>
                <xdr:col>9</xdr:col>
                <xdr:colOff>12</xdr:colOff>
                <xdr:row>14</xdr:row>
                <xdr:rowOff>11</xdr:rowOff>
              </xdr:to>
            </anchor>
          </commentPr>
        </mc:Choice>
        <mc:Fallback/>
      </mc:AlternateContent>
    </comment>
    <comment ref="G17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extrapolated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15</xdr:row>
                <xdr:rowOff>8</xdr:rowOff>
              </xdr:from>
              <xdr:to>
                <xdr:col>9</xdr:col>
                <xdr:colOff>12</xdr:colOff>
                <xdr:row>19</xdr:row>
                <xdr:rowOff>11</xdr:rowOff>
              </xdr:to>
            </anchor>
          </commentPr>
        </mc:Choice>
        <mc:Fallback/>
      </mc:AlternateContent>
    </comment>
    <comment ref="G18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extrapolated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16</xdr:row>
                <xdr:rowOff>8</xdr:rowOff>
              </xdr:from>
              <xdr:to>
                <xdr:col>9</xdr:col>
                <xdr:colOff>12</xdr:colOff>
                <xdr:row>20</xdr:row>
                <xdr:rowOff>11</xdr:rowOff>
              </xdr:to>
            </anchor>
          </commentPr>
        </mc:Choice>
        <mc:Fallback/>
      </mc:AlternateContent>
    </comment>
    <comment ref="N16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Guess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90</xdr:colOff>
                <xdr:row>14</xdr:row>
                <xdr:rowOff>8</xdr:rowOff>
              </xdr:from>
              <xdr:to>
                <xdr:col>16</xdr:col>
                <xdr:colOff>73</xdr:colOff>
                <xdr:row>18</xdr:row>
                <xdr:rowOff>11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Guess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90</xdr:colOff>
                <xdr:row>15</xdr:row>
                <xdr:rowOff>8</xdr:rowOff>
              </xdr:from>
              <xdr:to>
                <xdr:col>16</xdr:col>
                <xdr:colOff>73</xdr:colOff>
                <xdr:row>19</xdr:row>
                <xdr:rowOff>11</xdr:rowOff>
              </xdr:to>
            </anchor>
          </commentPr>
        </mc:Choice>
        <mc:Fallback/>
      </mc:AlternateContent>
    </comment>
    <comment ref="Z25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Note that this is the voyage cost for HG from Qatar to Elba; in actuality it will be lower for volumes from VZ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90</xdr:colOff>
                <xdr:row>23</xdr:row>
                <xdr:rowOff>8</xdr:rowOff>
              </xdr:from>
              <xdr:to>
                <xdr:col>28</xdr:col>
                <xdr:colOff>81</xdr:colOff>
                <xdr:row>27</xdr:row>
                <xdr:rowOff>11</xdr:rowOff>
              </xdr:to>
            </anchor>
          </commentPr>
        </mc:Choice>
        <mc:Fallback/>
      </mc:AlternateContent>
    </comment>
    <comment ref="AF25" authorId="0">
      <text>
        <r>
          <rPr>
            <b val="true"/>
            <sz val="8"/>
            <color rgb="FF000000"/>
            <rFont val="Tahoma"/>
            <family val="0"/>
          </rPr>
          <t xml:space="preserve">ENRON:
</t>
        </r>
        <r>
          <rPr>
            <sz val="8"/>
            <color rgb="FF000000"/>
            <rFont val="Tahoma"/>
            <family val="0"/>
          </rPr>
          <t xml:space="preserve">Note that this is the voyage cost for NB from Algeria to Elba; in actuality it will be lower for volumes from VZ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31</xdr:col>
                <xdr:colOff>108</xdr:colOff>
                <xdr:row>23</xdr:row>
                <xdr:rowOff>8</xdr:rowOff>
              </xdr:from>
              <xdr:to>
                <xdr:col>33</xdr:col>
                <xdr:colOff>33</xdr:colOff>
                <xdr:row>27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<sst xmlns="http://schemas.openxmlformats.org/spreadsheetml/2006/main" count="268" uniqueCount="99">
  <si>
    <t xml:space="preserve">ATLANTIC BASIN LNG</t>
  </si>
  <si>
    <t xml:space="preserve">Cash Flow Analysis, 25 years from 11/00</t>
  </si>
  <si>
    <t xml:space="preserve">Date Prepared: 5/31/00</t>
  </si>
  <si>
    <t xml:space="preserve">ASSUMPTIONS</t>
  </si>
  <si>
    <t xml:space="preserve">Volume per Cargo</t>
  </si>
  <si>
    <t xml:space="preserve">from Qatar</t>
  </si>
  <si>
    <t xml:space="preserve">from Algeria</t>
  </si>
  <si>
    <t xml:space="preserve">from Venezuela</t>
  </si>
  <si>
    <t xml:space="preserve">Via Hoegh Galleon:</t>
  </si>
  <si>
    <t xml:space="preserve">TBTU/Cargo</t>
  </si>
  <si>
    <t xml:space="preserve">Loaded</t>
  </si>
  <si>
    <t xml:space="preserve">Distance to Elba (Days RT)</t>
  </si>
  <si>
    <t xml:space="preserve">Unloaded to Elba</t>
  </si>
  <si>
    <t xml:space="preserve">Distance to Lake Ch (Days RT)</t>
  </si>
  <si>
    <t xml:space="preserve">Unloaded to Lk Ch</t>
  </si>
  <si>
    <t xml:space="preserve">Max Cargoes/Mo. to Elba</t>
  </si>
  <si>
    <t xml:space="preserve">Elba % of Vol Lost on Hoegh</t>
  </si>
  <si>
    <t xml:space="preserve">Max Cargoes/Mo. to Lake Charles</t>
  </si>
  <si>
    <t xml:space="preserve">Via Newbuild:</t>
  </si>
  <si>
    <t xml:space="preserve">TBTU / Newbuild Cargo</t>
  </si>
  <si>
    <t xml:space="preserve">Start Date:</t>
  </si>
  <si>
    <t xml:space="preserve">Term in</t>
  </si>
  <si>
    <t xml:space="preserve">XNPV</t>
  </si>
  <si>
    <t xml:space="preserve">Qatar Volumes</t>
  </si>
  <si>
    <t xml:space="preserve">Algeria Volumes</t>
  </si>
  <si>
    <t xml:space="preserve">Venezuela Volumes</t>
  </si>
  <si>
    <t xml:space="preserve">Gas Price</t>
  </si>
  <si>
    <t xml:space="preserve">Elba Island</t>
  </si>
  <si>
    <t xml:space="preserve">Lake Charles</t>
  </si>
  <si>
    <t xml:space="preserve">Hoegh Galleon</t>
  </si>
  <si>
    <t xml:space="preserve">EXMAR (NB)</t>
  </si>
  <si>
    <t xml:space="preserve">Elba Terminaling</t>
  </si>
  <si>
    <t xml:space="preserve">Lk Ch Terminaling</t>
  </si>
  <si>
    <t xml:space="preserve">FOB</t>
  </si>
  <si>
    <t xml:space="preserve">Years:</t>
  </si>
  <si>
    <t xml:space="preserve">to Elba Island </t>
  </si>
  <si>
    <t xml:space="preserve">Henry Hub</t>
  </si>
  <si>
    <t xml:space="preserve">Lk Ch Basis</t>
  </si>
  <si>
    <t xml:space="preserve">Elba Basis</t>
  </si>
  <si>
    <t xml:space="preserve">Revenues</t>
  </si>
  <si>
    <t xml:space="preserve">($/day):</t>
  </si>
  <si>
    <t xml:space="preserve">Voyage to Lk Ch</t>
  </si>
  <si>
    <t xml:space="preserve">Voyage to Elba</t>
  </si>
  <si>
    <t xml:space="preserve">Total Costs</t>
  </si>
  <si>
    <t xml:space="preserve">Flat COS</t>
  </si>
  <si>
    <t xml:space="preserve">Esc COS</t>
  </si>
  <si>
    <t xml:space="preserve">Var Cost</t>
  </si>
  <si>
    <t xml:space="preserve">Fuel Cost as</t>
  </si>
  <si>
    <t xml:space="preserve">Flat Cost</t>
  </si>
  <si>
    <t xml:space="preserve">to Qatar</t>
  </si>
  <si>
    <t xml:space="preserve">to Algeria</t>
  </si>
  <si>
    <t xml:space="preserve">to VLNG</t>
  </si>
  <si>
    <t xml:space="preserve">End Date:</t>
  </si>
  <si>
    <t xml:space="preserve">via HG</t>
  </si>
  <si>
    <t xml:space="preserve">via NB</t>
  </si>
  <si>
    <t xml:space="preserve">($/MMBtu)</t>
  </si>
  <si>
    <t xml:space="preserve">($000/mo.):</t>
  </si>
  <si>
    <t xml:space="preserve">($/MMBtu):</t>
  </si>
  <si>
    <t xml:space="preserve">($000/Yr)</t>
  </si>
  <si>
    <t xml:space="preserve">($MM/Yr)</t>
  </si>
  <si>
    <t xml:space="preserve">% of FOB</t>
  </si>
  <si>
    <t xml:space="preserve">Fixed Charter A</t>
  </si>
  <si>
    <t xml:space="preserve">O&amp;M Charter A</t>
  </si>
  <si>
    <t xml:space="preserve">FOB Price:</t>
  </si>
  <si>
    <t xml:space="preserve">Esc. Start Date:</t>
  </si>
  <si>
    <t xml:space="preserve">A End Date:</t>
  </si>
  <si>
    <t xml:space="preserve">Esc. Rate</t>
  </si>
  <si>
    <t xml:space="preserve">Cargoes/Mo.</t>
  </si>
  <si>
    <t xml:space="preserve">Fixed Charter B</t>
  </si>
  <si>
    <t xml:space="preserve">O&amp;M Charter B</t>
  </si>
  <si>
    <t xml:space="preserve">Ttl Volume/mo.:</t>
  </si>
  <si>
    <t xml:space="preserve">B End Date:</t>
  </si>
  <si>
    <t xml:space="preserve">COS Start Date:</t>
  </si>
  <si>
    <t xml:space="preserve">Thereafter:</t>
  </si>
  <si>
    <t xml:space="preserve">Unloaded as % of Loaded:</t>
  </si>
  <si>
    <t xml:space="preserve">Esc from B on:</t>
  </si>
  <si>
    <t xml:space="preserve">Notes:</t>
  </si>
  <si>
    <t xml:space="preserve">for XNPV</t>
  </si>
  <si>
    <t xml:space="preserve">XNPV is</t>
  </si>
  <si>
    <t xml:space="preserve">Equiv to 50% of</t>
  </si>
  <si>
    <t xml:space="preserve">Equiv to 58Bcf/Yr</t>
  </si>
  <si>
    <t xml:space="preserve">customized</t>
  </si>
  <si>
    <t xml:space="preserve">on UNLOADED</t>
  </si>
  <si>
    <t xml:space="preserve">on LOADED</t>
  </si>
  <si>
    <t xml:space="preserve">calc</t>
  </si>
  <si>
    <t xml:space="preserve">as of BOM</t>
  </si>
  <si>
    <t xml:space="preserve">58Bcf/Yr</t>
  </si>
  <si>
    <t xml:space="preserve">Volumes</t>
  </si>
  <si>
    <t xml:space="preserve">Date</t>
  </si>
  <si>
    <t xml:space="preserve">Month</t>
  </si>
  <si>
    <t xml:space="preserve">Term</t>
  </si>
  <si>
    <t xml:space="preserve">Total Rev</t>
  </si>
  <si>
    <t xml:space="preserve">NET CF</t>
  </si>
  <si>
    <t xml:space="preserve">Count</t>
  </si>
  <si>
    <t xml:space="preserve">(Years)</t>
  </si>
  <si>
    <t xml:space="preserve">TO</t>
  </si>
  <si>
    <t xml:space="preserve">ENRON</t>
  </si>
  <si>
    <t xml:space="preserve">($000)</t>
  </si>
  <si>
    <t xml:space="preserve">TOTALS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</si>
</sst>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.000"/>
    <numFmt numFmtId="166" formatCode="_(* #,##0.00_);_(* \(#,##0.00\);_(* \-??_);_(@_)"/>
    <numFmt numFmtId="167" formatCode="0.00"/>
    <numFmt numFmtId="168" formatCode="0.0%"/>
    <numFmt numFmtId="169" formatCode="m/d/yy"/>
    <numFmt numFmtId="170" formatCode="\$#,##0_);&quot;($&quot;#,##0\)"/>
    <numFmt numFmtId="171" formatCode="\$#,##0.000_);&quot;($&quot;#,##0.000\)"/>
    <numFmt numFmtId="172" formatCode="\$#,##0.0000_);[RED]&quot;($&quot;#,##0.0000\)"/>
    <numFmt numFmtId="173" formatCode="_(\$* #,##0.00_);_(\$* \(#,##0.00\);_(\$* \-??_);_(@_)"/>
    <numFmt numFmtId="174" formatCode="_(\$* #,##0.0000_);_(\$* \(#,##0.0000\);_(\$* \-??_);_(@_)"/>
    <numFmt numFmtId="175" formatCode="0.000%"/>
    <numFmt numFmtId="176" formatCode="\$#,##0.00_);[RED]&quot;($&quot;#,##0.00\)"/>
    <numFmt numFmtId="177" formatCode="\$#,##0_);[RED]&quot;($&quot;#,##0\)"/>
    <numFmt numFmtId="178" formatCode="0.00%"/>
    <numFmt numFmtId="179" formatCode="_(* #,##0_);_(* \(#,##0\);_(* \-??_);_(@_)"/>
    <numFmt numFmtId="180" formatCode="mm/dd/yy"/>
    <numFmt numFmtId="181" formatCode="\$#,##0.00_);&quot;($&quot;#,##0.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 val="true"/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thin"/>
      <top style="dotted"/>
      <bottom/>
      <diagonal/>
    </border>
    <border diagonalUp="false" diagonalDown="false">
      <left style="thin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7" fontId="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2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2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3" fontId="10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7" fontId="10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2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2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2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2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0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2" borderId="1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2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0" width="9.99"/>
    <col collapsed="false" customWidth="true" hidden="false" outlineLevel="0" max="4" min="2" style="0" width="9.41"/>
    <col collapsed="false" customWidth="true" hidden="false" outlineLevel="0" max="5" min="5" style="0" width="11.85"/>
    <col collapsed="false" customWidth="true" hidden="false" outlineLevel="0" max="6" min="6" style="0" width="15.56"/>
    <col collapsed="false" customWidth="true" hidden="false" outlineLevel="0" max="7" min="7" style="0" width="15.7"/>
    <col collapsed="false" customWidth="true" hidden="false" outlineLevel="0" max="8" min="8" style="0" width="14.14"/>
    <col collapsed="false" customWidth="true" hidden="false" outlineLevel="0" max="9" min="9" style="0" width="4.7"/>
    <col collapsed="false" customWidth="true" hidden="false" outlineLevel="0" max="12" min="10" style="0" width="16.28"/>
    <col collapsed="false" customWidth="true" hidden="false" outlineLevel="0" max="13" min="13" style="0" width="15.99"/>
    <col collapsed="false" customWidth="true" hidden="false" outlineLevel="0" max="15" min="14" style="0" width="15.56"/>
    <col collapsed="false" customWidth="true" hidden="false" outlineLevel="0" max="16" min="16" style="0" width="4.99"/>
    <col collapsed="false" customWidth="true" hidden="false" outlineLevel="0" max="19" min="17" style="0" width="13.7"/>
    <col collapsed="false" customWidth="true" hidden="false" outlineLevel="0" max="20" min="20" style="0" width="12.99"/>
    <col collapsed="false" customWidth="true" hidden="false" outlineLevel="0" max="21" min="21" style="0" width="14.41"/>
    <col collapsed="false" customWidth="true" hidden="false" outlineLevel="0" max="22" min="22" style="0" width="4.99"/>
    <col collapsed="false" customWidth="true" hidden="false" outlineLevel="0" max="23" min="23" style="0" width="16.42"/>
    <col collapsed="false" customWidth="true" hidden="false" outlineLevel="0" max="24" min="24" style="0" width="15.85"/>
    <col collapsed="false" customWidth="true" hidden="false" outlineLevel="0" max="25" min="25" style="0" width="17.28"/>
    <col collapsed="false" customWidth="true" hidden="false" outlineLevel="0" max="26" min="26" style="0" width="15.56"/>
    <col collapsed="false" customWidth="true" hidden="false" outlineLevel="0" max="27" min="27" style="0" width="13.7"/>
    <col collapsed="false" customWidth="true" hidden="false" outlineLevel="0" max="28" min="28" style="0" width="5.56"/>
    <col collapsed="false" customWidth="true" hidden="false" outlineLevel="0" max="29" min="29" style="0" width="16.42"/>
    <col collapsed="false" customWidth="true" hidden="false" outlineLevel="0" max="30" min="30" style="0" width="15.85"/>
    <col collapsed="false" customWidth="true" hidden="false" outlineLevel="0" max="31" min="31" style="0" width="17.28"/>
    <col collapsed="false" customWidth="true" hidden="false" outlineLevel="0" max="32" min="32" style="0" width="15.56"/>
    <col collapsed="false" customWidth="true" hidden="false" outlineLevel="0" max="33" min="33" style="0" width="12.85"/>
    <col collapsed="false" customWidth="true" hidden="false" outlineLevel="0" max="34" min="34" style="0" width="4.99"/>
    <col collapsed="false" customWidth="true" hidden="false" outlineLevel="0" max="39" min="35" style="0" width="14.99"/>
    <col collapsed="false" customWidth="true" hidden="false" outlineLevel="0" max="40" min="40" style="0" width="4.99"/>
    <col collapsed="false" customWidth="true" hidden="false" outlineLevel="0" max="43" min="41" style="0" width="16.28"/>
    <col collapsed="false" customWidth="true" hidden="false" outlineLevel="0" max="44" min="44" style="0" width="4.99"/>
    <col collapsed="false" customWidth="true" hidden="false" outlineLevel="0" max="47" min="45" style="0" width="11.56"/>
    <col collapsed="false" customWidth="true" hidden="false" outlineLevel="0" max="50" min="48" style="0" width="12.28"/>
    <col collapsed="false" customWidth="true" hidden="false" outlineLevel="0" max="65" min="51" style="0" width="11.85"/>
    <col collapsed="false" customWidth="true" hidden="false" outlineLevel="0" max="72" min="66" style="1" width="11.85"/>
    <col collapsed="false" customWidth="false" hidden="false" outlineLevel="0" max="257" min="7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6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2.75" hidden="false" customHeight="false" outlineLevel="0" collapsed="false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2.75" hidden="false" customHeight="false" outlineLevel="0" collapsed="false">
      <c r="A5" s="8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2.75" hidden="false" customHeight="false" outlineLevel="0" collapsed="false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false" outlineLevel="0" collapsed="false">
      <c r="A7" s="9"/>
      <c r="B7" s="10" t="s">
        <v>4</v>
      </c>
      <c r="C7" s="11"/>
      <c r="D7" s="11"/>
      <c r="E7" s="12" t="s">
        <v>5</v>
      </c>
      <c r="F7" s="13" t="s">
        <v>6</v>
      </c>
      <c r="G7" s="13" t="s">
        <v>7</v>
      </c>
      <c r="H7" s="11"/>
      <c r="I7" s="11"/>
      <c r="J7" s="14"/>
      <c r="K7" s="11"/>
      <c r="L7" s="12" t="s">
        <v>5</v>
      </c>
      <c r="M7" s="13" t="s">
        <v>6</v>
      </c>
      <c r="N7" s="13" t="s">
        <v>7</v>
      </c>
      <c r="O7" s="15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false" outlineLevel="0" collapsed="false">
      <c r="A8" s="9"/>
      <c r="B8" s="16"/>
      <c r="C8" s="9"/>
      <c r="D8" s="9"/>
      <c r="E8" s="8"/>
      <c r="F8" s="17"/>
      <c r="G8" s="17"/>
      <c r="H8" s="9"/>
      <c r="I8" s="9"/>
      <c r="J8" s="18"/>
      <c r="K8" s="9"/>
      <c r="L8" s="9"/>
      <c r="M8" s="9"/>
      <c r="N8" s="9"/>
      <c r="O8" s="1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false" outlineLevel="0" collapsed="false">
      <c r="A9" s="9"/>
      <c r="B9" s="20" t="s">
        <v>8</v>
      </c>
      <c r="C9" s="21"/>
      <c r="D9" s="21"/>
      <c r="E9" s="22"/>
      <c r="F9" s="23"/>
      <c r="G9" s="23"/>
      <c r="H9" s="21"/>
      <c r="I9" s="21"/>
      <c r="J9" s="24"/>
      <c r="K9" s="21"/>
      <c r="L9" s="21"/>
      <c r="M9" s="21"/>
      <c r="N9" s="21"/>
      <c r="O9" s="25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A10" s="26"/>
      <c r="B10" s="27" t="s">
        <v>9</v>
      </c>
      <c r="C10" s="9"/>
      <c r="D10" s="9"/>
      <c r="E10" s="28" t="n">
        <f aca="false">2048307/1000000</f>
        <v>2.048307</v>
      </c>
      <c r="F10" s="29" t="n">
        <f aca="false">+E10</f>
        <v>2.048307</v>
      </c>
      <c r="G10" s="29" t="n">
        <f aca="false">+F10</f>
        <v>2.048307</v>
      </c>
      <c r="H10" s="30" t="s">
        <v>10</v>
      </c>
      <c r="I10" s="9"/>
      <c r="J10" s="31" t="s">
        <v>11</v>
      </c>
      <c r="K10" s="9"/>
      <c r="L10" s="32" t="n">
        <v>48</v>
      </c>
      <c r="M10" s="32" t="n">
        <v>23</v>
      </c>
      <c r="N10" s="32" t="n">
        <v>9</v>
      </c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false" outlineLevel="0" collapsed="false">
      <c r="A11" s="26"/>
      <c r="B11" s="27" t="s">
        <v>9</v>
      </c>
      <c r="C11" s="9"/>
      <c r="D11" s="9"/>
      <c r="E11" s="28" t="n">
        <f aca="false">1833234.765/1000000</f>
        <v>1.833234765</v>
      </c>
      <c r="F11" s="28" t="n">
        <v>1.94589165</v>
      </c>
      <c r="G11" s="34" t="n">
        <f aca="false">G$10-AVERAGE(E$10-E11,F$10-F11)/AVERAGE(L10:M10)*N10</f>
        <v>2.00806209485916</v>
      </c>
      <c r="H11" s="30" t="s">
        <v>12</v>
      </c>
      <c r="I11" s="35"/>
      <c r="J11" s="31" t="s">
        <v>13</v>
      </c>
      <c r="K11" s="9"/>
      <c r="L11" s="32" t="n">
        <v>55</v>
      </c>
      <c r="M11" s="32" t="n">
        <v>27</v>
      </c>
      <c r="N11" s="32" t="n">
        <v>11</v>
      </c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</row>
    <row r="12" customFormat="false" ht="12.75" hidden="false" customHeight="false" outlineLevel="0" collapsed="false">
      <c r="A12" s="26"/>
      <c r="B12" s="27" t="s">
        <v>9</v>
      </c>
      <c r="C12" s="9"/>
      <c r="D12" s="9"/>
      <c r="E12" s="28" t="n">
        <f aca="false">1802510.16/1000000</f>
        <v>1.80251016</v>
      </c>
      <c r="F12" s="28" t="n">
        <v>1.92540858</v>
      </c>
      <c r="G12" s="34" t="n">
        <f aca="false">G$10-AVERAGE(E$10-E12,F$10-F12)/AVERAGE(L11:M11)*N11</f>
        <v>1.9988478797561</v>
      </c>
      <c r="H12" s="30" t="s">
        <v>14</v>
      </c>
      <c r="I12" s="35"/>
      <c r="J12" s="31" t="s">
        <v>15</v>
      </c>
      <c r="K12" s="9"/>
      <c r="L12" s="36" t="n">
        <f aca="false">365/L10/12</f>
        <v>0.633680555555556</v>
      </c>
      <c r="M12" s="36" t="n">
        <f aca="false">365/M10/12</f>
        <v>1.32246376811594</v>
      </c>
      <c r="N12" s="36" t="n">
        <f aca="false">365/N10/12</f>
        <v>3.37962962962963</v>
      </c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2.75" hidden="false" customHeight="false" outlineLevel="0" collapsed="false">
      <c r="A13" s="26"/>
      <c r="B13" s="37" t="s">
        <v>16</v>
      </c>
      <c r="C13" s="9"/>
      <c r="D13" s="30"/>
      <c r="E13" s="38" t="n">
        <f aca="false">1-AVERAGE(E11)/E10</f>
        <v>0.105</v>
      </c>
      <c r="F13" s="38" t="n">
        <f aca="false">1-AVERAGE(F11)/F10</f>
        <v>0.05</v>
      </c>
      <c r="G13" s="38" t="n">
        <f aca="false">1-AVERAGE(G11)/G10</f>
        <v>0.0196478873239436</v>
      </c>
      <c r="H13" s="30"/>
      <c r="I13" s="35"/>
      <c r="J13" s="31" t="s">
        <v>17</v>
      </c>
      <c r="K13" s="9"/>
      <c r="L13" s="36" t="n">
        <f aca="false">365/L11/12</f>
        <v>0.553030303030303</v>
      </c>
      <c r="M13" s="36" t="n">
        <f aca="false">365/M11/12</f>
        <v>1.12654320987654</v>
      </c>
      <c r="N13" s="36" t="n">
        <f aca="false">365/N11/12</f>
        <v>2.76515151515152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2.75" hidden="false" customHeight="false" outlineLevel="0" collapsed="false">
      <c r="A14" s="26"/>
      <c r="B14" s="39"/>
      <c r="C14" s="40"/>
      <c r="D14" s="41"/>
      <c r="E14" s="42"/>
      <c r="F14" s="42"/>
      <c r="G14" s="42"/>
      <c r="H14" s="41"/>
      <c r="I14" s="43"/>
      <c r="J14" s="44"/>
      <c r="K14" s="40"/>
      <c r="L14" s="45"/>
      <c r="M14" s="45"/>
      <c r="N14" s="45"/>
      <c r="O14" s="46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2.75" hidden="false" customHeight="false" outlineLevel="0" collapsed="false">
      <c r="A15" s="26"/>
      <c r="B15" s="47" t="s">
        <v>18</v>
      </c>
      <c r="C15" s="9"/>
      <c r="D15" s="30"/>
      <c r="E15" s="38"/>
      <c r="F15" s="38"/>
      <c r="G15" s="38"/>
      <c r="H15" s="30"/>
      <c r="I15" s="35"/>
      <c r="J15" s="31"/>
      <c r="K15" s="9"/>
      <c r="L15" s="36"/>
      <c r="M15" s="36"/>
      <c r="N15" s="36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2.75" hidden="false" customHeight="false" outlineLevel="0" collapsed="false">
      <c r="A16" s="26"/>
      <c r="B16" s="27" t="s">
        <v>19</v>
      </c>
      <c r="C16" s="9"/>
      <c r="D16" s="9"/>
      <c r="E16" s="28" t="n">
        <f aca="false">3210570/1000000</f>
        <v>3.21057</v>
      </c>
      <c r="F16" s="29" t="n">
        <f aca="false">+E16</f>
        <v>3.21057</v>
      </c>
      <c r="G16" s="29" t="n">
        <f aca="false">+F16</f>
        <v>3.21057</v>
      </c>
      <c r="H16" s="30" t="s">
        <v>10</v>
      </c>
      <c r="I16" s="9"/>
      <c r="J16" s="31" t="s">
        <v>11</v>
      </c>
      <c r="K16" s="9"/>
      <c r="L16" s="32" t="n">
        <v>46</v>
      </c>
      <c r="M16" s="32" t="n">
        <v>21</v>
      </c>
      <c r="N16" s="48" t="n">
        <v>9</v>
      </c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2.75" hidden="false" customHeight="false" outlineLevel="0" collapsed="false">
      <c r="A17" s="9"/>
      <c r="B17" s="27" t="s">
        <v>19</v>
      </c>
      <c r="C17" s="9"/>
      <c r="D17" s="9"/>
      <c r="E17" s="28" t="n">
        <f aca="false">3017935.8/1000000</f>
        <v>3.0179358</v>
      </c>
      <c r="F17" s="28" t="n">
        <v>3.12388461</v>
      </c>
      <c r="G17" s="34" t="n">
        <f aca="false">G$16-AVERAGE(E$16-E17,F$16-F17)/AVERAGE(L10:M10)*N10</f>
        <v>3.17516329140845</v>
      </c>
      <c r="H17" s="30" t="s">
        <v>12</v>
      </c>
      <c r="I17" s="9"/>
      <c r="J17" s="31" t="s">
        <v>13</v>
      </c>
      <c r="K17" s="9"/>
      <c r="L17" s="32" t="n">
        <v>51</v>
      </c>
      <c r="M17" s="32" t="n">
        <v>27</v>
      </c>
      <c r="N17" s="48" t="n">
        <v>11</v>
      </c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2.75" hidden="false" customHeight="false" outlineLevel="0" collapsed="false">
      <c r="A18" s="26"/>
      <c r="B18" s="27" t="s">
        <v>19</v>
      </c>
      <c r="C18" s="9"/>
      <c r="D18" s="9"/>
      <c r="E18" s="28" t="n">
        <f aca="false">2998672.38/1000000</f>
        <v>2.99867238</v>
      </c>
      <c r="F18" s="28" t="n">
        <v>3.09498948</v>
      </c>
      <c r="G18" s="34" t="n">
        <f aca="false">G$16-AVERAGE(E$16-E18,F$16-F18)/AVERAGE(L11:M11)*N11</f>
        <v>3.16664000560976</v>
      </c>
      <c r="H18" s="30" t="s">
        <v>14</v>
      </c>
      <c r="I18" s="49"/>
      <c r="J18" s="31" t="s">
        <v>15</v>
      </c>
      <c r="K18" s="9"/>
      <c r="L18" s="36" t="n">
        <f aca="false">365/L16/12</f>
        <v>0.661231884057971</v>
      </c>
      <c r="M18" s="36" t="n">
        <f aca="false">365/M16/12</f>
        <v>1.4484126984127</v>
      </c>
      <c r="N18" s="36" t="n">
        <f aca="false">365/N16/12</f>
        <v>3.37962962962963</v>
      </c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2.75" hidden="false" customHeight="false" outlineLevel="0" collapsed="false">
      <c r="A19" s="9"/>
      <c r="B19" s="37" t="s">
        <v>16</v>
      </c>
      <c r="C19" s="9"/>
      <c r="D19" s="30"/>
      <c r="E19" s="38" t="n">
        <f aca="false">1-AVERAGE(E17)/E16</f>
        <v>0.0600000000000002</v>
      </c>
      <c r="F19" s="38" t="n">
        <f aca="false">1-AVERAGE(F17)/F16</f>
        <v>0.0270000000000001</v>
      </c>
      <c r="G19" s="38" t="n">
        <f aca="false">1-AVERAGE(G17)/G16</f>
        <v>0.0110281690140845</v>
      </c>
      <c r="H19" s="30"/>
      <c r="I19" s="9"/>
      <c r="J19" s="31" t="s">
        <v>17</v>
      </c>
      <c r="K19" s="9"/>
      <c r="L19" s="36" t="n">
        <f aca="false">365/L17/12</f>
        <v>0.59640522875817</v>
      </c>
      <c r="M19" s="36" t="n">
        <f aca="false">365/M17/12</f>
        <v>1.12654320987654</v>
      </c>
      <c r="N19" s="36" t="n">
        <f aca="false">365/N17/12</f>
        <v>2.76515151515152</v>
      </c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2.75" hidden="false" customHeight="false" outlineLevel="0" collapsed="false">
      <c r="A20" s="9"/>
      <c r="B20" s="50"/>
      <c r="C20" s="51"/>
      <c r="D20" s="51"/>
      <c r="E20" s="51"/>
      <c r="F20" s="51"/>
      <c r="G20" s="51"/>
      <c r="H20" s="52"/>
      <c r="I20" s="51"/>
      <c r="J20" s="51"/>
      <c r="K20" s="51"/>
      <c r="L20" s="51"/>
      <c r="M20" s="51"/>
      <c r="N20" s="51"/>
      <c r="O20" s="5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2.75" hidden="false" customHeight="false" outlineLevel="0" collapsed="false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2.75" hidden="false" customHeight="false" outlineLevel="0" collapsed="false">
      <c r="A22" s="54"/>
      <c r="B22" s="55" t="s">
        <v>20</v>
      </c>
      <c r="C22" s="54"/>
      <c r="D22" s="56" t="s">
        <v>21</v>
      </c>
      <c r="E22" s="1"/>
      <c r="F22" s="57" t="s">
        <v>22</v>
      </c>
      <c r="G22" s="57" t="s">
        <v>22</v>
      </c>
      <c r="H22" s="57" t="s">
        <v>22</v>
      </c>
      <c r="I22" s="1"/>
      <c r="J22" s="54" t="s">
        <v>23</v>
      </c>
      <c r="K22" s="54" t="s">
        <v>23</v>
      </c>
      <c r="L22" s="54" t="s">
        <v>24</v>
      </c>
      <c r="M22" s="54" t="s">
        <v>24</v>
      </c>
      <c r="N22" s="54" t="s">
        <v>25</v>
      </c>
      <c r="O22" s="54" t="s">
        <v>25</v>
      </c>
      <c r="P22" s="1"/>
      <c r="Q22" s="54" t="s">
        <v>26</v>
      </c>
      <c r="R22" s="54" t="s">
        <v>26</v>
      </c>
      <c r="S22" s="54" t="s">
        <v>26</v>
      </c>
      <c r="T22" s="58" t="s">
        <v>27</v>
      </c>
      <c r="U22" s="58" t="s">
        <v>28</v>
      </c>
      <c r="V22" s="1"/>
      <c r="W22" s="54" t="s">
        <v>29</v>
      </c>
      <c r="X22" s="54" t="s">
        <v>29</v>
      </c>
      <c r="Y22" s="54" t="s">
        <v>29</v>
      </c>
      <c r="Z22" s="54" t="s">
        <v>29</v>
      </c>
      <c r="AA22" s="58" t="s">
        <v>29</v>
      </c>
      <c r="AB22" s="1"/>
      <c r="AC22" s="54" t="s">
        <v>30</v>
      </c>
      <c r="AD22" s="54" t="s">
        <v>30</v>
      </c>
      <c r="AE22" s="54" t="s">
        <v>30</v>
      </c>
      <c r="AF22" s="54" t="s">
        <v>30</v>
      </c>
      <c r="AG22" s="58" t="s">
        <v>30</v>
      </c>
      <c r="AH22" s="1"/>
      <c r="AI22" s="54" t="s">
        <v>31</v>
      </c>
      <c r="AJ22" s="54" t="s">
        <v>31</v>
      </c>
      <c r="AK22" s="54" t="s">
        <v>31</v>
      </c>
      <c r="AL22" s="54" t="s">
        <v>31</v>
      </c>
      <c r="AM22" s="58" t="s">
        <v>31</v>
      </c>
      <c r="AN22" s="1"/>
      <c r="AO22" s="54" t="s">
        <v>32</v>
      </c>
      <c r="AP22" s="54" t="s">
        <v>32</v>
      </c>
      <c r="AQ22" s="58" t="s">
        <v>32</v>
      </c>
      <c r="AR22" s="1"/>
      <c r="AS22" s="54" t="s">
        <v>33</v>
      </c>
      <c r="AT22" s="54" t="s">
        <v>33</v>
      </c>
      <c r="AU22" s="54" t="s">
        <v>33</v>
      </c>
      <c r="AV22" s="58" t="s">
        <v>33</v>
      </c>
      <c r="AW22" s="58" t="s">
        <v>33</v>
      </c>
      <c r="AX22" s="58" t="s">
        <v>33</v>
      </c>
      <c r="AY22" s="9"/>
      <c r="BM22" s="1"/>
    </row>
    <row r="23" customFormat="false" ht="12.75" hidden="false" customHeight="false" outlineLevel="0" collapsed="false">
      <c r="A23" s="59"/>
      <c r="B23" s="60" t="n">
        <v>36831</v>
      </c>
      <c r="C23" s="59"/>
      <c r="D23" s="61" t="s">
        <v>34</v>
      </c>
      <c r="E23" s="1"/>
      <c r="F23" s="62"/>
      <c r="G23" s="62"/>
      <c r="H23" s="62"/>
      <c r="I23" s="1"/>
      <c r="J23" s="59" t="s">
        <v>35</v>
      </c>
      <c r="K23" s="59" t="s">
        <v>35</v>
      </c>
      <c r="L23" s="59" t="s">
        <v>35</v>
      </c>
      <c r="M23" s="59" t="s">
        <v>35</v>
      </c>
      <c r="N23" s="59" t="s">
        <v>35</v>
      </c>
      <c r="O23" s="59" t="s">
        <v>35</v>
      </c>
      <c r="P23" s="1"/>
      <c r="Q23" s="59" t="s">
        <v>36</v>
      </c>
      <c r="R23" s="63" t="s">
        <v>37</v>
      </c>
      <c r="S23" s="59" t="s">
        <v>38</v>
      </c>
      <c r="T23" s="62" t="s">
        <v>39</v>
      </c>
      <c r="U23" s="62" t="s">
        <v>39</v>
      </c>
      <c r="V23" s="1"/>
      <c r="W23" s="63" t="s">
        <v>40</v>
      </c>
      <c r="X23" s="63" t="s">
        <v>40</v>
      </c>
      <c r="Y23" s="63" t="s">
        <v>41</v>
      </c>
      <c r="Z23" s="63" t="s">
        <v>42</v>
      </c>
      <c r="AA23" s="64" t="s">
        <v>43</v>
      </c>
      <c r="AB23" s="1"/>
      <c r="AC23" s="63" t="s">
        <v>40</v>
      </c>
      <c r="AD23" s="63" t="s">
        <v>40</v>
      </c>
      <c r="AE23" s="63" t="s">
        <v>41</v>
      </c>
      <c r="AF23" s="63" t="s">
        <v>42</v>
      </c>
      <c r="AG23" s="64" t="s">
        <v>43</v>
      </c>
      <c r="AH23" s="1"/>
      <c r="AI23" s="63" t="s">
        <v>44</v>
      </c>
      <c r="AJ23" s="63" t="s">
        <v>45</v>
      </c>
      <c r="AK23" s="63" t="s">
        <v>46</v>
      </c>
      <c r="AL23" s="63" t="s">
        <v>47</v>
      </c>
      <c r="AM23" s="64" t="s">
        <v>43</v>
      </c>
      <c r="AN23" s="1"/>
      <c r="AO23" s="63" t="s">
        <v>48</v>
      </c>
      <c r="AP23" s="63" t="s">
        <v>47</v>
      </c>
      <c r="AQ23" s="64" t="s">
        <v>43</v>
      </c>
      <c r="AR23" s="1"/>
      <c r="AS23" s="59" t="s">
        <v>49</v>
      </c>
      <c r="AT23" s="63" t="s">
        <v>50</v>
      </c>
      <c r="AU23" s="63" t="s">
        <v>51</v>
      </c>
      <c r="AV23" s="62" t="s">
        <v>49</v>
      </c>
      <c r="AW23" s="64" t="s">
        <v>50</v>
      </c>
      <c r="AX23" s="64" t="s">
        <v>51</v>
      </c>
      <c r="AY23" s="9"/>
      <c r="BM23" s="1"/>
    </row>
    <row r="24" customFormat="false" ht="12.75" hidden="false" customHeight="false" outlineLevel="0" collapsed="false">
      <c r="A24" s="59"/>
      <c r="B24" s="65" t="s">
        <v>52</v>
      </c>
      <c r="C24" s="59"/>
      <c r="D24" s="66" t="n">
        <f aca="false">+D364</f>
        <v>25</v>
      </c>
      <c r="E24" s="1"/>
      <c r="F24" s="67" t="n">
        <f aca="false">+XNPV(F$26,F$51:F$364,$A$51:$A$364)</f>
        <v>1412506.66741222</v>
      </c>
      <c r="G24" s="67" t="n">
        <f aca="false">+XNPV(G$26,G$51:G$364,$A$51:$A$364)</f>
        <v>-1495081.30744837</v>
      </c>
      <c r="H24" s="67" t="n">
        <f aca="false">+XNPV(H$26,H$51:H$364,$A$51:$A$364)</f>
        <v>-82574.6400361517</v>
      </c>
      <c r="I24" s="1"/>
      <c r="J24" s="59" t="s">
        <v>53</v>
      </c>
      <c r="K24" s="59" t="s">
        <v>54</v>
      </c>
      <c r="L24" s="59" t="s">
        <v>53</v>
      </c>
      <c r="M24" s="59" t="s">
        <v>54</v>
      </c>
      <c r="N24" s="59" t="s">
        <v>53</v>
      </c>
      <c r="O24" s="59" t="s">
        <v>54</v>
      </c>
      <c r="P24" s="1"/>
      <c r="Q24" s="59" t="s">
        <v>55</v>
      </c>
      <c r="R24" s="59" t="s">
        <v>55</v>
      </c>
      <c r="S24" s="59" t="s">
        <v>55</v>
      </c>
      <c r="T24" s="64" t="s">
        <v>56</v>
      </c>
      <c r="U24" s="64" t="s">
        <v>56</v>
      </c>
      <c r="V24" s="1"/>
      <c r="W24" s="59" t="s">
        <v>20</v>
      </c>
      <c r="X24" s="59" t="s">
        <v>20</v>
      </c>
      <c r="Y24" s="63" t="s">
        <v>57</v>
      </c>
      <c r="Z24" s="63" t="s">
        <v>57</v>
      </c>
      <c r="AA24" s="64" t="s">
        <v>56</v>
      </c>
      <c r="AB24" s="1"/>
      <c r="AC24" s="59" t="s">
        <v>20</v>
      </c>
      <c r="AD24" s="59" t="s">
        <v>20</v>
      </c>
      <c r="AE24" s="63" t="s">
        <v>57</v>
      </c>
      <c r="AF24" s="63" t="s">
        <v>57</v>
      </c>
      <c r="AG24" s="64" t="s">
        <v>56</v>
      </c>
      <c r="AH24" s="1"/>
      <c r="AI24" s="63" t="s">
        <v>58</v>
      </c>
      <c r="AJ24" s="59" t="s">
        <v>59</v>
      </c>
      <c r="AK24" s="59" t="s">
        <v>55</v>
      </c>
      <c r="AL24" s="59" t="s">
        <v>60</v>
      </c>
      <c r="AM24" s="64" t="s">
        <v>56</v>
      </c>
      <c r="AN24" s="1"/>
      <c r="AO24" s="59" t="s">
        <v>55</v>
      </c>
      <c r="AP24" s="59" t="s">
        <v>60</v>
      </c>
      <c r="AQ24" s="64" t="s">
        <v>56</v>
      </c>
      <c r="AR24" s="1"/>
      <c r="AS24" s="59" t="s">
        <v>55</v>
      </c>
      <c r="AT24" s="59" t="s">
        <v>55</v>
      </c>
      <c r="AU24" s="59" t="s">
        <v>55</v>
      </c>
      <c r="AV24" s="64" t="s">
        <v>56</v>
      </c>
      <c r="AW24" s="64" t="s">
        <v>56</v>
      </c>
      <c r="AX24" s="64" t="s">
        <v>56</v>
      </c>
      <c r="AY24" s="9"/>
      <c r="BM24" s="1"/>
    </row>
    <row r="25" customFormat="false" ht="12.75" hidden="false" customHeight="false" outlineLevel="0" collapsed="false">
      <c r="A25" s="65"/>
      <c r="B25" s="60" t="n">
        <f aca="false">+EDATE(StartDate,25*12)</f>
        <v>45962</v>
      </c>
      <c r="C25" s="65"/>
      <c r="D25" s="68"/>
      <c r="E25" s="5"/>
      <c r="F25" s="62"/>
      <c r="G25" s="62"/>
      <c r="H25" s="62"/>
      <c r="I25" s="5"/>
      <c r="J25" s="59" t="s">
        <v>20</v>
      </c>
      <c r="K25" s="59" t="s">
        <v>20</v>
      </c>
      <c r="L25" s="59" t="s">
        <v>20</v>
      </c>
      <c r="M25" s="59" t="s">
        <v>20</v>
      </c>
      <c r="N25" s="59" t="s">
        <v>20</v>
      </c>
      <c r="O25" s="59" t="s">
        <v>20</v>
      </c>
      <c r="P25" s="5"/>
      <c r="Q25" s="65"/>
      <c r="R25" s="69" t="n">
        <v>-0.07</v>
      </c>
      <c r="S25" s="69" t="n">
        <v>0.1</v>
      </c>
      <c r="T25" s="70"/>
      <c r="U25" s="70"/>
      <c r="V25" s="5"/>
      <c r="W25" s="60" t="n">
        <v>36831</v>
      </c>
      <c r="X25" s="60" t="n">
        <v>36831</v>
      </c>
      <c r="Y25" s="71" t="n">
        <v>0.44403824911156</v>
      </c>
      <c r="Z25" s="72" t="n">
        <v>0.423891764188995</v>
      </c>
      <c r="AA25" s="70"/>
      <c r="AB25" s="5"/>
      <c r="AC25" s="60" t="n">
        <v>37622</v>
      </c>
      <c r="AD25" s="60" t="n">
        <f aca="false">+AC25</f>
        <v>37622</v>
      </c>
      <c r="AE25" s="71" t="n">
        <v>0.367883341688433</v>
      </c>
      <c r="AF25" s="72" t="n">
        <v>0.13199570870304</v>
      </c>
      <c r="AG25" s="70"/>
      <c r="AH25" s="5"/>
      <c r="AI25" s="73" t="n">
        <v>5822.2388509</v>
      </c>
      <c r="AJ25" s="73" t="n">
        <v>5588.4170635</v>
      </c>
      <c r="AK25" s="74" t="n">
        <v>0.0266154761904762</v>
      </c>
      <c r="AL25" s="75" t="n">
        <v>0.025</v>
      </c>
      <c r="AM25" s="70"/>
      <c r="AN25" s="5"/>
      <c r="AO25" s="74" t="n">
        <v>0.25</v>
      </c>
      <c r="AP25" s="75" t="n">
        <v>0.0135</v>
      </c>
      <c r="AQ25" s="70"/>
      <c r="AR25" s="5"/>
      <c r="AS25" s="76" t="n">
        <v>1</v>
      </c>
      <c r="AT25" s="76" t="n">
        <v>1</v>
      </c>
      <c r="AU25" s="76" t="n">
        <v>2.3</v>
      </c>
      <c r="AV25" s="70"/>
      <c r="AW25" s="70"/>
      <c r="AX25" s="70"/>
      <c r="AY25" s="9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</row>
    <row r="26" customFormat="false" ht="12.75" hidden="false" customHeight="false" outlineLevel="0" collapsed="false">
      <c r="A26" s="65"/>
      <c r="B26" s="65"/>
      <c r="C26" s="65"/>
      <c r="D26" s="68"/>
      <c r="E26" s="5"/>
      <c r="F26" s="77" t="n">
        <v>0.1</v>
      </c>
      <c r="G26" s="77" t="n">
        <v>0.1</v>
      </c>
      <c r="H26" s="77" t="n">
        <v>0.1</v>
      </c>
      <c r="I26" s="5"/>
      <c r="J26" s="60" t="n">
        <v>37347</v>
      </c>
      <c r="K26" s="60" t="n">
        <v>37347</v>
      </c>
      <c r="L26" s="60" t="n">
        <v>37347</v>
      </c>
      <c r="M26" s="60" t="n">
        <v>37622</v>
      </c>
      <c r="N26" s="60" t="n">
        <v>37987</v>
      </c>
      <c r="O26" s="60" t="n">
        <v>37987</v>
      </c>
      <c r="P26" s="5"/>
      <c r="Q26" s="65"/>
      <c r="R26" s="65"/>
      <c r="S26" s="65"/>
      <c r="T26" s="70"/>
      <c r="U26" s="70"/>
      <c r="V26" s="5"/>
      <c r="W26" s="63" t="s">
        <v>61</v>
      </c>
      <c r="X26" s="63" t="s">
        <v>62</v>
      </c>
      <c r="Y26" s="65"/>
      <c r="Z26" s="65"/>
      <c r="AA26" s="70"/>
      <c r="AB26" s="5"/>
      <c r="AC26" s="63" t="s">
        <v>61</v>
      </c>
      <c r="AD26" s="63" t="s">
        <v>62</v>
      </c>
      <c r="AE26" s="65"/>
      <c r="AF26" s="65"/>
      <c r="AG26" s="70"/>
      <c r="AH26" s="5"/>
      <c r="AI26" s="78"/>
      <c r="AJ26" s="78"/>
      <c r="AK26" s="78"/>
      <c r="AL26" s="78" t="s">
        <v>63</v>
      </c>
      <c r="AM26" s="70"/>
      <c r="AN26" s="5"/>
      <c r="AO26" s="65"/>
      <c r="AP26" s="78" t="s">
        <v>63</v>
      </c>
      <c r="AQ26" s="70"/>
      <c r="AR26" s="5"/>
      <c r="AS26" s="65"/>
      <c r="AT26" s="65"/>
      <c r="AU26" s="65"/>
      <c r="AV26" s="70"/>
      <c r="AW26" s="70"/>
      <c r="AX26" s="70"/>
      <c r="AY26" s="9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</row>
    <row r="27" customFormat="false" ht="12.75" hidden="false" customHeight="false" outlineLevel="0" collapsed="false">
      <c r="A27" s="65"/>
      <c r="B27" s="65"/>
      <c r="C27" s="65"/>
      <c r="D27" s="68"/>
      <c r="E27" s="5"/>
      <c r="F27" s="70"/>
      <c r="G27" s="70"/>
      <c r="H27" s="70"/>
      <c r="I27" s="5"/>
      <c r="J27" s="65" t="s">
        <v>52</v>
      </c>
      <c r="K27" s="65" t="s">
        <v>52</v>
      </c>
      <c r="L27" s="65" t="s">
        <v>52</v>
      </c>
      <c r="M27" s="65" t="s">
        <v>52</v>
      </c>
      <c r="N27" s="65" t="s">
        <v>52</v>
      </c>
      <c r="O27" s="65" t="s">
        <v>52</v>
      </c>
      <c r="P27" s="5"/>
      <c r="Q27" s="65"/>
      <c r="R27" s="65"/>
      <c r="S27" s="65"/>
      <c r="T27" s="70"/>
      <c r="U27" s="70"/>
      <c r="V27" s="5"/>
      <c r="W27" s="79" t="n">
        <v>9500</v>
      </c>
      <c r="X27" s="79" t="n">
        <v>10350</v>
      </c>
      <c r="Y27" s="65" t="s">
        <v>64</v>
      </c>
      <c r="Z27" s="65" t="s">
        <v>64</v>
      </c>
      <c r="AA27" s="70"/>
      <c r="AB27" s="5"/>
      <c r="AC27" s="79" t="n">
        <f aca="false">19100000/365</f>
        <v>52328.7671232877</v>
      </c>
      <c r="AD27" s="79" t="n">
        <f aca="false">3800000/365</f>
        <v>10410.9589041096</v>
      </c>
      <c r="AE27" s="65" t="s">
        <v>64</v>
      </c>
      <c r="AF27" s="65" t="s">
        <v>64</v>
      </c>
      <c r="AG27" s="70"/>
      <c r="AH27" s="5"/>
      <c r="AI27" s="78"/>
      <c r="AJ27" s="78" t="s">
        <v>64</v>
      </c>
      <c r="AK27" s="78" t="s">
        <v>64</v>
      </c>
      <c r="AL27" s="80" t="s">
        <v>55</v>
      </c>
      <c r="AM27" s="70"/>
      <c r="AN27" s="5"/>
      <c r="AO27" s="65"/>
      <c r="AP27" s="80" t="s">
        <v>55</v>
      </c>
      <c r="AQ27" s="70"/>
      <c r="AR27" s="5"/>
      <c r="AS27" s="65"/>
      <c r="AT27" s="65"/>
      <c r="AU27" s="65"/>
      <c r="AV27" s="70"/>
      <c r="AW27" s="70"/>
      <c r="AX27" s="70"/>
      <c r="AY27" s="9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</row>
    <row r="28" customFormat="false" ht="12.75" hidden="false" customHeight="false" outlineLevel="0" collapsed="false">
      <c r="A28" s="65"/>
      <c r="B28" s="65"/>
      <c r="C28" s="65"/>
      <c r="D28" s="68"/>
      <c r="E28" s="5"/>
      <c r="F28" s="70"/>
      <c r="G28" s="70"/>
      <c r="H28" s="70"/>
      <c r="I28" s="5"/>
      <c r="J28" s="60" t="n">
        <v>37986</v>
      </c>
      <c r="K28" s="60" t="n">
        <v>37986</v>
      </c>
      <c r="L28" s="60" t="n">
        <v>37986</v>
      </c>
      <c r="M28" s="60" t="n">
        <v>37986</v>
      </c>
      <c r="N28" s="60" t="n">
        <f aca="false">+EndDate</f>
        <v>45962</v>
      </c>
      <c r="O28" s="60" t="n">
        <f aca="false">+EndDate</f>
        <v>45962</v>
      </c>
      <c r="P28" s="5"/>
      <c r="Q28" s="65"/>
      <c r="R28" s="65"/>
      <c r="S28" s="65"/>
      <c r="T28" s="70"/>
      <c r="U28" s="70"/>
      <c r="V28" s="5"/>
      <c r="W28" s="81" t="s">
        <v>65</v>
      </c>
      <c r="X28" s="81" t="s">
        <v>65</v>
      </c>
      <c r="Y28" s="60" t="n">
        <v>36677</v>
      </c>
      <c r="Z28" s="60" t="n">
        <v>36677</v>
      </c>
      <c r="AA28" s="70"/>
      <c r="AB28" s="5"/>
      <c r="AC28" s="81" t="s">
        <v>65</v>
      </c>
      <c r="AD28" s="81" t="s">
        <v>65</v>
      </c>
      <c r="AE28" s="60" t="n">
        <v>36677</v>
      </c>
      <c r="AF28" s="60" t="n">
        <v>36677</v>
      </c>
      <c r="AG28" s="70"/>
      <c r="AH28" s="5"/>
      <c r="AI28" s="78"/>
      <c r="AJ28" s="82" t="n">
        <v>36708</v>
      </c>
      <c r="AK28" s="82" t="n">
        <v>36708</v>
      </c>
      <c r="AL28" s="83" t="n">
        <f aca="false">+AU25</f>
        <v>2.3</v>
      </c>
      <c r="AM28" s="70"/>
      <c r="AN28" s="5"/>
      <c r="AO28" s="65"/>
      <c r="AP28" s="83" t="n">
        <f aca="false">+AU25</f>
        <v>2.3</v>
      </c>
      <c r="AQ28" s="70"/>
      <c r="AR28" s="5"/>
      <c r="AS28" s="65"/>
      <c r="AT28" s="65"/>
      <c r="AU28" s="65"/>
      <c r="AV28" s="70"/>
      <c r="AW28" s="70"/>
      <c r="AX28" s="70"/>
      <c r="AY28" s="9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</row>
    <row r="29" customFormat="false" ht="12.75" hidden="false" customHeight="false" outlineLevel="0" collapsed="false">
      <c r="A29" s="65"/>
      <c r="B29" s="65"/>
      <c r="C29" s="65"/>
      <c r="D29" s="68"/>
      <c r="E29" s="5"/>
      <c r="F29" s="70"/>
      <c r="G29" s="70"/>
      <c r="H29" s="70"/>
      <c r="I29" s="5"/>
      <c r="J29" s="65"/>
      <c r="K29" s="65"/>
      <c r="L29" s="65"/>
      <c r="M29" s="65"/>
      <c r="N29" s="65"/>
      <c r="O29" s="65"/>
      <c r="P29" s="5"/>
      <c r="Q29" s="65"/>
      <c r="R29" s="65"/>
      <c r="S29" s="65"/>
      <c r="T29" s="70"/>
      <c r="U29" s="70"/>
      <c r="V29" s="5"/>
      <c r="W29" s="60" t="n">
        <v>37621</v>
      </c>
      <c r="X29" s="60" t="n">
        <v>36891</v>
      </c>
      <c r="Y29" s="65" t="s">
        <v>66</v>
      </c>
      <c r="Z29" s="65" t="s">
        <v>66</v>
      </c>
      <c r="AA29" s="70"/>
      <c r="AB29" s="5"/>
      <c r="AC29" s="60" t="n">
        <f aca="false">+EndDate</f>
        <v>45962</v>
      </c>
      <c r="AD29" s="60" t="n">
        <f aca="false">+StartDate</f>
        <v>36831</v>
      </c>
      <c r="AE29" s="65" t="s">
        <v>66</v>
      </c>
      <c r="AF29" s="65" t="s">
        <v>66</v>
      </c>
      <c r="AG29" s="70"/>
      <c r="AH29" s="5"/>
      <c r="AI29" s="78"/>
      <c r="AJ29" s="78" t="s">
        <v>66</v>
      </c>
      <c r="AK29" s="78" t="s">
        <v>66</v>
      </c>
      <c r="AL29" s="78"/>
      <c r="AM29" s="70"/>
      <c r="AN29" s="5"/>
      <c r="AO29" s="65"/>
      <c r="AP29" s="65"/>
      <c r="AQ29" s="70"/>
      <c r="AR29" s="5"/>
      <c r="AS29" s="65"/>
      <c r="AT29" s="65"/>
      <c r="AU29" s="65"/>
      <c r="AV29" s="70"/>
      <c r="AW29" s="70"/>
      <c r="AX29" s="70"/>
      <c r="AY29" s="9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</row>
    <row r="30" customFormat="false" ht="12.75" hidden="false" customHeight="false" outlineLevel="0" collapsed="false">
      <c r="A30" s="65"/>
      <c r="B30" s="65"/>
      <c r="C30" s="65"/>
      <c r="D30" s="68"/>
      <c r="E30" s="5"/>
      <c r="F30" s="70"/>
      <c r="G30" s="70"/>
      <c r="H30" s="70"/>
      <c r="I30" s="5"/>
      <c r="J30" s="65" t="s">
        <v>67</v>
      </c>
      <c r="K30" s="81" t="s">
        <v>67</v>
      </c>
      <c r="L30" s="65" t="s">
        <v>67</v>
      </c>
      <c r="M30" s="81" t="s">
        <v>67</v>
      </c>
      <c r="N30" s="65" t="s">
        <v>67</v>
      </c>
      <c r="O30" s="81" t="s">
        <v>67</v>
      </c>
      <c r="P30" s="5"/>
      <c r="Q30" s="65"/>
      <c r="R30" s="65"/>
      <c r="S30" s="65"/>
      <c r="T30" s="70"/>
      <c r="U30" s="70"/>
      <c r="V30" s="5"/>
      <c r="W30" s="63" t="s">
        <v>68</v>
      </c>
      <c r="X30" s="63" t="s">
        <v>69</v>
      </c>
      <c r="Y30" s="75" t="n">
        <f aca="false">0.666666666666667*0.025</f>
        <v>0.0166666666666667</v>
      </c>
      <c r="Z30" s="75" t="n">
        <f aca="false">0.666666666666667*0.025</f>
        <v>0.0166666666666667</v>
      </c>
      <c r="AA30" s="70"/>
      <c r="AB30" s="5"/>
      <c r="AC30" s="63" t="s">
        <v>68</v>
      </c>
      <c r="AD30" s="63" t="s">
        <v>69</v>
      </c>
      <c r="AE30" s="75" t="n">
        <f aca="false">0.666666666666667*0.025</f>
        <v>0.0166666666666667</v>
      </c>
      <c r="AF30" s="75" t="n">
        <f aca="false">0.666666666666667*0.025</f>
        <v>0.0166666666666667</v>
      </c>
      <c r="AG30" s="70"/>
      <c r="AH30" s="5"/>
      <c r="AI30" s="78"/>
      <c r="AJ30" s="84" t="n">
        <v>0.0125</v>
      </c>
      <c r="AK30" s="84" t="n">
        <v>0.0125</v>
      </c>
      <c r="AL30" s="78"/>
      <c r="AM30" s="70"/>
      <c r="AN30" s="5"/>
      <c r="AO30" s="65"/>
      <c r="AP30" s="65"/>
      <c r="AQ30" s="70"/>
      <c r="AR30" s="5"/>
      <c r="AS30" s="65"/>
      <c r="AT30" s="65"/>
      <c r="AU30" s="65"/>
      <c r="AV30" s="70"/>
      <c r="AW30" s="70"/>
      <c r="AX30" s="70"/>
      <c r="AY30" s="9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</row>
    <row r="31" customFormat="false" ht="12.75" hidden="false" customHeight="false" outlineLevel="0" collapsed="false">
      <c r="A31" s="65"/>
      <c r="B31" s="65"/>
      <c r="C31" s="65"/>
      <c r="D31" s="65"/>
      <c r="E31" s="5"/>
      <c r="F31" s="70"/>
      <c r="G31" s="70"/>
      <c r="H31" s="70"/>
      <c r="I31" s="5"/>
      <c r="J31" s="85" t="n">
        <f aca="false">+L12</f>
        <v>0.633680555555556</v>
      </c>
      <c r="K31" s="85" t="n">
        <v>0</v>
      </c>
      <c r="L31" s="85" t="n">
        <v>0</v>
      </c>
      <c r="M31" s="85" t="n">
        <f aca="false">+$M$18*0.8</f>
        <v>1.15873015873016</v>
      </c>
      <c r="N31" s="85" t="n">
        <v>0</v>
      </c>
      <c r="O31" s="85" t="n">
        <f aca="false">+(18.75)/12</f>
        <v>1.5625</v>
      </c>
      <c r="P31" s="5"/>
      <c r="Q31" s="65"/>
      <c r="R31" s="65"/>
      <c r="S31" s="65"/>
      <c r="T31" s="70"/>
      <c r="U31" s="70"/>
      <c r="V31" s="5"/>
      <c r="W31" s="79" t="n">
        <v>16000</v>
      </c>
      <c r="X31" s="79" t="n">
        <v>11922</v>
      </c>
      <c r="Y31" s="65"/>
      <c r="Z31" s="65"/>
      <c r="AA31" s="70"/>
      <c r="AB31" s="5"/>
      <c r="AC31" s="79" t="n">
        <v>0</v>
      </c>
      <c r="AD31" s="79" t="n">
        <f aca="false">+AD27</f>
        <v>10410.9589041096</v>
      </c>
      <c r="AE31" s="65"/>
      <c r="AF31" s="65"/>
      <c r="AG31" s="70"/>
      <c r="AH31" s="5"/>
      <c r="AI31" s="78"/>
      <c r="AJ31" s="78"/>
      <c r="AK31" s="78"/>
      <c r="AL31" s="78"/>
      <c r="AM31" s="70"/>
      <c r="AN31" s="5"/>
      <c r="AO31" s="65"/>
      <c r="AP31" s="65"/>
      <c r="AQ31" s="70"/>
      <c r="AR31" s="5"/>
      <c r="AS31" s="65"/>
      <c r="AT31" s="65"/>
      <c r="AU31" s="65"/>
      <c r="AV31" s="70"/>
      <c r="AW31" s="70"/>
      <c r="AX31" s="70"/>
      <c r="AY31" s="9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</row>
    <row r="32" customFormat="false" ht="12.75" hidden="false" customHeight="false" outlineLevel="0" collapsed="false">
      <c r="A32" s="65"/>
      <c r="B32" s="81"/>
      <c r="C32" s="65"/>
      <c r="D32" s="65"/>
      <c r="E32" s="5"/>
      <c r="F32" s="70"/>
      <c r="G32" s="70"/>
      <c r="H32" s="70"/>
      <c r="I32" s="5"/>
      <c r="J32" s="65" t="s">
        <v>70</v>
      </c>
      <c r="K32" s="65" t="s">
        <v>70</v>
      </c>
      <c r="L32" s="65" t="s">
        <v>70</v>
      </c>
      <c r="M32" s="65" t="s">
        <v>70</v>
      </c>
      <c r="N32" s="65" t="s">
        <v>70</v>
      </c>
      <c r="O32" s="65" t="s">
        <v>70</v>
      </c>
      <c r="P32" s="5"/>
      <c r="Q32" s="65"/>
      <c r="R32" s="65"/>
      <c r="S32" s="65"/>
      <c r="T32" s="70"/>
      <c r="U32" s="70"/>
      <c r="V32" s="5"/>
      <c r="W32" s="81" t="s">
        <v>71</v>
      </c>
      <c r="X32" s="81" t="s">
        <v>71</v>
      </c>
      <c r="Y32" s="65"/>
      <c r="Z32" s="65"/>
      <c r="AA32" s="70"/>
      <c r="AB32" s="5"/>
      <c r="AC32" s="81" t="s">
        <v>71</v>
      </c>
      <c r="AD32" s="81" t="s">
        <v>71</v>
      </c>
      <c r="AE32" s="65"/>
      <c r="AF32" s="65"/>
      <c r="AG32" s="70"/>
      <c r="AH32" s="5"/>
      <c r="AI32" s="86" t="s">
        <v>72</v>
      </c>
      <c r="AJ32" s="86" t="s">
        <v>72</v>
      </c>
      <c r="AK32" s="78"/>
      <c r="AL32" s="78"/>
      <c r="AM32" s="70"/>
      <c r="AN32" s="5"/>
      <c r="AO32" s="65"/>
      <c r="AP32" s="65"/>
      <c r="AQ32" s="70"/>
      <c r="AR32" s="5"/>
      <c r="AS32" s="65"/>
      <c r="AT32" s="65"/>
      <c r="AU32" s="65"/>
      <c r="AV32" s="70"/>
      <c r="AW32" s="70"/>
      <c r="AX32" s="70"/>
      <c r="AY32" s="9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</row>
    <row r="33" customFormat="false" ht="12.75" hidden="false" customHeight="false" outlineLevel="0" collapsed="false">
      <c r="A33" s="65"/>
      <c r="B33" s="81"/>
      <c r="C33" s="65"/>
      <c r="D33" s="65"/>
      <c r="E33" s="5"/>
      <c r="F33" s="70"/>
      <c r="G33" s="70"/>
      <c r="H33" s="70"/>
      <c r="I33" s="5"/>
      <c r="J33" s="87" t="n">
        <f aca="false">(J$31*$E$10)*1000000</f>
        <v>1297972.31770833</v>
      </c>
      <c r="K33" s="87" t="n">
        <f aca="false">(K31*$E$16)*1000000</f>
        <v>0</v>
      </c>
      <c r="L33" s="87" t="n">
        <f aca="false">(L$31*$E$10)*1000000</f>
        <v>0</v>
      </c>
      <c r="M33" s="87" t="n">
        <f aca="false">(M31*$E$16)*1000000</f>
        <v>3720184.28571429</v>
      </c>
      <c r="N33" s="87" t="n">
        <f aca="false">(N$31*$E$10)*1000000</f>
        <v>0</v>
      </c>
      <c r="O33" s="87" t="n">
        <f aca="false">(O31*$E$16)*1000000</f>
        <v>5016515.625</v>
      </c>
      <c r="P33" s="5"/>
      <c r="Q33" s="65"/>
      <c r="R33" s="65"/>
      <c r="S33" s="65"/>
      <c r="T33" s="70"/>
      <c r="U33" s="70"/>
      <c r="V33" s="5"/>
      <c r="W33" s="60" t="n">
        <f aca="false">+EndDate</f>
        <v>45962</v>
      </c>
      <c r="X33" s="60" t="n">
        <v>37256</v>
      </c>
      <c r="Y33" s="65"/>
      <c r="Z33" s="65"/>
      <c r="AA33" s="70"/>
      <c r="AB33" s="5"/>
      <c r="AC33" s="60" t="n">
        <v>0</v>
      </c>
      <c r="AD33" s="60" t="n">
        <f aca="false">+AD29</f>
        <v>36831</v>
      </c>
      <c r="AE33" s="65"/>
      <c r="AF33" s="65"/>
      <c r="AG33" s="70"/>
      <c r="AH33" s="5"/>
      <c r="AI33" s="82" t="n">
        <v>37347</v>
      </c>
      <c r="AJ33" s="82" t="n">
        <f aca="false">+AI33</f>
        <v>37347</v>
      </c>
      <c r="AK33" s="78"/>
      <c r="AL33" s="78"/>
      <c r="AM33" s="70"/>
      <c r="AN33" s="5"/>
      <c r="AO33" s="65"/>
      <c r="AP33" s="65"/>
      <c r="AQ33" s="70"/>
      <c r="AR33" s="5"/>
      <c r="AS33" s="65"/>
      <c r="AT33" s="65"/>
      <c r="AU33" s="65"/>
      <c r="AV33" s="70"/>
      <c r="AW33" s="70"/>
      <c r="AX33" s="70"/>
      <c r="AY33" s="9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</row>
    <row r="34" customFormat="false" ht="12.75" hidden="false" customHeight="false" outlineLevel="0" collapsed="false">
      <c r="A34" s="65"/>
      <c r="B34" s="81"/>
      <c r="C34" s="65"/>
      <c r="D34" s="65"/>
      <c r="E34" s="5"/>
      <c r="F34" s="70"/>
      <c r="G34" s="70"/>
      <c r="H34" s="70"/>
      <c r="I34" s="5"/>
      <c r="J34" s="68" t="s">
        <v>10</v>
      </c>
      <c r="K34" s="68" t="s">
        <v>10</v>
      </c>
      <c r="L34" s="68" t="s">
        <v>10</v>
      </c>
      <c r="M34" s="68" t="s">
        <v>10</v>
      </c>
      <c r="N34" s="68" t="s">
        <v>10</v>
      </c>
      <c r="O34" s="68" t="s">
        <v>10</v>
      </c>
      <c r="P34" s="5"/>
      <c r="Q34" s="65"/>
      <c r="R34" s="65"/>
      <c r="S34" s="65"/>
      <c r="T34" s="70"/>
      <c r="U34" s="70"/>
      <c r="V34" s="5"/>
      <c r="W34" s="88"/>
      <c r="X34" s="65" t="s">
        <v>73</v>
      </c>
      <c r="Y34" s="65"/>
      <c r="Z34" s="65"/>
      <c r="AA34" s="70"/>
      <c r="AB34" s="5"/>
      <c r="AC34" s="60"/>
      <c r="AD34" s="65" t="s">
        <v>73</v>
      </c>
      <c r="AE34" s="65"/>
      <c r="AF34" s="65"/>
      <c r="AG34" s="70"/>
      <c r="AH34" s="5"/>
      <c r="AI34" s="78"/>
      <c r="AJ34" s="78"/>
      <c r="AK34" s="78"/>
      <c r="AL34" s="78"/>
      <c r="AM34" s="70"/>
      <c r="AN34" s="5"/>
      <c r="AO34" s="65"/>
      <c r="AP34" s="65"/>
      <c r="AQ34" s="70"/>
      <c r="AR34" s="5"/>
      <c r="AS34" s="65"/>
      <c r="AT34" s="65"/>
      <c r="AU34" s="65"/>
      <c r="AV34" s="70"/>
      <c r="AW34" s="70"/>
      <c r="AX34" s="70"/>
      <c r="AY34" s="9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</row>
    <row r="35" customFormat="false" ht="12.75" hidden="false" customHeight="false" outlineLevel="0" collapsed="false">
      <c r="A35" s="65"/>
      <c r="B35" s="81"/>
      <c r="C35" s="65"/>
      <c r="D35" s="65"/>
      <c r="E35" s="5"/>
      <c r="F35" s="70"/>
      <c r="G35" s="70"/>
      <c r="H35" s="70"/>
      <c r="I35" s="5"/>
      <c r="J35" s="65"/>
      <c r="K35" s="65"/>
      <c r="L35" s="87"/>
      <c r="M35" s="65"/>
      <c r="N35" s="65"/>
      <c r="O35" s="65"/>
      <c r="P35" s="5"/>
      <c r="Q35" s="65"/>
      <c r="R35" s="65"/>
      <c r="S35" s="65"/>
      <c r="T35" s="70"/>
      <c r="U35" s="70"/>
      <c r="V35" s="5"/>
      <c r="W35" s="60"/>
      <c r="X35" s="65" t="s">
        <v>64</v>
      </c>
      <c r="Y35" s="65"/>
      <c r="Z35" s="65"/>
      <c r="AA35" s="70"/>
      <c r="AB35" s="5"/>
      <c r="AC35" s="60"/>
      <c r="AD35" s="65" t="s">
        <v>64</v>
      </c>
      <c r="AE35" s="65"/>
      <c r="AF35" s="65"/>
      <c r="AG35" s="70"/>
      <c r="AH35" s="5"/>
      <c r="AI35" s="65"/>
      <c r="AJ35" s="65"/>
      <c r="AK35" s="65"/>
      <c r="AL35" s="65"/>
      <c r="AM35" s="70"/>
      <c r="AN35" s="5"/>
      <c r="AO35" s="65"/>
      <c r="AP35" s="65"/>
      <c r="AQ35" s="70"/>
      <c r="AR35" s="5"/>
      <c r="AS35" s="65"/>
      <c r="AT35" s="65"/>
      <c r="AU35" s="65"/>
      <c r="AV35" s="70"/>
      <c r="AW35" s="70"/>
      <c r="AX35" s="70"/>
      <c r="AY35" s="9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</row>
    <row r="36" customFormat="false" ht="12.75" hidden="false" customHeight="false" outlineLevel="0" collapsed="false">
      <c r="A36" s="65"/>
      <c r="B36" s="81"/>
      <c r="C36" s="65"/>
      <c r="D36" s="65"/>
      <c r="E36" s="5"/>
      <c r="F36" s="70"/>
      <c r="G36" s="70"/>
      <c r="H36" s="70"/>
      <c r="I36" s="5"/>
      <c r="J36" s="89" t="s">
        <v>74</v>
      </c>
      <c r="K36" s="89"/>
      <c r="L36" s="89"/>
      <c r="M36" s="89"/>
      <c r="N36" s="89"/>
      <c r="O36" s="89"/>
      <c r="P36" s="5"/>
      <c r="Q36" s="65"/>
      <c r="R36" s="65"/>
      <c r="S36" s="65"/>
      <c r="T36" s="70"/>
      <c r="U36" s="70"/>
      <c r="V36" s="5"/>
      <c r="W36" s="60"/>
      <c r="X36" s="60" t="n">
        <f aca="false">+X33</f>
        <v>37256</v>
      </c>
      <c r="Y36" s="65"/>
      <c r="Z36" s="65"/>
      <c r="AA36" s="70"/>
      <c r="AB36" s="5"/>
      <c r="AC36" s="60"/>
      <c r="AD36" s="60" t="n">
        <f aca="false">+AD33</f>
        <v>36831</v>
      </c>
      <c r="AE36" s="65"/>
      <c r="AF36" s="65"/>
      <c r="AG36" s="70"/>
      <c r="AH36" s="5"/>
      <c r="AI36" s="65"/>
      <c r="AJ36" s="65"/>
      <c r="AK36" s="65"/>
      <c r="AL36" s="65"/>
      <c r="AM36" s="70"/>
      <c r="AN36" s="5"/>
      <c r="AO36" s="65"/>
      <c r="AP36" s="65"/>
      <c r="AQ36" s="70"/>
      <c r="AR36" s="5"/>
      <c r="AS36" s="65"/>
      <c r="AT36" s="65"/>
      <c r="AU36" s="65"/>
      <c r="AV36" s="70"/>
      <c r="AW36" s="70"/>
      <c r="AX36" s="70"/>
      <c r="AY36" s="9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</row>
    <row r="37" customFormat="false" ht="12.75" hidden="false" customHeight="false" outlineLevel="0" collapsed="false">
      <c r="A37" s="65"/>
      <c r="B37" s="81"/>
      <c r="C37" s="65"/>
      <c r="D37" s="65"/>
      <c r="E37" s="5"/>
      <c r="F37" s="70"/>
      <c r="G37" s="70"/>
      <c r="H37" s="70"/>
      <c r="I37" s="5"/>
      <c r="J37" s="90" t="n">
        <f aca="false">1-E13</f>
        <v>0.895</v>
      </c>
      <c r="K37" s="90" t="n">
        <f aca="false">1-E19</f>
        <v>0.94</v>
      </c>
      <c r="L37" s="90" t="n">
        <f aca="false">1-F13</f>
        <v>0.95</v>
      </c>
      <c r="M37" s="90" t="n">
        <f aca="false">1-F19</f>
        <v>0.973</v>
      </c>
      <c r="N37" s="90" t="n">
        <f aca="false">1-G13</f>
        <v>0.980352112676056</v>
      </c>
      <c r="O37" s="90" t="n">
        <f aca="false">1-G19</f>
        <v>0.988971830985916</v>
      </c>
      <c r="P37" s="5"/>
      <c r="Q37" s="65"/>
      <c r="R37" s="65"/>
      <c r="S37" s="65"/>
      <c r="T37" s="70"/>
      <c r="U37" s="70"/>
      <c r="V37" s="5"/>
      <c r="W37" s="60"/>
      <c r="X37" s="81" t="s">
        <v>75</v>
      </c>
      <c r="Y37" s="65"/>
      <c r="Z37" s="65"/>
      <c r="AA37" s="70"/>
      <c r="AB37" s="5"/>
      <c r="AC37" s="60"/>
      <c r="AD37" s="81" t="s">
        <v>75</v>
      </c>
      <c r="AE37" s="65"/>
      <c r="AF37" s="65"/>
      <c r="AG37" s="70"/>
      <c r="AH37" s="5"/>
      <c r="AI37" s="65"/>
      <c r="AJ37" s="65"/>
      <c r="AK37" s="65"/>
      <c r="AL37" s="65"/>
      <c r="AM37" s="70"/>
      <c r="AN37" s="5"/>
      <c r="AO37" s="65"/>
      <c r="AP37" s="65"/>
      <c r="AQ37" s="70"/>
      <c r="AR37" s="5"/>
      <c r="AS37" s="65"/>
      <c r="AT37" s="65"/>
      <c r="AU37" s="65"/>
      <c r="AV37" s="70"/>
      <c r="AW37" s="70"/>
      <c r="AX37" s="70"/>
      <c r="AY37" s="9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</row>
    <row r="38" customFormat="false" ht="12.75" hidden="false" customHeight="false" outlineLevel="0" collapsed="false">
      <c r="A38" s="65"/>
      <c r="B38" s="81"/>
      <c r="C38" s="65"/>
      <c r="D38" s="65"/>
      <c r="E38" s="5"/>
      <c r="F38" s="70"/>
      <c r="G38" s="70"/>
      <c r="H38" s="70"/>
      <c r="I38" s="5"/>
      <c r="J38" s="90"/>
      <c r="K38" s="90"/>
      <c r="L38" s="90"/>
      <c r="M38" s="90"/>
      <c r="N38" s="90"/>
      <c r="O38" s="90"/>
      <c r="P38" s="5"/>
      <c r="Q38" s="65"/>
      <c r="R38" s="65"/>
      <c r="S38" s="65"/>
      <c r="T38" s="70"/>
      <c r="U38" s="70"/>
      <c r="V38" s="5"/>
      <c r="W38" s="60"/>
      <c r="X38" s="75" t="n">
        <f aca="false">0.666666666666667*0.025</f>
        <v>0.0166666666666667</v>
      </c>
      <c r="Y38" s="65"/>
      <c r="Z38" s="65"/>
      <c r="AA38" s="70"/>
      <c r="AB38" s="5"/>
      <c r="AC38" s="60"/>
      <c r="AD38" s="75" t="n">
        <f aca="false">0.666666666666667*0.025</f>
        <v>0.0166666666666667</v>
      </c>
      <c r="AE38" s="65"/>
      <c r="AF38" s="65"/>
      <c r="AG38" s="70"/>
      <c r="AH38" s="5"/>
      <c r="AI38" s="65"/>
      <c r="AJ38" s="65"/>
      <c r="AK38" s="65"/>
      <c r="AL38" s="65"/>
      <c r="AM38" s="70"/>
      <c r="AN38" s="5"/>
      <c r="AO38" s="65"/>
      <c r="AP38" s="65"/>
      <c r="AQ38" s="70"/>
      <c r="AR38" s="5"/>
      <c r="AS38" s="65"/>
      <c r="AT38" s="65"/>
      <c r="AU38" s="65"/>
      <c r="AV38" s="70"/>
      <c r="AW38" s="70"/>
      <c r="AX38" s="70"/>
      <c r="AY38" s="9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</row>
    <row r="39" customFormat="false" ht="12.75" hidden="false" customHeight="false" outlineLevel="0" collapsed="false">
      <c r="A39" s="65"/>
      <c r="B39" s="81"/>
      <c r="C39" s="65"/>
      <c r="D39" s="65"/>
      <c r="E39" s="5"/>
      <c r="F39" s="70"/>
      <c r="G39" s="70"/>
      <c r="H39" s="70"/>
      <c r="I39" s="5"/>
      <c r="J39" s="90"/>
      <c r="K39" s="90"/>
      <c r="L39" s="90"/>
      <c r="M39" s="90"/>
      <c r="N39" s="90"/>
      <c r="O39" s="90"/>
      <c r="P39" s="5"/>
      <c r="Q39" s="65"/>
      <c r="R39" s="65"/>
      <c r="S39" s="65"/>
      <c r="T39" s="70"/>
      <c r="U39" s="70"/>
      <c r="V39" s="5"/>
      <c r="W39" s="60"/>
      <c r="X39" s="75"/>
      <c r="Y39" s="65"/>
      <c r="Z39" s="65"/>
      <c r="AA39" s="70"/>
      <c r="AB39" s="5"/>
      <c r="AC39" s="60"/>
      <c r="AD39" s="75"/>
      <c r="AE39" s="65"/>
      <c r="AF39" s="65"/>
      <c r="AG39" s="70"/>
      <c r="AH39" s="5"/>
      <c r="AI39" s="65"/>
      <c r="AJ39" s="65"/>
      <c r="AK39" s="65"/>
      <c r="AL39" s="65"/>
      <c r="AM39" s="70"/>
      <c r="AN39" s="5"/>
      <c r="AO39" s="65"/>
      <c r="AP39" s="65"/>
      <c r="AQ39" s="70"/>
      <c r="AR39" s="5"/>
      <c r="AS39" s="65"/>
      <c r="AT39" s="65"/>
      <c r="AU39" s="65"/>
      <c r="AV39" s="70"/>
      <c r="AW39" s="70"/>
      <c r="AX39" s="70"/>
      <c r="AY39" s="9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</row>
    <row r="40" customFormat="false" ht="12.75" hidden="false" customHeight="false" outlineLevel="0" collapsed="false">
      <c r="A40" s="91"/>
      <c r="B40" s="92"/>
      <c r="C40" s="91"/>
      <c r="D40" s="91"/>
      <c r="E40" s="5"/>
      <c r="F40" s="93"/>
      <c r="G40" s="93"/>
      <c r="H40" s="93"/>
      <c r="I40" s="5"/>
      <c r="J40" s="91"/>
      <c r="K40" s="91"/>
      <c r="L40" s="91"/>
      <c r="M40" s="91"/>
      <c r="N40" s="91"/>
      <c r="O40" s="91"/>
      <c r="P40" s="5"/>
      <c r="Q40" s="91"/>
      <c r="R40" s="91"/>
      <c r="S40" s="91"/>
      <c r="T40" s="93"/>
      <c r="U40" s="93"/>
      <c r="V40" s="5"/>
      <c r="W40" s="94"/>
      <c r="X40" s="91"/>
      <c r="Y40" s="91"/>
      <c r="Z40" s="91"/>
      <c r="AA40" s="93"/>
      <c r="AB40" s="5"/>
      <c r="AC40" s="94"/>
      <c r="AD40" s="91"/>
      <c r="AE40" s="91"/>
      <c r="AF40" s="91"/>
      <c r="AG40" s="93"/>
      <c r="AH40" s="5"/>
      <c r="AI40" s="91"/>
      <c r="AJ40" s="91"/>
      <c r="AK40" s="91"/>
      <c r="AL40" s="91"/>
      <c r="AM40" s="93"/>
      <c r="AN40" s="5"/>
      <c r="AO40" s="91"/>
      <c r="AP40" s="91"/>
      <c r="AQ40" s="93"/>
      <c r="AR40" s="5"/>
      <c r="AS40" s="91"/>
      <c r="AT40" s="91"/>
      <c r="AU40" s="91"/>
      <c r="AV40" s="93"/>
      <c r="AW40" s="93"/>
      <c r="AX40" s="93"/>
      <c r="AY40" s="9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</row>
    <row r="41" customFormat="false" ht="12.75" hidden="false" customHeight="false" outlineLevel="0" collapsed="false">
      <c r="A41" s="95"/>
      <c r="B41" s="96"/>
      <c r="C41" s="95"/>
      <c r="D41" s="95"/>
      <c r="E41" s="5"/>
      <c r="F41" s="97"/>
      <c r="G41" s="97"/>
      <c r="H41" s="97"/>
      <c r="I41" s="5"/>
      <c r="J41" s="95"/>
      <c r="K41" s="95"/>
      <c r="L41" s="95"/>
      <c r="M41" s="95"/>
      <c r="N41" s="95"/>
      <c r="O41" s="95"/>
      <c r="P41" s="5"/>
      <c r="Q41" s="95"/>
      <c r="R41" s="95"/>
      <c r="S41" s="95"/>
      <c r="T41" s="97"/>
      <c r="U41" s="97"/>
      <c r="V41" s="5"/>
      <c r="W41" s="98"/>
      <c r="X41" s="95"/>
      <c r="Y41" s="95"/>
      <c r="Z41" s="95"/>
      <c r="AA41" s="97"/>
      <c r="AB41" s="5"/>
      <c r="AC41" s="98"/>
      <c r="AD41" s="95"/>
      <c r="AE41" s="95"/>
      <c r="AF41" s="95"/>
      <c r="AG41" s="97"/>
      <c r="AH41" s="5"/>
      <c r="AI41" s="95"/>
      <c r="AJ41" s="95"/>
      <c r="AK41" s="95"/>
      <c r="AL41" s="95"/>
      <c r="AM41" s="97"/>
      <c r="AN41" s="5"/>
      <c r="AO41" s="95"/>
      <c r="AP41" s="95"/>
      <c r="AQ41" s="97"/>
      <c r="AR41" s="5"/>
      <c r="AS41" s="95"/>
      <c r="AT41" s="95"/>
      <c r="AU41" s="95"/>
      <c r="AV41" s="97"/>
      <c r="AW41" s="97"/>
      <c r="AX41" s="97"/>
      <c r="AY41" s="9"/>
      <c r="AZ41" s="4"/>
      <c r="BA41" s="4"/>
      <c r="BB41" s="4"/>
      <c r="BC41" s="4"/>
      <c r="BD41" s="4"/>
      <c r="BE41" s="5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</row>
    <row r="42" customFormat="false" ht="12.75" hidden="false" customHeight="false" outlineLevel="0" collapsed="false">
      <c r="A42" s="99" t="s">
        <v>76</v>
      </c>
      <c r="B42" s="100"/>
      <c r="C42" s="100"/>
      <c r="D42" s="100"/>
      <c r="E42" s="101"/>
      <c r="F42" s="102"/>
      <c r="G42" s="102"/>
      <c r="H42" s="102"/>
      <c r="I42" s="101"/>
      <c r="J42" s="103"/>
      <c r="K42" s="103"/>
      <c r="L42" s="100"/>
      <c r="M42" s="100"/>
      <c r="N42" s="100"/>
      <c r="O42" s="100"/>
      <c r="P42" s="101"/>
      <c r="Q42" s="104"/>
      <c r="R42" s="100"/>
      <c r="S42" s="100"/>
      <c r="T42" s="102"/>
      <c r="U42" s="102"/>
      <c r="V42" s="101"/>
      <c r="W42" s="100"/>
      <c r="X42" s="100"/>
      <c r="Y42" s="100"/>
      <c r="Z42" s="100"/>
      <c r="AA42" s="102"/>
      <c r="AB42" s="101"/>
      <c r="AC42" s="100"/>
      <c r="AD42" s="100"/>
      <c r="AE42" s="100"/>
      <c r="AF42" s="100"/>
      <c r="AG42" s="102"/>
      <c r="AH42" s="101"/>
      <c r="AI42" s="100"/>
      <c r="AJ42" s="100"/>
      <c r="AK42" s="100"/>
      <c r="AL42" s="100"/>
      <c r="AM42" s="102"/>
      <c r="AN42" s="101"/>
      <c r="AO42" s="100"/>
      <c r="AP42" s="100"/>
      <c r="AQ42" s="102"/>
      <c r="AR42" s="101"/>
      <c r="AS42" s="100"/>
      <c r="AT42" s="100"/>
      <c r="AU42" s="100"/>
      <c r="AV42" s="102"/>
      <c r="AW42" s="102"/>
      <c r="AX42" s="102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101"/>
      <c r="IL42" s="101"/>
      <c r="IM42" s="101"/>
      <c r="IN42" s="101"/>
      <c r="IO42" s="101"/>
      <c r="IP42" s="101"/>
      <c r="IQ42" s="101"/>
      <c r="IR42" s="101"/>
      <c r="IS42" s="101"/>
      <c r="IT42" s="101"/>
      <c r="IU42" s="101"/>
      <c r="IV42" s="101"/>
      <c r="IW42" s="101"/>
    </row>
    <row r="43" customFormat="false" ht="11.25" hidden="false" customHeight="false" outlineLevel="0" collapsed="false">
      <c r="A43" s="106" t="s">
        <v>77</v>
      </c>
      <c r="B43" s="106" t="s">
        <v>78</v>
      </c>
      <c r="C43" s="106"/>
      <c r="D43" s="106"/>
      <c r="E43" s="107"/>
      <c r="F43" s="108"/>
      <c r="G43" s="108"/>
      <c r="H43" s="108"/>
      <c r="I43" s="107"/>
      <c r="J43" s="109" t="s">
        <v>79</v>
      </c>
      <c r="K43" s="109"/>
      <c r="L43" s="109" t="s">
        <v>79</v>
      </c>
      <c r="M43" s="109"/>
      <c r="N43" s="106" t="s">
        <v>80</v>
      </c>
      <c r="O43" s="109"/>
      <c r="P43" s="107"/>
      <c r="Q43" s="110" t="s">
        <v>81</v>
      </c>
      <c r="R43" s="106"/>
      <c r="S43" s="106"/>
      <c r="T43" s="108" t="s">
        <v>82</v>
      </c>
      <c r="U43" s="108" t="s">
        <v>82</v>
      </c>
      <c r="V43" s="107"/>
      <c r="W43" s="106"/>
      <c r="X43" s="106"/>
      <c r="Y43" s="106"/>
      <c r="Z43" s="106"/>
      <c r="AA43" s="108" t="s">
        <v>82</v>
      </c>
      <c r="AB43" s="107"/>
      <c r="AC43" s="106"/>
      <c r="AD43" s="106"/>
      <c r="AE43" s="106"/>
      <c r="AF43" s="106"/>
      <c r="AG43" s="108" t="s">
        <v>82</v>
      </c>
      <c r="AH43" s="107"/>
      <c r="AI43" s="106"/>
      <c r="AJ43" s="106"/>
      <c r="AK43" s="106"/>
      <c r="AL43" s="106"/>
      <c r="AM43" s="108" t="s">
        <v>82</v>
      </c>
      <c r="AN43" s="107"/>
      <c r="AO43" s="106"/>
      <c r="AP43" s="106"/>
      <c r="AQ43" s="108" t="s">
        <v>82</v>
      </c>
      <c r="AR43" s="107"/>
      <c r="AS43" s="106"/>
      <c r="AT43" s="106"/>
      <c r="AU43" s="106"/>
      <c r="AV43" s="111" t="s">
        <v>83</v>
      </c>
      <c r="AW43" s="111" t="s">
        <v>83</v>
      </c>
      <c r="AX43" s="111" t="s">
        <v>83</v>
      </c>
      <c r="AY43" s="112"/>
      <c r="AZ43" s="112"/>
      <c r="BA43" s="112"/>
      <c r="BB43" s="112"/>
      <c r="BC43" s="112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  <c r="DS43" s="107"/>
      <c r="DT43" s="107"/>
      <c r="DU43" s="107"/>
      <c r="DV43" s="107"/>
      <c r="DW43" s="107"/>
      <c r="DX43" s="107"/>
      <c r="DY43" s="107"/>
      <c r="DZ43" s="107"/>
      <c r="EA43" s="107"/>
      <c r="EB43" s="107"/>
      <c r="EC43" s="107"/>
      <c r="ED43" s="107"/>
      <c r="EE43" s="107"/>
      <c r="EF43" s="107"/>
      <c r="EG43" s="107"/>
      <c r="EH43" s="107"/>
      <c r="EI43" s="107"/>
      <c r="EJ43" s="107"/>
      <c r="EK43" s="107"/>
      <c r="EL43" s="107"/>
      <c r="EM43" s="107"/>
      <c r="EN43" s="107"/>
      <c r="EO43" s="107"/>
      <c r="EP43" s="107"/>
      <c r="EQ43" s="107"/>
      <c r="ER43" s="107"/>
      <c r="ES43" s="107"/>
      <c r="ET43" s="107"/>
      <c r="EU43" s="107"/>
      <c r="EV43" s="107"/>
      <c r="EW43" s="107"/>
      <c r="EX43" s="107"/>
      <c r="EY43" s="107"/>
      <c r="EZ43" s="107"/>
      <c r="FA43" s="107"/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  <c r="FM43" s="107"/>
      <c r="FN43" s="107"/>
      <c r="FO43" s="107"/>
      <c r="FP43" s="107"/>
      <c r="FQ43" s="107"/>
      <c r="FR43" s="107"/>
      <c r="FS43" s="107"/>
      <c r="FT43" s="107"/>
      <c r="FU43" s="107"/>
      <c r="FV43" s="107"/>
      <c r="FW43" s="107"/>
      <c r="FX43" s="107"/>
      <c r="FY43" s="107"/>
      <c r="FZ43" s="107"/>
      <c r="GA43" s="107"/>
      <c r="GB43" s="107"/>
      <c r="GC43" s="107"/>
      <c r="GD43" s="107"/>
      <c r="GE43" s="107"/>
      <c r="GF43" s="107"/>
      <c r="GG43" s="107"/>
      <c r="GH43" s="107"/>
      <c r="GI43" s="107"/>
      <c r="GJ43" s="107"/>
      <c r="GK43" s="107"/>
      <c r="GL43" s="107"/>
      <c r="GM43" s="107"/>
      <c r="GN43" s="107"/>
      <c r="GO43" s="107"/>
      <c r="GP43" s="107"/>
      <c r="GQ43" s="107"/>
      <c r="GR43" s="107"/>
      <c r="GS43" s="107"/>
      <c r="GT43" s="107"/>
      <c r="GU43" s="107"/>
      <c r="GV43" s="107"/>
      <c r="GW43" s="107"/>
      <c r="GX43" s="107"/>
      <c r="GY43" s="107"/>
      <c r="GZ43" s="107"/>
      <c r="HA43" s="107"/>
      <c r="HB43" s="107"/>
      <c r="HC43" s="107"/>
      <c r="HD43" s="107"/>
      <c r="HE43" s="107"/>
      <c r="HF43" s="107"/>
      <c r="HG43" s="107"/>
      <c r="HH43" s="107"/>
      <c r="HI43" s="107"/>
      <c r="HJ43" s="107"/>
      <c r="HK43" s="107"/>
      <c r="HL43" s="107"/>
      <c r="HM43" s="107"/>
      <c r="HN43" s="107"/>
      <c r="HO43" s="107"/>
      <c r="HP43" s="107"/>
      <c r="HQ43" s="107"/>
      <c r="HR43" s="107"/>
      <c r="HS43" s="107"/>
      <c r="HT43" s="107"/>
      <c r="HU43" s="107"/>
      <c r="HV43" s="107"/>
      <c r="HW43" s="107"/>
      <c r="HX43" s="107"/>
      <c r="HY43" s="107"/>
      <c r="HZ43" s="107"/>
      <c r="IA43" s="107"/>
      <c r="IB43" s="107"/>
      <c r="IC43" s="107"/>
      <c r="ID43" s="107"/>
      <c r="IE43" s="107"/>
      <c r="IF43" s="107"/>
      <c r="IG43" s="107"/>
      <c r="IH43" s="107"/>
      <c r="II43" s="107"/>
      <c r="IJ43" s="107"/>
      <c r="IK43" s="107"/>
      <c r="IL43" s="107"/>
      <c r="IM43" s="107"/>
      <c r="IN43" s="107"/>
      <c r="IO43" s="107"/>
      <c r="IP43" s="107"/>
      <c r="IQ43" s="107"/>
      <c r="IR43" s="107"/>
      <c r="IS43" s="107"/>
      <c r="IT43" s="107"/>
      <c r="IU43" s="107"/>
      <c r="IV43" s="107"/>
      <c r="IW43" s="107"/>
    </row>
    <row r="44" customFormat="false" ht="11.25" hidden="false" customHeight="false" outlineLevel="0" collapsed="false">
      <c r="A44" s="113" t="s">
        <v>84</v>
      </c>
      <c r="B44" s="113" t="s">
        <v>85</v>
      </c>
      <c r="C44" s="113"/>
      <c r="D44" s="113"/>
      <c r="E44" s="107"/>
      <c r="F44" s="114"/>
      <c r="G44" s="114"/>
      <c r="H44" s="114"/>
      <c r="I44" s="107"/>
      <c r="J44" s="113" t="s">
        <v>86</v>
      </c>
      <c r="K44" s="113"/>
      <c r="L44" s="113" t="s">
        <v>86</v>
      </c>
      <c r="M44" s="113"/>
      <c r="N44" s="113"/>
      <c r="O44" s="113"/>
      <c r="P44" s="107"/>
      <c r="Q44" s="115"/>
      <c r="R44" s="113"/>
      <c r="S44" s="113"/>
      <c r="T44" s="114" t="s">
        <v>87</v>
      </c>
      <c r="U44" s="114" t="s">
        <v>87</v>
      </c>
      <c r="V44" s="107"/>
      <c r="W44" s="113"/>
      <c r="X44" s="113"/>
      <c r="Y44" s="113"/>
      <c r="Z44" s="113"/>
      <c r="AA44" s="114" t="s">
        <v>87</v>
      </c>
      <c r="AB44" s="107"/>
      <c r="AC44" s="113"/>
      <c r="AD44" s="113"/>
      <c r="AE44" s="113"/>
      <c r="AF44" s="113"/>
      <c r="AG44" s="114" t="s">
        <v>87</v>
      </c>
      <c r="AH44" s="107"/>
      <c r="AI44" s="113"/>
      <c r="AJ44" s="113"/>
      <c r="AK44" s="113"/>
      <c r="AL44" s="113"/>
      <c r="AM44" s="114" t="s">
        <v>87</v>
      </c>
      <c r="AN44" s="107"/>
      <c r="AO44" s="113"/>
      <c r="AP44" s="113"/>
      <c r="AQ44" s="114" t="s">
        <v>87</v>
      </c>
      <c r="AR44" s="107"/>
      <c r="AS44" s="113"/>
      <c r="AT44" s="113"/>
      <c r="AU44" s="113"/>
      <c r="AV44" s="114" t="s">
        <v>87</v>
      </c>
      <c r="AW44" s="114" t="s">
        <v>87</v>
      </c>
      <c r="AX44" s="114" t="s">
        <v>87</v>
      </c>
      <c r="AY44" s="112"/>
      <c r="AZ44" s="112"/>
      <c r="BA44" s="112"/>
      <c r="BB44" s="112"/>
      <c r="BC44" s="112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  <c r="DS44" s="107"/>
      <c r="DT44" s="107"/>
      <c r="DU44" s="107"/>
      <c r="DV44" s="107"/>
      <c r="DW44" s="107"/>
      <c r="DX44" s="107"/>
      <c r="DY44" s="107"/>
      <c r="DZ44" s="107"/>
      <c r="EA44" s="107"/>
      <c r="EB44" s="107"/>
      <c r="EC44" s="107"/>
      <c r="ED44" s="107"/>
      <c r="EE44" s="107"/>
      <c r="EF44" s="107"/>
      <c r="EG44" s="107"/>
      <c r="EH44" s="107"/>
      <c r="EI44" s="107"/>
      <c r="EJ44" s="107"/>
      <c r="EK44" s="107"/>
      <c r="EL44" s="107"/>
      <c r="EM44" s="107"/>
      <c r="EN44" s="107"/>
      <c r="EO44" s="107"/>
      <c r="EP44" s="107"/>
      <c r="EQ44" s="107"/>
      <c r="ER44" s="107"/>
      <c r="ES44" s="107"/>
      <c r="ET44" s="107"/>
      <c r="EU44" s="107"/>
      <c r="EV44" s="107"/>
      <c r="EW44" s="107"/>
      <c r="EX44" s="107"/>
      <c r="EY44" s="107"/>
      <c r="EZ44" s="107"/>
      <c r="FA44" s="107"/>
      <c r="FB44" s="107"/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  <c r="FM44" s="107"/>
      <c r="FN44" s="107"/>
      <c r="FO44" s="107"/>
      <c r="FP44" s="107"/>
      <c r="FQ44" s="107"/>
      <c r="FR44" s="107"/>
      <c r="FS44" s="107"/>
      <c r="FT44" s="107"/>
      <c r="FU44" s="107"/>
      <c r="FV44" s="107"/>
      <c r="FW44" s="107"/>
      <c r="FX44" s="107"/>
      <c r="FY44" s="107"/>
      <c r="FZ44" s="107"/>
      <c r="GA44" s="107"/>
      <c r="GB44" s="107"/>
      <c r="GC44" s="107"/>
      <c r="GD44" s="107"/>
      <c r="GE44" s="107"/>
      <c r="GF44" s="107"/>
      <c r="GG44" s="107"/>
      <c r="GH44" s="107"/>
      <c r="GI44" s="107"/>
      <c r="GJ44" s="107"/>
      <c r="GK44" s="107"/>
      <c r="GL44" s="107"/>
      <c r="GM44" s="107"/>
      <c r="GN44" s="107"/>
      <c r="GO44" s="107"/>
      <c r="GP44" s="107"/>
      <c r="GQ44" s="107"/>
      <c r="GR44" s="107"/>
      <c r="GS44" s="107"/>
      <c r="GT44" s="107"/>
      <c r="GU44" s="107"/>
      <c r="GV44" s="107"/>
      <c r="GW44" s="107"/>
      <c r="GX44" s="107"/>
      <c r="GY44" s="107"/>
      <c r="GZ44" s="107"/>
      <c r="HA44" s="107"/>
      <c r="HB44" s="107"/>
      <c r="HC44" s="107"/>
      <c r="HD44" s="107"/>
      <c r="HE44" s="107"/>
      <c r="HF44" s="107"/>
      <c r="HG44" s="107"/>
      <c r="HH44" s="107"/>
      <c r="HI44" s="107"/>
      <c r="HJ44" s="107"/>
      <c r="HK44" s="107"/>
      <c r="HL44" s="107"/>
      <c r="HM44" s="107"/>
      <c r="HN44" s="107"/>
      <c r="HO44" s="107"/>
      <c r="HP44" s="107"/>
      <c r="HQ44" s="107"/>
      <c r="HR44" s="107"/>
      <c r="HS44" s="107"/>
      <c r="HT44" s="107"/>
      <c r="HU44" s="107"/>
      <c r="HV44" s="107"/>
      <c r="HW44" s="107"/>
      <c r="HX44" s="107"/>
      <c r="HY44" s="107"/>
      <c r="HZ44" s="107"/>
      <c r="IA44" s="107"/>
      <c r="IB44" s="107"/>
      <c r="IC44" s="107"/>
      <c r="ID44" s="107"/>
      <c r="IE44" s="107"/>
      <c r="IF44" s="107"/>
      <c r="IG44" s="107"/>
      <c r="IH44" s="107"/>
      <c r="II44" s="107"/>
      <c r="IJ44" s="107"/>
      <c r="IK44" s="107"/>
      <c r="IL44" s="107"/>
      <c r="IM44" s="107"/>
      <c r="IN44" s="107"/>
      <c r="IO44" s="107"/>
      <c r="IP44" s="107"/>
      <c r="IQ44" s="107"/>
      <c r="IR44" s="107"/>
      <c r="IS44" s="107"/>
      <c r="IT44" s="107"/>
      <c r="IU44" s="107"/>
      <c r="IV44" s="107"/>
      <c r="IW44" s="107"/>
    </row>
    <row r="45" customFormat="false" ht="11.25" hidden="false" customHeight="false" outlineLevel="0" collapsed="false">
      <c r="A45" s="112"/>
      <c r="B45" s="112"/>
      <c r="C45" s="112"/>
      <c r="D45" s="112"/>
      <c r="E45" s="107"/>
      <c r="F45" s="112"/>
      <c r="G45" s="112"/>
      <c r="H45" s="112"/>
      <c r="I45" s="107"/>
      <c r="J45" s="112"/>
      <c r="K45" s="112"/>
      <c r="L45" s="112"/>
      <c r="M45" s="112"/>
      <c r="N45" s="112"/>
      <c r="O45" s="112"/>
      <c r="P45" s="107"/>
      <c r="Q45" s="116"/>
      <c r="R45" s="112"/>
      <c r="S45" s="112"/>
      <c r="T45" s="112"/>
      <c r="U45" s="112"/>
      <c r="V45" s="107"/>
      <c r="W45" s="112"/>
      <c r="X45" s="112"/>
      <c r="Y45" s="112"/>
      <c r="Z45" s="112"/>
      <c r="AA45" s="112"/>
      <c r="AB45" s="107"/>
      <c r="AC45" s="112"/>
      <c r="AD45" s="112"/>
      <c r="AE45" s="112"/>
      <c r="AF45" s="112"/>
      <c r="AG45" s="112"/>
      <c r="AH45" s="107"/>
      <c r="AI45" s="112"/>
      <c r="AJ45" s="112"/>
      <c r="AK45" s="112"/>
      <c r="AL45" s="112"/>
      <c r="AM45" s="112"/>
      <c r="AN45" s="107"/>
      <c r="AO45" s="112"/>
      <c r="AP45" s="112"/>
      <c r="AQ45" s="112"/>
      <c r="AR45" s="107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7"/>
      <c r="DV45" s="107"/>
      <c r="DW45" s="107"/>
      <c r="DX45" s="107"/>
      <c r="DY45" s="107"/>
      <c r="DZ45" s="107"/>
      <c r="EA45" s="107"/>
      <c r="EB45" s="107"/>
      <c r="EC45" s="107"/>
      <c r="ED45" s="107"/>
      <c r="EE45" s="107"/>
      <c r="EF45" s="107"/>
      <c r="EG45" s="107"/>
      <c r="EH45" s="107"/>
      <c r="EI45" s="107"/>
      <c r="EJ45" s="107"/>
      <c r="EK45" s="107"/>
      <c r="EL45" s="107"/>
      <c r="EM45" s="107"/>
      <c r="EN45" s="107"/>
      <c r="EO45" s="107"/>
      <c r="EP45" s="107"/>
      <c r="EQ45" s="107"/>
      <c r="ER45" s="107"/>
      <c r="ES45" s="107"/>
      <c r="ET45" s="107"/>
      <c r="EU45" s="107"/>
      <c r="EV45" s="107"/>
      <c r="EW45" s="107"/>
      <c r="EX45" s="107"/>
      <c r="EY45" s="107"/>
      <c r="EZ45" s="107"/>
      <c r="FA45" s="107"/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  <c r="FM45" s="107"/>
      <c r="FN45" s="107"/>
      <c r="FO45" s="107"/>
      <c r="FP45" s="107"/>
      <c r="FQ45" s="107"/>
      <c r="FR45" s="107"/>
      <c r="FS45" s="107"/>
      <c r="FT45" s="107"/>
      <c r="FU45" s="107"/>
      <c r="FV45" s="107"/>
      <c r="FW45" s="107"/>
      <c r="FX45" s="107"/>
      <c r="FY45" s="107"/>
      <c r="FZ45" s="107"/>
      <c r="GA45" s="107"/>
      <c r="GB45" s="107"/>
      <c r="GC45" s="107"/>
      <c r="GD45" s="107"/>
      <c r="GE45" s="107"/>
      <c r="GF45" s="107"/>
      <c r="GG45" s="107"/>
      <c r="GH45" s="107"/>
      <c r="GI45" s="107"/>
      <c r="GJ45" s="107"/>
      <c r="GK45" s="107"/>
      <c r="GL45" s="107"/>
      <c r="GM45" s="107"/>
      <c r="GN45" s="107"/>
      <c r="GO45" s="107"/>
      <c r="GP45" s="107"/>
      <c r="GQ45" s="107"/>
      <c r="GR45" s="107"/>
      <c r="GS45" s="107"/>
      <c r="GT45" s="107"/>
      <c r="GU45" s="107"/>
      <c r="GV45" s="107"/>
      <c r="GW45" s="107"/>
      <c r="GX45" s="107"/>
      <c r="GY45" s="107"/>
      <c r="GZ45" s="107"/>
      <c r="HA45" s="107"/>
      <c r="HB45" s="107"/>
      <c r="HC45" s="107"/>
      <c r="HD45" s="107"/>
      <c r="HE45" s="107"/>
      <c r="HF45" s="107"/>
      <c r="HG45" s="107"/>
      <c r="HH45" s="107"/>
      <c r="HI45" s="107"/>
      <c r="HJ45" s="107"/>
      <c r="HK45" s="107"/>
      <c r="HL45" s="107"/>
      <c r="HM45" s="107"/>
      <c r="HN45" s="107"/>
      <c r="HO45" s="107"/>
      <c r="HP45" s="107"/>
      <c r="HQ45" s="107"/>
      <c r="HR45" s="107"/>
      <c r="HS45" s="107"/>
      <c r="HT45" s="107"/>
      <c r="HU45" s="107"/>
      <c r="HV45" s="107"/>
      <c r="HW45" s="107"/>
      <c r="HX45" s="107"/>
      <c r="HY45" s="107"/>
      <c r="HZ45" s="107"/>
      <c r="IA45" s="107"/>
      <c r="IB45" s="107"/>
      <c r="IC45" s="107"/>
      <c r="ID45" s="107"/>
      <c r="IE45" s="107"/>
      <c r="IF45" s="107"/>
      <c r="IG45" s="107"/>
      <c r="IH45" s="107"/>
      <c r="II45" s="107"/>
      <c r="IJ45" s="107"/>
      <c r="IK45" s="107"/>
      <c r="IL45" s="107"/>
      <c r="IM45" s="107"/>
      <c r="IN45" s="107"/>
      <c r="IO45" s="107"/>
      <c r="IP45" s="107"/>
      <c r="IQ45" s="107"/>
      <c r="IR45" s="107"/>
      <c r="IS45" s="107"/>
      <c r="IT45" s="107"/>
      <c r="IU45" s="107"/>
      <c r="IV45" s="107"/>
      <c r="IW45" s="107"/>
    </row>
    <row r="46" customFormat="false" ht="11.25" hidden="false" customHeight="false" outlineLevel="0" collapsed="false">
      <c r="A46" s="117"/>
      <c r="B46" s="117"/>
      <c r="C46" s="117"/>
      <c r="D46" s="117"/>
      <c r="E46" s="118"/>
      <c r="F46" s="117"/>
      <c r="G46" s="117"/>
      <c r="H46" s="117"/>
      <c r="I46" s="118"/>
      <c r="J46" s="117"/>
      <c r="K46" s="117"/>
      <c r="L46" s="117"/>
      <c r="M46" s="117"/>
      <c r="N46" s="117"/>
      <c r="O46" s="117"/>
      <c r="P46" s="118"/>
      <c r="Q46" s="116"/>
      <c r="R46" s="117"/>
      <c r="S46" s="117"/>
      <c r="T46" s="112"/>
      <c r="U46" s="117"/>
      <c r="V46" s="118"/>
      <c r="W46" s="117"/>
      <c r="X46" s="117"/>
      <c r="Y46" s="117"/>
      <c r="Z46" s="117"/>
      <c r="AA46" s="117"/>
      <c r="AB46" s="118"/>
      <c r="AC46" s="117"/>
      <c r="AD46" s="117"/>
      <c r="AE46" s="117"/>
      <c r="AF46" s="117"/>
      <c r="AG46" s="117"/>
      <c r="AH46" s="118"/>
      <c r="AI46" s="117"/>
      <c r="AJ46" s="117"/>
      <c r="AK46" s="117"/>
      <c r="AL46" s="117"/>
      <c r="AM46" s="117"/>
      <c r="AN46" s="118"/>
      <c r="AO46" s="117"/>
      <c r="AP46" s="117"/>
      <c r="AQ46" s="117"/>
      <c r="AR46" s="118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8"/>
      <c r="BW46" s="118"/>
      <c r="BX46" s="118"/>
      <c r="BY46" s="118"/>
      <c r="BZ46" s="118"/>
      <c r="CA46" s="118"/>
      <c r="CB46" s="118"/>
      <c r="CC46" s="118"/>
      <c r="CD46" s="118"/>
      <c r="CE46" s="118"/>
      <c r="CF46" s="118"/>
      <c r="CG46" s="118"/>
      <c r="CH46" s="118"/>
      <c r="CI46" s="118"/>
      <c r="CJ46" s="118"/>
      <c r="CK46" s="118"/>
      <c r="CL46" s="118"/>
      <c r="CM46" s="118"/>
      <c r="CN46" s="118"/>
      <c r="CO46" s="118"/>
      <c r="CP46" s="118"/>
      <c r="CQ46" s="118"/>
      <c r="CR46" s="118"/>
      <c r="CS46" s="118"/>
      <c r="CT46" s="118"/>
      <c r="CU46" s="118"/>
      <c r="CV46" s="118"/>
      <c r="CW46" s="118"/>
      <c r="CX46" s="118"/>
      <c r="CY46" s="118"/>
      <c r="CZ46" s="118"/>
      <c r="DA46" s="118"/>
      <c r="DB46" s="118"/>
      <c r="DC46" s="118"/>
      <c r="DD46" s="118"/>
      <c r="DE46" s="118"/>
      <c r="DF46" s="118"/>
      <c r="DG46" s="118"/>
      <c r="DH46" s="118"/>
      <c r="DI46" s="118"/>
      <c r="DJ46" s="118"/>
      <c r="DK46" s="118"/>
      <c r="DL46" s="118"/>
      <c r="DM46" s="118"/>
      <c r="DN46" s="118"/>
      <c r="DO46" s="118"/>
      <c r="DP46" s="118"/>
      <c r="DQ46" s="118"/>
      <c r="DR46" s="118"/>
      <c r="DS46" s="118"/>
      <c r="DT46" s="118"/>
      <c r="DU46" s="118"/>
      <c r="DV46" s="118"/>
      <c r="DW46" s="118"/>
      <c r="DX46" s="118"/>
      <c r="DY46" s="118"/>
      <c r="DZ46" s="118"/>
      <c r="EA46" s="118"/>
      <c r="EB46" s="118"/>
      <c r="EC46" s="118"/>
      <c r="ED46" s="118"/>
      <c r="EE46" s="118"/>
      <c r="EF46" s="118"/>
      <c r="EG46" s="118"/>
      <c r="EH46" s="118"/>
      <c r="EI46" s="118"/>
      <c r="EJ46" s="118"/>
      <c r="EK46" s="118"/>
      <c r="EL46" s="118"/>
      <c r="EM46" s="118"/>
      <c r="EN46" s="118"/>
      <c r="EO46" s="118"/>
      <c r="EP46" s="118"/>
      <c r="EQ46" s="118"/>
      <c r="ER46" s="118"/>
      <c r="ES46" s="118"/>
      <c r="ET46" s="118"/>
      <c r="EU46" s="118"/>
      <c r="EV46" s="118"/>
      <c r="EW46" s="118"/>
      <c r="EX46" s="118"/>
      <c r="EY46" s="118"/>
      <c r="EZ46" s="118"/>
      <c r="FA46" s="118"/>
      <c r="FB46" s="118"/>
      <c r="FC46" s="118"/>
      <c r="FD46" s="118"/>
      <c r="FE46" s="118"/>
      <c r="FF46" s="118"/>
      <c r="FG46" s="118"/>
      <c r="FH46" s="118"/>
      <c r="FI46" s="118"/>
      <c r="FJ46" s="118"/>
      <c r="FK46" s="118"/>
      <c r="FL46" s="118"/>
      <c r="FM46" s="118"/>
      <c r="FN46" s="118"/>
      <c r="FO46" s="118"/>
      <c r="FP46" s="118"/>
      <c r="FQ46" s="118"/>
      <c r="FR46" s="118"/>
      <c r="FS46" s="118"/>
      <c r="FT46" s="118"/>
      <c r="FU46" s="118"/>
      <c r="FV46" s="118"/>
      <c r="FW46" s="118"/>
      <c r="FX46" s="118"/>
      <c r="FY46" s="118"/>
      <c r="FZ46" s="118"/>
      <c r="GA46" s="118"/>
      <c r="GB46" s="118"/>
      <c r="GC46" s="118"/>
      <c r="GD46" s="118"/>
      <c r="GE46" s="118"/>
      <c r="GF46" s="118"/>
      <c r="GG46" s="118"/>
      <c r="GH46" s="118"/>
      <c r="GI46" s="118"/>
      <c r="GJ46" s="118"/>
      <c r="GK46" s="118"/>
      <c r="GL46" s="118"/>
      <c r="GM46" s="118"/>
      <c r="GN46" s="118"/>
      <c r="GO46" s="118"/>
      <c r="GP46" s="118"/>
      <c r="GQ46" s="118"/>
      <c r="GR46" s="118"/>
      <c r="GS46" s="118"/>
      <c r="GT46" s="118"/>
      <c r="GU46" s="118"/>
      <c r="GV46" s="118"/>
      <c r="GW46" s="118"/>
      <c r="GX46" s="118"/>
      <c r="GY46" s="118"/>
      <c r="GZ46" s="118"/>
      <c r="HA46" s="118"/>
      <c r="HB46" s="118"/>
      <c r="HC46" s="118"/>
      <c r="HD46" s="118"/>
      <c r="HE46" s="118"/>
      <c r="HF46" s="118"/>
      <c r="HG46" s="118"/>
      <c r="HH46" s="118"/>
      <c r="HI46" s="118"/>
      <c r="HJ46" s="118"/>
      <c r="HK46" s="118"/>
      <c r="HL46" s="118"/>
      <c r="HM46" s="118"/>
      <c r="HN46" s="118"/>
      <c r="HO46" s="118"/>
      <c r="HP46" s="118"/>
      <c r="HQ46" s="118"/>
      <c r="HR46" s="118"/>
      <c r="HS46" s="118"/>
      <c r="HT46" s="118"/>
      <c r="HU46" s="118"/>
      <c r="HV46" s="118"/>
      <c r="HW46" s="118"/>
      <c r="HX46" s="118"/>
      <c r="HY46" s="118"/>
      <c r="HZ46" s="118"/>
      <c r="IA46" s="118"/>
      <c r="IB46" s="118"/>
      <c r="IC46" s="118"/>
      <c r="ID46" s="118"/>
      <c r="IE46" s="118"/>
      <c r="IF46" s="118"/>
      <c r="IG46" s="118"/>
      <c r="IH46" s="118"/>
      <c r="II46" s="118"/>
      <c r="IJ46" s="118"/>
      <c r="IK46" s="118"/>
      <c r="IL46" s="118"/>
      <c r="IM46" s="118"/>
      <c r="IN46" s="118"/>
      <c r="IO46" s="118"/>
      <c r="IP46" s="118"/>
      <c r="IQ46" s="118"/>
      <c r="IR46" s="118"/>
      <c r="IS46" s="118"/>
      <c r="IT46" s="118"/>
      <c r="IU46" s="118"/>
      <c r="IV46" s="118"/>
      <c r="IW46" s="118"/>
    </row>
    <row r="47" customFormat="false" ht="25.5" hidden="false" customHeight="false" outlineLevel="0" collapsed="false">
      <c r="A47" s="119"/>
      <c r="B47" s="120" t="s">
        <v>88</v>
      </c>
      <c r="C47" s="121" t="s">
        <v>89</v>
      </c>
      <c r="D47" s="122" t="s">
        <v>90</v>
      </c>
      <c r="E47" s="119"/>
      <c r="F47" s="123" t="s">
        <v>91</v>
      </c>
      <c r="G47" s="123" t="s">
        <v>43</v>
      </c>
      <c r="H47" s="123" t="s">
        <v>92</v>
      </c>
      <c r="I47" s="124"/>
      <c r="J47" s="120" t="str">
        <f aca="false">+J22</f>
        <v>Qatar Volumes</v>
      </c>
      <c r="K47" s="120" t="str">
        <f aca="false">+K22</f>
        <v>Qatar Volumes</v>
      </c>
      <c r="L47" s="120" t="str">
        <f aca="false">+L22</f>
        <v>Algeria Volumes</v>
      </c>
      <c r="M47" s="120" t="str">
        <f aca="false">+M22</f>
        <v>Algeria Volumes</v>
      </c>
      <c r="N47" s="120" t="str">
        <f aca="false">+N22</f>
        <v>Venezuela Volumes</v>
      </c>
      <c r="O47" s="125" t="str">
        <f aca="false">+O22</f>
        <v>Venezuela Volumes</v>
      </c>
      <c r="P47" s="119"/>
      <c r="Q47" s="126" t="str">
        <f aca="false">+Q22</f>
        <v>Gas Price</v>
      </c>
      <c r="R47" s="126" t="str">
        <f aca="false">+R22</f>
        <v>Gas Price</v>
      </c>
      <c r="S47" s="126" t="str">
        <f aca="false">+S22</f>
        <v>Gas Price</v>
      </c>
      <c r="T47" s="123" t="str">
        <f aca="false">+T22</f>
        <v>Elba Island</v>
      </c>
      <c r="U47" s="123" t="str">
        <f aca="false">+U22</f>
        <v>Lake Charles</v>
      </c>
      <c r="V47" s="119"/>
      <c r="W47" s="125" t="str">
        <f aca="false">+W22</f>
        <v>Hoegh Galleon</v>
      </c>
      <c r="X47" s="125" t="str">
        <f aca="false">+X22</f>
        <v>Hoegh Galleon</v>
      </c>
      <c r="Y47" s="125" t="str">
        <f aca="false">+Y22</f>
        <v>Hoegh Galleon</v>
      </c>
      <c r="Z47" s="125" t="str">
        <f aca="false">+Z22</f>
        <v>Hoegh Galleon</v>
      </c>
      <c r="AA47" s="127" t="str">
        <f aca="false">+AA22</f>
        <v>Hoegh Galleon</v>
      </c>
      <c r="AB47" s="128"/>
      <c r="AC47" s="125" t="str">
        <f aca="false">+AC22</f>
        <v>EXMAR (NB)</v>
      </c>
      <c r="AD47" s="125" t="str">
        <f aca="false">+AD22</f>
        <v>EXMAR (NB)</v>
      </c>
      <c r="AE47" s="125" t="str">
        <f aca="false">+AE22</f>
        <v>EXMAR (NB)</v>
      </c>
      <c r="AF47" s="125" t="str">
        <f aca="false">+AF22</f>
        <v>EXMAR (NB)</v>
      </c>
      <c r="AG47" s="127" t="str">
        <f aca="false">+AG22</f>
        <v>EXMAR (NB)</v>
      </c>
      <c r="AH47" s="119"/>
      <c r="AI47" s="126" t="str">
        <f aca="false">+AI22</f>
        <v>Elba Terminaling</v>
      </c>
      <c r="AJ47" s="126" t="str">
        <f aca="false">+AJ22</f>
        <v>Elba Terminaling</v>
      </c>
      <c r="AK47" s="126" t="str">
        <f aca="false">+AK22</f>
        <v>Elba Terminaling</v>
      </c>
      <c r="AL47" s="126" t="str">
        <f aca="false">+AL22</f>
        <v>Elba Terminaling</v>
      </c>
      <c r="AM47" s="127" t="str">
        <f aca="false">+AM22</f>
        <v>Elba Terminaling</v>
      </c>
      <c r="AN47" s="119"/>
      <c r="AO47" s="126" t="str">
        <f aca="false">+AO22</f>
        <v>Lk Ch Terminaling</v>
      </c>
      <c r="AP47" s="126" t="str">
        <f aca="false">+AP22</f>
        <v>Lk Ch Terminaling</v>
      </c>
      <c r="AQ47" s="127" t="str">
        <f aca="false">+AQ22</f>
        <v>Lk Ch Terminaling</v>
      </c>
      <c r="AR47" s="119"/>
      <c r="AS47" s="126" t="str">
        <f aca="false">+AS22</f>
        <v>FOB</v>
      </c>
      <c r="AT47" s="126" t="str">
        <f aca="false">+AT22</f>
        <v>FOB</v>
      </c>
      <c r="AU47" s="126" t="str">
        <f aca="false">+AU22</f>
        <v>FOB</v>
      </c>
      <c r="AV47" s="123" t="str">
        <f aca="false">+AV22</f>
        <v>FOB</v>
      </c>
      <c r="AW47" s="123" t="str">
        <f aca="false">+AW22</f>
        <v>FOB</v>
      </c>
      <c r="AX47" s="123" t="str">
        <f aca="false">+AX22</f>
        <v>FOB</v>
      </c>
      <c r="AY47" s="129"/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29"/>
      <c r="CN47" s="129"/>
      <c r="CO47" s="129"/>
      <c r="CP47" s="129"/>
      <c r="CQ47" s="129"/>
      <c r="CR47" s="129"/>
      <c r="CS47" s="129"/>
      <c r="CT47" s="129"/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29"/>
      <c r="DR47" s="129"/>
      <c r="DS47" s="129"/>
      <c r="DT47" s="129"/>
      <c r="DU47" s="129"/>
      <c r="DV47" s="129"/>
      <c r="DW47" s="129"/>
      <c r="DX47" s="129"/>
      <c r="DY47" s="129"/>
      <c r="DZ47" s="129"/>
      <c r="EA47" s="129"/>
      <c r="EB47" s="129"/>
      <c r="EC47" s="129"/>
      <c r="ED47" s="129"/>
      <c r="EE47" s="129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29"/>
      <c r="ER47" s="129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29"/>
      <c r="FE47" s="129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29"/>
      <c r="FR47" s="129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29"/>
      <c r="GE47" s="129"/>
      <c r="GF47" s="129"/>
      <c r="GG47" s="129"/>
      <c r="GH47" s="129"/>
      <c r="GI47" s="129"/>
      <c r="GJ47" s="129"/>
      <c r="GK47" s="129"/>
      <c r="GL47" s="129"/>
      <c r="GM47" s="129"/>
      <c r="GN47" s="129"/>
      <c r="GO47" s="129"/>
      <c r="GP47" s="129"/>
      <c r="GQ47" s="129"/>
      <c r="GR47" s="129"/>
      <c r="GS47" s="129"/>
      <c r="GT47" s="129"/>
      <c r="GU47" s="129"/>
      <c r="GV47" s="129"/>
      <c r="GW47" s="129"/>
      <c r="GX47" s="129"/>
      <c r="GY47" s="129"/>
      <c r="GZ47" s="129"/>
      <c r="HA47" s="129"/>
      <c r="HB47" s="129"/>
      <c r="HC47" s="129"/>
      <c r="HD47" s="129"/>
      <c r="HE47" s="129"/>
      <c r="HF47" s="129"/>
      <c r="HG47" s="129"/>
      <c r="HH47" s="129"/>
      <c r="HI47" s="129"/>
      <c r="HJ47" s="129"/>
      <c r="HK47" s="129"/>
      <c r="HL47" s="129"/>
      <c r="HM47" s="129"/>
      <c r="HN47" s="129"/>
      <c r="HO47" s="129"/>
      <c r="HP47" s="129"/>
      <c r="HQ47" s="129"/>
      <c r="HR47" s="129"/>
      <c r="HS47" s="129"/>
      <c r="HT47" s="129"/>
      <c r="HU47" s="129"/>
      <c r="HV47" s="129"/>
      <c r="HW47" s="129"/>
      <c r="HX47" s="129"/>
      <c r="HY47" s="129"/>
      <c r="HZ47" s="129"/>
      <c r="IA47" s="129"/>
      <c r="IB47" s="129"/>
      <c r="IC47" s="129"/>
      <c r="ID47" s="129"/>
      <c r="IE47" s="129"/>
      <c r="IF47" s="129"/>
      <c r="IG47" s="129"/>
      <c r="IH47" s="129"/>
      <c r="II47" s="129"/>
      <c r="IJ47" s="129"/>
      <c r="IK47" s="129"/>
      <c r="IL47" s="129"/>
      <c r="IM47" s="129"/>
      <c r="IN47" s="129"/>
      <c r="IO47" s="129"/>
      <c r="IP47" s="129"/>
      <c r="IQ47" s="129"/>
      <c r="IR47" s="129"/>
      <c r="IS47" s="129"/>
      <c r="IT47" s="129"/>
      <c r="IU47" s="129"/>
      <c r="IV47" s="129"/>
      <c r="IW47" s="129"/>
    </row>
    <row r="48" customFormat="false" ht="25.5" hidden="false" customHeight="false" outlineLevel="0" collapsed="false">
      <c r="A48" s="119"/>
      <c r="B48" s="130"/>
      <c r="C48" s="128" t="s">
        <v>93</v>
      </c>
      <c r="D48" s="131" t="s">
        <v>94</v>
      </c>
      <c r="E48" s="119"/>
      <c r="F48" s="132" t="s">
        <v>95</v>
      </c>
      <c r="G48" s="132" t="s">
        <v>95</v>
      </c>
      <c r="H48" s="132" t="s">
        <v>95</v>
      </c>
      <c r="I48" s="124"/>
      <c r="J48" s="130" t="str">
        <f aca="false">+J23&amp;J24</f>
        <v>to Elba Island via HG</v>
      </c>
      <c r="K48" s="130" t="str">
        <f aca="false">+K23&amp;K24</f>
        <v>to Elba Island via NB</v>
      </c>
      <c r="L48" s="130" t="str">
        <f aca="false">+L23&amp;L24</f>
        <v>to Elba Island via HG</v>
      </c>
      <c r="M48" s="130" t="str">
        <f aca="false">+M23&amp;M24</f>
        <v>to Elba Island via NB</v>
      </c>
      <c r="N48" s="130" t="str">
        <f aca="false">+N23&amp;N24</f>
        <v>to Elba Island via HG</v>
      </c>
      <c r="O48" s="133" t="str">
        <f aca="false">+O23&amp;O24</f>
        <v>to Elba Island via NB</v>
      </c>
      <c r="P48" s="119"/>
      <c r="Q48" s="134" t="str">
        <f aca="false">+Q23</f>
        <v>Henry Hub</v>
      </c>
      <c r="R48" s="134" t="str">
        <f aca="false">+R23</f>
        <v>Lk Ch Basis</v>
      </c>
      <c r="S48" s="134" t="str">
        <f aca="false">+S23</f>
        <v>Elba Basis</v>
      </c>
      <c r="T48" s="132" t="str">
        <f aca="false">+T23</f>
        <v>Revenues</v>
      </c>
      <c r="U48" s="132" t="str">
        <f aca="false">+U23</f>
        <v>Revenues</v>
      </c>
      <c r="V48" s="119"/>
      <c r="W48" s="133" t="str">
        <f aca="false">+W26</f>
        <v>Fixed Charter A</v>
      </c>
      <c r="X48" s="133" t="str">
        <f aca="false">+X26</f>
        <v>O&amp;M Charter A</v>
      </c>
      <c r="Y48" s="133" t="str">
        <f aca="false">+Y23</f>
        <v>Voyage to Lk Ch</v>
      </c>
      <c r="Z48" s="133" t="str">
        <f aca="false">+Z23</f>
        <v>Voyage to Elba</v>
      </c>
      <c r="AA48" s="135" t="str">
        <f aca="false">+AA23</f>
        <v>Total Costs</v>
      </c>
      <c r="AB48" s="128"/>
      <c r="AC48" s="133" t="str">
        <f aca="false">+AC26</f>
        <v>Fixed Charter A</v>
      </c>
      <c r="AD48" s="133" t="str">
        <f aca="false">+AD26</f>
        <v>O&amp;M Charter A</v>
      </c>
      <c r="AE48" s="133" t="str">
        <f aca="false">+AE23</f>
        <v>Voyage to Lk Ch</v>
      </c>
      <c r="AF48" s="133" t="str">
        <f aca="false">+AF23</f>
        <v>Voyage to Elba</v>
      </c>
      <c r="AG48" s="135" t="str">
        <f aca="false">+AG23</f>
        <v>Total Costs</v>
      </c>
      <c r="AH48" s="119"/>
      <c r="AI48" s="134" t="str">
        <f aca="false">+AI23</f>
        <v>Flat COS</v>
      </c>
      <c r="AJ48" s="134" t="str">
        <f aca="false">+AJ23</f>
        <v>Esc COS</v>
      </c>
      <c r="AK48" s="134" t="str">
        <f aca="false">+AK23</f>
        <v>Var Cost</v>
      </c>
      <c r="AL48" s="134" t="str">
        <f aca="false">+AL23</f>
        <v>Fuel Cost as</v>
      </c>
      <c r="AM48" s="135" t="str">
        <f aca="false">+AM23</f>
        <v>Total Costs</v>
      </c>
      <c r="AN48" s="119"/>
      <c r="AO48" s="134" t="str">
        <f aca="false">+AO23</f>
        <v>Flat Cost</v>
      </c>
      <c r="AP48" s="134" t="str">
        <f aca="false">+AP23</f>
        <v>Fuel Cost as</v>
      </c>
      <c r="AQ48" s="135" t="str">
        <f aca="false">+AQ23</f>
        <v>Total Costs</v>
      </c>
      <c r="AR48" s="119"/>
      <c r="AS48" s="134" t="str">
        <f aca="false">+AS23</f>
        <v>to Qatar</v>
      </c>
      <c r="AT48" s="134" t="str">
        <f aca="false">+AT23</f>
        <v>to Algeria</v>
      </c>
      <c r="AU48" s="134" t="str">
        <f aca="false">+AU23</f>
        <v>to VLNG</v>
      </c>
      <c r="AV48" s="132" t="str">
        <f aca="false">+AV23</f>
        <v>to Qatar</v>
      </c>
      <c r="AW48" s="132" t="str">
        <f aca="false">+AW23</f>
        <v>to Algeria</v>
      </c>
      <c r="AX48" s="132" t="str">
        <f aca="false">+AX23</f>
        <v>to VLNG</v>
      </c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129"/>
      <c r="CG48" s="129"/>
      <c r="CH48" s="129"/>
      <c r="CI48" s="129"/>
      <c r="CJ48" s="129"/>
      <c r="CK48" s="129"/>
      <c r="CL48" s="129"/>
      <c r="CM48" s="129"/>
      <c r="CN48" s="129"/>
      <c r="CO48" s="129"/>
      <c r="CP48" s="129"/>
      <c r="CQ48" s="129"/>
      <c r="CR48" s="129"/>
      <c r="CS48" s="129"/>
      <c r="CT48" s="129"/>
      <c r="CU48" s="129"/>
      <c r="CV48" s="129"/>
      <c r="CW48" s="129"/>
      <c r="CX48" s="129"/>
      <c r="CY48" s="129"/>
      <c r="CZ48" s="129"/>
      <c r="DA48" s="129"/>
      <c r="DB48" s="129"/>
      <c r="DC48" s="129"/>
      <c r="DD48" s="129"/>
      <c r="DE48" s="129"/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29"/>
      <c r="DR48" s="129"/>
      <c r="DS48" s="129"/>
      <c r="DT48" s="129"/>
      <c r="DU48" s="129"/>
      <c r="DV48" s="129"/>
      <c r="DW48" s="129"/>
      <c r="DX48" s="129"/>
      <c r="DY48" s="129"/>
      <c r="DZ48" s="129"/>
      <c r="EA48" s="129"/>
      <c r="EB48" s="129"/>
      <c r="EC48" s="129"/>
      <c r="ED48" s="129"/>
      <c r="EE48" s="129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29"/>
      <c r="ER48" s="129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29"/>
      <c r="FE48" s="129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29"/>
      <c r="FR48" s="129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29"/>
      <c r="GE48" s="129"/>
      <c r="GF48" s="129"/>
      <c r="GG48" s="129"/>
      <c r="GH48" s="129"/>
      <c r="GI48" s="129"/>
      <c r="GJ48" s="129"/>
      <c r="GK48" s="129"/>
      <c r="GL48" s="129"/>
      <c r="GM48" s="129"/>
      <c r="GN48" s="129"/>
      <c r="GO48" s="129"/>
      <c r="GP48" s="129"/>
      <c r="GQ48" s="129"/>
      <c r="GR48" s="129"/>
      <c r="GS48" s="129"/>
      <c r="GT48" s="129"/>
      <c r="GU48" s="129"/>
      <c r="GV48" s="129"/>
      <c r="GW48" s="129"/>
      <c r="GX48" s="129"/>
      <c r="GY48" s="129"/>
      <c r="GZ48" s="129"/>
      <c r="HA48" s="129"/>
      <c r="HB48" s="129"/>
      <c r="HC48" s="129"/>
      <c r="HD48" s="129"/>
      <c r="HE48" s="129"/>
      <c r="HF48" s="129"/>
      <c r="HG48" s="129"/>
      <c r="HH48" s="129"/>
      <c r="HI48" s="129"/>
      <c r="HJ48" s="129"/>
      <c r="HK48" s="129"/>
      <c r="HL48" s="129"/>
      <c r="HM48" s="129"/>
      <c r="HN48" s="129"/>
      <c r="HO48" s="129"/>
      <c r="HP48" s="129"/>
      <c r="HQ48" s="129"/>
      <c r="HR48" s="129"/>
      <c r="HS48" s="129"/>
      <c r="HT48" s="129"/>
      <c r="HU48" s="129"/>
      <c r="HV48" s="129"/>
      <c r="HW48" s="129"/>
      <c r="HX48" s="129"/>
      <c r="HY48" s="129"/>
      <c r="HZ48" s="129"/>
      <c r="IA48" s="129"/>
      <c r="IB48" s="129"/>
      <c r="IC48" s="129"/>
      <c r="ID48" s="129"/>
      <c r="IE48" s="129"/>
      <c r="IF48" s="129"/>
      <c r="IG48" s="129"/>
      <c r="IH48" s="129"/>
      <c r="II48" s="129"/>
      <c r="IJ48" s="129"/>
      <c r="IK48" s="129"/>
      <c r="IL48" s="129"/>
      <c r="IM48" s="129"/>
      <c r="IN48" s="129"/>
      <c r="IO48" s="129"/>
      <c r="IP48" s="129"/>
      <c r="IQ48" s="129"/>
      <c r="IR48" s="129"/>
      <c r="IS48" s="129"/>
      <c r="IT48" s="129"/>
      <c r="IU48" s="129"/>
      <c r="IV48" s="129"/>
      <c r="IW48" s="129"/>
    </row>
    <row r="49" customFormat="false" ht="12.75" hidden="false" customHeight="false" outlineLevel="0" collapsed="false">
      <c r="A49" s="136"/>
      <c r="B49" s="130"/>
      <c r="C49" s="128"/>
      <c r="D49" s="131"/>
      <c r="E49" s="136"/>
      <c r="F49" s="132" t="s">
        <v>96</v>
      </c>
      <c r="G49" s="132" t="s">
        <v>96</v>
      </c>
      <c r="H49" s="132" t="s">
        <v>96</v>
      </c>
      <c r="I49" s="124"/>
      <c r="J49" s="130"/>
      <c r="K49" s="130"/>
      <c r="L49" s="130"/>
      <c r="M49" s="130"/>
      <c r="N49" s="133"/>
      <c r="O49" s="133"/>
      <c r="P49" s="136"/>
      <c r="Q49" s="134" t="str">
        <f aca="false">+Q24</f>
        <v>($/MMBtu)</v>
      </c>
      <c r="R49" s="134" t="str">
        <f aca="false">+R24</f>
        <v>($/MMBtu)</v>
      </c>
      <c r="S49" s="134" t="str">
        <f aca="false">+S24</f>
        <v>($/MMBtu)</v>
      </c>
      <c r="T49" s="132" t="str">
        <f aca="false">+T24</f>
        <v>($000/mo.):</v>
      </c>
      <c r="U49" s="132" t="str">
        <f aca="false">+U24</f>
        <v>($000/mo.):</v>
      </c>
      <c r="V49" s="136"/>
      <c r="W49" s="137" t="s">
        <v>97</v>
      </c>
      <c r="X49" s="137" t="s">
        <v>97</v>
      </c>
      <c r="Y49" s="133" t="str">
        <f aca="false">+Y24</f>
        <v>($/MMBtu):</v>
      </c>
      <c r="Z49" s="133" t="str">
        <f aca="false">+Z24</f>
        <v>($/MMBtu):</v>
      </c>
      <c r="AA49" s="135" t="str">
        <f aca="false">+AA24</f>
        <v>($000/mo.):</v>
      </c>
      <c r="AB49" s="128"/>
      <c r="AC49" s="137" t="s">
        <v>97</v>
      </c>
      <c r="AD49" s="137" t="s">
        <v>97</v>
      </c>
      <c r="AE49" s="133" t="str">
        <f aca="false">+AE24</f>
        <v>($/MMBtu):</v>
      </c>
      <c r="AF49" s="133" t="str">
        <f aca="false">+AF24</f>
        <v>($/MMBtu):</v>
      </c>
      <c r="AG49" s="135" t="str">
        <f aca="false">+AG24</f>
        <v>($000/mo.):</v>
      </c>
      <c r="AH49" s="136"/>
      <c r="AI49" s="137" t="s">
        <v>97</v>
      </c>
      <c r="AJ49" s="137" t="s">
        <v>97</v>
      </c>
      <c r="AK49" s="134" t="str">
        <f aca="false">+AK24</f>
        <v>($/MMBtu)</v>
      </c>
      <c r="AL49" s="134" t="str">
        <f aca="false">+AL27</f>
        <v>($/MMBtu)</v>
      </c>
      <c r="AM49" s="135" t="str">
        <f aca="false">+AM24</f>
        <v>($000/mo.):</v>
      </c>
      <c r="AN49" s="136"/>
      <c r="AO49" s="134" t="str">
        <f aca="false">+AO24</f>
        <v>($/MMBtu)</v>
      </c>
      <c r="AP49" s="134" t="str">
        <f aca="false">+AP27</f>
        <v>($/MMBtu)</v>
      </c>
      <c r="AQ49" s="135" t="str">
        <f aca="false">+AQ24</f>
        <v>($000/mo.):</v>
      </c>
      <c r="AR49" s="136"/>
      <c r="AS49" s="134" t="str">
        <f aca="false">+AS24</f>
        <v>($/MMBtu)</v>
      </c>
      <c r="AT49" s="134" t="str">
        <f aca="false">+AT24</f>
        <v>($/MMBtu)</v>
      </c>
      <c r="AU49" s="134" t="str">
        <f aca="false">+AU24</f>
        <v>($/MMBtu)</v>
      </c>
      <c r="AV49" s="132" t="str">
        <f aca="false">+AV24</f>
        <v>($000/mo.):</v>
      </c>
      <c r="AW49" s="132" t="str">
        <f aca="false">+AW24</f>
        <v>($000/mo.):</v>
      </c>
      <c r="AX49" s="132" t="str">
        <f aca="false">+AX24</f>
        <v>($000/mo.):</v>
      </c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8"/>
      <c r="BS49" s="138"/>
      <c r="BT49" s="138"/>
      <c r="BU49" s="138"/>
      <c r="BV49" s="138"/>
      <c r="BW49" s="138"/>
      <c r="BX49" s="138"/>
      <c r="BY49" s="138"/>
      <c r="BZ49" s="138"/>
      <c r="CA49" s="138"/>
      <c r="CB49" s="138"/>
      <c r="CC49" s="138"/>
      <c r="CD49" s="138"/>
      <c r="CE49" s="138"/>
      <c r="CF49" s="138"/>
      <c r="CG49" s="138"/>
      <c r="CH49" s="138"/>
      <c r="CI49" s="138"/>
      <c r="CJ49" s="138"/>
      <c r="CK49" s="138"/>
      <c r="CL49" s="138"/>
      <c r="CM49" s="138"/>
      <c r="CN49" s="138"/>
      <c r="CO49" s="138"/>
      <c r="CP49" s="138"/>
      <c r="CQ49" s="138"/>
      <c r="CR49" s="138"/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8"/>
      <c r="EC49" s="138"/>
      <c r="ED49" s="138"/>
      <c r="EE49" s="138"/>
      <c r="EF49" s="138"/>
      <c r="EG49" s="138"/>
      <c r="EH49" s="138"/>
      <c r="EI49" s="138"/>
      <c r="EJ49" s="138"/>
      <c r="EK49" s="138"/>
      <c r="EL49" s="138"/>
      <c r="EM49" s="138"/>
      <c r="EN49" s="138"/>
      <c r="EO49" s="138"/>
      <c r="EP49" s="138"/>
      <c r="EQ49" s="138"/>
      <c r="ER49" s="138"/>
      <c r="ES49" s="138"/>
      <c r="ET49" s="138"/>
      <c r="EU49" s="138"/>
      <c r="EV49" s="138"/>
      <c r="EW49" s="138"/>
      <c r="EX49" s="138"/>
      <c r="EY49" s="138"/>
      <c r="EZ49" s="138"/>
      <c r="FA49" s="138"/>
      <c r="FB49" s="138"/>
      <c r="FC49" s="138"/>
      <c r="FD49" s="138"/>
      <c r="FE49" s="138"/>
      <c r="FF49" s="138"/>
      <c r="FG49" s="138"/>
      <c r="FH49" s="138"/>
      <c r="FI49" s="138"/>
      <c r="FJ49" s="138"/>
      <c r="FK49" s="138"/>
      <c r="FL49" s="138"/>
      <c r="FM49" s="138"/>
      <c r="FN49" s="138"/>
      <c r="FO49" s="138"/>
      <c r="FP49" s="138"/>
      <c r="FQ49" s="138"/>
      <c r="FR49" s="138"/>
      <c r="FS49" s="138"/>
      <c r="FT49" s="138"/>
      <c r="FU49" s="138"/>
      <c r="FV49" s="138"/>
      <c r="FW49" s="138"/>
      <c r="FX49" s="138"/>
      <c r="FY49" s="138"/>
      <c r="FZ49" s="138"/>
      <c r="GA49" s="138"/>
      <c r="GB49" s="138"/>
      <c r="GC49" s="138"/>
      <c r="GD49" s="138"/>
      <c r="GE49" s="138"/>
      <c r="GF49" s="138"/>
      <c r="GG49" s="138"/>
      <c r="GH49" s="138"/>
      <c r="GI49" s="138"/>
      <c r="GJ49" s="138"/>
      <c r="GK49" s="138"/>
      <c r="GL49" s="138"/>
      <c r="GM49" s="138"/>
      <c r="GN49" s="138"/>
      <c r="GO49" s="138"/>
      <c r="GP49" s="138"/>
      <c r="GQ49" s="138"/>
      <c r="GR49" s="138"/>
      <c r="GS49" s="138"/>
      <c r="GT49" s="138"/>
      <c r="GU49" s="138"/>
      <c r="GV49" s="138"/>
      <c r="GW49" s="138"/>
      <c r="GX49" s="138"/>
      <c r="GY49" s="138"/>
      <c r="GZ49" s="138"/>
      <c r="HA49" s="138"/>
      <c r="HB49" s="138"/>
      <c r="HC49" s="138"/>
      <c r="HD49" s="138"/>
      <c r="HE49" s="138"/>
      <c r="HF49" s="138"/>
      <c r="HG49" s="138"/>
      <c r="HH49" s="138"/>
      <c r="HI49" s="138"/>
      <c r="HJ49" s="138"/>
      <c r="HK49" s="138"/>
      <c r="HL49" s="138"/>
      <c r="HM49" s="138"/>
      <c r="HN49" s="138"/>
      <c r="HO49" s="138"/>
      <c r="HP49" s="138"/>
      <c r="HQ49" s="138"/>
      <c r="HR49" s="138"/>
      <c r="HS49" s="138"/>
      <c r="HT49" s="138"/>
      <c r="HU49" s="138"/>
      <c r="HV49" s="138"/>
      <c r="HW49" s="138"/>
      <c r="HX49" s="138"/>
      <c r="HY49" s="138"/>
      <c r="HZ49" s="138"/>
      <c r="IA49" s="138"/>
      <c r="IB49" s="138"/>
      <c r="IC49" s="138"/>
      <c r="ID49" s="138"/>
      <c r="IE49" s="138"/>
      <c r="IF49" s="138"/>
      <c r="IG49" s="138"/>
      <c r="IH49" s="138"/>
      <c r="II49" s="138"/>
      <c r="IJ49" s="138"/>
      <c r="IK49" s="138"/>
      <c r="IL49" s="138"/>
      <c r="IM49" s="138"/>
      <c r="IN49" s="138"/>
      <c r="IO49" s="138"/>
      <c r="IP49" s="138"/>
      <c r="IQ49" s="138"/>
      <c r="IR49" s="138"/>
      <c r="IS49" s="138"/>
      <c r="IT49" s="138"/>
      <c r="IU49" s="138"/>
      <c r="IV49" s="138"/>
      <c r="IW49" s="138"/>
    </row>
    <row r="50" customFormat="false" ht="12.75" hidden="false" customHeight="false" outlineLevel="0" collapsed="false">
      <c r="A50" s="139"/>
      <c r="B50" s="140"/>
      <c r="C50" s="8"/>
      <c r="D50" s="141"/>
      <c r="E50" s="139"/>
      <c r="F50" s="142"/>
      <c r="G50" s="142"/>
      <c r="H50" s="142"/>
      <c r="I50" s="124"/>
      <c r="J50" s="140"/>
      <c r="K50" s="140"/>
      <c r="L50" s="140"/>
      <c r="M50" s="140"/>
      <c r="N50" s="143"/>
      <c r="O50" s="143"/>
      <c r="P50" s="139"/>
      <c r="Q50" s="144"/>
      <c r="R50" s="144"/>
      <c r="S50" s="144"/>
      <c r="T50" s="142"/>
      <c r="U50" s="142"/>
      <c r="V50" s="139"/>
      <c r="W50" s="143"/>
      <c r="X50" s="143"/>
      <c r="Y50" s="143"/>
      <c r="Z50" s="143"/>
      <c r="AA50" s="142"/>
      <c r="AB50" s="8"/>
      <c r="AC50" s="143"/>
      <c r="AD50" s="143"/>
      <c r="AE50" s="143"/>
      <c r="AF50" s="143"/>
      <c r="AG50" s="142"/>
      <c r="AH50" s="139"/>
      <c r="AI50" s="145"/>
      <c r="AJ50" s="145"/>
      <c r="AK50" s="145"/>
      <c r="AL50" s="145"/>
      <c r="AM50" s="142"/>
      <c r="AN50" s="139"/>
      <c r="AO50" s="146"/>
      <c r="AP50" s="145"/>
      <c r="AQ50" s="142"/>
      <c r="AR50" s="139"/>
      <c r="AS50" s="144"/>
      <c r="AT50" s="144"/>
      <c r="AU50" s="144"/>
      <c r="AV50" s="142"/>
      <c r="AW50" s="142"/>
      <c r="AX50" s="142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  <c r="BI50" s="139"/>
      <c r="BJ50" s="139"/>
      <c r="BK50" s="139"/>
      <c r="BL50" s="139"/>
      <c r="BM50" s="139"/>
      <c r="BN50" s="139"/>
      <c r="BO50" s="139"/>
      <c r="BP50" s="139"/>
      <c r="BQ50" s="139"/>
      <c r="BR50" s="139"/>
      <c r="BS50" s="139"/>
      <c r="BT50" s="139"/>
      <c r="BU50" s="139"/>
      <c r="BV50" s="139"/>
      <c r="BW50" s="139"/>
      <c r="BX50" s="139"/>
      <c r="BY50" s="139"/>
      <c r="BZ50" s="139"/>
      <c r="CA50" s="139"/>
      <c r="CB50" s="139"/>
      <c r="CC50" s="139"/>
      <c r="CD50" s="139"/>
      <c r="CE50" s="139"/>
      <c r="CF50" s="139"/>
      <c r="CG50" s="139"/>
      <c r="CH50" s="139"/>
      <c r="CI50" s="139"/>
      <c r="CJ50" s="139"/>
      <c r="CK50" s="139"/>
      <c r="CL50" s="139"/>
      <c r="CM50" s="139"/>
      <c r="CN50" s="139"/>
      <c r="CO50" s="139"/>
      <c r="CP50" s="139"/>
      <c r="CQ50" s="139"/>
      <c r="CR50" s="139"/>
      <c r="CS50" s="139"/>
      <c r="CT50" s="139"/>
      <c r="CU50" s="139"/>
      <c r="CV50" s="139"/>
      <c r="CW50" s="139"/>
      <c r="CX50" s="139"/>
      <c r="CY50" s="139"/>
      <c r="CZ50" s="139"/>
      <c r="DA50" s="139"/>
      <c r="DB50" s="139"/>
      <c r="DC50" s="139"/>
      <c r="DD50" s="139"/>
      <c r="DE50" s="139"/>
      <c r="DF50" s="139"/>
      <c r="DG50" s="139"/>
      <c r="DH50" s="139"/>
      <c r="DI50" s="139"/>
      <c r="DJ50" s="139"/>
      <c r="DK50" s="139"/>
      <c r="DL50" s="139"/>
      <c r="DM50" s="139"/>
      <c r="DN50" s="139"/>
      <c r="DO50" s="139"/>
      <c r="DP50" s="139"/>
      <c r="DQ50" s="139"/>
      <c r="DR50" s="139"/>
      <c r="DS50" s="139"/>
      <c r="DT50" s="139"/>
      <c r="DU50" s="139"/>
      <c r="DV50" s="139"/>
      <c r="DW50" s="139"/>
      <c r="DX50" s="139"/>
      <c r="DY50" s="139"/>
      <c r="DZ50" s="139"/>
      <c r="EA50" s="139"/>
      <c r="EB50" s="139"/>
      <c r="EC50" s="139"/>
      <c r="ED50" s="139"/>
      <c r="EE50" s="139"/>
      <c r="EF50" s="139"/>
      <c r="EG50" s="139"/>
      <c r="EH50" s="139"/>
      <c r="EI50" s="139"/>
      <c r="EJ50" s="139"/>
      <c r="EK50" s="139"/>
      <c r="EL50" s="139"/>
      <c r="EM50" s="139"/>
      <c r="EN50" s="139"/>
      <c r="EO50" s="139"/>
      <c r="EP50" s="139"/>
      <c r="EQ50" s="139"/>
      <c r="ER50" s="139"/>
      <c r="ES50" s="139"/>
      <c r="ET50" s="139"/>
      <c r="EU50" s="139"/>
      <c r="EV50" s="139"/>
      <c r="EW50" s="139"/>
      <c r="EX50" s="139"/>
      <c r="EY50" s="139"/>
      <c r="EZ50" s="139"/>
      <c r="FA50" s="139"/>
      <c r="FB50" s="139"/>
      <c r="FC50" s="139"/>
      <c r="FD50" s="139"/>
      <c r="FE50" s="139"/>
      <c r="FF50" s="139"/>
      <c r="FG50" s="139"/>
      <c r="FH50" s="139"/>
      <c r="FI50" s="139"/>
      <c r="FJ50" s="139"/>
      <c r="FK50" s="139"/>
      <c r="FL50" s="139"/>
      <c r="FM50" s="139"/>
      <c r="FN50" s="139"/>
      <c r="FO50" s="139"/>
      <c r="FP50" s="139"/>
      <c r="FQ50" s="139"/>
      <c r="FR50" s="139"/>
      <c r="FS50" s="139"/>
      <c r="FT50" s="139"/>
      <c r="FU50" s="139"/>
      <c r="FV50" s="139"/>
      <c r="FW50" s="139"/>
      <c r="FX50" s="139"/>
      <c r="FY50" s="139"/>
      <c r="FZ50" s="139"/>
      <c r="GA50" s="139"/>
      <c r="GB50" s="139"/>
      <c r="GC50" s="139"/>
      <c r="GD50" s="139"/>
      <c r="GE50" s="139"/>
      <c r="GF50" s="139"/>
      <c r="GG50" s="139"/>
      <c r="GH50" s="139"/>
      <c r="GI50" s="139"/>
      <c r="GJ50" s="139"/>
      <c r="GK50" s="139"/>
      <c r="GL50" s="139"/>
      <c r="GM50" s="139"/>
      <c r="GN50" s="139"/>
      <c r="GO50" s="139"/>
      <c r="GP50" s="139"/>
      <c r="GQ50" s="139"/>
      <c r="GR50" s="139"/>
      <c r="GS50" s="139"/>
      <c r="GT50" s="139"/>
      <c r="GU50" s="139"/>
      <c r="GV50" s="139"/>
      <c r="GW50" s="139"/>
      <c r="GX50" s="139"/>
      <c r="GY50" s="139"/>
      <c r="GZ50" s="139"/>
      <c r="HA50" s="139"/>
      <c r="HB50" s="139"/>
      <c r="HC50" s="139"/>
      <c r="HD50" s="139"/>
      <c r="HE50" s="139"/>
      <c r="HF50" s="139"/>
      <c r="HG50" s="139"/>
      <c r="HH50" s="139"/>
      <c r="HI50" s="139"/>
      <c r="HJ50" s="139"/>
      <c r="HK50" s="139"/>
      <c r="HL50" s="139"/>
      <c r="HM50" s="139"/>
      <c r="HN50" s="139"/>
      <c r="HO50" s="139"/>
      <c r="HP50" s="139"/>
      <c r="HQ50" s="139"/>
      <c r="HR50" s="139"/>
      <c r="HS50" s="139"/>
      <c r="HT50" s="139"/>
      <c r="HU50" s="139"/>
      <c r="HV50" s="139"/>
      <c r="HW50" s="139"/>
      <c r="HX50" s="139"/>
      <c r="HY50" s="139"/>
      <c r="HZ50" s="139"/>
      <c r="IA50" s="139"/>
      <c r="IB50" s="139"/>
      <c r="IC50" s="139"/>
      <c r="ID50" s="139"/>
      <c r="IE50" s="139"/>
      <c r="IF50" s="139"/>
      <c r="IG50" s="139"/>
      <c r="IH50" s="139"/>
      <c r="II50" s="139"/>
      <c r="IJ50" s="139"/>
      <c r="IK50" s="139"/>
      <c r="IL50" s="139"/>
      <c r="IM50" s="139"/>
      <c r="IN50" s="139"/>
      <c r="IO50" s="139"/>
      <c r="IP50" s="139"/>
      <c r="IQ50" s="139"/>
      <c r="IR50" s="139"/>
      <c r="IS50" s="139"/>
      <c r="IT50" s="139"/>
      <c r="IU50" s="139"/>
      <c r="IV50" s="139"/>
      <c r="IW50" s="139"/>
    </row>
    <row r="51" customFormat="false" ht="12.75" hidden="false" customHeight="false" outlineLevel="0" collapsed="false">
      <c r="A51" s="147" t="n">
        <f aca="false">+IF(B51=" ",A50,B51)</f>
        <v>36831</v>
      </c>
      <c r="B51" s="148" t="n">
        <f aca="false">StartDate</f>
        <v>36831</v>
      </c>
      <c r="C51" s="149" t="n">
        <v>1</v>
      </c>
      <c r="D51" s="150" t="n">
        <f aca="false">C51/12</f>
        <v>0.0833333333333333</v>
      </c>
      <c r="E51" s="1"/>
      <c r="F51" s="151" t="n">
        <f aca="false">+SUM($T51:$U51)</f>
        <v>0</v>
      </c>
      <c r="G51" s="152" t="n">
        <f aca="false">-SUM($AA51,$AG51,$AM51,$AQ51,$AV51:$AX51)</f>
        <v>-603.770833333333</v>
      </c>
      <c r="H51" s="152" t="n">
        <f aca="false">+SUM(F51:G51)</f>
        <v>-603.770833333333</v>
      </c>
      <c r="I51" s="124"/>
      <c r="J51" s="153" t="n">
        <f aca="false">+IF($B51=" ",0,IF(AND($B51&gt;=J$26,$B51&lt;J$28),J$33,0))</f>
        <v>0</v>
      </c>
      <c r="K51" s="153" t="n">
        <f aca="false">+IF($B51=" ",0,IF(AND($B51&gt;=K$26,$B51&lt;K$28),K$33,0))</f>
        <v>0</v>
      </c>
      <c r="L51" s="153" t="n">
        <f aca="false">+IF($B51=" ",0,IF(AND($B51&gt;=L$26,$B51&lt;L$28),L$33,0))</f>
        <v>0</v>
      </c>
      <c r="M51" s="153" t="n">
        <f aca="false">+IF($B51=" ",0,IF(AND($B51&gt;=M$26,$B51&lt;M$28),M$33,0))</f>
        <v>0</v>
      </c>
      <c r="N51" s="153" t="n">
        <f aca="false">+IF($B51=" ",0,IF(AND($B51&gt;=N$26,$B51&lt;N$28),N$33,0))</f>
        <v>0</v>
      </c>
      <c r="O51" s="154" t="n">
        <f aca="false">+IF($B51=" ",0,IF(AND($B51&gt;=O$26,$B51&lt;O$28),O$33,0))</f>
        <v>0</v>
      </c>
      <c r="P51" s="1"/>
      <c r="Q51" s="83" t="n">
        <f aca="false">IF($B51=" ",0,IF($B51&lt;=DATE(2003,12,31),3.55,2.9))</f>
        <v>3.55</v>
      </c>
      <c r="R51" s="155" t="n">
        <f aca="false">IF($B51=" ",0,R$25)</f>
        <v>-0.07</v>
      </c>
      <c r="S51" s="156" t="n">
        <f aca="false">IF($B51=" ",0,S$25)</f>
        <v>0.1</v>
      </c>
      <c r="T51" s="157" t="n">
        <f aca="false">+SUM($Q51,$S51)/1000*(SUM($J51*$J$37,$K51*$K$37,$L51*$L$37,$M51*$M$37,$N51*$N$37,$O51*$O$37))</f>
        <v>0</v>
      </c>
      <c r="U51" s="157" t="n">
        <f aca="false">+SUM($Q51,$R51)/1000*(SUM(0))</f>
        <v>0</v>
      </c>
      <c r="V51" s="1"/>
      <c r="W51" s="158" t="n">
        <f aca="false">IF($B51=" ",0,1)*(IF($B51&gt;=W$25,1,0)*IF($B51&lt;=W$29,W$27,IF($B51&lt;=W$33,W$31,0))*($D51-$D50)*365/1000)</f>
        <v>288.958333333333</v>
      </c>
      <c r="X51" s="158" t="n">
        <f aca="false">IF($B51=" ",0,IF($B51&gt;=X$25,IF($B51&lt;=X$29,X$27,IF($B51&lt;=X$33,X$31,X$31*(1+X$38)^(IF(X$36&gt;$B51,-1,1)*(YEARFRAC($B51,X$36)))))*($D51-$D50)*365/1000,0))</f>
        <v>314.8125</v>
      </c>
      <c r="Y51" s="159" t="n">
        <f aca="false">IF($B51=" ",0,Y$25*(1+Y$30)^(IF(Y$28&gt;$B51,-1,1)*(YEARFRAC($B51,Y$28))))</f>
        <v>0.447127518064977</v>
      </c>
      <c r="Z51" s="159" t="n">
        <f aca="false">IF($B51=" ",0,Z$25*(1+Z$30)^(IF(Z$28&gt;$B51,-1,1)*(YEARFRAC($B51,Z$28))))</f>
        <v>0.426840869743164</v>
      </c>
      <c r="AA51" s="160" t="n">
        <f aca="false">+W51+X51+Z51*SUM($J51*$J$37,$L51*$L$37,$N51*$N$37)/1000</f>
        <v>603.770833333333</v>
      </c>
      <c r="AB51" s="161"/>
      <c r="AC51" s="158" t="n">
        <f aca="false">IF($B51=" ",0,1)*(IF($B51&gt;=AC$25,1,0)*IF($B51&lt;=AC$29,AC$27,IF($B51&lt;=AC$33,AC$31,0))*($D51-$D50)*365/1000)</f>
        <v>0</v>
      </c>
      <c r="AD51" s="158" t="n">
        <f aca="false">IF($B51=" ",0,IF($B51&gt;=AD$25,IF($B51&lt;=AD$29,AD$27,IF($B51&lt;=AD$33,AD$31,AD$31*(1+AD$38)^(IF(AD$36&gt;$B51,-1,1)*(YEARFRAC($B51,AD$36)))))*($D51-$D50)*365/1000,0))</f>
        <v>0</v>
      </c>
      <c r="AE51" s="159" t="n">
        <f aca="false">IF($B51=" ",0,AE$25*(1+AE$30)^(IF(AE$28&gt;$B51,-1,1)*(YEARFRAC($B51,AE$28))))</f>
        <v>0.370442784682885</v>
      </c>
      <c r="AF51" s="159" t="n">
        <f aca="false">IF($B51=" ",0,AF$25*(1+AF$30)^(IF(AF$28&gt;$B51,-1,1)*(YEARFRAC($B51,AF$28))))</f>
        <v>0.132914031045083</v>
      </c>
      <c r="AG51" s="162" t="n">
        <f aca="false">+AC51+AD51+AF51*SUM($K51*$K$37,$M51*$M$37,$O51*$O$37)/1000</f>
        <v>0</v>
      </c>
      <c r="AH51" s="1"/>
      <c r="AI51" s="158" t="n">
        <f aca="false">IF($B51=" ",0,1)*IF($B51&gt;=AI$33,AI$25*($D51-$D50),0)</f>
        <v>0</v>
      </c>
      <c r="AJ51" s="158" t="n">
        <f aca="false">IF($B51=" ",0,IF($B51&gt;=AJ$33,AJ$25*(1+AJ$30)^(IF(AJ$28&gt;$B51,-1,1)*(YEARFRAC($B51,AJ$28)))*($D51-$D50),0))</f>
        <v>0</v>
      </c>
      <c r="AK51" s="159" t="n">
        <f aca="false">IF($B51=" ",0,AK$25*(1+AK$30)^(IF(AK$28&gt;$B51,-1,1)*(YEARFRAC($B51,AK$28))))</f>
        <v>0.0267259151160483</v>
      </c>
      <c r="AL51" s="159" t="n">
        <f aca="false">IF($B51=" ",0,AL$25*AL$28)</f>
        <v>0.0575</v>
      </c>
      <c r="AM51" s="162" t="n">
        <f aca="false">+AI51+AJ51+SUM(AK51:AL51)*SUM($J51*$J$37,$K51*$K$37,$L51*$L$37,$M51*$M$37,$N51*$N$37,$O51*$O$37)/1000</f>
        <v>0</v>
      </c>
      <c r="AN51" s="1"/>
      <c r="AO51" s="163" t="n">
        <f aca="false">IF($B51=" ",0,$AO$25)</f>
        <v>0.25</v>
      </c>
      <c r="AP51" s="159" t="n">
        <f aca="false">IF($B51=" ",0,AP$25*AP$28)</f>
        <v>0.03105</v>
      </c>
      <c r="AQ51" s="162" t="n">
        <f aca="false">SUM(AO51:AP51)*SUM(0)/1000</f>
        <v>0</v>
      </c>
      <c r="AR51" s="1"/>
      <c r="AS51" s="155" t="n">
        <f aca="false">IF($B51=" ",0,AS$25)</f>
        <v>1</v>
      </c>
      <c r="AT51" s="156" t="n">
        <f aca="false">IF($B51=" ",0,AT$25)</f>
        <v>1</v>
      </c>
      <c r="AU51" s="156" t="n">
        <f aca="false">IF($B51=" ",0,AU$25)</f>
        <v>2.3</v>
      </c>
      <c r="AV51" s="151" t="n">
        <f aca="false">+AS51*SUM(J51:K51)/1000</f>
        <v>0</v>
      </c>
      <c r="AW51" s="151" t="n">
        <f aca="false">+AT51*SUM(L51:M51)/1000</f>
        <v>0</v>
      </c>
      <c r="AX51" s="151" t="n">
        <f aca="false">+AU51*SUM(N51:O51)/1000</f>
        <v>0</v>
      </c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</row>
    <row r="52" customFormat="false" ht="12.75" hidden="false" customHeight="false" outlineLevel="0" collapsed="false">
      <c r="A52" s="147" t="n">
        <f aca="false">+IF(B52=" ",A51,B52)</f>
        <v>36861</v>
      </c>
      <c r="B52" s="148" t="n">
        <f aca="false">IF(B51=" "," ",IF(EDATE(B51,1)&gt;=EndDate," ",EDATE(B51,1)))</f>
        <v>36861</v>
      </c>
      <c r="C52" s="149" t="n">
        <f aca="false">IF($B52&lt;&gt;" ",C51+1,C51)</f>
        <v>2</v>
      </c>
      <c r="D52" s="150" t="n">
        <f aca="false">C52/12</f>
        <v>0.166666666666667</v>
      </c>
      <c r="E52" s="1"/>
      <c r="F52" s="157" t="n">
        <f aca="false">+SUM($T52:$U52)</f>
        <v>0</v>
      </c>
      <c r="G52" s="152" t="n">
        <f aca="false">-SUM($AA52,$AG52,$AM52,$AQ52,$AV52:$AX52)</f>
        <v>-603.770833333333</v>
      </c>
      <c r="H52" s="152" t="n">
        <f aca="false">+SUM(F52:G52)</f>
        <v>-603.770833333333</v>
      </c>
      <c r="I52" s="124"/>
      <c r="J52" s="153" t="n">
        <f aca="false">+IF($B52=" ",0,IF(AND($B52&gt;=J$26,$B52&lt;J$28),J$33,0))</f>
        <v>0</v>
      </c>
      <c r="K52" s="153" t="n">
        <f aca="false">+IF($B52=" ",0,IF(AND($B52&gt;=K$26,$B52&lt;K$28),K$33,0))</f>
        <v>0</v>
      </c>
      <c r="L52" s="153" t="n">
        <f aca="false">+IF($B52=" ",0,IF(AND($B52&gt;=L$26,$B52&lt;L$28),L$33,0))</f>
        <v>0</v>
      </c>
      <c r="M52" s="153" t="n">
        <f aca="false">+IF($B52=" ",0,IF(AND($B52&gt;=M$26,$B52&lt;M$28),M$33,0))</f>
        <v>0</v>
      </c>
      <c r="N52" s="153" t="n">
        <f aca="false">+IF($B52=" ",0,IF(AND($B52&gt;=N$26,$B52&lt;N$28),N$33,0))</f>
        <v>0</v>
      </c>
      <c r="O52" s="154" t="n">
        <f aca="false">+IF($B52=" ",0,IF(AND($B52&gt;=O$26,$B52&lt;O$28),O$33,0))</f>
        <v>0</v>
      </c>
      <c r="P52" s="1"/>
      <c r="Q52" s="83" t="n">
        <f aca="false">IF($B52=" ",0,IF($B52&lt;=DATE(2003,12,31),3.55,2.9))</f>
        <v>3.55</v>
      </c>
      <c r="R52" s="155" t="n">
        <f aca="false">IF($B52=" ",0,R$25)</f>
        <v>-0.07</v>
      </c>
      <c r="S52" s="156" t="n">
        <f aca="false">IF($B52=" ",0,S$25)</f>
        <v>0.1</v>
      </c>
      <c r="T52" s="157" t="n">
        <f aca="false">+SUM($Q52,$S52)/1000*(SUM($J52*$J$37,$K52*$K$37,$L52*$L$37,$M52*$M$37,$N52*$N$37,$O52*$O$37))</f>
        <v>0</v>
      </c>
      <c r="U52" s="157" t="n">
        <f aca="false">+SUM($Q52,$R52)/1000*(SUM(0))</f>
        <v>0</v>
      </c>
      <c r="V52" s="1"/>
      <c r="W52" s="158" t="n">
        <f aca="false">IF($B52=" ",0,1)*(IF($B52&gt;=W$25,1,0)*IF($B52&lt;=W$29,W$27,IF($B52&lt;=W$33,W$31,0))*($D52-$D51)*365/1000)</f>
        <v>288.958333333333</v>
      </c>
      <c r="X52" s="158" t="n">
        <f aca="false">IF($B52=" ",0,IF($B52&gt;=X$25,IF($B52&lt;=X$29,X$27,IF($B52&lt;=X$33,X$31,X$31*(1+X$38)^(IF(X$36&gt;$B52,-1,1)*(YEARFRAC($B52,X$36)))))*($D52-$D51)*365/1000,0))</f>
        <v>314.8125</v>
      </c>
      <c r="Y52" s="159" t="n">
        <f aca="false">IF($B52=" ",0,Y$25*(1+Y$30)^(IF(Y$28&gt;$B52,-1,1)*(YEARFRAC($B52,Y$28))))</f>
        <v>0.447743834584006</v>
      </c>
      <c r="Z52" s="159" t="n">
        <f aca="false">IF($B52=" ",0,Z$25*(1+Z$30)^(IF(Z$28&gt;$B52,-1,1)*(YEARFRAC($B52,Z$28))))</f>
        <v>0.427429223329984</v>
      </c>
      <c r="AA52" s="162" t="n">
        <f aca="false">+W52+X52+Z52*SUM($J52*$J$37,$L52*$L$37,$N52*$N$37)/1000</f>
        <v>603.770833333333</v>
      </c>
      <c r="AB52" s="161"/>
      <c r="AC52" s="158" t="n">
        <f aca="false">IF($B52=" ",0,1)*(IF($B52&gt;=AC$25,1,0)*IF($B52&lt;=AC$29,AC$27,IF($B52&lt;=AC$33,AC$31,0))*($D52-$D51)*365/1000)</f>
        <v>0</v>
      </c>
      <c r="AD52" s="158" t="n">
        <f aca="false">IF($B52=" ",0,IF($B52&gt;=AD$25,IF($B52&lt;=AD$29,AD$27,IF($B52&lt;=AD$33,AD$31,AD$31*(1+AD$38)^(IF(AD$36&gt;$B52,-1,1)*(YEARFRAC($B52,AD$36)))))*($D52-$D51)*365/1000,0))</f>
        <v>0</v>
      </c>
      <c r="AE52" s="159" t="n">
        <f aca="false">IF($B52=" ",0,AE$25*(1+AE$30)^(IF(AE$28&gt;$B52,-1,1)*(YEARFRAC($B52,AE$28))))</f>
        <v>0.370953399660338</v>
      </c>
      <c r="AF52" s="159" t="n">
        <f aca="false">IF($B52=" ",0,AF$25*(1+AF$30)^(IF(AF$28&gt;$B52,-1,1)*(YEARFRAC($B52,AF$28))))</f>
        <v>0.133097238541008</v>
      </c>
      <c r="AG52" s="162" t="n">
        <f aca="false">+AC52+AD52+AF52*SUM($K52*$K$37,$M52*$M$37,$O52*$O$37)/1000</f>
        <v>0</v>
      </c>
      <c r="AH52" s="1"/>
      <c r="AI52" s="158" t="n">
        <f aca="false">IF($B52=" ",0,1)*IF($B52&gt;=AI$33,AI$25*($D52-$D51),0)</f>
        <v>0</v>
      </c>
      <c r="AJ52" s="158" t="n">
        <f aca="false">IF($B52=" ",0,IF($B52&gt;=AJ$33,AJ$25*(1+AJ$30)^(IF(AJ$28&gt;$B52,-1,1)*(YEARFRAC($B52,AJ$28)))*($D52-$D51),0))</f>
        <v>0</v>
      </c>
      <c r="AK52" s="159" t="n">
        <f aca="false">IF($B52=" ",0,AK$25*(1+AK$30)^(IF(AK$28&gt;$B52,-1,1)*(YEARFRAC($B52,AK$28))))</f>
        <v>0.0267535963761189</v>
      </c>
      <c r="AL52" s="159" t="n">
        <f aca="false">IF($B52=" ",0,AL$25*AL$28)</f>
        <v>0.0575</v>
      </c>
      <c r="AM52" s="162" t="n">
        <f aca="false">+AI52+AJ52+SUM(AK52:AL52)*SUM($J52*$J$37,$K52*$K$37,$L52*$L$37,$M52*$M$37,$N52*$N$37,$O52*$O$37)/1000</f>
        <v>0</v>
      </c>
      <c r="AN52" s="1"/>
      <c r="AO52" s="163" t="n">
        <f aca="false">IF($B52=" ",0,$AO$25)</f>
        <v>0.25</v>
      </c>
      <c r="AP52" s="159" t="n">
        <f aca="false">IF($B52=" ",0,AP$25*AP$28)</f>
        <v>0.03105</v>
      </c>
      <c r="AQ52" s="162" t="n">
        <f aca="false">SUM(AO52:AP52)*SUM(0)/1000</f>
        <v>0</v>
      </c>
      <c r="AR52" s="1"/>
      <c r="AS52" s="155" t="n">
        <f aca="false">IF($B52=" ",0,AS$25)</f>
        <v>1</v>
      </c>
      <c r="AT52" s="156" t="n">
        <f aca="false">IF($B52=" ",0,AT$25)</f>
        <v>1</v>
      </c>
      <c r="AU52" s="156" t="n">
        <f aca="false">IF($B52=" ",0,AU$25)</f>
        <v>2.3</v>
      </c>
      <c r="AV52" s="157" t="n">
        <f aca="false">+AS52*SUM(J52:K52)/1000</f>
        <v>0</v>
      </c>
      <c r="AW52" s="157" t="n">
        <f aca="false">+AT52*SUM(L52:M52)/1000</f>
        <v>0</v>
      </c>
      <c r="AX52" s="157" t="n">
        <f aca="false">+AU52*SUM(N52:O52)/1000</f>
        <v>0</v>
      </c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customFormat="false" ht="12.75" hidden="false" customHeight="false" outlineLevel="0" collapsed="false">
      <c r="A53" s="147" t="n">
        <f aca="false">+IF(B53=" ",A52,B53)</f>
        <v>36892</v>
      </c>
      <c r="B53" s="148" t="n">
        <f aca="false">IF(B52=" "," ",IF(EDATE(B52,1)&gt;=EndDate," ",EDATE(B52,1)))</f>
        <v>36892</v>
      </c>
      <c r="C53" s="149" t="n">
        <f aca="false">IF($B53&lt;&gt;" ",C52+1,C52)</f>
        <v>3</v>
      </c>
      <c r="D53" s="150" t="n">
        <f aca="false">C53/12</f>
        <v>0.25</v>
      </c>
      <c r="E53" s="1"/>
      <c r="F53" s="157" t="n">
        <f aca="false">+SUM($T53:$U53)</f>
        <v>0</v>
      </c>
      <c r="G53" s="152" t="n">
        <f aca="false">-SUM($AA53,$AG53,$AM53,$AQ53,$AV53:$AX53)</f>
        <v>-651.585833333333</v>
      </c>
      <c r="H53" s="152" t="n">
        <f aca="false">+SUM(F53:G53)</f>
        <v>-651.585833333333</v>
      </c>
      <c r="I53" s="124"/>
      <c r="J53" s="153" t="n">
        <f aca="false">+IF($B53=" ",0,IF(AND($B53&gt;=J$26,$B53&lt;J$28),J$33,0))</f>
        <v>0</v>
      </c>
      <c r="K53" s="153" t="n">
        <f aca="false">+IF($B53=" ",0,IF(AND($B53&gt;=K$26,$B53&lt;K$28),K$33,0))</f>
        <v>0</v>
      </c>
      <c r="L53" s="153" t="n">
        <f aca="false">+IF($B53=" ",0,IF(AND($B53&gt;=L$26,$B53&lt;L$28),L$33,0))</f>
        <v>0</v>
      </c>
      <c r="M53" s="153" t="n">
        <f aca="false">+IF($B53=" ",0,IF(AND($B53&gt;=M$26,$B53&lt;M$28),M$33,0))</f>
        <v>0</v>
      </c>
      <c r="N53" s="153" t="n">
        <f aca="false">+IF($B53=" ",0,IF(AND($B53&gt;=N$26,$B53&lt;N$28),N$33,0))</f>
        <v>0</v>
      </c>
      <c r="O53" s="154" t="n">
        <f aca="false">+IF($B53=" ",0,IF(AND($B53&gt;=O$26,$B53&lt;O$28),O$33,0))</f>
        <v>0</v>
      </c>
      <c r="P53" s="1"/>
      <c r="Q53" s="83" t="n">
        <f aca="false">IF($B53=" ",0,IF($B53&lt;=DATE(2003,12,31),3.55,2.9))</f>
        <v>3.55</v>
      </c>
      <c r="R53" s="155" t="n">
        <f aca="false">IF($B53=" ",0,R$25)</f>
        <v>-0.07</v>
      </c>
      <c r="S53" s="156" t="n">
        <f aca="false">IF($B53=" ",0,S$25)</f>
        <v>0.1</v>
      </c>
      <c r="T53" s="157" t="n">
        <f aca="false">+SUM($Q53,$S53)/1000*(SUM($J53*$J$37,$K53*$K$37,$L53*$L$37,$M53*$M$37,$N53*$N$37,$O53*$O$37))</f>
        <v>0</v>
      </c>
      <c r="U53" s="157" t="n">
        <f aca="false">+SUM($Q53,$R53)/1000*(SUM(0))</f>
        <v>0</v>
      </c>
      <c r="V53" s="1"/>
      <c r="W53" s="158" t="n">
        <f aca="false">IF($B53=" ",0,1)*(IF($B53&gt;=W$25,1,0)*IF($B53&lt;=W$29,W$27,IF($B53&lt;=W$33,W$31,0))*($D53-$D52)*365/1000)</f>
        <v>288.958333333333</v>
      </c>
      <c r="X53" s="158" t="n">
        <f aca="false">IF($B53=" ",0,IF($B53&gt;=X$25,IF($B53&lt;=X$29,X$27,IF($B53&lt;=X$33,X$31,X$31*(1+X$38)^(IF(X$36&gt;$B53,-1,1)*(YEARFRAC($B53,X$36)))))*($D53-$D52)*365/1000,0))</f>
        <v>362.6275</v>
      </c>
      <c r="Y53" s="159" t="n">
        <f aca="false">IF($B53=" ",0,Y$25*(1+Y$30)^(IF(Y$28&gt;$B53,-1,1)*(YEARFRAC($B53,Y$28))))</f>
        <v>0.44836100062814</v>
      </c>
      <c r="Z53" s="159" t="n">
        <f aca="false">IF($B53=" ",0,Z$25*(1+Z$30)^(IF(Z$28&gt;$B53,-1,1)*(YEARFRAC($B53,Z$28))))</f>
        <v>0.428018387898056</v>
      </c>
      <c r="AA53" s="162" t="n">
        <f aca="false">+W53+X53+Z53*SUM($J53*$J$37,$L53*$L$37,$N53*$N$37)/1000</f>
        <v>651.585833333333</v>
      </c>
      <c r="AB53" s="161"/>
      <c r="AC53" s="158" t="n">
        <f aca="false">IF($B53=" ",0,1)*(IF($B53&gt;=AC$25,1,0)*IF($B53&lt;=AC$29,AC$27,IF($B53&lt;=AC$33,AC$31,0))*($D53-$D52)*365/1000)</f>
        <v>0</v>
      </c>
      <c r="AD53" s="158" t="n">
        <f aca="false">IF($B53=" ",0,IF($B53&gt;=AD$25,IF($B53&lt;=AD$29,AD$27,IF($B53&lt;=AD$33,AD$31,AD$31*(1+AD$38)^(IF(AD$36&gt;$B53,-1,1)*(YEARFRAC($B53,AD$36)))))*($D53-$D52)*365/1000,0))</f>
        <v>0</v>
      </c>
      <c r="AE53" s="159" t="n">
        <f aca="false">IF($B53=" ",0,AE$25*(1+AE$30)^(IF(AE$28&gt;$B53,-1,1)*(YEARFRAC($B53,AE$28))))</f>
        <v>0.371464718464848</v>
      </c>
      <c r="AF53" s="159" t="n">
        <f aca="false">IF($B53=" ",0,AF$25*(1+AF$30)^(IF(AF$28&gt;$B53,-1,1)*(YEARFRAC($B53,AF$28))))</f>
        <v>0.133280698568485</v>
      </c>
      <c r="AG53" s="162" t="n">
        <f aca="false">+AC53+AD53+AF53*SUM($K53*$K$37,$M53*$M$37,$O53*$O$37)/1000</f>
        <v>0</v>
      </c>
      <c r="AH53" s="1"/>
      <c r="AI53" s="158" t="n">
        <f aca="false">IF($B53=" ",0,1)*IF($B53&gt;=AI$33,AI$25*($D53-$D52),0)</f>
        <v>0</v>
      </c>
      <c r="AJ53" s="158" t="n">
        <f aca="false">IF($B53=" ",0,IF($B53&gt;=AJ$33,AJ$25*(1+AJ$30)^(IF(AJ$28&gt;$B53,-1,1)*(YEARFRAC($B53,AJ$28)))*($D53-$D52),0))</f>
        <v>0</v>
      </c>
      <c r="AK53" s="159" t="n">
        <f aca="false">IF($B53=" ",0,AK$25*(1+AK$30)^(IF(AK$28&gt;$B53,-1,1)*(YEARFRAC($B53,AK$28))))</f>
        <v>0.0267813063069444</v>
      </c>
      <c r="AL53" s="159" t="n">
        <f aca="false">IF($B53=" ",0,AL$25*AL$28)</f>
        <v>0.0575</v>
      </c>
      <c r="AM53" s="162" t="n">
        <f aca="false">+AI53+AJ53+SUM(AK53:AL53)*SUM($J53*$J$37,$K53*$K$37,$L53*$L$37,$M53*$M$37,$N53*$N$37,$O53*$O$37)/1000</f>
        <v>0</v>
      </c>
      <c r="AN53" s="1"/>
      <c r="AO53" s="163" t="n">
        <f aca="false">IF($B53=" ",0,$AO$25)</f>
        <v>0.25</v>
      </c>
      <c r="AP53" s="159" t="n">
        <f aca="false">IF($B53=" ",0,AP$25*AP$28)</f>
        <v>0.03105</v>
      </c>
      <c r="AQ53" s="162" t="n">
        <f aca="false">SUM(AO53:AP53)*SUM(0)/1000</f>
        <v>0</v>
      </c>
      <c r="AR53" s="1"/>
      <c r="AS53" s="155" t="n">
        <f aca="false">IF($B53=" ",0,AS$25)</f>
        <v>1</v>
      </c>
      <c r="AT53" s="156" t="n">
        <f aca="false">IF($B53=" ",0,AT$25)</f>
        <v>1</v>
      </c>
      <c r="AU53" s="156" t="n">
        <f aca="false">IF($B53=" ",0,AU$25)</f>
        <v>2.3</v>
      </c>
      <c r="AV53" s="157" t="n">
        <f aca="false">+AS53*SUM(J53:K53)/1000</f>
        <v>0</v>
      </c>
      <c r="AW53" s="157" t="n">
        <f aca="false">+AT53*SUM(L53:M53)/1000</f>
        <v>0</v>
      </c>
      <c r="AX53" s="157" t="n">
        <f aca="false">+AU53*SUM(N53:O53)/1000</f>
        <v>0</v>
      </c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</row>
    <row r="54" customFormat="false" ht="12.75" hidden="false" customHeight="false" outlineLevel="0" collapsed="false">
      <c r="A54" s="147" t="n">
        <f aca="false">+IF(B54=" ",A53,B54)</f>
        <v>36923</v>
      </c>
      <c r="B54" s="148" t="n">
        <f aca="false">IF(B53=" "," ",IF(EDATE(B53,1)&gt;=EndDate," ",EDATE(B53,1)))</f>
        <v>36923</v>
      </c>
      <c r="C54" s="149" t="n">
        <f aca="false">IF($B54&lt;&gt;" ",C53+1,C53)</f>
        <v>4</v>
      </c>
      <c r="D54" s="150" t="n">
        <f aca="false">C54/12</f>
        <v>0.333333333333333</v>
      </c>
      <c r="E54" s="1"/>
      <c r="F54" s="157" t="n">
        <f aca="false">+SUM($T54:$U54)</f>
        <v>0</v>
      </c>
      <c r="G54" s="152" t="n">
        <f aca="false">-SUM($AA54,$AG54,$AM54,$AQ54,$AV54:$AX54)</f>
        <v>-651.585833333333</v>
      </c>
      <c r="H54" s="152" t="n">
        <f aca="false">+SUM(F54:G54)</f>
        <v>-651.585833333333</v>
      </c>
      <c r="I54" s="124"/>
      <c r="J54" s="153" t="n">
        <f aca="false">+IF($B54=" ",0,IF(AND($B54&gt;=J$26,$B54&lt;J$28),J$33,0))</f>
        <v>0</v>
      </c>
      <c r="K54" s="153" t="n">
        <f aca="false">+IF($B54=" ",0,IF(AND($B54&gt;=K$26,$B54&lt;K$28),K$33,0))</f>
        <v>0</v>
      </c>
      <c r="L54" s="153" t="n">
        <f aca="false">+IF($B54=" ",0,IF(AND($B54&gt;=L$26,$B54&lt;L$28),L$33,0))</f>
        <v>0</v>
      </c>
      <c r="M54" s="153" t="n">
        <f aca="false">+IF($B54=" ",0,IF(AND($B54&gt;=M$26,$B54&lt;M$28),M$33,0))</f>
        <v>0</v>
      </c>
      <c r="N54" s="153" t="n">
        <f aca="false">+IF($B54=" ",0,IF(AND($B54&gt;=N$26,$B54&lt;N$28),N$33,0))</f>
        <v>0</v>
      </c>
      <c r="O54" s="154" t="n">
        <f aca="false">+IF($B54=" ",0,IF(AND($B54&gt;=O$26,$B54&lt;O$28),O$33,0))</f>
        <v>0</v>
      </c>
      <c r="P54" s="1"/>
      <c r="Q54" s="83" t="n">
        <f aca="false">IF($B54=" ",0,IF($B54&lt;=DATE(2003,12,31),3.55,2.9))</f>
        <v>3.55</v>
      </c>
      <c r="R54" s="155" t="n">
        <f aca="false">IF($B54=" ",0,R$25)</f>
        <v>-0.07</v>
      </c>
      <c r="S54" s="156" t="n">
        <f aca="false">IF($B54=" ",0,S$25)</f>
        <v>0.1</v>
      </c>
      <c r="T54" s="157" t="n">
        <f aca="false">+SUM($Q54,$S54)/1000*(SUM($J54*$J$37,$K54*$K$37,$L54*$L$37,$M54*$M$37,$N54*$N$37,$O54*$O$37))</f>
        <v>0</v>
      </c>
      <c r="U54" s="157" t="n">
        <f aca="false">+SUM($Q54,$R54)/1000*(SUM(0))</f>
        <v>0</v>
      </c>
      <c r="V54" s="1"/>
      <c r="W54" s="158" t="n">
        <f aca="false">IF($B54=" ",0,1)*(IF($B54&gt;=W$25,1,0)*IF($B54&lt;=W$29,W$27,IF($B54&lt;=W$33,W$31,0))*($D54-$D53)*365/1000)</f>
        <v>288.958333333333</v>
      </c>
      <c r="X54" s="158" t="n">
        <f aca="false">IF($B54=" ",0,IF($B54&gt;=X$25,IF($B54&lt;=X$29,X$27,IF($B54&lt;=X$33,X$31,X$31*(1+X$38)^(IF(X$36&gt;$B54,-1,1)*(YEARFRAC($B54,X$36)))))*($D54-$D53)*365/1000,0))</f>
        <v>362.6275</v>
      </c>
      <c r="Y54" s="159" t="n">
        <f aca="false">IF($B54=" ",0,Y$25*(1+Y$30)^(IF(Y$28&gt;$B54,-1,1)*(YEARFRAC($B54,Y$28))))</f>
        <v>0.448979017368356</v>
      </c>
      <c r="Z54" s="159" t="n">
        <f aca="false">IF($B54=" ",0,Z$25*(1+Z$30)^(IF(Z$28&gt;$B54,-1,1)*(YEARFRAC($B54,Z$28))))</f>
        <v>0.42860836456523</v>
      </c>
      <c r="AA54" s="162" t="n">
        <f aca="false">+W54+X54+Z54*SUM($J54*$J$37,$L54*$L$37,$N54*$N$37)/1000</f>
        <v>651.585833333333</v>
      </c>
      <c r="AB54" s="161"/>
      <c r="AC54" s="158" t="n">
        <f aca="false">IF($B54=" ",0,1)*(IF($B54&gt;=AC$25,1,0)*IF($B54&lt;=AC$29,AC$27,IF($B54&lt;=AC$33,AC$31,0))*($D54-$D53)*365/1000)</f>
        <v>0</v>
      </c>
      <c r="AD54" s="158" t="n">
        <f aca="false">IF($B54=" ",0,IF($B54&gt;=AD$25,IF($B54&lt;=AD$29,AD$27,IF($B54&lt;=AD$33,AD$31,AD$31*(1+AD$38)^(IF(AD$36&gt;$B54,-1,1)*(YEARFRAC($B54,AD$36)))))*($D54-$D53)*365/1000,0))</f>
        <v>0</v>
      </c>
      <c r="AE54" s="159" t="n">
        <f aca="false">IF($B54=" ",0,AE$25*(1+AE$30)^(IF(AE$28&gt;$B54,-1,1)*(YEARFRAC($B54,AE$28))))</f>
        <v>0.371976742066565</v>
      </c>
      <c r="AF54" s="159" t="n">
        <f aca="false">IF($B54=" ",0,AF$25*(1+AF$30)^(IF(AF$28&gt;$B54,-1,1)*(YEARFRAC($B54,AF$28))))</f>
        <v>0.133464411475601</v>
      </c>
      <c r="AG54" s="162" t="n">
        <f aca="false">+AC54+AD54+AF54*SUM($K54*$K$37,$M54*$M$37,$O54*$O$37)/1000</f>
        <v>0</v>
      </c>
      <c r="AH54" s="1"/>
      <c r="AI54" s="158" t="n">
        <f aca="false">IF($B54=" ",0,1)*IF($B54&gt;=AI$33,AI$25*($D54-$D53),0)</f>
        <v>0</v>
      </c>
      <c r="AJ54" s="158" t="n">
        <f aca="false">IF($B54=" ",0,IF($B54&gt;=AJ$33,AJ$25*(1+AJ$30)^(IF(AJ$28&gt;$B54,-1,1)*(YEARFRAC($B54,AJ$28)))*($D54-$D53),0))</f>
        <v>0</v>
      </c>
      <c r="AK54" s="159" t="n">
        <f aca="false">IF($B54=" ",0,AK$25*(1+AK$30)^(IF(AK$28&gt;$B54,-1,1)*(YEARFRAC($B54,AK$28))))</f>
        <v>0.0268090449382202</v>
      </c>
      <c r="AL54" s="159" t="n">
        <f aca="false">IF($B54=" ",0,AL$25*AL$28)</f>
        <v>0.0575</v>
      </c>
      <c r="AM54" s="162" t="n">
        <f aca="false">+AI54+AJ54+SUM(AK54:AL54)*SUM($J54*$J$37,$K54*$K$37,$L54*$L$37,$M54*$M$37,$N54*$N$37,$O54*$O$37)/1000</f>
        <v>0</v>
      </c>
      <c r="AN54" s="1"/>
      <c r="AO54" s="163" t="n">
        <f aca="false">IF($B54=" ",0,$AO$25)</f>
        <v>0.25</v>
      </c>
      <c r="AP54" s="159" t="n">
        <f aca="false">IF($B54=" ",0,AP$25*AP$28)</f>
        <v>0.03105</v>
      </c>
      <c r="AQ54" s="162" t="n">
        <f aca="false">SUM(AO54:AP54)*SUM(0)/1000</f>
        <v>0</v>
      </c>
      <c r="AR54" s="1"/>
      <c r="AS54" s="155" t="n">
        <f aca="false">IF($B54=" ",0,AS$25)</f>
        <v>1</v>
      </c>
      <c r="AT54" s="156" t="n">
        <f aca="false">IF($B54=" ",0,AT$25)</f>
        <v>1</v>
      </c>
      <c r="AU54" s="156" t="n">
        <f aca="false">IF($B54=" ",0,AU$25)</f>
        <v>2.3</v>
      </c>
      <c r="AV54" s="157" t="n">
        <f aca="false">+AS54*SUM(J54:K54)/1000</f>
        <v>0</v>
      </c>
      <c r="AW54" s="157" t="n">
        <f aca="false">+AT54*SUM(L54:M54)/1000</f>
        <v>0</v>
      </c>
      <c r="AX54" s="157" t="n">
        <f aca="false">+AU54*SUM(N54:O54)/1000</f>
        <v>0</v>
      </c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customFormat="false" ht="12.75" hidden="false" customHeight="false" outlineLevel="0" collapsed="false">
      <c r="A55" s="147" t="n">
        <f aca="false">+IF(B55=" ",A54,B55)</f>
        <v>36951</v>
      </c>
      <c r="B55" s="148" t="n">
        <f aca="false">IF(B54=" "," ",IF(EDATE(B54,1)&gt;=EndDate," ",EDATE(B54,1)))</f>
        <v>36951</v>
      </c>
      <c r="C55" s="149" t="n">
        <f aca="false">IF($B55&lt;&gt;" ",C54+1,C54)</f>
        <v>5</v>
      </c>
      <c r="D55" s="150" t="n">
        <f aca="false">C55/12</f>
        <v>0.416666666666667</v>
      </c>
      <c r="E55" s="1"/>
      <c r="F55" s="157" t="n">
        <f aca="false">+SUM($T55:$U55)</f>
        <v>0</v>
      </c>
      <c r="G55" s="152" t="n">
        <f aca="false">-SUM($AA55,$AG55,$AM55,$AQ55,$AV55:$AX55)</f>
        <v>-651.585833333334</v>
      </c>
      <c r="H55" s="152" t="n">
        <f aca="false">+SUM(F55:G55)</f>
        <v>-651.585833333334</v>
      </c>
      <c r="I55" s="124"/>
      <c r="J55" s="153" t="n">
        <f aca="false">+IF($B55=" ",0,IF(AND($B55&gt;=J$26,$B55&lt;J$28),J$33,0))</f>
        <v>0</v>
      </c>
      <c r="K55" s="153" t="n">
        <f aca="false">+IF($B55=" ",0,IF(AND($B55&gt;=K$26,$B55&lt;K$28),K$33,0))</f>
        <v>0</v>
      </c>
      <c r="L55" s="153" t="n">
        <f aca="false">+IF($B55=" ",0,IF(AND($B55&gt;=L$26,$B55&lt;L$28),L$33,0))</f>
        <v>0</v>
      </c>
      <c r="M55" s="153" t="n">
        <f aca="false">+IF($B55=" ",0,IF(AND($B55&gt;=M$26,$B55&lt;M$28),M$33,0))</f>
        <v>0</v>
      </c>
      <c r="N55" s="153" t="n">
        <f aca="false">+IF($B55=" ",0,IF(AND($B55&gt;=N$26,$B55&lt;N$28),N$33,0))</f>
        <v>0</v>
      </c>
      <c r="O55" s="154" t="n">
        <f aca="false">+IF($B55=" ",0,IF(AND($B55&gt;=O$26,$B55&lt;O$28),O$33,0))</f>
        <v>0</v>
      </c>
      <c r="P55" s="1"/>
      <c r="Q55" s="83" t="n">
        <f aca="false">IF($B55=" ",0,IF($B55&lt;=DATE(2003,12,31),3.55,2.9))</f>
        <v>3.55</v>
      </c>
      <c r="R55" s="155" t="n">
        <f aca="false">IF($B55=" ",0,R$25)</f>
        <v>-0.07</v>
      </c>
      <c r="S55" s="156" t="n">
        <f aca="false">IF($B55=" ",0,S$25)</f>
        <v>0.1</v>
      </c>
      <c r="T55" s="157" t="n">
        <f aca="false">+SUM($Q55,$S55)/1000*(SUM($J55*$J$37,$K55*$K$37,$L55*$L$37,$M55*$M$37,$N55*$N$37,$O55*$O$37))</f>
        <v>0</v>
      </c>
      <c r="U55" s="157" t="n">
        <f aca="false">+SUM($Q55,$R55)/1000*(SUM(0))</f>
        <v>0</v>
      </c>
      <c r="V55" s="1"/>
      <c r="W55" s="158" t="n">
        <f aca="false">IF($B55=" ",0,1)*(IF($B55&gt;=W$25,1,0)*IF($B55&lt;=W$29,W$27,IF($B55&lt;=W$33,W$31,0))*($D55-$D54)*365/1000)</f>
        <v>288.958333333333</v>
      </c>
      <c r="X55" s="158" t="n">
        <f aca="false">IF($B55=" ",0,IF($B55&gt;=X$25,IF($B55&lt;=X$29,X$27,IF($B55&lt;=X$33,X$31,X$31*(1+X$38)^(IF(X$36&gt;$B55,-1,1)*(YEARFRAC($B55,X$36)))))*($D55-$D54)*365/1000,0))</f>
        <v>362.6275</v>
      </c>
      <c r="Y55" s="159" t="n">
        <f aca="false">IF($B55=" ",0,Y$25*(1+Y$30)^(IF(Y$28&gt;$B55,-1,1)*(YEARFRAC($B55,Y$28))))</f>
        <v>0.449597885977246</v>
      </c>
      <c r="Z55" s="159" t="n">
        <f aca="false">IF($B55=" ",0,Z$25*(1+Z$30)^(IF(Z$28&gt;$B55,-1,1)*(YEARFRAC($B55,Z$28))))</f>
        <v>0.429199154450895</v>
      </c>
      <c r="AA55" s="162" t="n">
        <f aca="false">+W55+X55+Z55*SUM($J55*$J$37,$L55*$L$37,$N55*$N$37)/1000</f>
        <v>651.585833333334</v>
      </c>
      <c r="AB55" s="161"/>
      <c r="AC55" s="158" t="n">
        <f aca="false">IF($B55=" ",0,1)*(IF($B55&gt;=AC$25,1,0)*IF($B55&lt;=AC$29,AC$27,IF($B55&lt;=AC$33,AC$31,0))*($D55-$D54)*365/1000)</f>
        <v>0</v>
      </c>
      <c r="AD55" s="158" t="n">
        <f aca="false">IF($B55=" ",0,IF($B55&gt;=AD$25,IF($B55&lt;=AD$29,AD$27,IF($B55&lt;=AD$33,AD$31,AD$31*(1+AD$38)^(IF(AD$36&gt;$B55,-1,1)*(YEARFRAC($B55,AD$36)))))*($D55-$D54)*365/1000,0))</f>
        <v>0</v>
      </c>
      <c r="AE55" s="159" t="n">
        <f aca="false">IF($B55=" ",0,AE$25*(1+AE$30)^(IF(AE$28&gt;$B55,-1,1)*(YEARFRAC($B55,AE$28))))</f>
        <v>0.372489471436974</v>
      </c>
      <c r="AF55" s="159" t="n">
        <f aca="false">IF($B55=" ",0,AF$25*(1+AF$30)^(IF(AF$28&gt;$B55,-1,1)*(YEARFRAC($B55,AF$28))))</f>
        <v>0.133648377610924</v>
      </c>
      <c r="AG55" s="162" t="n">
        <f aca="false">+AC55+AD55+AF55*SUM($K55*$K$37,$M55*$M$37,$O55*$O$37)/1000</f>
        <v>0</v>
      </c>
      <c r="AH55" s="1"/>
      <c r="AI55" s="158" t="n">
        <f aca="false">IF($B55=" ",0,1)*IF($B55&gt;=AI$33,AI$25*($D55-$D54),0)</f>
        <v>0</v>
      </c>
      <c r="AJ55" s="158" t="n">
        <f aca="false">IF($B55=" ",0,IF($B55&gt;=AJ$33,AJ$25*(1+AJ$30)^(IF(AJ$28&gt;$B55,-1,1)*(YEARFRAC($B55,AJ$28)))*($D55-$D54),0))</f>
        <v>0</v>
      </c>
      <c r="AK55" s="159" t="n">
        <f aca="false">IF($B55=" ",0,AK$25*(1+AK$30)^(IF(AK$28&gt;$B55,-1,1)*(YEARFRAC($B55,AK$28))))</f>
        <v>0.0268368122996728</v>
      </c>
      <c r="AL55" s="159" t="n">
        <f aca="false">IF($B55=" ",0,AL$25*AL$28)</f>
        <v>0.0575</v>
      </c>
      <c r="AM55" s="162" t="n">
        <f aca="false">+AI55+AJ55+SUM(AK55:AL55)*SUM($J55*$J$37,$K55*$K$37,$L55*$L$37,$M55*$M$37,$N55*$N$37,$O55*$O$37)/1000</f>
        <v>0</v>
      </c>
      <c r="AN55" s="1"/>
      <c r="AO55" s="163" t="n">
        <f aca="false">IF($B55=" ",0,$AO$25)</f>
        <v>0.25</v>
      </c>
      <c r="AP55" s="159" t="n">
        <f aca="false">IF($B55=" ",0,AP$25*AP$28)</f>
        <v>0.03105</v>
      </c>
      <c r="AQ55" s="162" t="n">
        <f aca="false">SUM(AO55:AP55)*SUM(0)/1000</f>
        <v>0</v>
      </c>
      <c r="AR55" s="1"/>
      <c r="AS55" s="155" t="n">
        <f aca="false">IF($B55=" ",0,AS$25)</f>
        <v>1</v>
      </c>
      <c r="AT55" s="156" t="n">
        <f aca="false">IF($B55=" ",0,AT$25)</f>
        <v>1</v>
      </c>
      <c r="AU55" s="156" t="n">
        <f aca="false">IF($B55=" ",0,AU$25)</f>
        <v>2.3</v>
      </c>
      <c r="AV55" s="157" t="n">
        <f aca="false">+AS55*SUM(J55:K55)/1000</f>
        <v>0</v>
      </c>
      <c r="AW55" s="157" t="n">
        <f aca="false">+AT55*SUM(L55:M55)/1000</f>
        <v>0</v>
      </c>
      <c r="AX55" s="157" t="n">
        <f aca="false">+AU55*SUM(N55:O55)/1000</f>
        <v>0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</row>
    <row r="56" customFormat="false" ht="12.75" hidden="false" customHeight="false" outlineLevel="0" collapsed="false">
      <c r="A56" s="147" t="n">
        <f aca="false">+IF(B56=" ",A55,B56)</f>
        <v>36982</v>
      </c>
      <c r="B56" s="148" t="n">
        <f aca="false">IF(B55=" "," ",IF(EDATE(B55,1)&gt;=EndDate," ",EDATE(B55,1)))</f>
        <v>36982</v>
      </c>
      <c r="C56" s="149" t="n">
        <f aca="false">IF($B56&lt;&gt;" ",C55+1,C55)</f>
        <v>6</v>
      </c>
      <c r="D56" s="150" t="n">
        <f aca="false">C56/12</f>
        <v>0.5</v>
      </c>
      <c r="E56" s="1"/>
      <c r="F56" s="157" t="n">
        <f aca="false">+SUM($T56:$U56)</f>
        <v>0</v>
      </c>
      <c r="G56" s="152" t="n">
        <f aca="false">-SUM($AA56,$AG56,$AM56,$AQ56,$AV56:$AX56)</f>
        <v>-651.585833333333</v>
      </c>
      <c r="H56" s="152" t="n">
        <f aca="false">+SUM(F56:G56)</f>
        <v>-651.585833333333</v>
      </c>
      <c r="I56" s="124"/>
      <c r="J56" s="153" t="n">
        <f aca="false">+IF($B56=" ",0,IF(AND($B56&gt;=J$26,$B56&lt;J$28),J$33,0))</f>
        <v>0</v>
      </c>
      <c r="K56" s="153" t="n">
        <f aca="false">+IF($B56=" ",0,IF(AND($B56&gt;=K$26,$B56&lt;K$28),K$33,0))</f>
        <v>0</v>
      </c>
      <c r="L56" s="153" t="n">
        <f aca="false">+IF($B56=" ",0,IF(AND($B56&gt;=L$26,$B56&lt;L$28),L$33,0))</f>
        <v>0</v>
      </c>
      <c r="M56" s="153" t="n">
        <f aca="false">+IF($B56=" ",0,IF(AND($B56&gt;=M$26,$B56&lt;M$28),M$33,0))</f>
        <v>0</v>
      </c>
      <c r="N56" s="153" t="n">
        <f aca="false">+IF($B56=" ",0,IF(AND($B56&gt;=N$26,$B56&lt;N$28),N$33,0))</f>
        <v>0</v>
      </c>
      <c r="O56" s="154" t="n">
        <f aca="false">+IF($B56=" ",0,IF(AND($B56&gt;=O$26,$B56&lt;O$28),O$33,0))</f>
        <v>0</v>
      </c>
      <c r="P56" s="1"/>
      <c r="Q56" s="83" t="n">
        <f aca="false">IF($B56=" ",0,IF($B56&lt;=DATE(2003,12,31),3.55,2.9))</f>
        <v>3.55</v>
      </c>
      <c r="R56" s="155" t="n">
        <f aca="false">IF($B56=" ",0,R$25)</f>
        <v>-0.07</v>
      </c>
      <c r="S56" s="156" t="n">
        <f aca="false">IF($B56=" ",0,S$25)</f>
        <v>0.1</v>
      </c>
      <c r="T56" s="157" t="n">
        <f aca="false">+SUM($Q56,$S56)/1000*(SUM($J56*$J$37,$K56*$K$37,$L56*$L$37,$M56*$M$37,$N56*$N$37,$O56*$O$37))</f>
        <v>0</v>
      </c>
      <c r="U56" s="157" t="n">
        <f aca="false">+SUM($Q56,$R56)/1000*(SUM(0))</f>
        <v>0</v>
      </c>
      <c r="V56" s="1"/>
      <c r="W56" s="158" t="n">
        <f aca="false">IF($B56=" ",0,1)*(IF($B56&gt;=W$25,1,0)*IF($B56&lt;=W$29,W$27,IF($B56&lt;=W$33,W$31,0))*($D56-$D55)*365/1000)</f>
        <v>288.958333333333</v>
      </c>
      <c r="X56" s="158" t="n">
        <f aca="false">IF($B56=" ",0,IF($B56&gt;=X$25,IF($B56&lt;=X$29,X$27,IF($B56&lt;=X$33,X$31,X$31*(1+X$38)^(IF(X$36&gt;$B56,-1,1)*(YEARFRAC($B56,X$36)))))*($D56-$D55)*365/1000,0))</f>
        <v>362.6275</v>
      </c>
      <c r="Y56" s="159" t="n">
        <f aca="false">IF($B56=" ",0,Y$25*(1+Y$30)^(IF(Y$28&gt;$B56,-1,1)*(YEARFRAC($B56,Y$28))))</f>
        <v>0.450217607629019</v>
      </c>
      <c r="Z56" s="159" t="n">
        <f aca="false">IF($B56=" ",0,Z$25*(1+Z$30)^(IF(Z$28&gt;$B56,-1,1)*(YEARFRAC($B56,Z$28))))</f>
        <v>0.429790758675985</v>
      </c>
      <c r="AA56" s="162" t="n">
        <f aca="false">+W56+X56+Z56*SUM($J56*$J$37,$L56*$L$37,$N56*$N$37)/1000</f>
        <v>651.585833333333</v>
      </c>
      <c r="AB56" s="161"/>
      <c r="AC56" s="158" t="n">
        <f aca="false">IF($B56=" ",0,1)*(IF($B56&gt;=AC$25,1,0)*IF($B56&lt;=AC$29,AC$27,IF($B56&lt;=AC$33,AC$31,0))*($D56-$D55)*365/1000)</f>
        <v>0</v>
      </c>
      <c r="AD56" s="158" t="n">
        <f aca="false">IF($B56=" ",0,IF($B56&gt;=AD$25,IF($B56&lt;=AD$29,AD$27,IF($B56&lt;=AD$33,AD$31,AD$31*(1+AD$38)^(IF(AD$36&gt;$B56,-1,1)*(YEARFRAC($B56,AD$36)))))*($D56-$D55)*365/1000,0))</f>
        <v>0</v>
      </c>
      <c r="AE56" s="159" t="n">
        <f aca="false">IF($B56=" ",0,AE$25*(1+AE$30)^(IF(AE$28&gt;$B56,-1,1)*(YEARFRAC($B56,AE$28))))</f>
        <v>0.373002907548901</v>
      </c>
      <c r="AF56" s="159" t="n">
        <f aca="false">IF($B56=" ",0,AF$25*(1+AF$30)^(IF(AF$28&gt;$B56,-1,1)*(YEARFRAC($B56,AF$28))))</f>
        <v>0.1338325973235</v>
      </c>
      <c r="AG56" s="162" t="n">
        <f aca="false">+AC56+AD56+AF56*SUM($K56*$K$37,$M56*$M$37,$O56*$O$37)/1000</f>
        <v>0</v>
      </c>
      <c r="AH56" s="1"/>
      <c r="AI56" s="158" t="n">
        <f aca="false">IF($B56=" ",0,1)*IF($B56&gt;=AI$33,AI$25*($D56-$D55),0)</f>
        <v>0</v>
      </c>
      <c r="AJ56" s="158" t="n">
        <f aca="false">IF($B56=" ",0,IF($B56&gt;=AJ$33,AJ$25*(1+AJ$30)^(IF(AJ$28&gt;$B56,-1,1)*(YEARFRAC($B56,AJ$28)))*($D56-$D55),0))</f>
        <v>0</v>
      </c>
      <c r="AK56" s="159" t="n">
        <f aca="false">IF($B56=" ",0,AK$25*(1+AK$30)^(IF(AK$28&gt;$B56,-1,1)*(YEARFRAC($B56,AK$28))))</f>
        <v>0.0268646084210594</v>
      </c>
      <c r="AL56" s="159" t="n">
        <f aca="false">IF($B56=" ",0,AL$25*AL$28)</f>
        <v>0.0575</v>
      </c>
      <c r="AM56" s="162" t="n">
        <f aca="false">+AI56+AJ56+SUM(AK56:AL56)*SUM($J56*$J$37,$K56*$K$37,$L56*$L$37,$M56*$M$37,$N56*$N$37,$O56*$O$37)/1000</f>
        <v>0</v>
      </c>
      <c r="AN56" s="1"/>
      <c r="AO56" s="163" t="n">
        <f aca="false">IF($B56=" ",0,$AO$25)</f>
        <v>0.25</v>
      </c>
      <c r="AP56" s="159" t="n">
        <f aca="false">IF($B56=" ",0,AP$25*AP$28)</f>
        <v>0.03105</v>
      </c>
      <c r="AQ56" s="162" t="n">
        <f aca="false">SUM(AO56:AP56)*SUM(0)/1000</f>
        <v>0</v>
      </c>
      <c r="AR56" s="1"/>
      <c r="AS56" s="155" t="n">
        <f aca="false">IF($B56=" ",0,AS$25)</f>
        <v>1</v>
      </c>
      <c r="AT56" s="156" t="n">
        <f aca="false">IF($B56=" ",0,AT$25)</f>
        <v>1</v>
      </c>
      <c r="AU56" s="156" t="n">
        <f aca="false">IF($B56=" ",0,AU$25)</f>
        <v>2.3</v>
      </c>
      <c r="AV56" s="157" t="n">
        <f aca="false">+AS56*SUM(J56:K56)/1000</f>
        <v>0</v>
      </c>
      <c r="AW56" s="157" t="n">
        <f aca="false">+AT56*SUM(L56:M56)/1000</f>
        <v>0</v>
      </c>
      <c r="AX56" s="157" t="n">
        <f aca="false">+AU56*SUM(N56:O56)/1000</f>
        <v>0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</row>
    <row r="57" customFormat="false" ht="12.75" hidden="false" customHeight="false" outlineLevel="0" collapsed="false">
      <c r="A57" s="147" t="n">
        <f aca="false">+IF(B57=" ",A56,B57)</f>
        <v>37012</v>
      </c>
      <c r="B57" s="148" t="n">
        <f aca="false">IF(B56=" "," ",IF(EDATE(B56,1)&gt;=EndDate," ",EDATE(B56,1)))</f>
        <v>37012</v>
      </c>
      <c r="C57" s="149" t="n">
        <f aca="false">IF($B57&lt;&gt;" ",C56+1,C56)</f>
        <v>7</v>
      </c>
      <c r="D57" s="150" t="n">
        <f aca="false">C57/12</f>
        <v>0.583333333333333</v>
      </c>
      <c r="E57" s="1"/>
      <c r="F57" s="157" t="n">
        <f aca="false">+SUM($T57:$U57)</f>
        <v>0</v>
      </c>
      <c r="G57" s="152" t="n">
        <f aca="false">-SUM($AA57,$AG57,$AM57,$AQ57,$AV57:$AX57)</f>
        <v>-651.585833333334</v>
      </c>
      <c r="H57" s="152" t="n">
        <f aca="false">+SUM(F57:G57)</f>
        <v>-651.585833333334</v>
      </c>
      <c r="I57" s="124"/>
      <c r="J57" s="153" t="n">
        <f aca="false">+IF($B57=" ",0,IF(AND($B57&gt;=J$26,$B57&lt;J$28),J$33,0))</f>
        <v>0</v>
      </c>
      <c r="K57" s="153" t="n">
        <f aca="false">+IF($B57=" ",0,IF(AND($B57&gt;=K$26,$B57&lt;K$28),K$33,0))</f>
        <v>0</v>
      </c>
      <c r="L57" s="153" t="n">
        <f aca="false">+IF($B57=" ",0,IF(AND($B57&gt;=L$26,$B57&lt;L$28),L$33,0))</f>
        <v>0</v>
      </c>
      <c r="M57" s="153" t="n">
        <f aca="false">+IF($B57=" ",0,IF(AND($B57&gt;=M$26,$B57&lt;M$28),M$33,0))</f>
        <v>0</v>
      </c>
      <c r="N57" s="153" t="n">
        <f aca="false">+IF($B57=" ",0,IF(AND($B57&gt;=N$26,$B57&lt;N$28),N$33,0))</f>
        <v>0</v>
      </c>
      <c r="O57" s="154" t="n">
        <f aca="false">+IF($B57=" ",0,IF(AND($B57&gt;=O$26,$B57&lt;O$28),O$33,0))</f>
        <v>0</v>
      </c>
      <c r="P57" s="1"/>
      <c r="Q57" s="83" t="n">
        <f aca="false">IF($B57=" ",0,IF($B57&lt;=DATE(2003,12,31),3.55,2.9))</f>
        <v>3.55</v>
      </c>
      <c r="R57" s="155" t="n">
        <f aca="false">IF($B57=" ",0,R$25)</f>
        <v>-0.07</v>
      </c>
      <c r="S57" s="156" t="n">
        <f aca="false">IF($B57=" ",0,S$25)</f>
        <v>0.1</v>
      </c>
      <c r="T57" s="157" t="n">
        <f aca="false">+SUM($Q57,$S57)/1000*(SUM($J57*$J$37,$K57*$K$37,$L57*$L$37,$M57*$M$37,$N57*$N$37,$O57*$O$37))</f>
        <v>0</v>
      </c>
      <c r="U57" s="157" t="n">
        <f aca="false">+SUM($Q57,$R57)/1000*(SUM(0))</f>
        <v>0</v>
      </c>
      <c r="V57" s="1"/>
      <c r="W57" s="158" t="n">
        <f aca="false">IF($B57=" ",0,1)*(IF($B57&gt;=W$25,1,0)*IF($B57&lt;=W$29,W$27,IF($B57&lt;=W$33,W$31,0))*($D57-$D56)*365/1000)</f>
        <v>288.958333333333</v>
      </c>
      <c r="X57" s="158" t="n">
        <f aca="false">IF($B57=" ",0,IF($B57&gt;=X$25,IF($B57&lt;=X$29,X$27,IF($B57&lt;=X$33,X$31,X$31*(1+X$38)^(IF(X$36&gt;$B57,-1,1)*(YEARFRAC($B57,X$36)))))*($D57-$D56)*365/1000,0))</f>
        <v>362.6275</v>
      </c>
      <c r="Y57" s="159" t="n">
        <f aca="false">IF($B57=" ",0,Y$25*(1+Y$30)^(IF(Y$28&gt;$B57,-1,1)*(YEARFRAC($B57,Y$28))))</f>
        <v>0.4508381834995</v>
      </c>
      <c r="Z57" s="159" t="n">
        <f aca="false">IF($B57=" ",0,Z$25*(1+Z$30)^(IF(Z$28&gt;$B57,-1,1)*(YEARFRAC($B57,Z$28))))</f>
        <v>0.430383178362978</v>
      </c>
      <c r="AA57" s="162" t="n">
        <f aca="false">+W57+X57+Z57*SUM($J57*$J$37,$L57*$L$37,$N57*$N$37)/1000</f>
        <v>651.585833333334</v>
      </c>
      <c r="AB57" s="161"/>
      <c r="AC57" s="158" t="n">
        <f aca="false">IF($B57=" ",0,1)*(IF($B57&gt;=AC$25,1,0)*IF($B57&lt;=AC$29,AC$27,IF($B57&lt;=AC$33,AC$31,0))*($D57-$D56)*365/1000)</f>
        <v>0</v>
      </c>
      <c r="AD57" s="158" t="n">
        <f aca="false">IF($B57=" ",0,IF($B57&gt;=AD$25,IF($B57&lt;=AD$29,AD$27,IF($B57&lt;=AD$33,AD$31,AD$31*(1+AD$38)^(IF(AD$36&gt;$B57,-1,1)*(YEARFRAC($B57,AD$36)))))*($D57-$D56)*365/1000,0))</f>
        <v>0</v>
      </c>
      <c r="AE57" s="159" t="n">
        <f aca="false">IF($B57=" ",0,AE$25*(1+AE$30)^(IF(AE$28&gt;$B57,-1,1)*(YEARFRAC($B57,AE$28))))</f>
        <v>0.373517051376512</v>
      </c>
      <c r="AF57" s="159" t="n">
        <f aca="false">IF($B57=" ",0,AF$25*(1+AF$30)^(IF(AF$28&gt;$B57,-1,1)*(YEARFRAC($B57,AF$28))))</f>
        <v>0.134017070962859</v>
      </c>
      <c r="AG57" s="162" t="n">
        <f aca="false">+AC57+AD57+AF57*SUM($K57*$K$37,$M57*$M$37,$O57*$O$37)/1000</f>
        <v>0</v>
      </c>
      <c r="AH57" s="1"/>
      <c r="AI57" s="158" t="n">
        <f aca="false">IF($B57=" ",0,1)*IF($B57&gt;=AI$33,AI$25*($D57-$D56),0)</f>
        <v>0</v>
      </c>
      <c r="AJ57" s="158" t="n">
        <f aca="false">IF($B57=" ",0,IF($B57&gt;=AJ$33,AJ$25*(1+AJ$30)^(IF(AJ$28&gt;$B57,-1,1)*(YEARFRAC($B57,AJ$28)))*($D57-$D56),0))</f>
        <v>0</v>
      </c>
      <c r="AK57" s="159" t="n">
        <f aca="false">IF($B57=" ",0,AK$25*(1+AK$30)^(IF(AK$28&gt;$B57,-1,1)*(YEARFRAC($B57,AK$28))))</f>
        <v>0.026892433332168</v>
      </c>
      <c r="AL57" s="159" t="n">
        <f aca="false">IF($B57=" ",0,AL$25*AL$28)</f>
        <v>0.0575</v>
      </c>
      <c r="AM57" s="162" t="n">
        <f aca="false">+AI57+AJ57+SUM(AK57:AL57)*SUM($J57*$J$37,$K57*$K$37,$L57*$L$37,$M57*$M$37,$N57*$N$37,$O57*$O$37)/1000</f>
        <v>0</v>
      </c>
      <c r="AN57" s="1"/>
      <c r="AO57" s="163" t="n">
        <f aca="false">IF($B57=" ",0,$AO$25)</f>
        <v>0.25</v>
      </c>
      <c r="AP57" s="159" t="n">
        <f aca="false">IF($B57=" ",0,AP$25*AP$28)</f>
        <v>0.03105</v>
      </c>
      <c r="AQ57" s="162" t="n">
        <f aca="false">SUM(AO57:AP57)*SUM(0)/1000</f>
        <v>0</v>
      </c>
      <c r="AR57" s="1"/>
      <c r="AS57" s="155" t="n">
        <f aca="false">IF($B57=" ",0,AS$25)</f>
        <v>1</v>
      </c>
      <c r="AT57" s="156" t="n">
        <f aca="false">IF($B57=" ",0,AT$25)</f>
        <v>1</v>
      </c>
      <c r="AU57" s="156" t="n">
        <f aca="false">IF($B57=" ",0,AU$25)</f>
        <v>2.3</v>
      </c>
      <c r="AV57" s="157" t="n">
        <f aca="false">+AS57*SUM(J57:K57)/1000</f>
        <v>0</v>
      </c>
      <c r="AW57" s="157" t="n">
        <f aca="false">+AT57*SUM(L57:M57)/1000</f>
        <v>0</v>
      </c>
      <c r="AX57" s="157" t="n">
        <f aca="false">+AU57*SUM(N57:O57)/1000</f>
        <v>0</v>
      </c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</row>
    <row r="58" customFormat="false" ht="12.75" hidden="false" customHeight="false" outlineLevel="0" collapsed="false">
      <c r="A58" s="147" t="n">
        <f aca="false">+IF(B58=" ",A57,B58)</f>
        <v>37043</v>
      </c>
      <c r="B58" s="148" t="n">
        <f aca="false">IF(B57=" "," ",IF(EDATE(B57,1)&gt;=EndDate," ",EDATE(B57,1)))</f>
        <v>37043</v>
      </c>
      <c r="C58" s="149" t="n">
        <f aca="false">IF($B58&lt;&gt;" ",C57+1,C57)</f>
        <v>8</v>
      </c>
      <c r="D58" s="150" t="n">
        <f aca="false">C58/12</f>
        <v>0.666666666666667</v>
      </c>
      <c r="E58" s="1"/>
      <c r="F58" s="157" t="n">
        <f aca="false">+SUM($T58:$U58)</f>
        <v>0</v>
      </c>
      <c r="G58" s="152" t="n">
        <f aca="false">-SUM($AA58,$AG58,$AM58,$AQ58,$AV58:$AX58)</f>
        <v>-651.585833333333</v>
      </c>
      <c r="H58" s="152" t="n">
        <f aca="false">+SUM(F58:G58)</f>
        <v>-651.585833333333</v>
      </c>
      <c r="I58" s="124"/>
      <c r="J58" s="153" t="n">
        <f aca="false">+IF($B58=" ",0,IF(AND($B58&gt;=J$26,$B58&lt;J$28),J$33,0))</f>
        <v>0</v>
      </c>
      <c r="K58" s="153" t="n">
        <f aca="false">+IF($B58=" ",0,IF(AND($B58&gt;=K$26,$B58&lt;K$28),K$33,0))</f>
        <v>0</v>
      </c>
      <c r="L58" s="153" t="n">
        <f aca="false">+IF($B58=" ",0,IF(AND($B58&gt;=L$26,$B58&lt;L$28),L$33,0))</f>
        <v>0</v>
      </c>
      <c r="M58" s="153" t="n">
        <f aca="false">+IF($B58=" ",0,IF(AND($B58&gt;=M$26,$B58&lt;M$28),M$33,0))</f>
        <v>0</v>
      </c>
      <c r="N58" s="153" t="n">
        <f aca="false">+IF($B58=" ",0,IF(AND($B58&gt;=N$26,$B58&lt;N$28),N$33,0))</f>
        <v>0</v>
      </c>
      <c r="O58" s="154" t="n">
        <f aca="false">+IF($B58=" ",0,IF(AND($B58&gt;=O$26,$B58&lt;O$28),O$33,0))</f>
        <v>0</v>
      </c>
      <c r="P58" s="1"/>
      <c r="Q58" s="83" t="n">
        <f aca="false">IF($B58=" ",0,IF($B58&lt;=DATE(2003,12,31),3.55,2.9))</f>
        <v>3.55</v>
      </c>
      <c r="R58" s="155" t="n">
        <f aca="false">IF($B58=" ",0,R$25)</f>
        <v>-0.07</v>
      </c>
      <c r="S58" s="156" t="n">
        <f aca="false">IF($B58=" ",0,S$25)</f>
        <v>0.1</v>
      </c>
      <c r="T58" s="157" t="n">
        <f aca="false">+SUM($Q58,$S58)/1000*(SUM($J58*$J$37,$K58*$K$37,$L58*$L$37,$M58*$M$37,$N58*$N$37,$O58*$O$37))</f>
        <v>0</v>
      </c>
      <c r="U58" s="157" t="n">
        <f aca="false">+SUM($Q58,$R58)/1000*(SUM(0))</f>
        <v>0</v>
      </c>
      <c r="V58" s="1"/>
      <c r="W58" s="158" t="n">
        <f aca="false">IF($B58=" ",0,1)*(IF($B58&gt;=W$25,1,0)*IF($B58&lt;=W$29,W$27,IF($B58&lt;=W$33,W$31,0))*($D58-$D57)*365/1000)</f>
        <v>288.958333333333</v>
      </c>
      <c r="X58" s="158" t="n">
        <f aca="false">IF($B58=" ",0,IF($B58&gt;=X$25,IF($B58&lt;=X$29,X$27,IF($B58&lt;=X$33,X$31,X$31*(1+X$38)^(IF(X$36&gt;$B58,-1,1)*(YEARFRAC($B58,X$36)))))*($D58-$D57)*365/1000,0))</f>
        <v>362.6275</v>
      </c>
      <c r="Y58" s="159" t="n">
        <f aca="false">IF($B58=" ",0,Y$25*(1+Y$30)^(IF(Y$28&gt;$B58,-1,1)*(YEARFRAC($B58,Y$28))))</f>
        <v>0.451459614766138</v>
      </c>
      <c r="Z58" s="159" t="n">
        <f aca="false">IF($B58=" ",0,Z$25*(1+Z$30)^(IF(Z$28&gt;$B58,-1,1)*(YEARFRAC($B58,Z$28))))</f>
        <v>0.430976414635899</v>
      </c>
      <c r="AA58" s="162" t="n">
        <f aca="false">+W58+X58+Z58*SUM($J58*$J$37,$L58*$L$37,$N58*$N$37)/1000</f>
        <v>651.585833333333</v>
      </c>
      <c r="AB58" s="161"/>
      <c r="AC58" s="158" t="n">
        <f aca="false">IF($B58=" ",0,1)*(IF($B58&gt;=AC$25,1,0)*IF($B58&lt;=AC$29,AC$27,IF($B58&lt;=AC$33,AC$31,0))*($D58-$D57)*365/1000)</f>
        <v>0</v>
      </c>
      <c r="AD58" s="158" t="n">
        <f aca="false">IF($B58=" ",0,IF($B58&gt;=AD$25,IF($B58&lt;=AD$29,AD$27,IF($B58&lt;=AD$33,AD$31,AD$31*(1+AD$38)^(IF(AD$36&gt;$B58,-1,1)*(YEARFRAC($B58,AD$36)))))*($D58-$D57)*365/1000,0))</f>
        <v>0</v>
      </c>
      <c r="AE58" s="159" t="n">
        <f aca="false">IF($B58=" ",0,AE$25*(1+AE$30)^(IF(AE$28&gt;$B58,-1,1)*(YEARFRAC($B58,AE$28))))</f>
        <v>0.374031903895316</v>
      </c>
      <c r="AF58" s="159" t="n">
        <f aca="false">IF($B58=" ",0,AF$25*(1+AF$30)^(IF(AF$28&gt;$B58,-1,1)*(YEARFRAC($B58,AF$28))))</f>
        <v>0.134201798879011</v>
      </c>
      <c r="AG58" s="162" t="n">
        <f aca="false">+AC58+AD58+AF58*SUM($K58*$K$37,$M58*$M$37,$O58*$O$37)/1000</f>
        <v>0</v>
      </c>
      <c r="AH58" s="1"/>
      <c r="AI58" s="158" t="n">
        <f aca="false">IF($B58=" ",0,1)*IF($B58&gt;=AI$33,AI$25*($D58-$D57),0)</f>
        <v>0</v>
      </c>
      <c r="AJ58" s="158" t="n">
        <f aca="false">IF($B58=" ",0,IF($B58&gt;=AJ$33,AJ$25*(1+AJ$30)^(IF(AJ$28&gt;$B58,-1,1)*(YEARFRAC($B58,AJ$28)))*($D58-$D57),0))</f>
        <v>0</v>
      </c>
      <c r="AK58" s="159" t="n">
        <f aca="false">IF($B58=" ",0,AK$25*(1+AK$30)^(IF(AK$28&gt;$B58,-1,1)*(YEARFRAC($B58,AK$28))))</f>
        <v>0.0269202870628173</v>
      </c>
      <c r="AL58" s="159" t="n">
        <f aca="false">IF($B58=" ",0,AL$25*AL$28)</f>
        <v>0.0575</v>
      </c>
      <c r="AM58" s="162" t="n">
        <f aca="false">+AI58+AJ58+SUM(AK58:AL58)*SUM($J58*$J$37,$K58*$K$37,$L58*$L$37,$M58*$M$37,$N58*$N$37,$O58*$O$37)/1000</f>
        <v>0</v>
      </c>
      <c r="AN58" s="1"/>
      <c r="AO58" s="163" t="n">
        <f aca="false">IF($B58=" ",0,$AO$25)</f>
        <v>0.25</v>
      </c>
      <c r="AP58" s="159" t="n">
        <f aca="false">IF($B58=" ",0,AP$25*AP$28)</f>
        <v>0.03105</v>
      </c>
      <c r="AQ58" s="162" t="n">
        <f aca="false">SUM(AO58:AP58)*SUM(0)/1000</f>
        <v>0</v>
      </c>
      <c r="AR58" s="1"/>
      <c r="AS58" s="155" t="n">
        <f aca="false">IF($B58=" ",0,AS$25)</f>
        <v>1</v>
      </c>
      <c r="AT58" s="156" t="n">
        <f aca="false">IF($B58=" ",0,AT$25)</f>
        <v>1</v>
      </c>
      <c r="AU58" s="156" t="n">
        <f aca="false">IF($B58=" ",0,AU$25)</f>
        <v>2.3</v>
      </c>
      <c r="AV58" s="157" t="n">
        <f aca="false">+AS58*SUM(J58:K58)/1000</f>
        <v>0</v>
      </c>
      <c r="AW58" s="157" t="n">
        <f aca="false">+AT58*SUM(L58:M58)/1000</f>
        <v>0</v>
      </c>
      <c r="AX58" s="157" t="n">
        <f aca="false">+AU58*SUM(N58:O58)/1000</f>
        <v>0</v>
      </c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</row>
    <row r="59" customFormat="false" ht="12.75" hidden="false" customHeight="false" outlineLevel="0" collapsed="false">
      <c r="A59" s="147" t="n">
        <f aca="false">+IF(B59=" ",A58,B59)</f>
        <v>37073</v>
      </c>
      <c r="B59" s="148" t="n">
        <f aca="false">IF(B58=" "," ",IF(EDATE(B58,1)&gt;=EndDate," ",EDATE(B58,1)))</f>
        <v>37073</v>
      </c>
      <c r="C59" s="149" t="n">
        <f aca="false">IF($B59&lt;&gt;" ",C58+1,C58)</f>
        <v>9</v>
      </c>
      <c r="D59" s="150" t="n">
        <f aca="false">C59/12</f>
        <v>0.75</v>
      </c>
      <c r="E59" s="1"/>
      <c r="F59" s="157" t="n">
        <f aca="false">+SUM($T59:$U59)</f>
        <v>0</v>
      </c>
      <c r="G59" s="152" t="n">
        <f aca="false">-SUM($AA59,$AG59,$AM59,$AQ59,$AV59:$AX59)</f>
        <v>-651.585833333334</v>
      </c>
      <c r="H59" s="152" t="n">
        <f aca="false">+SUM(F59:G59)</f>
        <v>-651.585833333334</v>
      </c>
      <c r="I59" s="124"/>
      <c r="J59" s="153" t="n">
        <f aca="false">+IF($B59=" ",0,IF(AND($B59&gt;=J$26,$B59&lt;J$28),J$33,0))</f>
        <v>0</v>
      </c>
      <c r="K59" s="153" t="n">
        <f aca="false">+IF($B59=" ",0,IF(AND($B59&gt;=K$26,$B59&lt;K$28),K$33,0))</f>
        <v>0</v>
      </c>
      <c r="L59" s="153" t="n">
        <f aca="false">+IF($B59=" ",0,IF(AND($B59&gt;=L$26,$B59&lt;L$28),L$33,0))</f>
        <v>0</v>
      </c>
      <c r="M59" s="153" t="n">
        <f aca="false">+IF($B59=" ",0,IF(AND($B59&gt;=M$26,$B59&lt;M$28),M$33,0))</f>
        <v>0</v>
      </c>
      <c r="N59" s="153" t="n">
        <f aca="false">+IF($B59=" ",0,IF(AND($B59&gt;=N$26,$B59&lt;N$28),N$33,0))</f>
        <v>0</v>
      </c>
      <c r="O59" s="154" t="n">
        <f aca="false">+IF($B59=" ",0,IF(AND($B59&gt;=O$26,$B59&lt;O$28),O$33,0))</f>
        <v>0</v>
      </c>
      <c r="P59" s="1"/>
      <c r="Q59" s="83" t="n">
        <f aca="false">IF($B59=" ",0,IF($B59&lt;=DATE(2003,12,31),3.55,2.9))</f>
        <v>3.55</v>
      </c>
      <c r="R59" s="155" t="n">
        <f aca="false">IF($B59=" ",0,R$25)</f>
        <v>-0.07</v>
      </c>
      <c r="S59" s="156" t="n">
        <f aca="false">IF($B59=" ",0,S$25)</f>
        <v>0.1</v>
      </c>
      <c r="T59" s="157" t="n">
        <f aca="false">+SUM($Q59,$S59)/1000*(SUM($J59*$J$37,$K59*$K$37,$L59*$L$37,$M59*$M$37,$N59*$N$37,$O59*$O$37))</f>
        <v>0</v>
      </c>
      <c r="U59" s="157" t="n">
        <f aca="false">+SUM($Q59,$R59)/1000*(SUM(0))</f>
        <v>0</v>
      </c>
      <c r="V59" s="1"/>
      <c r="W59" s="158" t="n">
        <f aca="false">IF($B59=" ",0,1)*(IF($B59&gt;=W$25,1,0)*IF($B59&lt;=W$29,W$27,IF($B59&lt;=W$33,W$31,0))*($D59-$D58)*365/1000)</f>
        <v>288.958333333333</v>
      </c>
      <c r="X59" s="158" t="n">
        <f aca="false">IF($B59=" ",0,IF($B59&gt;=X$25,IF($B59&lt;=X$29,X$27,IF($B59&lt;=X$33,X$31,X$31*(1+X$38)^(IF(X$36&gt;$B59,-1,1)*(YEARFRAC($B59,X$36)))))*($D59-$D58)*365/1000,0))</f>
        <v>362.6275</v>
      </c>
      <c r="Y59" s="159" t="n">
        <f aca="false">IF($B59=" ",0,Y$25*(1+Y$30)^(IF(Y$28&gt;$B59,-1,1)*(YEARFRAC($B59,Y$28))))</f>
        <v>0.452081902608002</v>
      </c>
      <c r="Z59" s="159" t="n">
        <f aca="false">IF($B59=" ",0,Z$25*(1+Z$30)^(IF(Z$28&gt;$B59,-1,1)*(YEARFRAC($B59,Z$28))))</f>
        <v>0.431570468620323</v>
      </c>
      <c r="AA59" s="162" t="n">
        <f aca="false">+W59+X59+Z59*SUM($J59*$J$37,$L59*$L$37,$N59*$N$37)/1000</f>
        <v>651.585833333334</v>
      </c>
      <c r="AB59" s="161"/>
      <c r="AC59" s="158" t="n">
        <f aca="false">IF($B59=" ",0,1)*(IF($B59&gt;=AC$25,1,0)*IF($B59&lt;=AC$29,AC$27,IF($B59&lt;=AC$33,AC$31,0))*($D59-$D58)*365/1000)</f>
        <v>0</v>
      </c>
      <c r="AD59" s="158" t="n">
        <f aca="false">IF($B59=" ",0,IF($B59&gt;=AD$25,IF($B59&lt;=AD$29,AD$27,IF($B59&lt;=AD$33,AD$31,AD$31*(1+AD$38)^(IF(AD$36&gt;$B59,-1,1)*(YEARFRAC($B59,AD$36)))))*($D59-$D58)*365/1000,0))</f>
        <v>0</v>
      </c>
      <c r="AE59" s="159" t="n">
        <f aca="false">IF($B59=" ",0,AE$25*(1+AE$30)^(IF(AE$28&gt;$B59,-1,1)*(YEARFRAC($B59,AE$28))))</f>
        <v>0.374547466082166</v>
      </c>
      <c r="AF59" s="159" t="n">
        <f aca="false">IF($B59=" ",0,AF$25*(1+AF$30)^(IF(AF$28&gt;$B59,-1,1)*(YEARFRAC($B59,AF$28))))</f>
        <v>0.134386781422449</v>
      </c>
      <c r="AG59" s="162" t="n">
        <f aca="false">+AC59+AD59+AF59*SUM($K59*$K$37,$M59*$M$37,$O59*$O$37)/1000</f>
        <v>0</v>
      </c>
      <c r="AH59" s="1"/>
      <c r="AI59" s="158" t="n">
        <f aca="false">IF($B59=" ",0,1)*IF($B59&gt;=AI$33,AI$25*($D59-$D58),0)</f>
        <v>0</v>
      </c>
      <c r="AJ59" s="158" t="n">
        <f aca="false">IF($B59=" ",0,IF($B59&gt;=AJ$33,AJ$25*(1+AJ$30)^(IF(AJ$28&gt;$B59,-1,1)*(YEARFRAC($B59,AJ$28)))*($D59-$D58),0))</f>
        <v>0</v>
      </c>
      <c r="AK59" s="159" t="n">
        <f aca="false">IF($B59=" ",0,AK$25*(1+AK$30)^(IF(AK$28&gt;$B59,-1,1)*(YEARFRAC($B59,AK$28))))</f>
        <v>0.0269481696428571</v>
      </c>
      <c r="AL59" s="159" t="n">
        <f aca="false">IF($B59=" ",0,AL$25*AL$28)</f>
        <v>0.0575</v>
      </c>
      <c r="AM59" s="162" t="n">
        <f aca="false">+AI59+AJ59+SUM(AK59:AL59)*SUM($J59*$J$37,$K59*$K$37,$L59*$L$37,$M59*$M$37,$N59*$N$37,$O59*$O$37)/1000</f>
        <v>0</v>
      </c>
      <c r="AN59" s="1"/>
      <c r="AO59" s="163" t="n">
        <f aca="false">IF($B59=" ",0,$AO$25)</f>
        <v>0.25</v>
      </c>
      <c r="AP59" s="159" t="n">
        <f aca="false">IF($B59=" ",0,AP$25*AP$28)</f>
        <v>0.03105</v>
      </c>
      <c r="AQ59" s="162" t="n">
        <f aca="false">SUM(AO59:AP59)*SUM(0)/1000</f>
        <v>0</v>
      </c>
      <c r="AR59" s="1"/>
      <c r="AS59" s="155" t="n">
        <f aca="false">IF($B59=" ",0,AS$25)</f>
        <v>1</v>
      </c>
      <c r="AT59" s="156" t="n">
        <f aca="false">IF($B59=" ",0,AT$25)</f>
        <v>1</v>
      </c>
      <c r="AU59" s="156" t="n">
        <f aca="false">IF($B59=" ",0,AU$25)</f>
        <v>2.3</v>
      </c>
      <c r="AV59" s="157" t="n">
        <f aca="false">+AS59*SUM(J59:K59)/1000</f>
        <v>0</v>
      </c>
      <c r="AW59" s="157" t="n">
        <f aca="false">+AT59*SUM(L59:M59)/1000</f>
        <v>0</v>
      </c>
      <c r="AX59" s="157" t="n">
        <f aca="false">+AU59*SUM(N59:O59)/1000</f>
        <v>0</v>
      </c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</row>
    <row r="60" customFormat="false" ht="12.75" hidden="false" customHeight="false" outlineLevel="0" collapsed="false">
      <c r="A60" s="147" t="n">
        <f aca="false">+IF(B60=" ",A59,B60)</f>
        <v>37104</v>
      </c>
      <c r="B60" s="148" t="n">
        <f aca="false">IF(B59=" "," ",IF(EDATE(B59,1)&gt;=EndDate," ",EDATE(B59,1)))</f>
        <v>37104</v>
      </c>
      <c r="C60" s="149" t="n">
        <f aca="false">IF($B60&lt;&gt;" ",C59+1,C59)</f>
        <v>10</v>
      </c>
      <c r="D60" s="150" t="n">
        <f aca="false">C60/12</f>
        <v>0.833333333333333</v>
      </c>
      <c r="E60" s="1"/>
      <c r="F60" s="157" t="n">
        <f aca="false">+SUM($T60:$U60)</f>
        <v>0</v>
      </c>
      <c r="G60" s="152" t="n">
        <f aca="false">-SUM($AA60,$AG60,$AM60,$AQ60,$AV60:$AX60)</f>
        <v>-651.585833333334</v>
      </c>
      <c r="H60" s="152" t="n">
        <f aca="false">+SUM(F60:G60)</f>
        <v>-651.585833333334</v>
      </c>
      <c r="I60" s="124"/>
      <c r="J60" s="153" t="n">
        <f aca="false">+IF($B60=" ",0,IF(AND($B60&gt;=J$26,$B60&lt;J$28),J$33,0))</f>
        <v>0</v>
      </c>
      <c r="K60" s="153" t="n">
        <f aca="false">+IF($B60=" ",0,IF(AND($B60&gt;=K$26,$B60&lt;K$28),K$33,0))</f>
        <v>0</v>
      </c>
      <c r="L60" s="153" t="n">
        <f aca="false">+IF($B60=" ",0,IF(AND($B60&gt;=L$26,$B60&lt;L$28),L$33,0))</f>
        <v>0</v>
      </c>
      <c r="M60" s="153" t="n">
        <f aca="false">+IF($B60=" ",0,IF(AND($B60&gt;=M$26,$B60&lt;M$28),M$33,0))</f>
        <v>0</v>
      </c>
      <c r="N60" s="153" t="n">
        <f aca="false">+IF($B60=" ",0,IF(AND($B60&gt;=N$26,$B60&lt;N$28),N$33,0))</f>
        <v>0</v>
      </c>
      <c r="O60" s="154" t="n">
        <f aca="false">+IF($B60=" ",0,IF(AND($B60&gt;=O$26,$B60&lt;O$28),O$33,0))</f>
        <v>0</v>
      </c>
      <c r="P60" s="1"/>
      <c r="Q60" s="83" t="n">
        <f aca="false">IF($B60=" ",0,IF($B60&lt;=DATE(2003,12,31),3.55,2.9))</f>
        <v>3.55</v>
      </c>
      <c r="R60" s="155" t="n">
        <f aca="false">IF($B60=" ",0,R$25)</f>
        <v>-0.07</v>
      </c>
      <c r="S60" s="156" t="n">
        <f aca="false">IF($B60=" ",0,S$25)</f>
        <v>0.1</v>
      </c>
      <c r="T60" s="157" t="n">
        <f aca="false">+SUM($Q60,$S60)/1000*(SUM($J60*$J$37,$K60*$K$37,$L60*$L$37,$M60*$M$37,$N60*$N$37,$O60*$O$37))</f>
        <v>0</v>
      </c>
      <c r="U60" s="157" t="n">
        <f aca="false">+SUM($Q60,$R60)/1000*(SUM(0))</f>
        <v>0</v>
      </c>
      <c r="V60" s="1"/>
      <c r="W60" s="158" t="n">
        <f aca="false">IF($B60=" ",0,1)*(IF($B60&gt;=W$25,1,0)*IF($B60&lt;=W$29,W$27,IF($B60&lt;=W$33,W$31,0))*($D60-$D59)*365/1000)</f>
        <v>288.958333333333</v>
      </c>
      <c r="X60" s="158" t="n">
        <f aca="false">IF($B60=" ",0,IF($B60&gt;=X$25,IF($B60&lt;=X$29,X$27,IF($B60&lt;=X$33,X$31,X$31*(1+X$38)^(IF(X$36&gt;$B60,-1,1)*(YEARFRAC($B60,X$36)))))*($D60-$D59)*365/1000,0))</f>
        <v>362.6275</v>
      </c>
      <c r="Y60" s="159" t="n">
        <f aca="false">IF($B60=" ",0,Y$25*(1+Y$30)^(IF(Y$28&gt;$B60,-1,1)*(YEARFRAC($B60,Y$28))))</f>
        <v>0.452705048205788</v>
      </c>
      <c r="Z60" s="159" t="n">
        <f aca="false">IF($B60=" ",0,Z$25*(1+Z$30)^(IF(Z$28&gt;$B60,-1,1)*(YEARFRAC($B60,Z$28))))</f>
        <v>0.432165341443375</v>
      </c>
      <c r="AA60" s="162" t="n">
        <f aca="false">+W60+X60+Z60*SUM($J60*$J$37,$L60*$L$37,$N60*$N$37)/1000</f>
        <v>651.585833333334</v>
      </c>
      <c r="AB60" s="161"/>
      <c r="AC60" s="158" t="n">
        <f aca="false">IF($B60=" ",0,1)*(IF($B60&gt;=AC$25,1,0)*IF($B60&lt;=AC$29,AC$27,IF($B60&lt;=AC$33,AC$31,0))*($D60-$D59)*365/1000)</f>
        <v>0</v>
      </c>
      <c r="AD60" s="158" t="n">
        <f aca="false">IF($B60=" ",0,IF($B60&gt;=AD$25,IF($B60&lt;=AD$29,AD$27,IF($B60&lt;=AD$33,AD$31,AD$31*(1+AD$38)^(IF(AD$36&gt;$B60,-1,1)*(YEARFRAC($B60,AD$36)))))*($D60-$D59)*365/1000,0))</f>
        <v>0</v>
      </c>
      <c r="AE60" s="159" t="n">
        <f aca="false">IF($B60=" ",0,AE$25*(1+AE$30)^(IF(AE$28&gt;$B60,-1,1)*(YEARFRAC($B60,AE$28))))</f>
        <v>0.375063738915263</v>
      </c>
      <c r="AF60" s="159" t="n">
        <f aca="false">IF($B60=" ",0,AF$25*(1+AF$30)^(IF(AF$28&gt;$B60,-1,1)*(YEARFRAC($B60,AF$28))))</f>
        <v>0.134572018944148</v>
      </c>
      <c r="AG60" s="162" t="n">
        <f aca="false">+AC60+AD60+AF60*SUM($K60*$K$37,$M60*$M$37,$O60*$O$37)/1000</f>
        <v>0</v>
      </c>
      <c r="AH60" s="1"/>
      <c r="AI60" s="158" t="n">
        <f aca="false">IF($B60=" ",0,1)*IF($B60&gt;=AI$33,AI$25*($D60-$D59),0)</f>
        <v>0</v>
      </c>
      <c r="AJ60" s="158" t="n">
        <f aca="false">IF($B60=" ",0,IF($B60&gt;=AJ$33,AJ$25*(1+AJ$30)^(IF(AJ$28&gt;$B60,-1,1)*(YEARFRAC($B60,AJ$28)))*($D60-$D59),0))</f>
        <v>0</v>
      </c>
      <c r="AK60" s="159" t="n">
        <f aca="false">IF($B60=" ",0,AK$25*(1+AK$30)^(IF(AK$28&gt;$B60,-1,1)*(YEARFRAC($B60,AK$28))))</f>
        <v>0.0269760811021681</v>
      </c>
      <c r="AL60" s="159" t="n">
        <f aca="false">IF($B60=" ",0,AL$25*AL$28)</f>
        <v>0.0575</v>
      </c>
      <c r="AM60" s="162" t="n">
        <f aca="false">+AI60+AJ60+SUM(AK60:AL60)*SUM($J60*$J$37,$K60*$K$37,$L60*$L$37,$M60*$M$37,$N60*$N$37,$O60*$O$37)/1000</f>
        <v>0</v>
      </c>
      <c r="AN60" s="1"/>
      <c r="AO60" s="163" t="n">
        <f aca="false">IF($B60=" ",0,$AO$25)</f>
        <v>0.25</v>
      </c>
      <c r="AP60" s="159" t="n">
        <f aca="false">IF($B60=" ",0,AP$25*AP$28)</f>
        <v>0.03105</v>
      </c>
      <c r="AQ60" s="162" t="n">
        <f aca="false">SUM(AO60:AP60)*SUM(0)/1000</f>
        <v>0</v>
      </c>
      <c r="AR60" s="1"/>
      <c r="AS60" s="155" t="n">
        <f aca="false">IF($B60=" ",0,AS$25)</f>
        <v>1</v>
      </c>
      <c r="AT60" s="156" t="n">
        <f aca="false">IF($B60=" ",0,AT$25)</f>
        <v>1</v>
      </c>
      <c r="AU60" s="156" t="n">
        <f aca="false">IF($B60=" ",0,AU$25)</f>
        <v>2.3</v>
      </c>
      <c r="AV60" s="157" t="n">
        <f aca="false">+AS60*SUM(J60:K60)/1000</f>
        <v>0</v>
      </c>
      <c r="AW60" s="157" t="n">
        <f aca="false">+AT60*SUM(L60:M60)/1000</f>
        <v>0</v>
      </c>
      <c r="AX60" s="157" t="n">
        <f aca="false">+AU60*SUM(N60:O60)/1000</f>
        <v>0</v>
      </c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</row>
    <row r="61" customFormat="false" ht="12.75" hidden="false" customHeight="false" outlineLevel="0" collapsed="false">
      <c r="A61" s="147" t="n">
        <f aca="false">+IF(B61=" ",A60,B61)</f>
        <v>37135</v>
      </c>
      <c r="B61" s="148" t="n">
        <f aca="false">IF(B60=" "," ",IF(EDATE(B60,1)&gt;=EndDate," ",EDATE(B60,1)))</f>
        <v>37135</v>
      </c>
      <c r="C61" s="149" t="n">
        <f aca="false">IF($B61&lt;&gt;" ",C60+1,C60)</f>
        <v>11</v>
      </c>
      <c r="D61" s="150" t="n">
        <f aca="false">C61/12</f>
        <v>0.916666666666667</v>
      </c>
      <c r="E61" s="1"/>
      <c r="F61" s="157" t="n">
        <f aca="false">+SUM($T61:$U61)</f>
        <v>0</v>
      </c>
      <c r="G61" s="152" t="n">
        <f aca="false">-SUM($AA61,$AG61,$AM61,$AQ61,$AV61:$AX61)</f>
        <v>-651.585833333333</v>
      </c>
      <c r="H61" s="152" t="n">
        <f aca="false">+SUM(F61:G61)</f>
        <v>-651.585833333333</v>
      </c>
      <c r="I61" s="124"/>
      <c r="J61" s="153" t="n">
        <f aca="false">+IF($B61=" ",0,IF(AND($B61&gt;=J$26,$B61&lt;J$28),J$33,0))</f>
        <v>0</v>
      </c>
      <c r="K61" s="153" t="n">
        <f aca="false">+IF($B61=" ",0,IF(AND($B61&gt;=K$26,$B61&lt;K$28),K$33,0))</f>
        <v>0</v>
      </c>
      <c r="L61" s="153" t="n">
        <f aca="false">+IF($B61=" ",0,IF(AND($B61&gt;=L$26,$B61&lt;L$28),L$33,0))</f>
        <v>0</v>
      </c>
      <c r="M61" s="153" t="n">
        <f aca="false">+IF($B61=" ",0,IF(AND($B61&gt;=M$26,$B61&lt;M$28),M$33,0))</f>
        <v>0</v>
      </c>
      <c r="N61" s="153" t="n">
        <f aca="false">+IF($B61=" ",0,IF(AND($B61&gt;=N$26,$B61&lt;N$28),N$33,0))</f>
        <v>0</v>
      </c>
      <c r="O61" s="154" t="n">
        <f aca="false">+IF($B61=" ",0,IF(AND($B61&gt;=O$26,$B61&lt;O$28),O$33,0))</f>
        <v>0</v>
      </c>
      <c r="P61" s="1"/>
      <c r="Q61" s="83" t="n">
        <f aca="false">IF($B61=" ",0,IF($B61&lt;=DATE(2003,12,31),3.55,2.9))</f>
        <v>3.55</v>
      </c>
      <c r="R61" s="155" t="n">
        <f aca="false">IF($B61=" ",0,R$25)</f>
        <v>-0.07</v>
      </c>
      <c r="S61" s="156" t="n">
        <f aca="false">IF($B61=" ",0,S$25)</f>
        <v>0.1</v>
      </c>
      <c r="T61" s="157" t="n">
        <f aca="false">+SUM($Q61,$S61)/1000*(SUM($J61*$J$37,$K61*$K$37,$L61*$L$37,$M61*$M$37,$N61*$N$37,$O61*$O$37))</f>
        <v>0</v>
      </c>
      <c r="U61" s="157" t="n">
        <f aca="false">+SUM($Q61,$R61)/1000*(SUM(0))</f>
        <v>0</v>
      </c>
      <c r="V61" s="1"/>
      <c r="W61" s="158" t="n">
        <f aca="false">IF($B61=" ",0,1)*(IF($B61&gt;=W$25,1,0)*IF($B61&lt;=W$29,W$27,IF($B61&lt;=W$33,W$31,0))*($D61-$D60)*365/1000)</f>
        <v>288.958333333333</v>
      </c>
      <c r="X61" s="158" t="n">
        <f aca="false">IF($B61=" ",0,IF($B61&gt;=X$25,IF($B61&lt;=X$29,X$27,IF($B61&lt;=X$33,X$31,X$31*(1+X$38)^(IF(X$36&gt;$B61,-1,1)*(YEARFRAC($B61,X$36)))))*($D61-$D60)*365/1000,0))</f>
        <v>362.6275</v>
      </c>
      <c r="Y61" s="159" t="n">
        <f aca="false">IF($B61=" ",0,Y$25*(1+Y$30)^(IF(Y$28&gt;$B61,-1,1)*(YEARFRAC($B61,Y$28))))</f>
        <v>0.45332905274182</v>
      </c>
      <c r="Z61" s="159" t="n">
        <f aca="false">IF($B61=" ",0,Z$25*(1+Z$30)^(IF(Z$28&gt;$B61,-1,1)*(YEARFRAC($B61,Z$28))))</f>
        <v>0.432761034233736</v>
      </c>
      <c r="AA61" s="162" t="n">
        <f aca="false">+W61+X61+Z61*SUM($J61*$J$37,$L61*$L$37,$N61*$N$37)/1000</f>
        <v>651.585833333333</v>
      </c>
      <c r="AB61" s="161"/>
      <c r="AC61" s="158" t="n">
        <f aca="false">IF($B61=" ",0,1)*(IF($B61&gt;=AC$25,1,0)*IF($B61&lt;=AC$29,AC$27,IF($B61&lt;=AC$33,AC$31,0))*($D61-$D60)*365/1000)</f>
        <v>0</v>
      </c>
      <c r="AD61" s="158" t="n">
        <f aca="false">IF($B61=" ",0,IF($B61&gt;=AD$25,IF($B61&lt;=AD$29,AD$27,IF($B61&lt;=AD$33,AD$31,AD$31*(1+AD$38)^(IF(AD$36&gt;$B61,-1,1)*(YEARFRAC($B61,AD$36)))))*($D61-$D60)*365/1000,0))</f>
        <v>0</v>
      </c>
      <c r="AE61" s="159" t="n">
        <f aca="false">IF($B61=" ",0,AE$25*(1+AE$30)^(IF(AE$28&gt;$B61,-1,1)*(YEARFRAC($B61,AE$28))))</f>
        <v>0.375580723374154</v>
      </c>
      <c r="AF61" s="159" t="n">
        <f aca="false">IF($B61=" ",0,AF$25*(1+AF$30)^(IF(AF$28&gt;$B61,-1,1)*(YEARFRAC($B61,AF$28))))</f>
        <v>0.134757511795568</v>
      </c>
      <c r="AG61" s="162" t="n">
        <f aca="false">+AC61+AD61+AF61*SUM($K61*$K$37,$M61*$M$37,$O61*$O$37)/1000</f>
        <v>0</v>
      </c>
      <c r="AH61" s="1"/>
      <c r="AI61" s="158" t="n">
        <f aca="false">IF($B61=" ",0,1)*IF($B61&gt;=AI$33,AI$25*($D61-$D60),0)</f>
        <v>0</v>
      </c>
      <c r="AJ61" s="158" t="n">
        <f aca="false">IF($B61=" ",0,IF($B61&gt;=AJ$33,AJ$25*(1+AJ$30)^(IF(AJ$28&gt;$B61,-1,1)*(YEARFRAC($B61,AJ$28)))*($D61-$D60),0))</f>
        <v>0</v>
      </c>
      <c r="AK61" s="159" t="n">
        <f aca="false">IF($B61=" ",0,AK$25*(1+AK$30)^(IF(AK$28&gt;$B61,-1,1)*(YEARFRAC($B61,AK$28))))</f>
        <v>0.0270040214706619</v>
      </c>
      <c r="AL61" s="159" t="n">
        <f aca="false">IF($B61=" ",0,AL$25*AL$28)</f>
        <v>0.0575</v>
      </c>
      <c r="AM61" s="162" t="n">
        <f aca="false">+AI61+AJ61+SUM(AK61:AL61)*SUM($J61*$J$37,$K61*$K$37,$L61*$L$37,$M61*$M$37,$N61*$N$37,$O61*$O$37)/1000</f>
        <v>0</v>
      </c>
      <c r="AN61" s="1"/>
      <c r="AO61" s="163" t="n">
        <f aca="false">IF($B61=" ",0,$AO$25)</f>
        <v>0.25</v>
      </c>
      <c r="AP61" s="159" t="n">
        <f aca="false">IF($B61=" ",0,AP$25*AP$28)</f>
        <v>0.03105</v>
      </c>
      <c r="AQ61" s="162" t="n">
        <f aca="false">SUM(AO61:AP61)*SUM(0)/1000</f>
        <v>0</v>
      </c>
      <c r="AR61" s="1"/>
      <c r="AS61" s="155" t="n">
        <f aca="false">IF($B61=" ",0,AS$25)</f>
        <v>1</v>
      </c>
      <c r="AT61" s="156" t="n">
        <f aca="false">IF($B61=" ",0,AT$25)</f>
        <v>1</v>
      </c>
      <c r="AU61" s="156" t="n">
        <f aca="false">IF($B61=" ",0,AU$25)</f>
        <v>2.3</v>
      </c>
      <c r="AV61" s="157" t="n">
        <f aca="false">+AS61*SUM(J61:K61)/1000</f>
        <v>0</v>
      </c>
      <c r="AW61" s="157" t="n">
        <f aca="false">+AT61*SUM(L61:M61)/1000</f>
        <v>0</v>
      </c>
      <c r="AX61" s="157" t="n">
        <f aca="false">+AU61*SUM(N61:O61)/1000</f>
        <v>0</v>
      </c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</row>
    <row r="62" customFormat="false" ht="12.75" hidden="false" customHeight="false" outlineLevel="0" collapsed="false">
      <c r="A62" s="147" t="n">
        <f aca="false">+IF(B62=" ",A61,B62)</f>
        <v>37165</v>
      </c>
      <c r="B62" s="148" t="n">
        <f aca="false">IF(B61=" "," ",IF(EDATE(B61,1)&gt;=EndDate," ",EDATE(B61,1)))</f>
        <v>37165</v>
      </c>
      <c r="C62" s="149" t="n">
        <f aca="false">IF($B62&lt;&gt;" ",C61+1,C61)</f>
        <v>12</v>
      </c>
      <c r="D62" s="150" t="n">
        <f aca="false">C62/12</f>
        <v>1</v>
      </c>
      <c r="E62" s="1"/>
      <c r="F62" s="157" t="n">
        <f aca="false">+SUM($T62:$U62)</f>
        <v>0</v>
      </c>
      <c r="G62" s="152" t="n">
        <f aca="false">-SUM($AA62,$AG62,$AM62,$AQ62,$AV62:$AX62)</f>
        <v>-651.585833333334</v>
      </c>
      <c r="H62" s="152" t="n">
        <f aca="false">+SUM(F62:G62)</f>
        <v>-651.585833333334</v>
      </c>
      <c r="I62" s="124"/>
      <c r="J62" s="153" t="n">
        <f aca="false">+IF($B62=" ",0,IF(AND($B62&gt;=J$26,$B62&lt;J$28),J$33,0))</f>
        <v>0</v>
      </c>
      <c r="K62" s="153" t="n">
        <f aca="false">+IF($B62=" ",0,IF(AND($B62&gt;=K$26,$B62&lt;K$28),K$33,0))</f>
        <v>0</v>
      </c>
      <c r="L62" s="153" t="n">
        <f aca="false">+IF($B62=" ",0,IF(AND($B62&gt;=L$26,$B62&lt;L$28),L$33,0))</f>
        <v>0</v>
      </c>
      <c r="M62" s="153" t="n">
        <f aca="false">+IF($B62=" ",0,IF(AND($B62&gt;=M$26,$B62&lt;M$28),M$33,0))</f>
        <v>0</v>
      </c>
      <c r="N62" s="153" t="n">
        <f aca="false">+IF($B62=" ",0,IF(AND($B62&gt;=N$26,$B62&lt;N$28),N$33,0))</f>
        <v>0</v>
      </c>
      <c r="O62" s="154" t="n">
        <f aca="false">+IF($B62=" ",0,IF(AND($B62&gt;=O$26,$B62&lt;O$28),O$33,0))</f>
        <v>0</v>
      </c>
      <c r="P62" s="1"/>
      <c r="Q62" s="83" t="n">
        <f aca="false">IF($B62=" ",0,IF($B62&lt;=DATE(2003,12,31),3.55,2.9))</f>
        <v>3.55</v>
      </c>
      <c r="R62" s="155" t="n">
        <f aca="false">IF($B62=" ",0,R$25)</f>
        <v>-0.07</v>
      </c>
      <c r="S62" s="156" t="n">
        <f aca="false">IF($B62=" ",0,S$25)</f>
        <v>0.1</v>
      </c>
      <c r="T62" s="157" t="n">
        <f aca="false">+SUM($Q62,$S62)/1000*(SUM($J62*$J$37,$K62*$K$37,$L62*$L$37,$M62*$M$37,$N62*$N$37,$O62*$O$37))</f>
        <v>0</v>
      </c>
      <c r="U62" s="157" t="n">
        <f aca="false">+SUM($Q62,$R62)/1000*(SUM(0))</f>
        <v>0</v>
      </c>
      <c r="V62" s="1"/>
      <c r="W62" s="158" t="n">
        <f aca="false">IF($B62=" ",0,1)*(IF($B62&gt;=W$25,1,0)*IF($B62&lt;=W$29,W$27,IF($B62&lt;=W$33,W$31,0))*($D62-$D61)*365/1000)</f>
        <v>288.958333333333</v>
      </c>
      <c r="X62" s="158" t="n">
        <f aca="false">IF($B62=" ",0,IF($B62&gt;=X$25,IF($B62&lt;=X$29,X$27,IF($B62&lt;=X$33,X$31,X$31*(1+X$38)^(IF(X$36&gt;$B62,-1,1)*(YEARFRAC($B62,X$36)))))*($D62-$D61)*365/1000,0))</f>
        <v>362.6275</v>
      </c>
      <c r="Y62" s="159" t="n">
        <f aca="false">IF($B62=" ",0,Y$25*(1+Y$30)^(IF(Y$28&gt;$B62,-1,1)*(YEARFRAC($B62,Y$28))))</f>
        <v>0.453953917400049</v>
      </c>
      <c r="Z62" s="159" t="n">
        <f aca="false">IF($B62=" ",0,Z$25*(1+Z$30)^(IF(Z$28&gt;$B62,-1,1)*(YEARFRAC($B62,Z$28))))</f>
        <v>0.433357548121641</v>
      </c>
      <c r="AA62" s="162" t="n">
        <f aca="false">+W62+X62+Z62*SUM($J62*$J$37,$L62*$L$37,$N62*$N$37)/1000</f>
        <v>651.585833333334</v>
      </c>
      <c r="AB62" s="161"/>
      <c r="AC62" s="158" t="n">
        <f aca="false">IF($B62=" ",0,1)*(IF($B62&gt;=AC$25,1,0)*IF($B62&lt;=AC$29,AC$27,IF($B62&lt;=AC$33,AC$31,0))*($D62-$D61)*365/1000)</f>
        <v>0</v>
      </c>
      <c r="AD62" s="158" t="n">
        <f aca="false">IF($B62=" ",0,IF($B62&gt;=AD$25,IF($B62&lt;=AD$29,AD$27,IF($B62&lt;=AD$33,AD$31,AD$31*(1+AD$38)^(IF(AD$36&gt;$B62,-1,1)*(YEARFRAC($B62,AD$36)))))*($D62-$D61)*365/1000,0))</f>
        <v>0</v>
      </c>
      <c r="AE62" s="159" t="n">
        <f aca="false">IF($B62=" ",0,AE$25*(1+AE$30)^(IF(AE$28&gt;$B62,-1,1)*(YEARFRAC($B62,AE$28))))</f>
        <v>0.376098420439738</v>
      </c>
      <c r="AF62" s="159" t="n">
        <f aca="false">IF($B62=" ",0,AF$25*(1+AF$30)^(IF(AF$28&gt;$B62,-1,1)*(YEARFRAC($B62,AF$28))))</f>
        <v>0.134943260328654</v>
      </c>
      <c r="AG62" s="162" t="n">
        <f aca="false">+AC62+AD62+AF62*SUM($K62*$K$37,$M62*$M$37,$O62*$O$37)/1000</f>
        <v>0</v>
      </c>
      <c r="AH62" s="1"/>
      <c r="AI62" s="158" t="n">
        <f aca="false">IF($B62=" ",0,1)*IF($B62&gt;=AI$33,AI$25*($D62-$D61),0)</f>
        <v>0</v>
      </c>
      <c r="AJ62" s="158" t="n">
        <f aca="false">IF($B62=" ",0,IF($B62&gt;=AJ$33,AJ$25*(1+AJ$30)^(IF(AJ$28&gt;$B62,-1,1)*(YEARFRAC($B62,AJ$28)))*($D62-$D61),0))</f>
        <v>0</v>
      </c>
      <c r="AK62" s="159" t="n">
        <f aca="false">IF($B62=" ",0,AK$25*(1+AK$30)^(IF(AK$28&gt;$B62,-1,1)*(YEARFRAC($B62,AK$28))))</f>
        <v>0.027031990778281</v>
      </c>
      <c r="AL62" s="159" t="n">
        <f aca="false">IF($B62=" ",0,AL$25*AL$28)</f>
        <v>0.0575</v>
      </c>
      <c r="AM62" s="162" t="n">
        <f aca="false">+AI62+AJ62+SUM(AK62:AL62)*SUM($J62*$J$37,$K62*$K$37,$L62*$L$37,$M62*$M$37,$N62*$N$37,$O62*$O$37)/1000</f>
        <v>0</v>
      </c>
      <c r="AN62" s="1"/>
      <c r="AO62" s="163" t="n">
        <f aca="false">IF($B62=" ",0,$AO$25)</f>
        <v>0.25</v>
      </c>
      <c r="AP62" s="159" t="n">
        <f aca="false">IF($B62=" ",0,AP$25*AP$28)</f>
        <v>0.03105</v>
      </c>
      <c r="AQ62" s="162" t="n">
        <f aca="false">SUM(AO62:AP62)*SUM(0)/1000</f>
        <v>0</v>
      </c>
      <c r="AR62" s="1"/>
      <c r="AS62" s="155" t="n">
        <f aca="false">IF($B62=" ",0,AS$25)</f>
        <v>1</v>
      </c>
      <c r="AT62" s="156" t="n">
        <f aca="false">IF($B62=" ",0,AT$25)</f>
        <v>1</v>
      </c>
      <c r="AU62" s="156" t="n">
        <f aca="false">IF($B62=" ",0,AU$25)</f>
        <v>2.3</v>
      </c>
      <c r="AV62" s="157" t="n">
        <f aca="false">+AS62*SUM(J62:K62)/1000</f>
        <v>0</v>
      </c>
      <c r="AW62" s="157" t="n">
        <f aca="false">+AT62*SUM(L62:M62)/1000</f>
        <v>0</v>
      </c>
      <c r="AX62" s="157" t="n">
        <f aca="false">+AU62*SUM(N62:O62)/1000</f>
        <v>0</v>
      </c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</row>
    <row r="63" customFormat="false" ht="12.75" hidden="false" customHeight="false" outlineLevel="0" collapsed="false">
      <c r="A63" s="147" t="n">
        <f aca="false">+IF(B63=" ",A62,B63)</f>
        <v>37196</v>
      </c>
      <c r="B63" s="148" t="n">
        <f aca="false">IF(B62=" "," ",IF(EDATE(B62,1)&gt;=EndDate," ",EDATE(B62,1)))</f>
        <v>37196</v>
      </c>
      <c r="C63" s="149" t="n">
        <f aca="false">IF($B63&lt;&gt;" ",C62+1,C62)</f>
        <v>13</v>
      </c>
      <c r="D63" s="150" t="n">
        <f aca="false">C63/12</f>
        <v>1.08333333333333</v>
      </c>
      <c r="E63" s="1"/>
      <c r="F63" s="157" t="n">
        <f aca="false">+SUM($T63:$U63)</f>
        <v>0</v>
      </c>
      <c r="G63" s="152" t="n">
        <f aca="false">-SUM($AA63,$AG63,$AM63,$AQ63,$AV63:$AX63)</f>
        <v>-651.585833333333</v>
      </c>
      <c r="H63" s="152" t="n">
        <f aca="false">+SUM(F63:G63)</f>
        <v>-651.585833333333</v>
      </c>
      <c r="I63" s="124"/>
      <c r="J63" s="153" t="n">
        <f aca="false">+IF($B63=" ",0,IF(AND($B63&gt;=J$26,$B63&lt;J$28),J$33,0))</f>
        <v>0</v>
      </c>
      <c r="K63" s="153" t="n">
        <f aca="false">+IF($B63=" ",0,IF(AND($B63&gt;=K$26,$B63&lt;K$28),K$33,0))</f>
        <v>0</v>
      </c>
      <c r="L63" s="153" t="n">
        <f aca="false">+IF($B63=" ",0,IF(AND($B63&gt;=L$26,$B63&lt;L$28),L$33,0))</f>
        <v>0</v>
      </c>
      <c r="M63" s="153" t="n">
        <f aca="false">+IF($B63=" ",0,IF(AND($B63&gt;=M$26,$B63&lt;M$28),M$33,0))</f>
        <v>0</v>
      </c>
      <c r="N63" s="153" t="n">
        <f aca="false">+IF($B63=" ",0,IF(AND($B63&gt;=N$26,$B63&lt;N$28),N$33,0))</f>
        <v>0</v>
      </c>
      <c r="O63" s="154" t="n">
        <f aca="false">+IF($B63=" ",0,IF(AND($B63&gt;=O$26,$B63&lt;O$28),O$33,0))</f>
        <v>0</v>
      </c>
      <c r="P63" s="1"/>
      <c r="Q63" s="83" t="n">
        <f aca="false">IF($B63=" ",0,IF($B63&lt;=DATE(2003,12,31),3.55,2.9))</f>
        <v>3.55</v>
      </c>
      <c r="R63" s="155" t="n">
        <f aca="false">IF($B63=" ",0,R$25)</f>
        <v>-0.07</v>
      </c>
      <c r="S63" s="156" t="n">
        <f aca="false">IF($B63=" ",0,S$25)</f>
        <v>0.1</v>
      </c>
      <c r="T63" s="157" t="n">
        <f aca="false">+SUM($Q63,$S63)/1000*(SUM($J63*$J$37,$K63*$K$37,$L63*$L$37,$M63*$M$37,$N63*$N$37,$O63*$O$37))</f>
        <v>0</v>
      </c>
      <c r="U63" s="157" t="n">
        <f aca="false">+SUM($Q63,$R63)/1000*(SUM(0))</f>
        <v>0</v>
      </c>
      <c r="V63" s="1"/>
      <c r="W63" s="158" t="n">
        <f aca="false">IF($B63=" ",0,1)*(IF($B63&gt;=W$25,1,0)*IF($B63&lt;=W$29,W$27,IF($B63&lt;=W$33,W$31,0))*($D63-$D62)*365/1000)</f>
        <v>288.958333333333</v>
      </c>
      <c r="X63" s="158" t="n">
        <f aca="false">IF($B63=" ",0,IF($B63&gt;=X$25,IF($B63&lt;=X$29,X$27,IF($B63&lt;=X$33,X$31,X$31*(1+X$38)^(IF(X$36&gt;$B63,-1,1)*(YEARFRAC($B63,X$36)))))*($D63-$D62)*365/1000,0))</f>
        <v>362.6275</v>
      </c>
      <c r="Y63" s="159" t="n">
        <f aca="false">IF($B63=" ",0,Y$25*(1+Y$30)^(IF(Y$28&gt;$B63,-1,1)*(YEARFRAC($B63,Y$28))))</f>
        <v>0.45457964336606</v>
      </c>
      <c r="Z63" s="159" t="n">
        <f aca="false">IF($B63=" ",0,Z$25*(1+Z$30)^(IF(Z$28&gt;$B63,-1,1)*(YEARFRAC($B63,Z$28))))</f>
        <v>0.433954884238883</v>
      </c>
      <c r="AA63" s="162" t="n">
        <f aca="false">+W63+X63+Z63*SUM($J63*$J$37,$L63*$L$37,$N63*$N$37)/1000</f>
        <v>651.585833333333</v>
      </c>
      <c r="AB63" s="161"/>
      <c r="AC63" s="158" t="n">
        <f aca="false">IF($B63=" ",0,1)*(IF($B63&gt;=AC$25,1,0)*IF($B63&lt;=AC$29,AC$27,IF($B63&lt;=AC$33,AC$31,0))*($D63-$D62)*365/1000)</f>
        <v>0</v>
      </c>
      <c r="AD63" s="158" t="n">
        <f aca="false">IF($B63=" ",0,IF($B63&gt;=AD$25,IF($B63&lt;=AD$29,AD$27,IF($B63&lt;=AD$33,AD$31,AD$31*(1+AD$38)^(IF(AD$36&gt;$B63,-1,1)*(YEARFRAC($B63,AD$36)))))*($D63-$D62)*365/1000,0))</f>
        <v>0</v>
      </c>
      <c r="AE63" s="159" t="n">
        <f aca="false">IF($B63=" ",0,AE$25*(1+AE$30)^(IF(AE$28&gt;$B63,-1,1)*(YEARFRAC($B63,AE$28))))</f>
        <v>0.376616831094267</v>
      </c>
      <c r="AF63" s="159" t="n">
        <f aca="false">IF($B63=" ",0,AF$25*(1+AF$30)^(IF(AF$28&gt;$B63,-1,1)*(YEARFRAC($B63,AF$28))))</f>
        <v>0.135129264895834</v>
      </c>
      <c r="AG63" s="162" t="n">
        <f aca="false">+AC63+AD63+AF63*SUM($K63*$K$37,$M63*$M$37,$O63*$O$37)/1000</f>
        <v>0</v>
      </c>
      <c r="AH63" s="1"/>
      <c r="AI63" s="158" t="n">
        <f aca="false">IF($B63=" ",0,1)*IF($B63&gt;=AI$33,AI$25*($D63-$D62),0)</f>
        <v>0</v>
      </c>
      <c r="AJ63" s="158" t="n">
        <f aca="false">IF($B63=" ",0,IF($B63&gt;=AJ$33,AJ$25*(1+AJ$30)^(IF(AJ$28&gt;$B63,-1,1)*(YEARFRAC($B63,AJ$28)))*($D63-$D62),0))</f>
        <v>0</v>
      </c>
      <c r="AK63" s="159" t="n">
        <f aca="false">IF($B63=" ",0,AK$25*(1+AK$30)^(IF(AK$28&gt;$B63,-1,1)*(YEARFRAC($B63,AK$28))))</f>
        <v>0.0270599890549989</v>
      </c>
      <c r="AL63" s="159" t="n">
        <f aca="false">IF($B63=" ",0,AL$25*AL$28)</f>
        <v>0.0575</v>
      </c>
      <c r="AM63" s="162" t="n">
        <f aca="false">+AI63+AJ63+SUM(AK63:AL63)*SUM($J63*$J$37,$K63*$K$37,$L63*$L$37,$M63*$M$37,$N63*$N$37,$O63*$O$37)/1000</f>
        <v>0</v>
      </c>
      <c r="AN63" s="1"/>
      <c r="AO63" s="163" t="n">
        <f aca="false">IF($B63=" ",0,$AO$25)</f>
        <v>0.25</v>
      </c>
      <c r="AP63" s="159" t="n">
        <f aca="false">IF($B63=" ",0,AP$25*AP$28)</f>
        <v>0.03105</v>
      </c>
      <c r="AQ63" s="162" t="n">
        <f aca="false">SUM(AO63:AP63)*SUM(0)/1000</f>
        <v>0</v>
      </c>
      <c r="AR63" s="1"/>
      <c r="AS63" s="155" t="n">
        <f aca="false">IF($B63=" ",0,AS$25)</f>
        <v>1</v>
      </c>
      <c r="AT63" s="156" t="n">
        <f aca="false">IF($B63=" ",0,AT$25)</f>
        <v>1</v>
      </c>
      <c r="AU63" s="156" t="n">
        <f aca="false">IF($B63=" ",0,AU$25)</f>
        <v>2.3</v>
      </c>
      <c r="AV63" s="157" t="n">
        <f aca="false">+AS63*SUM(J63:K63)/1000</f>
        <v>0</v>
      </c>
      <c r="AW63" s="157" t="n">
        <f aca="false">+AT63*SUM(L63:M63)/1000</f>
        <v>0</v>
      </c>
      <c r="AX63" s="157" t="n">
        <f aca="false">+AU63*SUM(N63:O63)/1000</f>
        <v>0</v>
      </c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</row>
    <row r="64" customFormat="false" ht="12.75" hidden="false" customHeight="false" outlineLevel="0" collapsed="false">
      <c r="A64" s="147" t="n">
        <f aca="false">+IF(B64=" ",A63,B64)</f>
        <v>37226</v>
      </c>
      <c r="B64" s="148" t="n">
        <f aca="false">IF(B63=" "," ",IF(EDATE(B63,1)&gt;=EndDate," ",EDATE(B63,1)))</f>
        <v>37226</v>
      </c>
      <c r="C64" s="149" t="n">
        <f aca="false">IF($B64&lt;&gt;" ",C63+1,C63)</f>
        <v>14</v>
      </c>
      <c r="D64" s="150" t="n">
        <f aca="false">C64/12</f>
        <v>1.16666666666667</v>
      </c>
      <c r="E64" s="1"/>
      <c r="F64" s="157" t="n">
        <f aca="false">+SUM($T64:$U64)</f>
        <v>0</v>
      </c>
      <c r="G64" s="152" t="n">
        <f aca="false">-SUM($AA64,$AG64,$AM64,$AQ64,$AV64:$AX64)</f>
        <v>-651.585833333334</v>
      </c>
      <c r="H64" s="152" t="n">
        <f aca="false">+SUM(F64:G64)</f>
        <v>-651.585833333334</v>
      </c>
      <c r="I64" s="124"/>
      <c r="J64" s="153" t="n">
        <f aca="false">+IF($B64=" ",0,IF(AND($B64&gt;=J$26,$B64&lt;J$28),J$33,0))</f>
        <v>0</v>
      </c>
      <c r="K64" s="153" t="n">
        <f aca="false">+IF($B64=" ",0,IF(AND($B64&gt;=K$26,$B64&lt;K$28),K$33,0))</f>
        <v>0</v>
      </c>
      <c r="L64" s="153" t="n">
        <f aca="false">+IF($B64=" ",0,IF(AND($B64&gt;=L$26,$B64&lt;L$28),L$33,0))</f>
        <v>0</v>
      </c>
      <c r="M64" s="153" t="n">
        <f aca="false">+IF($B64=" ",0,IF(AND($B64&gt;=M$26,$B64&lt;M$28),M$33,0))</f>
        <v>0</v>
      </c>
      <c r="N64" s="153" t="n">
        <f aca="false">+IF($B64=" ",0,IF(AND($B64&gt;=N$26,$B64&lt;N$28),N$33,0))</f>
        <v>0</v>
      </c>
      <c r="O64" s="154" t="n">
        <f aca="false">+IF($B64=" ",0,IF(AND($B64&gt;=O$26,$B64&lt;O$28),O$33,0))</f>
        <v>0</v>
      </c>
      <c r="P64" s="1"/>
      <c r="Q64" s="83" t="n">
        <f aca="false">IF($B64=" ",0,IF($B64&lt;=DATE(2003,12,31),3.55,2.9))</f>
        <v>3.55</v>
      </c>
      <c r="R64" s="155" t="n">
        <f aca="false">IF($B64=" ",0,R$25)</f>
        <v>-0.07</v>
      </c>
      <c r="S64" s="156" t="n">
        <f aca="false">IF($B64=" ",0,S$25)</f>
        <v>0.1</v>
      </c>
      <c r="T64" s="157" t="n">
        <f aca="false">+SUM($Q64,$S64)/1000*(SUM($J64*$J$37,$K64*$K$37,$L64*$L$37,$M64*$M$37,$N64*$N$37,$O64*$O$37))</f>
        <v>0</v>
      </c>
      <c r="U64" s="157" t="n">
        <f aca="false">+SUM($Q64,$R64)/1000*(SUM(0))</f>
        <v>0</v>
      </c>
      <c r="V64" s="1"/>
      <c r="W64" s="158" t="n">
        <f aca="false">IF($B64=" ",0,1)*(IF($B64&gt;=W$25,1,0)*IF($B64&lt;=W$29,W$27,IF($B64&lt;=W$33,W$31,0))*($D64-$D63)*365/1000)</f>
        <v>288.958333333334</v>
      </c>
      <c r="X64" s="158" t="n">
        <f aca="false">IF($B64=" ",0,IF($B64&gt;=X$25,IF($B64&lt;=X$29,X$27,IF($B64&lt;=X$33,X$31,X$31*(1+X$38)^(IF(X$36&gt;$B64,-1,1)*(YEARFRAC($B64,X$36)))))*($D64-$D63)*365/1000,0))</f>
        <v>362.627500000001</v>
      </c>
      <c r="Y64" s="159" t="n">
        <f aca="false">IF($B64=" ",0,Y$25*(1+Y$30)^(IF(Y$28&gt;$B64,-1,1)*(YEARFRAC($B64,Y$28))))</f>
        <v>0.455206231827073</v>
      </c>
      <c r="Z64" s="159" t="n">
        <f aca="false">IF($B64=" ",0,Z$25*(1+Z$30)^(IF(Z$28&gt;$B64,-1,1)*(YEARFRAC($B64,Z$28))))</f>
        <v>0.434553043718817</v>
      </c>
      <c r="AA64" s="162" t="n">
        <f aca="false">+W64+X64+Z64*SUM($J64*$J$37,$L64*$L$37,$N64*$N$37)/1000</f>
        <v>651.585833333334</v>
      </c>
      <c r="AB64" s="161"/>
      <c r="AC64" s="158" t="n">
        <f aca="false">IF($B64=" ",0,1)*(IF($B64&gt;=AC$25,1,0)*IF($B64&lt;=AC$29,AC$27,IF($B64&lt;=AC$33,AC$31,0))*($D64-$D63)*365/1000)</f>
        <v>0</v>
      </c>
      <c r="AD64" s="158" t="n">
        <f aca="false">IF($B64=" ",0,IF($B64&gt;=AD$25,IF($B64&lt;=AD$29,AD$27,IF($B64&lt;=AD$33,AD$31,AD$31*(1+AD$38)^(IF(AD$36&gt;$B64,-1,1)*(YEARFRAC($B64,AD$36)))))*($D64-$D63)*365/1000,0))</f>
        <v>0</v>
      </c>
      <c r="AE64" s="159" t="n">
        <f aca="false">IF($B64=" ",0,AE$25*(1+AE$30)^(IF(AE$28&gt;$B64,-1,1)*(YEARFRAC($B64,AE$28))))</f>
        <v>0.377135956321343</v>
      </c>
      <c r="AF64" s="159" t="n">
        <f aca="false">IF($B64=" ",0,AF$25*(1+AF$30)^(IF(AF$28&gt;$B64,-1,1)*(YEARFRAC($B64,AF$28))))</f>
        <v>0.135315525850024</v>
      </c>
      <c r="AG64" s="162" t="n">
        <f aca="false">+AC64+AD64+AF64*SUM($K64*$K$37,$M64*$M$37,$O64*$O$37)/1000</f>
        <v>0</v>
      </c>
      <c r="AH64" s="1"/>
      <c r="AI64" s="158" t="n">
        <f aca="false">IF($B64=" ",0,1)*IF($B64&gt;=AI$33,AI$25*($D64-$D63),0)</f>
        <v>0</v>
      </c>
      <c r="AJ64" s="158" t="n">
        <f aca="false">IF($B64=" ",0,IF($B64&gt;=AJ$33,AJ$25*(1+AJ$30)^(IF(AJ$28&gt;$B64,-1,1)*(YEARFRAC($B64,AJ$28)))*($D64-$D63),0))</f>
        <v>0</v>
      </c>
      <c r="AK64" s="159" t="n">
        <f aca="false">IF($B64=" ",0,AK$25*(1+AK$30)^(IF(AK$28&gt;$B64,-1,1)*(YEARFRAC($B64,AK$28))))</f>
        <v>0.0270880163308204</v>
      </c>
      <c r="AL64" s="159" t="n">
        <f aca="false">IF($B64=" ",0,AL$25*AL$28)</f>
        <v>0.0575</v>
      </c>
      <c r="AM64" s="162" t="n">
        <f aca="false">+AI64+AJ64+SUM(AK64:AL64)*SUM($J64*$J$37,$K64*$K$37,$L64*$L$37,$M64*$M$37,$N64*$N$37,$O64*$O$37)/1000</f>
        <v>0</v>
      </c>
      <c r="AN64" s="1"/>
      <c r="AO64" s="163" t="n">
        <f aca="false">IF($B64=" ",0,$AO$25)</f>
        <v>0.25</v>
      </c>
      <c r="AP64" s="159" t="n">
        <f aca="false">IF($B64=" ",0,AP$25*AP$28)</f>
        <v>0.03105</v>
      </c>
      <c r="AQ64" s="162" t="n">
        <f aca="false">SUM(AO64:AP64)*SUM(0)/1000</f>
        <v>0</v>
      </c>
      <c r="AR64" s="1"/>
      <c r="AS64" s="155" t="n">
        <f aca="false">IF($B64=" ",0,AS$25)</f>
        <v>1</v>
      </c>
      <c r="AT64" s="156" t="n">
        <f aca="false">IF($B64=" ",0,AT$25)</f>
        <v>1</v>
      </c>
      <c r="AU64" s="156" t="n">
        <f aca="false">IF($B64=" ",0,AU$25)</f>
        <v>2.3</v>
      </c>
      <c r="AV64" s="157" t="n">
        <f aca="false">+AS64*SUM(J64:K64)/1000</f>
        <v>0</v>
      </c>
      <c r="AW64" s="157" t="n">
        <f aca="false">+AT64*SUM(L64:M64)/1000</f>
        <v>0</v>
      </c>
      <c r="AX64" s="157" t="n">
        <f aca="false">+AU64*SUM(N64:O64)/1000</f>
        <v>0</v>
      </c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</row>
    <row r="65" customFormat="false" ht="12.75" hidden="false" customHeight="false" outlineLevel="0" collapsed="false">
      <c r="A65" s="147" t="n">
        <f aca="false">+IF(B65=" ",A64,B65)</f>
        <v>37257</v>
      </c>
      <c r="B65" s="148" t="n">
        <f aca="false">IF(B64=" "," ",IF(EDATE(B64,1)&gt;=EndDate," ",EDATE(B64,1)))</f>
        <v>37257</v>
      </c>
      <c r="C65" s="149" t="n">
        <f aca="false">IF($B65&lt;&gt;" ",C64+1,C64)</f>
        <v>15</v>
      </c>
      <c r="D65" s="150" t="n">
        <f aca="false">C65/12</f>
        <v>1.25</v>
      </c>
      <c r="E65" s="1"/>
      <c r="F65" s="157" t="n">
        <f aca="false">+SUM($T65:$U65)</f>
        <v>0</v>
      </c>
      <c r="G65" s="152" t="n">
        <f aca="false">-SUM($AA65,$AG65,$AM65,$AQ65,$AV65:$AX65)</f>
        <v>-651.602483658475</v>
      </c>
      <c r="H65" s="152" t="n">
        <f aca="false">+SUM(F65:G65)</f>
        <v>-651.602483658475</v>
      </c>
      <c r="I65" s="124"/>
      <c r="J65" s="153" t="n">
        <f aca="false">+IF($B65=" ",0,IF(AND($B65&gt;=J$26,$B65&lt;J$28),J$33,0))</f>
        <v>0</v>
      </c>
      <c r="K65" s="153" t="n">
        <f aca="false">+IF($B65=" ",0,IF(AND($B65&gt;=K$26,$B65&lt;K$28),K$33,0))</f>
        <v>0</v>
      </c>
      <c r="L65" s="153" t="n">
        <f aca="false">+IF($B65=" ",0,IF(AND($B65&gt;=L$26,$B65&lt;L$28),L$33,0))</f>
        <v>0</v>
      </c>
      <c r="M65" s="153" t="n">
        <f aca="false">+IF($B65=" ",0,IF(AND($B65&gt;=M$26,$B65&lt;M$28),M$33,0))</f>
        <v>0</v>
      </c>
      <c r="N65" s="153" t="n">
        <f aca="false">+IF($B65=" ",0,IF(AND($B65&gt;=N$26,$B65&lt;N$28),N$33,0))</f>
        <v>0</v>
      </c>
      <c r="O65" s="154" t="n">
        <f aca="false">+IF($B65=" ",0,IF(AND($B65&gt;=O$26,$B65&lt;O$28),O$33,0))</f>
        <v>0</v>
      </c>
      <c r="P65" s="1"/>
      <c r="Q65" s="83" t="n">
        <f aca="false">IF($B65=" ",0,IF($B65&lt;=DATE(2003,12,31),3.55,2.9))</f>
        <v>3.55</v>
      </c>
      <c r="R65" s="155" t="n">
        <f aca="false">IF($B65=" ",0,R$25)</f>
        <v>-0.07</v>
      </c>
      <c r="S65" s="156" t="n">
        <f aca="false">IF($B65=" ",0,S$25)</f>
        <v>0.1</v>
      </c>
      <c r="T65" s="157" t="n">
        <f aca="false">+SUM($Q65,$S65)/1000*(SUM($J65*$J$37,$K65*$K$37,$L65*$L$37,$M65*$M$37,$N65*$N$37,$O65*$O$37))</f>
        <v>0</v>
      </c>
      <c r="U65" s="157" t="n">
        <f aca="false">+SUM($Q65,$R65)/1000*(SUM(0))</f>
        <v>0</v>
      </c>
      <c r="V65" s="1"/>
      <c r="W65" s="158" t="n">
        <f aca="false">IF($B65=" ",0,1)*(IF($B65&gt;=W$25,1,0)*IF($B65&lt;=W$29,W$27,IF($B65&lt;=W$33,W$31,0))*($D65-$D64)*365/1000)</f>
        <v>288.958333333333</v>
      </c>
      <c r="X65" s="158" t="n">
        <f aca="false">IF($B65=" ",0,IF($B65&gt;=X$25,IF($B65&lt;=X$29,X$27,IF($B65&lt;=X$33,X$31,X$31*(1+X$38)^(IF(X$36&gt;$B65,-1,1)*(YEARFRAC($B65,X$36)))))*($D65-$D64)*365/1000,0))</f>
        <v>362.644150325142</v>
      </c>
      <c r="Y65" s="159" t="n">
        <f aca="false">IF($B65=" ",0,Y$25*(1+Y$30)^(IF(Y$28&gt;$B65,-1,1)*(YEARFRAC($B65,Y$28))))</f>
        <v>0.455833683971942</v>
      </c>
      <c r="Z65" s="159" t="n">
        <f aca="false">IF($B65=" ",0,Z$25*(1+Z$30)^(IF(Z$28&gt;$B65,-1,1)*(YEARFRAC($B65,Z$28))))</f>
        <v>0.435152027696357</v>
      </c>
      <c r="AA65" s="162" t="n">
        <f aca="false">+W65+X65+Z65*SUM($J65*$J$37,$L65*$L$37,$N65*$N$37)/1000</f>
        <v>651.602483658475</v>
      </c>
      <c r="AB65" s="161"/>
      <c r="AC65" s="158" t="n">
        <f aca="false">IF($B65=" ",0,1)*(IF($B65&gt;=AC$25,1,0)*IF($B65&lt;=AC$29,AC$27,IF($B65&lt;=AC$33,AC$31,0))*($D65-$D64)*365/1000)</f>
        <v>0</v>
      </c>
      <c r="AD65" s="158" t="n">
        <f aca="false">IF($B65=" ",0,IF($B65&gt;=AD$25,IF($B65&lt;=AD$29,AD$27,IF($B65&lt;=AD$33,AD$31,AD$31*(1+AD$38)^(IF(AD$36&gt;$B65,-1,1)*(YEARFRAC($B65,AD$36)))))*($D65-$D64)*365/1000,0))</f>
        <v>0</v>
      </c>
      <c r="AE65" s="159" t="n">
        <f aca="false">IF($B65=" ",0,AE$25*(1+AE$30)^(IF(AE$28&gt;$B65,-1,1)*(YEARFRAC($B65,AE$28))))</f>
        <v>0.377655797105929</v>
      </c>
      <c r="AF65" s="159" t="n">
        <f aca="false">IF($B65=" ",0,AF$25*(1+AF$30)^(IF(AF$28&gt;$B65,-1,1)*(YEARFRAC($B65,AF$28))))</f>
        <v>0.135502043544626</v>
      </c>
      <c r="AG65" s="162" t="n">
        <f aca="false">+AC65+AD65+AF65*SUM($K65*$K$37,$M65*$M$37,$O65*$O$37)/1000</f>
        <v>0</v>
      </c>
      <c r="AH65" s="1"/>
      <c r="AI65" s="158" t="n">
        <f aca="false">IF($B65=" ",0,1)*IF($B65&gt;=AI$33,AI$25*($D65-$D64),0)</f>
        <v>0</v>
      </c>
      <c r="AJ65" s="158" t="n">
        <f aca="false">IF($B65=" ",0,IF($B65&gt;=AJ$33,AJ$25*(1+AJ$30)^(IF(AJ$28&gt;$B65,-1,1)*(YEARFRAC($B65,AJ$28)))*($D65-$D64),0))</f>
        <v>0</v>
      </c>
      <c r="AK65" s="159" t="n">
        <f aca="false">IF($B65=" ",0,AK$25*(1+AK$30)^(IF(AK$28&gt;$B65,-1,1)*(YEARFRAC($B65,AK$28))))</f>
        <v>0.0271160726357812</v>
      </c>
      <c r="AL65" s="159" t="n">
        <f aca="false">IF($B65=" ",0,AL$25*AL$28)</f>
        <v>0.0575</v>
      </c>
      <c r="AM65" s="162" t="n">
        <f aca="false">+AI65+AJ65+SUM(AK65:AL65)*SUM($J65*$J$37,$K65*$K$37,$L65*$L$37,$M65*$M$37,$N65*$N$37,$O65*$O$37)/1000</f>
        <v>0</v>
      </c>
      <c r="AN65" s="1"/>
      <c r="AO65" s="163" t="n">
        <f aca="false">IF($B65=" ",0,$AO$25)</f>
        <v>0.25</v>
      </c>
      <c r="AP65" s="159" t="n">
        <f aca="false">IF($B65=" ",0,AP$25*AP$28)</f>
        <v>0.03105</v>
      </c>
      <c r="AQ65" s="162" t="n">
        <f aca="false">SUM(AO65:AP65)*SUM(0)/1000</f>
        <v>0</v>
      </c>
      <c r="AR65" s="1"/>
      <c r="AS65" s="155" t="n">
        <f aca="false">IF($B65=" ",0,AS$25)</f>
        <v>1</v>
      </c>
      <c r="AT65" s="156" t="n">
        <f aca="false">IF($B65=" ",0,AT$25)</f>
        <v>1</v>
      </c>
      <c r="AU65" s="156" t="n">
        <f aca="false">IF($B65=" ",0,AU$25)</f>
        <v>2.3</v>
      </c>
      <c r="AV65" s="157" t="n">
        <f aca="false">+AS65*SUM(J65:K65)/1000</f>
        <v>0</v>
      </c>
      <c r="AW65" s="157" t="n">
        <f aca="false">+AT65*SUM(L65:M65)/1000</f>
        <v>0</v>
      </c>
      <c r="AX65" s="157" t="n">
        <f aca="false">+AU65*SUM(N65:O65)/1000</f>
        <v>0</v>
      </c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</row>
    <row r="66" customFormat="false" ht="12.75" hidden="false" customHeight="false" outlineLevel="0" collapsed="false">
      <c r="A66" s="147" t="n">
        <f aca="false">+IF(B66=" ",A65,B66)</f>
        <v>37288</v>
      </c>
      <c r="B66" s="148" t="n">
        <f aca="false">IF(B65=" "," ",IF(EDATE(B65,1)&gt;=EndDate," ",EDATE(B65,1)))</f>
        <v>37288</v>
      </c>
      <c r="C66" s="149" t="n">
        <f aca="false">IF($B66&lt;&gt;" ",C65+1,C65)</f>
        <v>16</v>
      </c>
      <c r="D66" s="150" t="n">
        <f aca="false">C66/12</f>
        <v>1.33333333333333</v>
      </c>
      <c r="E66" s="1"/>
      <c r="F66" s="157" t="n">
        <f aca="false">+SUM($T66:$U66)</f>
        <v>0</v>
      </c>
      <c r="G66" s="152" t="n">
        <f aca="false">-SUM($AA66,$AG66,$AM66,$AQ66,$AV66:$AX66)</f>
        <v>-652.102349069</v>
      </c>
      <c r="H66" s="152" t="n">
        <f aca="false">+SUM(F66:G66)</f>
        <v>-652.102349069</v>
      </c>
      <c r="I66" s="124"/>
      <c r="J66" s="153" t="n">
        <f aca="false">+IF($B66=" ",0,IF(AND($B66&gt;=J$26,$B66&lt;J$28),J$33,0))</f>
        <v>0</v>
      </c>
      <c r="K66" s="153" t="n">
        <f aca="false">+IF($B66=" ",0,IF(AND($B66&gt;=K$26,$B66&lt;K$28),K$33,0))</f>
        <v>0</v>
      </c>
      <c r="L66" s="153" t="n">
        <f aca="false">+IF($B66=" ",0,IF(AND($B66&gt;=L$26,$B66&lt;L$28),L$33,0))</f>
        <v>0</v>
      </c>
      <c r="M66" s="153" t="n">
        <f aca="false">+IF($B66=" ",0,IF(AND($B66&gt;=M$26,$B66&lt;M$28),M$33,0))</f>
        <v>0</v>
      </c>
      <c r="N66" s="153" t="n">
        <f aca="false">+IF($B66=" ",0,IF(AND($B66&gt;=N$26,$B66&lt;N$28),N$33,0))</f>
        <v>0</v>
      </c>
      <c r="O66" s="154" t="n">
        <f aca="false">+IF($B66=" ",0,IF(AND($B66&gt;=O$26,$B66&lt;O$28),O$33,0))</f>
        <v>0</v>
      </c>
      <c r="P66" s="1"/>
      <c r="Q66" s="83" t="n">
        <f aca="false">IF($B66=" ",0,IF($B66&lt;=DATE(2003,12,31),3.55,2.9))</f>
        <v>3.55</v>
      </c>
      <c r="R66" s="155" t="n">
        <f aca="false">IF($B66=" ",0,R$25)</f>
        <v>-0.07</v>
      </c>
      <c r="S66" s="156" t="n">
        <f aca="false">IF($B66=" ",0,S$25)</f>
        <v>0.1</v>
      </c>
      <c r="T66" s="157" t="n">
        <f aca="false">+SUM($Q66,$S66)/1000*(SUM($J66*$J$37,$K66*$K$37,$L66*$L$37,$M66*$M$37,$N66*$N$37,$O66*$O$37))</f>
        <v>0</v>
      </c>
      <c r="U66" s="157" t="n">
        <f aca="false">+SUM($Q66,$R66)/1000*(SUM(0))</f>
        <v>0</v>
      </c>
      <c r="V66" s="1"/>
      <c r="W66" s="158" t="n">
        <f aca="false">IF($B66=" ",0,1)*(IF($B66&gt;=W$25,1,0)*IF($B66&lt;=W$29,W$27,IF($B66&lt;=W$33,W$31,0))*($D66-$D65)*365/1000)</f>
        <v>288.958333333333</v>
      </c>
      <c r="X66" s="158" t="n">
        <f aca="false">IF($B66=" ",0,IF($B66&gt;=X$25,IF($B66&lt;=X$29,X$27,IF($B66&lt;=X$33,X$31,X$31*(1+X$38)^(IF(X$36&gt;$B66,-1,1)*(YEARFRAC($B66,X$36)))))*($D66-$D65)*365/1000,0))</f>
        <v>363.144015735667</v>
      </c>
      <c r="Y66" s="159" t="n">
        <f aca="false">IF($B66=" ",0,Y$25*(1+Y$30)^(IF(Y$28&gt;$B66,-1,1)*(YEARFRAC($B66,Y$28))))</f>
        <v>0.456462000991162</v>
      </c>
      <c r="Z66" s="159" t="n">
        <f aca="false">IF($B66=" ",0,Z$25*(1+Z$30)^(IF(Z$28&gt;$B66,-1,1)*(YEARFRAC($B66,Z$28))))</f>
        <v>0.435751837307984</v>
      </c>
      <c r="AA66" s="162" t="n">
        <f aca="false">+W66+X66+Z66*SUM($J66*$J$37,$L66*$L$37,$N66*$N$37)/1000</f>
        <v>652.102349069</v>
      </c>
      <c r="AB66" s="161"/>
      <c r="AC66" s="158" t="n">
        <f aca="false">IF($B66=" ",0,1)*(IF($B66&gt;=AC$25,1,0)*IF($B66&lt;=AC$29,AC$27,IF($B66&lt;=AC$33,AC$31,0))*($D66-$D65)*365/1000)</f>
        <v>0</v>
      </c>
      <c r="AD66" s="158" t="n">
        <f aca="false">IF($B66=" ",0,IF($B66&gt;=AD$25,IF($B66&lt;=AD$29,AD$27,IF($B66&lt;=AD$33,AD$31,AD$31*(1+AD$38)^(IF(AD$36&gt;$B66,-1,1)*(YEARFRAC($B66,AD$36)))))*($D66-$D65)*365/1000,0))</f>
        <v>0</v>
      </c>
      <c r="AE66" s="159" t="n">
        <f aca="false">IF($B66=" ",0,AE$25*(1+AE$30)^(IF(AE$28&gt;$B66,-1,1)*(YEARFRAC($B66,AE$28))))</f>
        <v>0.378176354434341</v>
      </c>
      <c r="AF66" s="159" t="n">
        <f aca="false">IF($B66=" ",0,AF$25*(1+AF$30)^(IF(AF$28&gt;$B66,-1,1)*(YEARFRAC($B66,AF$28))))</f>
        <v>0.135688818333528</v>
      </c>
      <c r="AG66" s="162" t="n">
        <f aca="false">+AC66+AD66+AF66*SUM($K66*$K$37,$M66*$M$37,$O66*$O$37)/1000</f>
        <v>0</v>
      </c>
      <c r="AH66" s="1"/>
      <c r="AI66" s="158" t="n">
        <f aca="false">IF($B66=" ",0,1)*IF($B66&gt;=AI$33,AI$25*($D66-$D65),0)</f>
        <v>0</v>
      </c>
      <c r="AJ66" s="158" t="n">
        <f aca="false">IF($B66=" ",0,IF($B66&gt;=AJ$33,AJ$25*(1+AJ$30)^(IF(AJ$28&gt;$B66,-1,1)*(YEARFRAC($B66,AJ$28)))*($D66-$D65),0))</f>
        <v>0</v>
      </c>
      <c r="AK66" s="159" t="n">
        <f aca="false">IF($B66=" ",0,AK$25*(1+AK$30)^(IF(AK$28&gt;$B66,-1,1)*(YEARFRAC($B66,AK$28))))</f>
        <v>0.0271441579999479</v>
      </c>
      <c r="AL66" s="159" t="n">
        <f aca="false">IF($B66=" ",0,AL$25*AL$28)</f>
        <v>0.0575</v>
      </c>
      <c r="AM66" s="162" t="n">
        <f aca="false">+AI66+AJ66+SUM(AK66:AL66)*SUM($J66*$J$37,$K66*$K$37,$L66*$L$37,$M66*$M$37,$N66*$N$37,$O66*$O$37)/1000</f>
        <v>0</v>
      </c>
      <c r="AN66" s="1"/>
      <c r="AO66" s="163" t="n">
        <f aca="false">IF($B66=" ",0,$AO$25)</f>
        <v>0.25</v>
      </c>
      <c r="AP66" s="159" t="n">
        <f aca="false">IF($B66=" ",0,AP$25*AP$28)</f>
        <v>0.03105</v>
      </c>
      <c r="AQ66" s="162" t="n">
        <f aca="false">SUM(AO66:AP66)*SUM(0)/1000</f>
        <v>0</v>
      </c>
      <c r="AR66" s="1"/>
      <c r="AS66" s="155" t="n">
        <f aca="false">IF($B66=" ",0,AS$25)</f>
        <v>1</v>
      </c>
      <c r="AT66" s="156" t="n">
        <f aca="false">IF($B66=" ",0,AT$25)</f>
        <v>1</v>
      </c>
      <c r="AU66" s="156" t="n">
        <f aca="false">IF($B66=" ",0,AU$25)</f>
        <v>2.3</v>
      </c>
      <c r="AV66" s="157" t="n">
        <f aca="false">+AS66*SUM(J66:K66)/1000</f>
        <v>0</v>
      </c>
      <c r="AW66" s="157" t="n">
        <f aca="false">+AT66*SUM(L66:M66)/1000</f>
        <v>0</v>
      </c>
      <c r="AX66" s="157" t="n">
        <f aca="false">+AU66*SUM(N66:O66)/1000</f>
        <v>0</v>
      </c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</row>
    <row r="67" customFormat="false" ht="12.75" hidden="false" customHeight="false" outlineLevel="0" collapsed="false">
      <c r="A67" s="147" t="n">
        <f aca="false">+IF(B67=" ",A66,B67)</f>
        <v>37316</v>
      </c>
      <c r="B67" s="148" t="n">
        <f aca="false">IF(B66=" "," ",IF(EDATE(B66,1)&gt;=EndDate," ",EDATE(B66,1)))</f>
        <v>37316</v>
      </c>
      <c r="C67" s="149" t="n">
        <f aca="false">IF($B67&lt;&gt;" ",C66+1,C66)</f>
        <v>17</v>
      </c>
      <c r="D67" s="150" t="n">
        <f aca="false">C67/12</f>
        <v>1.41666666666667</v>
      </c>
      <c r="E67" s="1"/>
      <c r="F67" s="157" t="n">
        <f aca="false">+SUM($T67:$U67)</f>
        <v>0</v>
      </c>
      <c r="G67" s="152" t="n">
        <f aca="false">-SUM($AA67,$AG67,$AM67,$AQ67,$AV67:$AX67)</f>
        <v>-652.602903489479</v>
      </c>
      <c r="H67" s="152" t="n">
        <f aca="false">+SUM(F67:G67)</f>
        <v>-652.602903489479</v>
      </c>
      <c r="I67" s="124"/>
      <c r="J67" s="153" t="n">
        <f aca="false">+IF($B67=" ",0,IF(AND($B67&gt;=J$26,$B67&lt;J$28),J$33,0))</f>
        <v>0</v>
      </c>
      <c r="K67" s="153" t="n">
        <f aca="false">+IF($B67=" ",0,IF(AND($B67&gt;=K$26,$B67&lt;K$28),K$33,0))</f>
        <v>0</v>
      </c>
      <c r="L67" s="153" t="n">
        <f aca="false">+IF($B67=" ",0,IF(AND($B67&gt;=L$26,$B67&lt;L$28),L$33,0))</f>
        <v>0</v>
      </c>
      <c r="M67" s="153" t="n">
        <f aca="false">+IF($B67=" ",0,IF(AND($B67&gt;=M$26,$B67&lt;M$28),M$33,0))</f>
        <v>0</v>
      </c>
      <c r="N67" s="153" t="n">
        <f aca="false">+IF($B67=" ",0,IF(AND($B67&gt;=N$26,$B67&lt;N$28),N$33,0))</f>
        <v>0</v>
      </c>
      <c r="O67" s="154" t="n">
        <f aca="false">+IF($B67=" ",0,IF(AND($B67&gt;=O$26,$B67&lt;O$28),O$33,0))</f>
        <v>0</v>
      </c>
      <c r="P67" s="1"/>
      <c r="Q67" s="83" t="n">
        <f aca="false">IF($B67=" ",0,IF($B67&lt;=DATE(2003,12,31),3.55,2.9))</f>
        <v>3.55</v>
      </c>
      <c r="R67" s="155" t="n">
        <f aca="false">IF($B67=" ",0,R$25)</f>
        <v>-0.07</v>
      </c>
      <c r="S67" s="156" t="n">
        <f aca="false">IF($B67=" ",0,S$25)</f>
        <v>0.1</v>
      </c>
      <c r="T67" s="157" t="n">
        <f aca="false">+SUM($Q67,$S67)/1000*(SUM($J67*$J$37,$K67*$K$37,$L67*$L$37,$M67*$M$37,$N67*$N$37,$O67*$O$37))</f>
        <v>0</v>
      </c>
      <c r="U67" s="157" t="n">
        <f aca="false">+SUM($Q67,$R67)/1000*(SUM(0))</f>
        <v>0</v>
      </c>
      <c r="V67" s="1"/>
      <c r="W67" s="158" t="n">
        <f aca="false">IF($B67=" ",0,1)*(IF($B67&gt;=W$25,1,0)*IF($B67&lt;=W$29,W$27,IF($B67&lt;=W$33,W$31,0))*($D67-$D66)*365/1000)</f>
        <v>288.958333333334</v>
      </c>
      <c r="X67" s="158" t="n">
        <f aca="false">IF($B67=" ",0,IF($B67&gt;=X$25,IF($B67&lt;=X$29,X$27,IF($B67&lt;=X$33,X$31,X$31*(1+X$38)^(IF(X$36&gt;$B67,-1,1)*(YEARFRAC($B67,X$36)))))*($D67-$D66)*365/1000,0))</f>
        <v>363.644570156145</v>
      </c>
      <c r="Y67" s="159" t="n">
        <f aca="false">IF($B67=" ",0,Y$25*(1+Y$30)^(IF(Y$28&gt;$B67,-1,1)*(YEARFRAC($B67,Y$28))))</f>
        <v>0.457091184076867</v>
      </c>
      <c r="Z67" s="159" t="n">
        <f aca="false">IF($B67=" ",0,Z$25*(1+Z$30)^(IF(Z$28&gt;$B67,-1,1)*(YEARFRAC($B67,Z$28))))</f>
        <v>0.436352473691743</v>
      </c>
      <c r="AA67" s="162" t="n">
        <f aca="false">+W67+X67+Z67*SUM($J67*$J$37,$L67*$L$37,$N67*$N$37)/1000</f>
        <v>652.602903489479</v>
      </c>
      <c r="AB67" s="161"/>
      <c r="AC67" s="158" t="n">
        <f aca="false">IF($B67=" ",0,1)*(IF($B67&gt;=AC$25,1,0)*IF($B67&lt;=AC$29,AC$27,IF($B67&lt;=AC$33,AC$31,0))*($D67-$D66)*365/1000)</f>
        <v>0</v>
      </c>
      <c r="AD67" s="158" t="n">
        <f aca="false">IF($B67=" ",0,IF($B67&gt;=AD$25,IF($B67&lt;=AD$29,AD$27,IF($B67&lt;=AD$33,AD$31,AD$31*(1+AD$38)^(IF(AD$36&gt;$B67,-1,1)*(YEARFRAC($B67,AD$36)))))*($D67-$D66)*365/1000,0))</f>
        <v>0</v>
      </c>
      <c r="AE67" s="159" t="n">
        <f aca="false">IF($B67=" ",0,AE$25*(1+AE$30)^(IF(AE$28&gt;$B67,-1,1)*(YEARFRAC($B67,AE$28))))</f>
        <v>0.378697629294257</v>
      </c>
      <c r="AF67" s="159" t="n">
        <f aca="false">IF($B67=" ",0,AF$25*(1+AF$30)^(IF(AF$28&gt;$B67,-1,1)*(YEARFRAC($B67,AF$28))))</f>
        <v>0.135875850571106</v>
      </c>
      <c r="AG67" s="162" t="n">
        <f aca="false">+AC67+AD67+AF67*SUM($K67*$K$37,$M67*$M$37,$O67*$O$37)/1000</f>
        <v>0</v>
      </c>
      <c r="AH67" s="1"/>
      <c r="AI67" s="158" t="n">
        <f aca="false">IF($B67=" ",0,1)*IF($B67&gt;=AI$33,AI$25*($D67-$D66),0)</f>
        <v>0</v>
      </c>
      <c r="AJ67" s="158" t="n">
        <f aca="false">IF($B67=" ",0,IF($B67&gt;=AJ$33,AJ$25*(1+AJ$30)^(IF(AJ$28&gt;$B67,-1,1)*(YEARFRAC($B67,AJ$28)))*($D67-$D66),0))</f>
        <v>0</v>
      </c>
      <c r="AK67" s="159" t="n">
        <f aca="false">IF($B67=" ",0,AK$25*(1+AK$30)^(IF(AK$28&gt;$B67,-1,1)*(YEARFRAC($B67,AK$28))))</f>
        <v>0.0271722724534187</v>
      </c>
      <c r="AL67" s="159" t="n">
        <f aca="false">IF($B67=" ",0,AL$25*AL$28)</f>
        <v>0.0575</v>
      </c>
      <c r="AM67" s="162" t="n">
        <f aca="false">+AI67+AJ67+SUM(AK67:AL67)*SUM($J67*$J$37,$K67*$K$37,$L67*$L$37,$M67*$M$37,$N67*$N$37,$O67*$O$37)/1000</f>
        <v>0</v>
      </c>
      <c r="AN67" s="1"/>
      <c r="AO67" s="163" t="n">
        <f aca="false">IF($B67=" ",0,$AO$25)</f>
        <v>0.25</v>
      </c>
      <c r="AP67" s="159" t="n">
        <f aca="false">IF($B67=" ",0,AP$25*AP$28)</f>
        <v>0.03105</v>
      </c>
      <c r="AQ67" s="162" t="n">
        <f aca="false">SUM(AO67:AP67)*SUM(0)/1000</f>
        <v>0</v>
      </c>
      <c r="AR67" s="1"/>
      <c r="AS67" s="155" t="n">
        <f aca="false">IF($B67=" ",0,AS$25)</f>
        <v>1</v>
      </c>
      <c r="AT67" s="156" t="n">
        <f aca="false">IF($B67=" ",0,AT$25)</f>
        <v>1</v>
      </c>
      <c r="AU67" s="156" t="n">
        <f aca="false">IF($B67=" ",0,AU$25)</f>
        <v>2.3</v>
      </c>
      <c r="AV67" s="157" t="n">
        <f aca="false">+AS67*SUM(J67:K67)/1000</f>
        <v>0</v>
      </c>
      <c r="AW67" s="157" t="n">
        <f aca="false">+AT67*SUM(L67:M67)/1000</f>
        <v>0</v>
      </c>
      <c r="AX67" s="157" t="n">
        <f aca="false">+AU67*SUM(N67:O67)/1000</f>
        <v>0</v>
      </c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</row>
    <row r="68" customFormat="false" ht="12.75" hidden="false" customHeight="false" outlineLevel="0" collapsed="false">
      <c r="A68" s="147" t="n">
        <f aca="false">+IF(B68=" ",A67,B68)</f>
        <v>37347</v>
      </c>
      <c r="B68" s="148" t="n">
        <f aca="false">IF(B67=" "," ",IF(EDATE(B67,1)&gt;=EndDate," ",EDATE(B67,1)))</f>
        <v>37347</v>
      </c>
      <c r="C68" s="149" t="n">
        <f aca="false">IF($B68&lt;&gt;" ",C67+1,C67)</f>
        <v>18</v>
      </c>
      <c r="D68" s="150" t="n">
        <f aca="false">C68/12</f>
        <v>1.5</v>
      </c>
      <c r="E68" s="1"/>
      <c r="F68" s="157" t="n">
        <f aca="false">+SUM($T68:$U68)</f>
        <v>4240.1510688737</v>
      </c>
      <c r="G68" s="152" t="n">
        <f aca="false">-SUM($AA68,$AG68,$AM68,$AQ68,$AV68:$AX68)</f>
        <v>-3518.19753536299</v>
      </c>
      <c r="H68" s="152" t="n">
        <f aca="false">+SUM(F68:G68)</f>
        <v>721.953533510704</v>
      </c>
      <c r="I68" s="124"/>
      <c r="J68" s="153" t="n">
        <f aca="false">+IF($B68=" ",0,IF(AND($B68&gt;=J$26,$B68&lt;J$28),J$33,0))</f>
        <v>1297972.31770833</v>
      </c>
      <c r="K68" s="153" t="n">
        <f aca="false">+IF($B68=" ",0,IF(AND($B68&gt;=K$26,$B68&lt;K$28),K$33,0))</f>
        <v>0</v>
      </c>
      <c r="L68" s="153" t="n">
        <f aca="false">+IF($B68=" ",0,IF(AND($B68&gt;=L$26,$B68&lt;L$28),L$33,0))</f>
        <v>0</v>
      </c>
      <c r="M68" s="153" t="n">
        <f aca="false">+IF($B68=" ",0,IF(AND($B68&gt;=M$26,$B68&lt;M$28),M$33,0))</f>
        <v>0</v>
      </c>
      <c r="N68" s="153" t="n">
        <f aca="false">+IF($B68=" ",0,IF(AND($B68&gt;=N$26,$B68&lt;N$28),N$33,0))</f>
        <v>0</v>
      </c>
      <c r="O68" s="154" t="n">
        <f aca="false">+IF($B68=" ",0,IF(AND($B68&gt;=O$26,$B68&lt;O$28),O$33,0))</f>
        <v>0</v>
      </c>
      <c r="P68" s="1"/>
      <c r="Q68" s="83" t="n">
        <f aca="false">IF($B68=" ",0,IF($B68&lt;=DATE(2003,12,31),3.55,2.9))</f>
        <v>3.55</v>
      </c>
      <c r="R68" s="155" t="n">
        <f aca="false">IF($B68=" ",0,R$25)</f>
        <v>-0.07</v>
      </c>
      <c r="S68" s="156" t="n">
        <f aca="false">IF($B68=" ",0,S$25)</f>
        <v>0.1</v>
      </c>
      <c r="T68" s="157" t="n">
        <f aca="false">+SUM($Q68,$S68)/1000*(SUM($J68*$J$37,$K68*$K$37,$L68*$L$37,$M68*$M$37,$N68*$N$37,$O68*$O$37))</f>
        <v>4240.1510688737</v>
      </c>
      <c r="U68" s="157" t="n">
        <f aca="false">+SUM($Q68,$R68)/1000*(SUM(0))</f>
        <v>0</v>
      </c>
      <c r="V68" s="1"/>
      <c r="W68" s="158" t="n">
        <f aca="false">IF($B68=" ",0,1)*(IF($B68&gt;=W$25,1,0)*IF($B68&lt;=W$29,W$27,IF($B68&lt;=W$33,W$31,0))*($D68-$D67)*365/1000)</f>
        <v>288.958333333333</v>
      </c>
      <c r="X68" s="158" t="n">
        <f aca="false">IF($B68=" ",0,IF($B68&gt;=X$25,IF($B68&lt;=X$29,X$27,IF($B68&lt;=X$33,X$31,X$31*(1+X$38)^(IF(X$36&gt;$B68,-1,1)*(YEARFRAC($B68,X$36)))))*($D68-$D67)*365/1000,0))</f>
        <v>364.145814536299</v>
      </c>
      <c r="Y68" s="159" t="n">
        <f aca="false">IF($B68=" ",0,Y$25*(1+Y$30)^(IF(Y$28&gt;$B68,-1,1)*(YEARFRAC($B68,Y$28))))</f>
        <v>0.457721234422836</v>
      </c>
      <c r="Z68" s="159" t="n">
        <f aca="false">IF($B68=" ",0,Z$25*(1+Z$30)^(IF(Z$28&gt;$B68,-1,1)*(YEARFRAC($B68,Z$28))))</f>
        <v>0.436953937987252</v>
      </c>
      <c r="AA68" s="162" t="n">
        <f aca="false">+W68+X68+Z68*SUM($J68*$J$37,$L68*$L$37,$N68*$N$37)/1000</f>
        <v>1160.70708135051</v>
      </c>
      <c r="AB68" s="161"/>
      <c r="AC68" s="158" t="n">
        <f aca="false">IF($B68=" ",0,1)*(IF($B68&gt;=AC$25,1,0)*IF($B68&lt;=AC$29,AC$27,IF($B68&lt;=AC$33,AC$31,0))*($D68-$D67)*365/1000)</f>
        <v>0</v>
      </c>
      <c r="AD68" s="158" t="n">
        <f aca="false">IF($B68=" ",0,IF($B68&gt;=AD$25,IF($B68&lt;=AD$29,AD$27,IF($B68&lt;=AD$33,AD$31,AD$31*(1+AD$38)^(IF(AD$36&gt;$B68,-1,1)*(YEARFRAC($B68,AD$36)))))*($D68-$D67)*365/1000,0))</f>
        <v>0</v>
      </c>
      <c r="AE68" s="159" t="n">
        <f aca="false">IF($B68=" ",0,AE$25*(1+AE$30)^(IF(AE$28&gt;$B68,-1,1)*(YEARFRAC($B68,AE$28))))</f>
        <v>0.379219622674716</v>
      </c>
      <c r="AF68" s="159" t="n">
        <f aca="false">IF($B68=" ",0,AF$25*(1+AF$30)^(IF(AF$28&gt;$B68,-1,1)*(YEARFRAC($B68,AF$28))))</f>
        <v>0.136063140612225</v>
      </c>
      <c r="AG68" s="162" t="n">
        <f aca="false">+AC68+AD68+AF68*SUM($K68*$K$37,$M68*$M$37,$O68*$O$37)/1000</f>
        <v>0</v>
      </c>
      <c r="AH68" s="1"/>
      <c r="AI68" s="158" t="n">
        <f aca="false">IF($B68=" ",0,1)*IF($B68&gt;=AI$33,AI$25*($D68-$D67),0)</f>
        <v>485.186570908333</v>
      </c>
      <c r="AJ68" s="158" t="n">
        <f aca="false">IF($B68=" ",0,IF($B68&gt;=AJ$33,AJ$25*(1+AJ$30)^(IF(AJ$28&gt;$B68,-1,1)*(YEARFRAC($B68,AJ$28)))*($D68-$D67),0))</f>
        <v>475.936343601826</v>
      </c>
      <c r="AK68" s="159" t="n">
        <f aca="false">IF($B68=" ",0,AK$25*(1+AK$30)^(IF(AK$28&gt;$B68,-1,1)*(YEARFRAC($B68,AK$28))))</f>
        <v>0.0272004160263227</v>
      </c>
      <c r="AL68" s="159" t="n">
        <f aca="false">IF($B68=" ",0,AL$25*AL$28)</f>
        <v>0.0575</v>
      </c>
      <c r="AM68" s="162" t="n">
        <f aca="false">+AI68+AJ68+SUM(AK68:AL68)*SUM($J68*$J$37,$K68*$K$37,$L68*$L$37,$M68*$M$37,$N68*$N$37,$O68*$O$37)/1000</f>
        <v>1059.51813630415</v>
      </c>
      <c r="AN68" s="1"/>
      <c r="AO68" s="163" t="n">
        <f aca="false">IF($B68=" ",0,$AO$25)</f>
        <v>0.25</v>
      </c>
      <c r="AP68" s="159" t="n">
        <f aca="false">IF($B68=" ",0,AP$25*AP$28)</f>
        <v>0.03105</v>
      </c>
      <c r="AQ68" s="162" t="n">
        <f aca="false">SUM(AO68:AP68)*SUM(0)/1000</f>
        <v>0</v>
      </c>
      <c r="AR68" s="1"/>
      <c r="AS68" s="155" t="n">
        <f aca="false">IF($B68=" ",0,AS$25)</f>
        <v>1</v>
      </c>
      <c r="AT68" s="156" t="n">
        <f aca="false">IF($B68=" ",0,AT$25)</f>
        <v>1</v>
      </c>
      <c r="AU68" s="156" t="n">
        <f aca="false">IF($B68=" ",0,AU$25)</f>
        <v>2.3</v>
      </c>
      <c r="AV68" s="157" t="n">
        <f aca="false">+AS68*SUM(J68:K68)/1000</f>
        <v>1297.97231770833</v>
      </c>
      <c r="AW68" s="157" t="n">
        <f aca="false">+AT68*SUM(L68:M68)/1000</f>
        <v>0</v>
      </c>
      <c r="AX68" s="157" t="n">
        <f aca="false">+AU68*SUM(N68:O68)/1000</f>
        <v>0</v>
      </c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</row>
    <row r="69" customFormat="false" ht="12.75" hidden="false" customHeight="false" outlineLevel="0" collapsed="false">
      <c r="A69" s="147" t="n">
        <f aca="false">+IF(B69=" ",A68,B69)</f>
        <v>37377</v>
      </c>
      <c r="B69" s="148" t="n">
        <f aca="false">IF(B68=" "," ",IF(EDATE(B68,1)&gt;=EndDate," ",EDATE(B68,1)))</f>
        <v>37377</v>
      </c>
      <c r="C69" s="149" t="n">
        <f aca="false">IF($B69&lt;&gt;" ",C68+1,C68)</f>
        <v>19</v>
      </c>
      <c r="D69" s="150" t="n">
        <f aca="false">C69/12</f>
        <v>1.58333333333333</v>
      </c>
      <c r="E69" s="1"/>
      <c r="F69" s="157" t="n">
        <f aca="false">+SUM($T69:$U69)</f>
        <v>4240.1510688737</v>
      </c>
      <c r="G69" s="152" t="n">
        <f aca="false">-SUM($AA69,$AG69,$AM69,$AQ69,$AV69:$AX69)</f>
        <v>-3519.92482294406</v>
      </c>
      <c r="H69" s="152" t="n">
        <f aca="false">+SUM(F69:G69)</f>
        <v>720.226245929639</v>
      </c>
      <c r="I69" s="124"/>
      <c r="J69" s="153" t="n">
        <f aca="false">+IF($B69=" ",0,IF(AND($B69&gt;=J$26,$B69&lt;J$28),J$33,0))</f>
        <v>1297972.31770833</v>
      </c>
      <c r="K69" s="153" t="n">
        <f aca="false">+IF($B69=" ",0,IF(AND($B69&gt;=K$26,$B69&lt;K$28),K$33,0))</f>
        <v>0</v>
      </c>
      <c r="L69" s="153" t="n">
        <f aca="false">+IF($B69=" ",0,IF(AND($B69&gt;=L$26,$B69&lt;L$28),L$33,0))</f>
        <v>0</v>
      </c>
      <c r="M69" s="153" t="n">
        <f aca="false">+IF($B69=" ",0,IF(AND($B69&gt;=M$26,$B69&lt;M$28),M$33,0))</f>
        <v>0</v>
      </c>
      <c r="N69" s="153" t="n">
        <f aca="false">+IF($B69=" ",0,IF(AND($B69&gt;=N$26,$B69&lt;N$28),N$33,0))</f>
        <v>0</v>
      </c>
      <c r="O69" s="154" t="n">
        <f aca="false">+IF($B69=" ",0,IF(AND($B69&gt;=O$26,$B69&lt;O$28),O$33,0))</f>
        <v>0</v>
      </c>
      <c r="P69" s="1"/>
      <c r="Q69" s="83" t="n">
        <f aca="false">IF($B69=" ",0,IF($B69&lt;=DATE(2003,12,31),3.55,2.9))</f>
        <v>3.55</v>
      </c>
      <c r="R69" s="155" t="n">
        <f aca="false">IF($B69=" ",0,R$25)</f>
        <v>-0.07</v>
      </c>
      <c r="S69" s="156" t="n">
        <f aca="false">IF($B69=" ",0,S$25)</f>
        <v>0.1</v>
      </c>
      <c r="T69" s="157" t="n">
        <f aca="false">+SUM($Q69,$S69)/1000*(SUM($J69*$J$37,$K69*$K$37,$L69*$L$37,$M69*$M$37,$N69*$N$37,$O69*$O$37))</f>
        <v>4240.1510688737</v>
      </c>
      <c r="U69" s="157" t="n">
        <f aca="false">+SUM($Q69,$R69)/1000*(SUM(0))</f>
        <v>0</v>
      </c>
      <c r="V69" s="1"/>
      <c r="W69" s="158" t="n">
        <f aca="false">IF($B69=" ",0,1)*(IF($B69&gt;=W$25,1,0)*IF($B69&lt;=W$29,W$27,IF($B69&lt;=W$33,W$31,0))*($D69-$D68)*365/1000)</f>
        <v>288.958333333333</v>
      </c>
      <c r="X69" s="158" t="n">
        <f aca="false">IF($B69=" ",0,IF($B69&gt;=X$25,IF($B69&lt;=X$29,X$27,IF($B69&lt;=X$33,X$31,X$31*(1+X$38)^(IF(X$36&gt;$B69,-1,1)*(YEARFRAC($B69,X$36)))))*($D69-$D68)*365/1000,0))</f>
        <v>364.647749827164</v>
      </c>
      <c r="Y69" s="159" t="n">
        <f aca="false">IF($B69=" ",0,Y$25*(1+Y$30)^(IF(Y$28&gt;$B69,-1,1)*(YEARFRAC($B69,Y$28))))</f>
        <v>0.458352153224492</v>
      </c>
      <c r="Z69" s="159" t="n">
        <f aca="false">IF($B69=" ",0,Z$25*(1+Z$30)^(IF(Z$28&gt;$B69,-1,1)*(YEARFRAC($B69,Z$28))))</f>
        <v>0.437556231335694</v>
      </c>
      <c r="AA69" s="162" t="n">
        <f aca="false">+W69+X69+Z69*SUM($J69*$J$37,$L69*$L$37,$N69*$N$37)/1000</f>
        <v>1161.90869192499</v>
      </c>
      <c r="AB69" s="161"/>
      <c r="AC69" s="158" t="n">
        <f aca="false">IF($B69=" ",0,1)*(IF($B69&gt;=AC$25,1,0)*IF($B69&lt;=AC$29,AC$27,IF($B69&lt;=AC$33,AC$31,0))*($D69-$D68)*365/1000)</f>
        <v>0</v>
      </c>
      <c r="AD69" s="158" t="n">
        <f aca="false">IF($B69=" ",0,IF($B69&gt;=AD$25,IF($B69&lt;=AD$29,AD$27,IF($B69&lt;=AD$33,AD$31,AD$31*(1+AD$38)^(IF(AD$36&gt;$B69,-1,1)*(YEARFRAC($B69,AD$36)))))*($D69-$D68)*365/1000,0))</f>
        <v>0</v>
      </c>
      <c r="AE69" s="159" t="n">
        <f aca="false">IF($B69=" ",0,AE$25*(1+AE$30)^(IF(AE$28&gt;$B69,-1,1)*(YEARFRAC($B69,AE$28))))</f>
        <v>0.379742335566121</v>
      </c>
      <c r="AF69" s="159" t="n">
        <f aca="false">IF($B69=" ",0,AF$25*(1+AF$30)^(IF(AF$28&gt;$B69,-1,1)*(YEARFRAC($B69,AF$28))))</f>
        <v>0.13625068881224</v>
      </c>
      <c r="AG69" s="162" t="n">
        <f aca="false">+AC69+AD69+AF69*SUM($K69*$K$37,$M69*$M$37,$O69*$O$37)/1000</f>
        <v>0</v>
      </c>
      <c r="AH69" s="1"/>
      <c r="AI69" s="158" t="n">
        <f aca="false">IF($B69=" ",0,1)*IF($B69&gt;=AI$33,AI$25*($D69-$D68),0)</f>
        <v>485.186570908333</v>
      </c>
      <c r="AJ69" s="158" t="n">
        <f aca="false">IF($B69=" ",0,IF($B69&gt;=AJ$33,AJ$25*(1+AJ$30)^(IF(AJ$28&gt;$B69,-1,1)*(YEARFRAC($B69,AJ$28)))*($D69-$D68),0))</f>
        <v>476.429292772962</v>
      </c>
      <c r="AK69" s="159" t="n">
        <f aca="false">IF($B69=" ",0,AK$25*(1+AK$30)^(IF(AK$28&gt;$B69,-1,1)*(YEARFRAC($B69,AK$28))))</f>
        <v>0.0272285887488201</v>
      </c>
      <c r="AL69" s="159" t="n">
        <f aca="false">IF($B69=" ",0,AL$25*AL$28)</f>
        <v>0.0575</v>
      </c>
      <c r="AM69" s="162" t="n">
        <f aca="false">+AI69+AJ69+SUM(AK69:AL69)*SUM($J69*$J$37,$K69*$K$37,$L69*$L$37,$M69*$M$37,$N69*$N$37,$O69*$O$37)/1000</f>
        <v>1060.04381331074</v>
      </c>
      <c r="AN69" s="1"/>
      <c r="AO69" s="163" t="n">
        <f aca="false">IF($B69=" ",0,$AO$25)</f>
        <v>0.25</v>
      </c>
      <c r="AP69" s="159" t="n">
        <f aca="false">IF($B69=" ",0,AP$25*AP$28)</f>
        <v>0.03105</v>
      </c>
      <c r="AQ69" s="162" t="n">
        <f aca="false">SUM(AO69:AP69)*SUM(0)/1000</f>
        <v>0</v>
      </c>
      <c r="AR69" s="1"/>
      <c r="AS69" s="155" t="n">
        <f aca="false">IF($B69=" ",0,AS$25)</f>
        <v>1</v>
      </c>
      <c r="AT69" s="156" t="n">
        <f aca="false">IF($B69=" ",0,AT$25)</f>
        <v>1</v>
      </c>
      <c r="AU69" s="156" t="n">
        <f aca="false">IF($B69=" ",0,AU$25)</f>
        <v>2.3</v>
      </c>
      <c r="AV69" s="157" t="n">
        <f aca="false">+AS69*SUM(J69:K69)/1000</f>
        <v>1297.97231770833</v>
      </c>
      <c r="AW69" s="157" t="n">
        <f aca="false">+AT69*SUM(L69:M69)/1000</f>
        <v>0</v>
      </c>
      <c r="AX69" s="157" t="n">
        <f aca="false">+AU69*SUM(N69:O69)/1000</f>
        <v>0</v>
      </c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</row>
    <row r="70" customFormat="false" ht="12.75" hidden="false" customHeight="false" outlineLevel="0" collapsed="false">
      <c r="A70" s="147" t="n">
        <f aca="false">+IF(B70=" ",A69,B70)</f>
        <v>37408</v>
      </c>
      <c r="B70" s="148" t="n">
        <f aca="false">IF(B69=" "," ",IF(EDATE(B69,1)&gt;=EndDate," ",EDATE(B69,1)))</f>
        <v>37408</v>
      </c>
      <c r="C70" s="149" t="n">
        <f aca="false">IF($B70&lt;&gt;" ",C69+1,C69)</f>
        <v>20</v>
      </c>
      <c r="D70" s="150" t="n">
        <f aca="false">C70/12</f>
        <v>1.66666666666667</v>
      </c>
      <c r="E70" s="1"/>
      <c r="F70" s="157" t="n">
        <f aca="false">+SUM($T70:$U70)</f>
        <v>4240.1510688737</v>
      </c>
      <c r="G70" s="152" t="n">
        <f aca="false">-SUM($AA70,$AG70,$AM70,$AQ70,$AV70:$AX70)</f>
        <v>-3521.65431128212</v>
      </c>
      <c r="H70" s="152" t="n">
        <f aca="false">+SUM(F70:G70)</f>
        <v>718.496757591577</v>
      </c>
      <c r="I70" s="124"/>
      <c r="J70" s="153" t="n">
        <f aca="false">+IF($B70=" ",0,IF(AND($B70&gt;=J$26,$B70&lt;J$28),J$33,0))</f>
        <v>1297972.31770833</v>
      </c>
      <c r="K70" s="153" t="n">
        <f aca="false">+IF($B70=" ",0,IF(AND($B70&gt;=K$26,$B70&lt;K$28),K$33,0))</f>
        <v>0</v>
      </c>
      <c r="L70" s="153" t="n">
        <f aca="false">+IF($B70=" ",0,IF(AND($B70&gt;=L$26,$B70&lt;L$28),L$33,0))</f>
        <v>0</v>
      </c>
      <c r="M70" s="153" t="n">
        <f aca="false">+IF($B70=" ",0,IF(AND($B70&gt;=M$26,$B70&lt;M$28),M$33,0))</f>
        <v>0</v>
      </c>
      <c r="N70" s="153" t="n">
        <f aca="false">+IF($B70=" ",0,IF(AND($B70&gt;=N$26,$B70&lt;N$28),N$33,0))</f>
        <v>0</v>
      </c>
      <c r="O70" s="154" t="n">
        <f aca="false">+IF($B70=" ",0,IF(AND($B70&gt;=O$26,$B70&lt;O$28),O$33,0))</f>
        <v>0</v>
      </c>
      <c r="P70" s="1"/>
      <c r="Q70" s="83" t="n">
        <f aca="false">IF($B70=" ",0,IF($B70&lt;=DATE(2003,12,31),3.55,2.9))</f>
        <v>3.55</v>
      </c>
      <c r="R70" s="155" t="n">
        <f aca="false">IF($B70=" ",0,R$25)</f>
        <v>-0.07</v>
      </c>
      <c r="S70" s="156" t="n">
        <f aca="false">IF($B70=" ",0,S$25)</f>
        <v>0.1</v>
      </c>
      <c r="T70" s="157" t="n">
        <f aca="false">+SUM($Q70,$S70)/1000*(SUM($J70*$J$37,$K70*$K$37,$L70*$L$37,$M70*$M$37,$N70*$N$37,$O70*$O$37))</f>
        <v>4240.1510688737</v>
      </c>
      <c r="U70" s="157" t="n">
        <f aca="false">+SUM($Q70,$R70)/1000*(SUM(0))</f>
        <v>0</v>
      </c>
      <c r="V70" s="1"/>
      <c r="W70" s="158" t="n">
        <f aca="false">IF($B70=" ",0,1)*(IF($B70&gt;=W$25,1,0)*IF($B70&lt;=W$29,W$27,IF($B70&lt;=W$33,W$31,0))*($D70-$D69)*365/1000)</f>
        <v>288.958333333334</v>
      </c>
      <c r="X70" s="158" t="n">
        <f aca="false">IF($B70=" ",0,IF($B70&gt;=X$25,IF($B70&lt;=X$29,X$27,IF($B70&lt;=X$33,X$31,X$31*(1+X$38)^(IF(X$36&gt;$B70,-1,1)*(YEARFRAC($B70,X$36)))))*($D70-$D69)*365/1000,0))</f>
        <v>365.150376981087</v>
      </c>
      <c r="Y70" s="159" t="n">
        <f aca="false">IF($B70=" ",0,Y$25*(1+Y$30)^(IF(Y$28&gt;$B70,-1,1)*(YEARFRAC($B70,Y$28))))</f>
        <v>0.458983941678907</v>
      </c>
      <c r="Z70" s="159" t="n">
        <f aca="false">IF($B70=" ",0,Z$25*(1+Z$30)^(IF(Z$28&gt;$B70,-1,1)*(YEARFRAC($B70,Z$28))))</f>
        <v>0.438159354879831</v>
      </c>
      <c r="AA70" s="162" t="n">
        <f aca="false">+W70+X70+Z70*SUM($J70*$J$37,$L70*$L$37,$N70*$N$37)/1000</f>
        <v>1163.11195878859</v>
      </c>
      <c r="AB70" s="161"/>
      <c r="AC70" s="158" t="n">
        <f aca="false">IF($B70=" ",0,1)*(IF($B70&gt;=AC$25,1,0)*IF($B70&lt;=AC$29,AC$27,IF($B70&lt;=AC$33,AC$31,0))*($D70-$D69)*365/1000)</f>
        <v>0</v>
      </c>
      <c r="AD70" s="158" t="n">
        <f aca="false">IF($B70=" ",0,IF($B70&gt;=AD$25,IF($B70&lt;=AD$29,AD$27,IF($B70&lt;=AD$33,AD$31,AD$31*(1+AD$38)^(IF(AD$36&gt;$B70,-1,1)*(YEARFRAC($B70,AD$36)))))*($D70-$D69)*365/1000,0))</f>
        <v>0</v>
      </c>
      <c r="AE70" s="159" t="n">
        <f aca="false">IF($B70=" ",0,AE$25*(1+AE$30)^(IF(AE$28&gt;$B70,-1,1)*(YEARFRAC($B70,AE$28))))</f>
        <v>0.380265768960238</v>
      </c>
      <c r="AF70" s="159" t="n">
        <f aca="false">IF($B70=" ",0,AF$25*(1+AF$30)^(IF(AF$28&gt;$B70,-1,1)*(YEARFRAC($B70,AF$28))))</f>
        <v>0.136438495526995</v>
      </c>
      <c r="AG70" s="162" t="n">
        <f aca="false">+AC70+AD70+AF70*SUM($K70*$K$37,$M70*$M$37,$O70*$O$37)/1000</f>
        <v>0</v>
      </c>
      <c r="AH70" s="1"/>
      <c r="AI70" s="158" t="n">
        <f aca="false">IF($B70=" ",0,1)*IF($B70&gt;=AI$33,AI$25*($D70-$D69),0)</f>
        <v>485.186570908334</v>
      </c>
      <c r="AJ70" s="158" t="n">
        <f aca="false">IF($B70=" ",0,IF($B70&gt;=AJ$33,AJ$25*(1+AJ$30)^(IF(AJ$28&gt;$B70,-1,1)*(YEARFRAC($B70,AJ$28)))*($D70-$D69),0))</f>
        <v>476.922752514238</v>
      </c>
      <c r="AK70" s="159" t="n">
        <f aca="false">IF($B70=" ",0,AK$25*(1+AK$30)^(IF(AK$28&gt;$B70,-1,1)*(YEARFRAC($B70,AK$28))))</f>
        <v>0.0272567906511025</v>
      </c>
      <c r="AL70" s="159" t="n">
        <f aca="false">IF($B70=" ",0,AL$25*AL$28)</f>
        <v>0.0575</v>
      </c>
      <c r="AM70" s="162" t="n">
        <f aca="false">+AI70+AJ70+SUM(AK70:AL70)*SUM($J70*$J$37,$K70*$K$37,$L70*$L$37,$M70*$M$37,$N70*$N$37,$O70*$O$37)/1000</f>
        <v>1060.5700347852</v>
      </c>
      <c r="AN70" s="1"/>
      <c r="AO70" s="163" t="n">
        <f aca="false">IF($B70=" ",0,$AO$25)</f>
        <v>0.25</v>
      </c>
      <c r="AP70" s="159" t="n">
        <f aca="false">IF($B70=" ",0,AP$25*AP$28)</f>
        <v>0.03105</v>
      </c>
      <c r="AQ70" s="162" t="n">
        <f aca="false">SUM(AO70:AP70)*SUM(0)/1000</f>
        <v>0</v>
      </c>
      <c r="AR70" s="1"/>
      <c r="AS70" s="155" t="n">
        <f aca="false">IF($B70=" ",0,AS$25)</f>
        <v>1</v>
      </c>
      <c r="AT70" s="156" t="n">
        <f aca="false">IF($B70=" ",0,AT$25)</f>
        <v>1</v>
      </c>
      <c r="AU70" s="156" t="n">
        <f aca="false">IF($B70=" ",0,AU$25)</f>
        <v>2.3</v>
      </c>
      <c r="AV70" s="157" t="n">
        <f aca="false">+AS70*SUM(J70:K70)/1000</f>
        <v>1297.97231770833</v>
      </c>
      <c r="AW70" s="157" t="n">
        <f aca="false">+AT70*SUM(L70:M70)/1000</f>
        <v>0</v>
      </c>
      <c r="AX70" s="157" t="n">
        <f aca="false">+AU70*SUM(N70:O70)/1000</f>
        <v>0</v>
      </c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</row>
    <row r="71" customFormat="false" ht="12.75" hidden="false" customHeight="false" outlineLevel="0" collapsed="false">
      <c r="A71" s="147" t="n">
        <f aca="false">+IF(B71=" ",A70,B71)</f>
        <v>37438</v>
      </c>
      <c r="B71" s="148" t="n">
        <f aca="false">IF(B70=" "," ",IF(EDATE(B70,1)&gt;=EndDate," ",EDATE(B70,1)))</f>
        <v>37438</v>
      </c>
      <c r="C71" s="149" t="n">
        <f aca="false">IF($B71&lt;&gt;" ",C70+1,C70)</f>
        <v>21</v>
      </c>
      <c r="D71" s="150" t="n">
        <f aca="false">C71/12</f>
        <v>1.75</v>
      </c>
      <c r="E71" s="1"/>
      <c r="F71" s="157" t="n">
        <f aca="false">+SUM($T71:$U71)</f>
        <v>4240.1510688737</v>
      </c>
      <c r="G71" s="152" t="n">
        <f aca="false">-SUM($AA71,$AG71,$AM71,$AQ71,$AV71:$AX71)</f>
        <v>-3523.38600322411</v>
      </c>
      <c r="H71" s="152" t="n">
        <f aca="false">+SUM(F71:G71)</f>
        <v>716.765065649588</v>
      </c>
      <c r="I71" s="124"/>
      <c r="J71" s="153" t="n">
        <f aca="false">+IF($B71=" ",0,IF(AND($B71&gt;=J$26,$B71&lt;J$28),J$33,0))</f>
        <v>1297972.31770833</v>
      </c>
      <c r="K71" s="153" t="n">
        <f aca="false">+IF($B71=" ",0,IF(AND($B71&gt;=K$26,$B71&lt;K$28),K$33,0))</f>
        <v>0</v>
      </c>
      <c r="L71" s="153" t="n">
        <f aca="false">+IF($B71=" ",0,IF(AND($B71&gt;=L$26,$B71&lt;L$28),L$33,0))</f>
        <v>0</v>
      </c>
      <c r="M71" s="153" t="n">
        <f aca="false">+IF($B71=" ",0,IF(AND($B71&gt;=M$26,$B71&lt;M$28),M$33,0))</f>
        <v>0</v>
      </c>
      <c r="N71" s="153" t="n">
        <f aca="false">+IF($B71=" ",0,IF(AND($B71&gt;=N$26,$B71&lt;N$28),N$33,0))</f>
        <v>0</v>
      </c>
      <c r="O71" s="154" t="n">
        <f aca="false">+IF($B71=" ",0,IF(AND($B71&gt;=O$26,$B71&lt;O$28),O$33,0))</f>
        <v>0</v>
      </c>
      <c r="P71" s="1"/>
      <c r="Q71" s="83" t="n">
        <f aca="false">IF($B71=" ",0,IF($B71&lt;=DATE(2003,12,31),3.55,2.9))</f>
        <v>3.55</v>
      </c>
      <c r="R71" s="155" t="n">
        <f aca="false">IF($B71=" ",0,R$25)</f>
        <v>-0.07</v>
      </c>
      <c r="S71" s="156" t="n">
        <f aca="false">IF($B71=" ",0,S$25)</f>
        <v>0.1</v>
      </c>
      <c r="T71" s="157" t="n">
        <f aca="false">+SUM($Q71,$S71)/1000*(SUM($J71*$J$37,$K71*$K$37,$L71*$L$37,$M71*$M$37,$N71*$N$37,$O71*$O$37))</f>
        <v>4240.1510688737</v>
      </c>
      <c r="U71" s="157" t="n">
        <f aca="false">+SUM($Q71,$R71)/1000*(SUM(0))</f>
        <v>0</v>
      </c>
      <c r="V71" s="1"/>
      <c r="W71" s="158" t="n">
        <f aca="false">IF($B71=" ",0,1)*(IF($B71&gt;=W$25,1,0)*IF($B71&lt;=W$29,W$27,IF($B71&lt;=W$33,W$31,0))*($D71-$D70)*365/1000)</f>
        <v>288.958333333333</v>
      </c>
      <c r="X71" s="158" t="n">
        <f aca="false">IF($B71=" ",0,IF($B71&gt;=X$25,IF($B71&lt;=X$29,X$27,IF($B71&lt;=X$33,X$31,X$31*(1+X$38)^(IF(X$36&gt;$B71,-1,1)*(YEARFRAC($B71,X$36)))))*($D71-$D70)*365/1000,0))</f>
        <v>365.653696951722</v>
      </c>
      <c r="Y71" s="159" t="n">
        <f aca="false">IF($B71=" ",0,Y$25*(1+Y$30)^(IF(Y$28&gt;$B71,-1,1)*(YEARFRAC($B71,Y$28))))</f>
        <v>0.459616600984802</v>
      </c>
      <c r="Z71" s="159" t="n">
        <f aca="false">IF($B71=" ",0,Z$25*(1+Z$30)^(IF(Z$28&gt;$B71,-1,1)*(YEARFRAC($B71,Z$28))))</f>
        <v>0.438763309763995</v>
      </c>
      <c r="AA71" s="162" t="n">
        <f aca="false">+W71+X71+Z71*SUM($J71*$J$37,$L71*$L$37,$N71*$N$37)/1000</f>
        <v>1164.31688422433</v>
      </c>
      <c r="AB71" s="161"/>
      <c r="AC71" s="158" t="n">
        <f aca="false">IF($B71=" ",0,1)*(IF($B71&gt;=AC$25,1,0)*IF($B71&lt;=AC$29,AC$27,IF($B71&lt;=AC$33,AC$31,0))*($D71-$D70)*365/1000)</f>
        <v>0</v>
      </c>
      <c r="AD71" s="158" t="n">
        <f aca="false">IF($B71=" ",0,IF($B71&gt;=AD$25,IF($B71&lt;=AD$29,AD$27,IF($B71&lt;=AD$33,AD$31,AD$31*(1+AD$38)^(IF(AD$36&gt;$B71,-1,1)*(YEARFRAC($B71,AD$36)))))*($D71-$D70)*365/1000,0))</f>
        <v>0</v>
      </c>
      <c r="AE71" s="159" t="n">
        <f aca="false">IF($B71=" ",0,AE$25*(1+AE$30)^(IF(AE$28&gt;$B71,-1,1)*(YEARFRAC($B71,AE$28))))</f>
        <v>0.380789923850202</v>
      </c>
      <c r="AF71" s="159" t="n">
        <f aca="false">IF($B71=" ",0,AF$25*(1+AF$30)^(IF(AF$28&gt;$B71,-1,1)*(YEARFRAC($B71,AF$28))))</f>
        <v>0.136626561112823</v>
      </c>
      <c r="AG71" s="162" t="n">
        <f aca="false">+AC71+AD71+AF71*SUM($K71*$K$37,$M71*$M$37,$O71*$O$37)/1000</f>
        <v>0</v>
      </c>
      <c r="AH71" s="1"/>
      <c r="AI71" s="158" t="n">
        <f aca="false">IF($B71=" ",0,1)*IF($B71&gt;=AI$33,AI$25*($D71-$D70),0)</f>
        <v>485.186570908333</v>
      </c>
      <c r="AJ71" s="158" t="n">
        <f aca="false">IF($B71=" ",0,IF($B71&gt;=AJ$33,AJ$25*(1+AJ$30)^(IF(AJ$28&gt;$B71,-1,1)*(YEARFRAC($B71,AJ$28)))*($D71-$D70),0))</f>
        <v>477.416723354472</v>
      </c>
      <c r="AK71" s="159" t="n">
        <f aca="false">IF($B71=" ",0,AK$25*(1+AK$30)^(IF(AK$28&gt;$B71,-1,1)*(YEARFRAC($B71,AK$28))))</f>
        <v>0.0272850217633929</v>
      </c>
      <c r="AL71" s="159" t="n">
        <f aca="false">IF($B71=" ",0,AL$25*AL$28)</f>
        <v>0.0575</v>
      </c>
      <c r="AM71" s="162" t="n">
        <f aca="false">+AI71+AJ71+SUM(AK71:AL71)*SUM($J71*$J$37,$K71*$K$37,$L71*$L$37,$M71*$M$37,$N71*$N$37,$O71*$O$37)/1000</f>
        <v>1061.09680129144</v>
      </c>
      <c r="AN71" s="1"/>
      <c r="AO71" s="163" t="n">
        <f aca="false">IF($B71=" ",0,$AO$25)</f>
        <v>0.25</v>
      </c>
      <c r="AP71" s="159" t="n">
        <f aca="false">IF($B71=" ",0,AP$25*AP$28)</f>
        <v>0.03105</v>
      </c>
      <c r="AQ71" s="162" t="n">
        <f aca="false">SUM(AO71:AP71)*SUM(0)/1000</f>
        <v>0</v>
      </c>
      <c r="AR71" s="1"/>
      <c r="AS71" s="155" t="n">
        <f aca="false">IF($B71=" ",0,AS$25)</f>
        <v>1</v>
      </c>
      <c r="AT71" s="156" t="n">
        <f aca="false">IF($B71=" ",0,AT$25)</f>
        <v>1</v>
      </c>
      <c r="AU71" s="156" t="n">
        <f aca="false">IF($B71=" ",0,AU$25)</f>
        <v>2.3</v>
      </c>
      <c r="AV71" s="157" t="n">
        <f aca="false">+AS71*SUM(J71:K71)/1000</f>
        <v>1297.97231770833</v>
      </c>
      <c r="AW71" s="157" t="n">
        <f aca="false">+AT71*SUM(L71:M71)/1000</f>
        <v>0</v>
      </c>
      <c r="AX71" s="157" t="n">
        <f aca="false">+AU71*SUM(N71:O71)/1000</f>
        <v>0</v>
      </c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</row>
    <row r="72" customFormat="false" ht="12.75" hidden="false" customHeight="false" outlineLevel="0" collapsed="false">
      <c r="A72" s="147" t="n">
        <f aca="false">+IF(B72=" ",A71,B72)</f>
        <v>37469</v>
      </c>
      <c r="B72" s="148" t="n">
        <f aca="false">IF(B71=" "," ",IF(EDATE(B71,1)&gt;=EndDate," ",EDATE(B71,1)))</f>
        <v>37469</v>
      </c>
      <c r="C72" s="149" t="n">
        <f aca="false">IF($B72&lt;&gt;" ",C71+1,C71)</f>
        <v>22</v>
      </c>
      <c r="D72" s="150" t="n">
        <f aca="false">C72/12</f>
        <v>1.83333333333333</v>
      </c>
      <c r="E72" s="1"/>
      <c r="F72" s="157" t="n">
        <f aca="false">+SUM($T72:$U72)</f>
        <v>4240.1510688737</v>
      </c>
      <c r="G72" s="152" t="n">
        <f aca="false">-SUM($AA72,$AG72,$AM72,$AQ72,$AV72:$AX72)</f>
        <v>-3525.11990162071</v>
      </c>
      <c r="H72" s="152" t="n">
        <f aca="false">+SUM(F72:G72)</f>
        <v>715.031167252984</v>
      </c>
      <c r="I72" s="124"/>
      <c r="J72" s="153" t="n">
        <f aca="false">+IF($B72=" ",0,IF(AND($B72&gt;=J$26,$B72&lt;J$28),J$33,0))</f>
        <v>1297972.31770833</v>
      </c>
      <c r="K72" s="153" t="n">
        <f aca="false">+IF($B72=" ",0,IF(AND($B72&gt;=K$26,$B72&lt;K$28),K$33,0))</f>
        <v>0</v>
      </c>
      <c r="L72" s="153" t="n">
        <f aca="false">+IF($B72=" ",0,IF(AND($B72&gt;=L$26,$B72&lt;L$28),L$33,0))</f>
        <v>0</v>
      </c>
      <c r="M72" s="153" t="n">
        <f aca="false">+IF($B72=" ",0,IF(AND($B72&gt;=M$26,$B72&lt;M$28),M$33,0))</f>
        <v>0</v>
      </c>
      <c r="N72" s="153" t="n">
        <f aca="false">+IF($B72=" ",0,IF(AND($B72&gt;=N$26,$B72&lt;N$28),N$33,0))</f>
        <v>0</v>
      </c>
      <c r="O72" s="154" t="n">
        <f aca="false">+IF($B72=" ",0,IF(AND($B72&gt;=O$26,$B72&lt;O$28),O$33,0))</f>
        <v>0</v>
      </c>
      <c r="P72" s="1"/>
      <c r="Q72" s="83" t="n">
        <f aca="false">IF($B72=" ",0,IF($B72&lt;=DATE(2003,12,31),3.55,2.9))</f>
        <v>3.55</v>
      </c>
      <c r="R72" s="155" t="n">
        <f aca="false">IF($B72=" ",0,R$25)</f>
        <v>-0.07</v>
      </c>
      <c r="S72" s="156" t="n">
        <f aca="false">IF($B72=" ",0,S$25)</f>
        <v>0.1</v>
      </c>
      <c r="T72" s="157" t="n">
        <f aca="false">+SUM($Q72,$S72)/1000*(SUM($J72*$J$37,$K72*$K$37,$L72*$L$37,$M72*$M$37,$N72*$N$37,$O72*$O$37))</f>
        <v>4240.1510688737</v>
      </c>
      <c r="U72" s="157" t="n">
        <f aca="false">+SUM($Q72,$R72)/1000*(SUM(0))</f>
        <v>0</v>
      </c>
      <c r="V72" s="1"/>
      <c r="W72" s="158" t="n">
        <f aca="false">IF($B72=" ",0,1)*(IF($B72&gt;=W$25,1,0)*IF($B72&lt;=W$29,W$27,IF($B72&lt;=W$33,W$31,0))*($D72-$D71)*365/1000)</f>
        <v>288.958333333333</v>
      </c>
      <c r="X72" s="158" t="n">
        <f aca="false">IF($B72=" ",0,IF($B72&gt;=X$25,IF($B72&lt;=X$29,X$27,IF($B72&lt;=X$33,X$31,X$31*(1+X$38)^(IF(X$36&gt;$B72,-1,1)*(YEARFRAC($B72,X$36)))))*($D72-$D71)*365/1000,0))</f>
        <v>366.157710694045</v>
      </c>
      <c r="Y72" s="159" t="n">
        <f aca="false">IF($B72=" ",0,Y$25*(1+Y$30)^(IF(Y$28&gt;$B72,-1,1)*(YEARFRAC($B72,Y$28))))</f>
        <v>0.460250132342551</v>
      </c>
      <c r="Z72" s="159" t="n">
        <f aca="false">IF($B72=" ",0,Z$25*(1+Z$30)^(IF(Z$28&gt;$B72,-1,1)*(YEARFRAC($B72,Z$28))))</f>
        <v>0.439368097134098</v>
      </c>
      <c r="AA72" s="162" t="n">
        <f aca="false">+W72+X72+Z72*SUM($J72*$J$37,$L72*$L$37,$N72*$N$37)/1000</f>
        <v>1165.52347051838</v>
      </c>
      <c r="AB72" s="161"/>
      <c r="AC72" s="158" t="n">
        <f aca="false">IF($B72=" ",0,1)*(IF($B72&gt;=AC$25,1,0)*IF($B72&lt;=AC$29,AC$27,IF($B72&lt;=AC$33,AC$31,0))*($D72-$D71)*365/1000)</f>
        <v>0</v>
      </c>
      <c r="AD72" s="158" t="n">
        <f aca="false">IF($B72=" ",0,IF($B72&gt;=AD$25,IF($B72&lt;=AD$29,AD$27,IF($B72&lt;=AD$33,AD$31,AD$31*(1+AD$38)^(IF(AD$36&gt;$B72,-1,1)*(YEARFRAC($B72,AD$36)))))*($D72-$D71)*365/1000,0))</f>
        <v>0</v>
      </c>
      <c r="AE72" s="159" t="n">
        <f aca="false">IF($B72=" ",0,AE$25*(1+AE$30)^(IF(AE$28&gt;$B72,-1,1)*(YEARFRAC($B72,AE$28))))</f>
        <v>0.381314801230517</v>
      </c>
      <c r="AF72" s="159" t="n">
        <f aca="false">IF($B72=" ",0,AF$25*(1+AF$30)^(IF(AF$28&gt;$B72,-1,1)*(YEARFRAC($B72,AF$28))))</f>
        <v>0.13681488592655</v>
      </c>
      <c r="AG72" s="162" t="n">
        <f aca="false">+AC72+AD72+AF72*SUM($K72*$K$37,$M72*$M$37,$O72*$O$37)/1000</f>
        <v>0</v>
      </c>
      <c r="AH72" s="1"/>
      <c r="AI72" s="158" t="n">
        <f aca="false">IF($B72=" ",0,1)*IF($B72&gt;=AI$33,AI$25*($D72-$D71),0)</f>
        <v>485.186570908333</v>
      </c>
      <c r="AJ72" s="158" t="n">
        <f aca="false">IF($B72=" ",0,IF($B72&gt;=AJ$33,AJ$25*(1+AJ$30)^(IF(AJ$28&gt;$B72,-1,1)*(YEARFRAC($B72,AJ$28)))*($D72-$D71),0))</f>
        <v>477.911205823037</v>
      </c>
      <c r="AK72" s="159" t="n">
        <f aca="false">IF($B72=" ",0,AK$25*(1+AK$30)^(IF(AK$28&gt;$B72,-1,1)*(YEARFRAC($B72,AK$28))))</f>
        <v>0.0273132821159452</v>
      </c>
      <c r="AL72" s="159" t="n">
        <f aca="false">IF($B72=" ",0,AL$25*AL$28)</f>
        <v>0.0575</v>
      </c>
      <c r="AM72" s="162" t="n">
        <f aca="false">+AI72+AJ72+SUM(AK72:AL72)*SUM($J72*$J$37,$K72*$K$37,$L72*$L$37,$M72*$M$37,$N72*$N$37,$O72*$O$37)/1000</f>
        <v>1061.624113394</v>
      </c>
      <c r="AN72" s="1"/>
      <c r="AO72" s="163" t="n">
        <f aca="false">IF($B72=" ",0,$AO$25)</f>
        <v>0.25</v>
      </c>
      <c r="AP72" s="159" t="n">
        <f aca="false">IF($B72=" ",0,AP$25*AP$28)</f>
        <v>0.03105</v>
      </c>
      <c r="AQ72" s="162" t="n">
        <f aca="false">SUM(AO72:AP72)*SUM(0)/1000</f>
        <v>0</v>
      </c>
      <c r="AR72" s="1"/>
      <c r="AS72" s="155" t="n">
        <f aca="false">IF($B72=" ",0,AS$25)</f>
        <v>1</v>
      </c>
      <c r="AT72" s="156" t="n">
        <f aca="false">IF($B72=" ",0,AT$25)</f>
        <v>1</v>
      </c>
      <c r="AU72" s="156" t="n">
        <f aca="false">IF($B72=" ",0,AU$25)</f>
        <v>2.3</v>
      </c>
      <c r="AV72" s="157" t="n">
        <f aca="false">+AS72*SUM(J72:K72)/1000</f>
        <v>1297.97231770833</v>
      </c>
      <c r="AW72" s="157" t="n">
        <f aca="false">+AT72*SUM(L72:M72)/1000</f>
        <v>0</v>
      </c>
      <c r="AX72" s="157" t="n">
        <f aca="false">+AU72*SUM(N72:O72)/1000</f>
        <v>0</v>
      </c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</row>
    <row r="73" customFormat="false" ht="12.75" hidden="false" customHeight="false" outlineLevel="0" collapsed="false">
      <c r="A73" s="147" t="n">
        <f aca="false">+IF(B73=" ",A72,B73)</f>
        <v>37500</v>
      </c>
      <c r="B73" s="148" t="n">
        <f aca="false">IF(B72=" "," ",IF(EDATE(B72,1)&gt;=EndDate," ",EDATE(B72,1)))</f>
        <v>37500</v>
      </c>
      <c r="C73" s="149" t="n">
        <f aca="false">IF($B73&lt;&gt;" ",C72+1,C72)</f>
        <v>23</v>
      </c>
      <c r="D73" s="150" t="n">
        <f aca="false">C73/12</f>
        <v>1.91666666666667</v>
      </c>
      <c r="E73" s="1"/>
      <c r="F73" s="157" t="n">
        <f aca="false">+SUM($T73:$U73)</f>
        <v>4240.1510688737</v>
      </c>
      <c r="G73" s="152" t="n">
        <f aca="false">-SUM($AA73,$AG73,$AM73,$AQ73,$AV73:$AX73)</f>
        <v>-3526.85600932634</v>
      </c>
      <c r="H73" s="152" t="n">
        <f aca="false">+SUM(F73:G73)</f>
        <v>713.295059547354</v>
      </c>
      <c r="I73" s="124"/>
      <c r="J73" s="153" t="n">
        <f aca="false">+IF($B73=" ",0,IF(AND($B73&gt;=J$26,$B73&lt;J$28),J$33,0))</f>
        <v>1297972.31770833</v>
      </c>
      <c r="K73" s="153" t="n">
        <f aca="false">+IF($B73=" ",0,IF(AND($B73&gt;=K$26,$B73&lt;K$28),K$33,0))</f>
        <v>0</v>
      </c>
      <c r="L73" s="153" t="n">
        <f aca="false">+IF($B73=" ",0,IF(AND($B73&gt;=L$26,$B73&lt;L$28),L$33,0))</f>
        <v>0</v>
      </c>
      <c r="M73" s="153" t="n">
        <f aca="false">+IF($B73=" ",0,IF(AND($B73&gt;=M$26,$B73&lt;M$28),M$33,0))</f>
        <v>0</v>
      </c>
      <c r="N73" s="153" t="n">
        <f aca="false">+IF($B73=" ",0,IF(AND($B73&gt;=N$26,$B73&lt;N$28),N$33,0))</f>
        <v>0</v>
      </c>
      <c r="O73" s="154" t="n">
        <f aca="false">+IF($B73=" ",0,IF(AND($B73&gt;=O$26,$B73&lt;O$28),O$33,0))</f>
        <v>0</v>
      </c>
      <c r="P73" s="1"/>
      <c r="Q73" s="83" t="n">
        <f aca="false">IF($B73=" ",0,IF($B73&lt;=DATE(2003,12,31),3.55,2.9))</f>
        <v>3.55</v>
      </c>
      <c r="R73" s="155" t="n">
        <f aca="false">IF($B73=" ",0,R$25)</f>
        <v>-0.07</v>
      </c>
      <c r="S73" s="156" t="n">
        <f aca="false">IF($B73=" ",0,S$25)</f>
        <v>0.1</v>
      </c>
      <c r="T73" s="157" t="n">
        <f aca="false">+SUM($Q73,$S73)/1000*(SUM($J73*$J$37,$K73*$K$37,$L73*$L$37,$M73*$M$37,$N73*$N$37,$O73*$O$37))</f>
        <v>4240.1510688737</v>
      </c>
      <c r="U73" s="157" t="n">
        <f aca="false">+SUM($Q73,$R73)/1000*(SUM(0))</f>
        <v>0</v>
      </c>
      <c r="V73" s="1"/>
      <c r="W73" s="158" t="n">
        <f aca="false">IF($B73=" ",0,1)*(IF($B73&gt;=W$25,1,0)*IF($B73&lt;=W$29,W$27,IF($B73&lt;=W$33,W$31,0))*($D73-$D72)*365/1000)</f>
        <v>288.958333333334</v>
      </c>
      <c r="X73" s="158" t="n">
        <f aca="false">IF($B73=" ",0,IF($B73&gt;=X$25,IF($B73&lt;=X$29,X$27,IF($B73&lt;=X$33,X$31,X$31*(1+X$38)^(IF(X$36&gt;$B73,-1,1)*(YEARFRAC($B73,X$36)))))*($D73-$D72)*365/1000,0))</f>
        <v>366.662419164343</v>
      </c>
      <c r="Y73" s="159" t="n">
        <f aca="false">IF($B73=" ",0,Y$25*(1+Y$30)^(IF(Y$28&gt;$B73,-1,1)*(YEARFRAC($B73,Y$28))))</f>
        <v>0.460884536954183</v>
      </c>
      <c r="Z73" s="159" t="n">
        <f aca="false">IF($B73=" ",0,Z$25*(1+Z$30)^(IF(Z$28&gt;$B73,-1,1)*(YEARFRAC($B73,Z$28))))</f>
        <v>0.439973718137632</v>
      </c>
      <c r="AA73" s="162" t="n">
        <f aca="false">+W73+X73+Z73*SUM($J73*$J$37,$L73*$L$37,$N73*$N$37)/1000</f>
        <v>1166.73171996004</v>
      </c>
      <c r="AB73" s="161"/>
      <c r="AC73" s="158" t="n">
        <f aca="false">IF($B73=" ",0,1)*(IF($B73&gt;=AC$25,1,0)*IF($B73&lt;=AC$29,AC$27,IF($B73&lt;=AC$33,AC$31,0))*($D73-$D72)*365/1000)</f>
        <v>0</v>
      </c>
      <c r="AD73" s="158" t="n">
        <f aca="false">IF($B73=" ",0,IF($B73&gt;=AD$25,IF($B73&lt;=AD$29,AD$27,IF($B73&lt;=AD$33,AD$31,AD$31*(1+AD$38)^(IF(AD$36&gt;$B73,-1,1)*(YEARFRAC($B73,AD$36)))))*($D73-$D72)*365/1000,0))</f>
        <v>0</v>
      </c>
      <c r="AE73" s="159" t="n">
        <f aca="false">IF($B73=" ",0,AE$25*(1+AE$30)^(IF(AE$28&gt;$B73,-1,1)*(YEARFRAC($B73,AE$28))))</f>
        <v>0.381840402097057</v>
      </c>
      <c r="AF73" s="159" t="n">
        <f aca="false">IF($B73=" ",0,AF$25*(1+AF$30)^(IF(AF$28&gt;$B73,-1,1)*(YEARFRAC($B73,AF$28))))</f>
        <v>0.137003470325494</v>
      </c>
      <c r="AG73" s="162" t="n">
        <f aca="false">+AC73+AD73+AF73*SUM($K73*$K$37,$M73*$M$37,$O73*$O$37)/1000</f>
        <v>0</v>
      </c>
      <c r="AH73" s="1"/>
      <c r="AI73" s="158" t="n">
        <f aca="false">IF($B73=" ",0,1)*IF($B73&gt;=AI$33,AI$25*($D73-$D72),0)</f>
        <v>485.186570908334</v>
      </c>
      <c r="AJ73" s="158" t="n">
        <f aca="false">IF($B73=" ",0,IF($B73&gt;=AJ$33,AJ$25*(1+AJ$30)^(IF(AJ$28&gt;$B73,-1,1)*(YEARFRAC($B73,AJ$28)))*($D73-$D72),0))</f>
        <v>478.406200449849</v>
      </c>
      <c r="AK73" s="159" t="n">
        <f aca="false">IF($B73=" ",0,AK$25*(1+AK$30)^(IF(AK$28&gt;$B73,-1,1)*(YEARFRAC($B73,AK$28))))</f>
        <v>0.0273415717390452</v>
      </c>
      <c r="AL73" s="159" t="n">
        <f aca="false">IF($B73=" ",0,AL$25*AL$28)</f>
        <v>0.0575</v>
      </c>
      <c r="AM73" s="162" t="n">
        <f aca="false">+AI73+AJ73+SUM(AK73:AL73)*SUM($J73*$J$37,$K73*$K$37,$L73*$L$37,$M73*$M$37,$N73*$N$37,$O73*$O$37)/1000</f>
        <v>1062.15197165797</v>
      </c>
      <c r="AN73" s="1"/>
      <c r="AO73" s="163" t="n">
        <f aca="false">IF($B73=" ",0,$AO$25)</f>
        <v>0.25</v>
      </c>
      <c r="AP73" s="159" t="n">
        <f aca="false">IF($B73=" ",0,AP$25*AP$28)</f>
        <v>0.03105</v>
      </c>
      <c r="AQ73" s="162" t="n">
        <f aca="false">SUM(AO73:AP73)*SUM(0)/1000</f>
        <v>0</v>
      </c>
      <c r="AR73" s="1"/>
      <c r="AS73" s="155" t="n">
        <f aca="false">IF($B73=" ",0,AS$25)</f>
        <v>1</v>
      </c>
      <c r="AT73" s="156" t="n">
        <f aca="false">IF($B73=" ",0,AT$25)</f>
        <v>1</v>
      </c>
      <c r="AU73" s="156" t="n">
        <f aca="false">IF($B73=" ",0,AU$25)</f>
        <v>2.3</v>
      </c>
      <c r="AV73" s="157" t="n">
        <f aca="false">+AS73*SUM(J73:K73)/1000</f>
        <v>1297.97231770833</v>
      </c>
      <c r="AW73" s="157" t="n">
        <f aca="false">+AT73*SUM(L73:M73)/1000</f>
        <v>0</v>
      </c>
      <c r="AX73" s="157" t="n">
        <f aca="false">+AU73*SUM(N73:O73)/1000</f>
        <v>0</v>
      </c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</row>
    <row r="74" customFormat="false" ht="12.75" hidden="false" customHeight="false" outlineLevel="0" collapsed="false">
      <c r="A74" s="147" t="n">
        <f aca="false">+IF(B74=" ",A73,B74)</f>
        <v>37530</v>
      </c>
      <c r="B74" s="148" t="n">
        <f aca="false">IF(B73=" "," ",IF(EDATE(B73,1)&gt;=EndDate," ",EDATE(B73,1)))</f>
        <v>37530</v>
      </c>
      <c r="C74" s="149" t="n">
        <f aca="false">IF($B74&lt;&gt;" ",C73+1,C73)</f>
        <v>24</v>
      </c>
      <c r="D74" s="150" t="n">
        <f aca="false">C74/12</f>
        <v>2</v>
      </c>
      <c r="E74" s="1"/>
      <c r="F74" s="157" t="n">
        <f aca="false">+SUM($T74:$U74)</f>
        <v>4240.1510688737</v>
      </c>
      <c r="G74" s="152" t="n">
        <f aca="false">-SUM($AA74,$AG74,$AM74,$AQ74,$AV74:$AX74)</f>
        <v>-3528.59432919914</v>
      </c>
      <c r="H74" s="152" t="n">
        <f aca="false">+SUM(F74:G74)</f>
        <v>711.556739674557</v>
      </c>
      <c r="I74" s="124"/>
      <c r="J74" s="153" t="n">
        <f aca="false">+IF($B74=" ",0,IF(AND($B74&gt;=J$26,$B74&lt;J$28),J$33,0))</f>
        <v>1297972.31770833</v>
      </c>
      <c r="K74" s="153" t="n">
        <f aca="false">+IF($B74=" ",0,IF(AND($B74&gt;=K$26,$B74&lt;K$28),K$33,0))</f>
        <v>0</v>
      </c>
      <c r="L74" s="153" t="n">
        <f aca="false">+IF($B74=" ",0,IF(AND($B74&gt;=L$26,$B74&lt;L$28),L$33,0))</f>
        <v>0</v>
      </c>
      <c r="M74" s="153" t="n">
        <f aca="false">+IF($B74=" ",0,IF(AND($B74&gt;=M$26,$B74&lt;M$28),M$33,0))</f>
        <v>0</v>
      </c>
      <c r="N74" s="153" t="n">
        <f aca="false">+IF($B74=" ",0,IF(AND($B74&gt;=N$26,$B74&lt;N$28),N$33,0))</f>
        <v>0</v>
      </c>
      <c r="O74" s="154" t="n">
        <f aca="false">+IF($B74=" ",0,IF(AND($B74&gt;=O$26,$B74&lt;O$28),O$33,0))</f>
        <v>0</v>
      </c>
      <c r="P74" s="1"/>
      <c r="Q74" s="83" t="n">
        <f aca="false">IF($B74=" ",0,IF($B74&lt;=DATE(2003,12,31),3.55,2.9))</f>
        <v>3.55</v>
      </c>
      <c r="R74" s="155" t="n">
        <f aca="false">IF($B74=" ",0,R$25)</f>
        <v>-0.07</v>
      </c>
      <c r="S74" s="156" t="n">
        <f aca="false">IF($B74=" ",0,S$25)</f>
        <v>0.1</v>
      </c>
      <c r="T74" s="157" t="n">
        <f aca="false">+SUM($Q74,$S74)/1000*(SUM($J74*$J$37,$K74*$K$37,$L74*$L$37,$M74*$M$37,$N74*$N$37,$O74*$O$37))</f>
        <v>4240.1510688737</v>
      </c>
      <c r="U74" s="157" t="n">
        <f aca="false">+SUM($Q74,$R74)/1000*(SUM(0))</f>
        <v>0</v>
      </c>
      <c r="V74" s="1"/>
      <c r="W74" s="158" t="n">
        <f aca="false">IF($B74=" ",0,1)*(IF($B74&gt;=W$25,1,0)*IF($B74&lt;=W$29,W$27,IF($B74&lt;=W$33,W$31,0))*($D74-$D73)*365/1000)</f>
        <v>288.958333333333</v>
      </c>
      <c r="X74" s="158" t="n">
        <f aca="false">IF($B74=" ",0,IF($B74&gt;=X$25,IF($B74&lt;=X$29,X$27,IF($B74&lt;=X$33,X$31,X$31*(1+X$38)^(IF(X$36&gt;$B74,-1,1)*(YEARFRAC($B74,X$36)))))*($D74-$D73)*365/1000,0))</f>
        <v>367.167823320222</v>
      </c>
      <c r="Y74" s="159" t="n">
        <f aca="false">IF($B74=" ",0,Y$25*(1+Y$30)^(IF(Y$28&gt;$B74,-1,1)*(YEARFRAC($B74,Y$28))))</f>
        <v>0.461519816023383</v>
      </c>
      <c r="Z74" s="159" t="n">
        <f aca="false">IF($B74=" ",0,Z$25*(1+Z$30)^(IF(Z$28&gt;$B74,-1,1)*(YEARFRAC($B74,Z$28))))</f>
        <v>0.440580173923668</v>
      </c>
      <c r="AA74" s="162" t="n">
        <f aca="false">+W74+X74+Z74*SUM($J74*$J$37,$L74*$L$37,$N74*$N$37)/1000</f>
        <v>1167.94163484177</v>
      </c>
      <c r="AB74" s="161"/>
      <c r="AC74" s="158" t="n">
        <f aca="false">IF($B74=" ",0,1)*(IF($B74&gt;=AC$25,1,0)*IF($B74&lt;=AC$29,AC$27,IF($B74&lt;=AC$33,AC$31,0))*($D74-$D73)*365/1000)</f>
        <v>0</v>
      </c>
      <c r="AD74" s="158" t="n">
        <f aca="false">IF($B74=" ",0,IF($B74&gt;=AD$25,IF($B74&lt;=AD$29,AD$27,IF($B74&lt;=AD$33,AD$31,AD$31*(1+AD$38)^(IF(AD$36&gt;$B74,-1,1)*(YEARFRAC($B74,AD$36)))))*($D74-$D73)*365/1000,0))</f>
        <v>0</v>
      </c>
      <c r="AE74" s="159" t="n">
        <f aca="false">IF($B74=" ",0,AE$25*(1+AE$30)^(IF(AE$28&gt;$B74,-1,1)*(YEARFRAC($B74,AE$28))))</f>
        <v>0.382366727447067</v>
      </c>
      <c r="AF74" s="159" t="n">
        <f aca="false">IF($B74=" ",0,AF$25*(1+AF$30)^(IF(AF$28&gt;$B74,-1,1)*(YEARFRAC($B74,AF$28))))</f>
        <v>0.137192314667464</v>
      </c>
      <c r="AG74" s="162" t="n">
        <f aca="false">+AC74+AD74+AF74*SUM($K74*$K$37,$M74*$M$37,$O74*$O$37)/1000</f>
        <v>0</v>
      </c>
      <c r="AH74" s="1"/>
      <c r="AI74" s="158" t="n">
        <f aca="false">IF($B74=" ",0,1)*IF($B74&gt;=AI$33,AI$25*($D74-$D73),0)</f>
        <v>485.186570908333</v>
      </c>
      <c r="AJ74" s="158" t="n">
        <f aca="false">IF($B74=" ",0,IF($B74&gt;=AJ$33,AJ$25*(1+AJ$30)^(IF(AJ$28&gt;$B74,-1,1)*(YEARFRAC($B74,AJ$28)))*($D74-$D73),0))</f>
        <v>478.901707765371</v>
      </c>
      <c r="AK74" s="159" t="n">
        <f aca="false">IF($B74=" ",0,AK$25*(1+AK$30)^(IF(AK$28&gt;$B74,-1,1)*(YEARFRAC($B74,AK$28))))</f>
        <v>0.0273698906630095</v>
      </c>
      <c r="AL74" s="159" t="n">
        <f aca="false">IF($B74=" ",0,AL$25*AL$28)</f>
        <v>0.0575</v>
      </c>
      <c r="AM74" s="162" t="n">
        <f aca="false">+AI74+AJ74+SUM(AK74:AL74)*SUM($J74*$J$37,$K74*$K$37,$L74*$L$37,$M74*$M$37,$N74*$N$37,$O74*$O$37)/1000</f>
        <v>1062.68037664903</v>
      </c>
      <c r="AN74" s="1"/>
      <c r="AO74" s="163" t="n">
        <f aca="false">IF($B74=" ",0,$AO$25)</f>
        <v>0.25</v>
      </c>
      <c r="AP74" s="159" t="n">
        <f aca="false">IF($B74=" ",0,AP$25*AP$28)</f>
        <v>0.03105</v>
      </c>
      <c r="AQ74" s="162" t="n">
        <f aca="false">SUM(AO74:AP74)*SUM(0)/1000</f>
        <v>0</v>
      </c>
      <c r="AR74" s="1"/>
      <c r="AS74" s="155" t="n">
        <f aca="false">IF($B74=" ",0,AS$25)</f>
        <v>1</v>
      </c>
      <c r="AT74" s="156" t="n">
        <f aca="false">IF($B74=" ",0,AT$25)</f>
        <v>1</v>
      </c>
      <c r="AU74" s="156" t="n">
        <f aca="false">IF($B74=" ",0,AU$25)</f>
        <v>2.3</v>
      </c>
      <c r="AV74" s="157" t="n">
        <f aca="false">+AS74*SUM(J74:K74)/1000</f>
        <v>1297.97231770833</v>
      </c>
      <c r="AW74" s="157" t="n">
        <f aca="false">+AT74*SUM(L74:M74)/1000</f>
        <v>0</v>
      </c>
      <c r="AX74" s="157" t="n">
        <f aca="false">+AU74*SUM(N74:O74)/1000</f>
        <v>0</v>
      </c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</row>
    <row r="75" customFormat="false" ht="12.75" hidden="false" customHeight="false" outlineLevel="0" collapsed="false">
      <c r="A75" s="147" t="n">
        <f aca="false">+IF(B75=" ",A74,B75)</f>
        <v>37561</v>
      </c>
      <c r="B75" s="148" t="n">
        <f aca="false">IF(B74=" "," ",IF(EDATE(B74,1)&gt;=EndDate," ",EDATE(B74,1)))</f>
        <v>37561</v>
      </c>
      <c r="C75" s="149" t="n">
        <f aca="false">IF($B75&lt;&gt;" ",C74+1,C74)</f>
        <v>25</v>
      </c>
      <c r="D75" s="150" t="n">
        <f aca="false">C75/12</f>
        <v>2.08333333333333</v>
      </c>
      <c r="E75" s="1"/>
      <c r="F75" s="157" t="n">
        <f aca="false">+SUM($T75:$U75)</f>
        <v>4240.1510688737</v>
      </c>
      <c r="G75" s="152" t="n">
        <f aca="false">-SUM($AA75,$AG75,$AM75,$AQ75,$AV75:$AX75)</f>
        <v>-3530.33486410102</v>
      </c>
      <c r="H75" s="152" t="n">
        <f aca="false">+SUM(F75:G75)</f>
        <v>709.81620477268</v>
      </c>
      <c r="I75" s="124"/>
      <c r="J75" s="153" t="n">
        <f aca="false">+IF($B75=" ",0,IF(AND($B75&gt;=J$26,$B75&lt;J$28),J$33,0))</f>
        <v>1297972.31770833</v>
      </c>
      <c r="K75" s="153" t="n">
        <f aca="false">+IF($B75=" ",0,IF(AND($B75&gt;=K$26,$B75&lt;K$28),K$33,0))</f>
        <v>0</v>
      </c>
      <c r="L75" s="153" t="n">
        <f aca="false">+IF($B75=" ",0,IF(AND($B75&gt;=L$26,$B75&lt;L$28),L$33,0))</f>
        <v>0</v>
      </c>
      <c r="M75" s="153" t="n">
        <f aca="false">+IF($B75=" ",0,IF(AND($B75&gt;=M$26,$B75&lt;M$28),M$33,0))</f>
        <v>0</v>
      </c>
      <c r="N75" s="153" t="n">
        <f aca="false">+IF($B75=" ",0,IF(AND($B75&gt;=N$26,$B75&lt;N$28),N$33,0))</f>
        <v>0</v>
      </c>
      <c r="O75" s="154" t="n">
        <f aca="false">+IF($B75=" ",0,IF(AND($B75&gt;=O$26,$B75&lt;O$28),O$33,0))</f>
        <v>0</v>
      </c>
      <c r="P75" s="1"/>
      <c r="Q75" s="83" t="n">
        <f aca="false">IF($B75=" ",0,IF($B75&lt;=DATE(2003,12,31),3.55,2.9))</f>
        <v>3.55</v>
      </c>
      <c r="R75" s="155" t="n">
        <f aca="false">IF($B75=" ",0,R$25)</f>
        <v>-0.07</v>
      </c>
      <c r="S75" s="156" t="n">
        <f aca="false">IF($B75=" ",0,S$25)</f>
        <v>0.1</v>
      </c>
      <c r="T75" s="157" t="n">
        <f aca="false">+SUM($Q75,$S75)/1000*(SUM($J75*$J$37,$K75*$K$37,$L75*$L$37,$M75*$M$37,$N75*$N$37,$O75*$O$37))</f>
        <v>4240.1510688737</v>
      </c>
      <c r="U75" s="157" t="n">
        <f aca="false">+SUM($Q75,$R75)/1000*(SUM(0))</f>
        <v>0</v>
      </c>
      <c r="V75" s="1"/>
      <c r="W75" s="158" t="n">
        <f aca="false">IF($B75=" ",0,1)*(IF($B75&gt;=W$25,1,0)*IF($B75&lt;=W$29,W$27,IF($B75&lt;=W$33,W$31,0))*($D75-$D74)*365/1000)</f>
        <v>288.958333333334</v>
      </c>
      <c r="X75" s="158" t="n">
        <f aca="false">IF($B75=" ",0,IF($B75&gt;=X$25,IF($B75&lt;=X$29,X$27,IF($B75&lt;=X$33,X$31,X$31*(1+X$38)^(IF(X$36&gt;$B75,-1,1)*(YEARFRAC($B75,X$36)))))*($D75-$D74)*365/1000,0))</f>
        <v>367.673924120611</v>
      </c>
      <c r="Y75" s="159" t="n">
        <f aca="false">IF($B75=" ",0,Y$25*(1+Y$30)^(IF(Y$28&gt;$B75,-1,1)*(YEARFRAC($B75,Y$28))))</f>
        <v>0.462155970755494</v>
      </c>
      <c r="Z75" s="159" t="n">
        <f aca="false">IF($B75=" ",0,Z$25*(1+Z$30)^(IF(Z$28&gt;$B75,-1,1)*(YEARFRAC($B75,Z$28))))</f>
        <v>0.441187465642865</v>
      </c>
      <c r="AA75" s="162" t="n">
        <f aca="false">+W75+X75+Z75*SUM($J75*$J$37,$L75*$L$37,$N75*$N$37)/1000</f>
        <v>1169.15321745922</v>
      </c>
      <c r="AB75" s="161"/>
      <c r="AC75" s="158" t="n">
        <f aca="false">IF($B75=" ",0,1)*(IF($B75&gt;=AC$25,1,0)*IF($B75&lt;=AC$29,AC$27,IF($B75&lt;=AC$33,AC$31,0))*($D75-$D74)*365/1000)</f>
        <v>0</v>
      </c>
      <c r="AD75" s="158" t="n">
        <f aca="false">IF($B75=" ",0,IF($B75&gt;=AD$25,IF($B75&lt;=AD$29,AD$27,IF($B75&lt;=AD$33,AD$31,AD$31*(1+AD$38)^(IF(AD$36&gt;$B75,-1,1)*(YEARFRAC($B75,AD$36)))))*($D75-$D74)*365/1000,0))</f>
        <v>0</v>
      </c>
      <c r="AE75" s="159" t="n">
        <f aca="false">IF($B75=" ",0,AE$25*(1+AE$30)^(IF(AE$28&gt;$B75,-1,1)*(YEARFRAC($B75,AE$28))))</f>
        <v>0.382893778279171</v>
      </c>
      <c r="AF75" s="159" t="n">
        <f aca="false">IF($B75=" ",0,AF$25*(1+AF$30)^(IF(AF$28&gt;$B75,-1,1)*(YEARFRAC($B75,AF$28))))</f>
        <v>0.137381419310765</v>
      </c>
      <c r="AG75" s="162" t="n">
        <f aca="false">+AC75+AD75+AF75*SUM($K75*$K$37,$M75*$M$37,$O75*$O$37)/1000</f>
        <v>0</v>
      </c>
      <c r="AH75" s="1"/>
      <c r="AI75" s="158" t="n">
        <f aca="false">IF($B75=" ",0,1)*IF($B75&gt;=AI$33,AI$25*($D75-$D74),0)</f>
        <v>485.186570908334</v>
      </c>
      <c r="AJ75" s="158" t="n">
        <f aca="false">IF($B75=" ",0,IF($B75&gt;=AJ$33,AJ$25*(1+AJ$30)^(IF(AJ$28&gt;$B75,-1,1)*(YEARFRAC($B75,AJ$28)))*($D75-$D74),0))</f>
        <v>479.397728300622</v>
      </c>
      <c r="AK75" s="159" t="n">
        <f aca="false">IF($B75=" ",0,AK$25*(1+AK$30)^(IF(AK$28&gt;$B75,-1,1)*(YEARFRAC($B75,AK$28))))</f>
        <v>0.0273982389181864</v>
      </c>
      <c r="AL75" s="159" t="n">
        <f aca="false">IF($B75=" ",0,AL$25*AL$28)</f>
        <v>0.0575</v>
      </c>
      <c r="AM75" s="162" t="n">
        <f aca="false">+AI75+AJ75+SUM(AK75:AL75)*SUM($J75*$J$37,$K75*$K$37,$L75*$L$37,$M75*$M$37,$N75*$N$37,$O75*$O$37)/1000</f>
        <v>1063.20932893346</v>
      </c>
      <c r="AN75" s="1"/>
      <c r="AO75" s="163" t="n">
        <f aca="false">IF($B75=" ",0,$AO$25)</f>
        <v>0.25</v>
      </c>
      <c r="AP75" s="159" t="n">
        <f aca="false">IF($B75=" ",0,AP$25*AP$28)</f>
        <v>0.03105</v>
      </c>
      <c r="AQ75" s="162" t="n">
        <f aca="false">SUM(AO75:AP75)*SUM(0)/1000</f>
        <v>0</v>
      </c>
      <c r="AR75" s="1"/>
      <c r="AS75" s="155" t="n">
        <f aca="false">IF($B75=" ",0,AS$25)</f>
        <v>1</v>
      </c>
      <c r="AT75" s="156" t="n">
        <f aca="false">IF($B75=" ",0,AT$25)</f>
        <v>1</v>
      </c>
      <c r="AU75" s="156" t="n">
        <f aca="false">IF($B75=" ",0,AU$25)</f>
        <v>2.3</v>
      </c>
      <c r="AV75" s="157" t="n">
        <f aca="false">+AS75*SUM(J75:K75)/1000</f>
        <v>1297.97231770833</v>
      </c>
      <c r="AW75" s="157" t="n">
        <f aca="false">+AT75*SUM(L75:M75)/1000</f>
        <v>0</v>
      </c>
      <c r="AX75" s="157" t="n">
        <f aca="false">+AU75*SUM(N75:O75)/1000</f>
        <v>0</v>
      </c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</row>
    <row r="76" customFormat="false" ht="12.75" hidden="false" customHeight="false" outlineLevel="0" collapsed="false">
      <c r="A76" s="147" t="n">
        <f aca="false">+IF(B76=" ",A75,B76)</f>
        <v>37591</v>
      </c>
      <c r="B76" s="148" t="n">
        <f aca="false">IF(B75=" "," ",IF(EDATE(B75,1)&gt;=EndDate," ",EDATE(B75,1)))</f>
        <v>37591</v>
      </c>
      <c r="C76" s="149" t="n">
        <f aca="false">IF($B76&lt;&gt;" ",C75+1,C75)</f>
        <v>26</v>
      </c>
      <c r="D76" s="150" t="n">
        <f aca="false">C76/12</f>
        <v>2.16666666666667</v>
      </c>
      <c r="E76" s="1"/>
      <c r="F76" s="157" t="n">
        <f aca="false">+SUM($T76:$U76)</f>
        <v>4240.1510688737</v>
      </c>
      <c r="G76" s="152" t="n">
        <f aca="false">-SUM($AA76,$AG76,$AM76,$AQ76,$AV76:$AX76)</f>
        <v>-3532.0776168976</v>
      </c>
      <c r="H76" s="152" t="n">
        <f aca="false">+SUM(F76:G76)</f>
        <v>708.073451976094</v>
      </c>
      <c r="I76" s="124"/>
      <c r="J76" s="153" t="n">
        <f aca="false">+IF($B76=" ",0,IF(AND($B76&gt;=J$26,$B76&lt;J$28),J$33,0))</f>
        <v>1297972.31770833</v>
      </c>
      <c r="K76" s="153" t="n">
        <f aca="false">+IF($B76=" ",0,IF(AND($B76&gt;=K$26,$B76&lt;K$28),K$33,0))</f>
        <v>0</v>
      </c>
      <c r="L76" s="153" t="n">
        <f aca="false">+IF($B76=" ",0,IF(AND($B76&gt;=L$26,$B76&lt;L$28),L$33,0))</f>
        <v>0</v>
      </c>
      <c r="M76" s="153" t="n">
        <f aca="false">+IF($B76=" ",0,IF(AND($B76&gt;=M$26,$B76&lt;M$28),M$33,0))</f>
        <v>0</v>
      </c>
      <c r="N76" s="153" t="n">
        <f aca="false">+IF($B76=" ",0,IF(AND($B76&gt;=N$26,$B76&lt;N$28),N$33,0))</f>
        <v>0</v>
      </c>
      <c r="O76" s="154" t="n">
        <f aca="false">+IF($B76=" ",0,IF(AND($B76&gt;=O$26,$B76&lt;O$28),O$33,0))</f>
        <v>0</v>
      </c>
      <c r="P76" s="1"/>
      <c r="Q76" s="83" t="n">
        <f aca="false">IF($B76=" ",0,IF($B76&lt;=DATE(2003,12,31),3.55,2.9))</f>
        <v>3.55</v>
      </c>
      <c r="R76" s="155" t="n">
        <f aca="false">IF($B76=" ",0,R$25)</f>
        <v>-0.07</v>
      </c>
      <c r="S76" s="156" t="n">
        <f aca="false">IF($B76=" ",0,S$25)</f>
        <v>0.1</v>
      </c>
      <c r="T76" s="157" t="n">
        <f aca="false">+SUM($Q76,$S76)/1000*(SUM($J76*$J$37,$K76*$K$37,$L76*$L$37,$M76*$M$37,$N76*$N$37,$O76*$O$37))</f>
        <v>4240.1510688737</v>
      </c>
      <c r="U76" s="157" t="n">
        <f aca="false">+SUM($Q76,$R76)/1000*(SUM(0))</f>
        <v>0</v>
      </c>
      <c r="V76" s="1"/>
      <c r="W76" s="158" t="n">
        <f aca="false">IF($B76=" ",0,1)*(IF($B76&gt;=W$25,1,0)*IF($B76&lt;=W$29,W$27,IF($B76&lt;=W$33,W$31,0))*($D76-$D75)*365/1000)</f>
        <v>288.958333333332</v>
      </c>
      <c r="X76" s="158" t="n">
        <f aca="false">IF($B76=" ",0,IF($B76&gt;=X$25,IF($B76&lt;=X$29,X$27,IF($B76&lt;=X$33,X$31,X$31*(1+X$38)^(IF(X$36&gt;$B76,-1,1)*(YEARFRAC($B76,X$36)))))*($D76-$D75)*365/1000,0))</f>
        <v>368.180722525753</v>
      </c>
      <c r="Y76" s="159" t="n">
        <f aca="false">IF($B76=" ",0,Y$25*(1+Y$30)^(IF(Y$28&gt;$B76,-1,1)*(YEARFRAC($B76,Y$28))))</f>
        <v>0.462793002357524</v>
      </c>
      <c r="Z76" s="159" t="n">
        <f aca="false">IF($B76=" ",0,Z$25*(1+Z$30)^(IF(Z$28&gt;$B76,-1,1)*(YEARFRAC($B76,Z$28))))</f>
        <v>0.441795594447464</v>
      </c>
      <c r="AA76" s="162" t="n">
        <f aca="false">+W76+X76+Z76*SUM($J76*$J$37,$L76*$L$37,$N76*$N$37)/1000</f>
        <v>1170.36647011117</v>
      </c>
      <c r="AB76" s="161"/>
      <c r="AC76" s="158" t="n">
        <f aca="false">IF($B76=" ",0,1)*(IF($B76&gt;=AC$25,1,0)*IF($B76&lt;=AC$29,AC$27,IF($B76&lt;=AC$33,AC$31,0))*($D76-$D75)*365/1000)</f>
        <v>0</v>
      </c>
      <c r="AD76" s="158" t="n">
        <f aca="false">IF($B76=" ",0,IF($B76&gt;=AD$25,IF($B76&lt;=AD$29,AD$27,IF($B76&lt;=AD$33,AD$31,AD$31*(1+AD$38)^(IF(AD$36&gt;$B76,-1,1)*(YEARFRAC($B76,AD$36)))))*($D76-$D75)*365/1000,0))</f>
        <v>0</v>
      </c>
      <c r="AE76" s="159" t="n">
        <f aca="false">IF($B76=" ",0,AE$25*(1+AE$30)^(IF(AE$28&gt;$B76,-1,1)*(YEARFRAC($B76,AE$28))))</f>
        <v>0.383421555593366</v>
      </c>
      <c r="AF76" s="159" t="n">
        <f aca="false">IF($B76=" ",0,AF$25*(1+AF$30)^(IF(AF$28&gt;$B76,-1,1)*(YEARFRAC($B76,AF$28))))</f>
        <v>0.137570784614191</v>
      </c>
      <c r="AG76" s="162" t="n">
        <f aca="false">+AC76+AD76+AF76*SUM($K76*$K$37,$M76*$M$37,$O76*$O$37)/1000</f>
        <v>0</v>
      </c>
      <c r="AH76" s="1"/>
      <c r="AI76" s="158" t="n">
        <f aca="false">IF($B76=" ",0,1)*IF($B76&gt;=AI$33,AI$25*($D76-$D75),0)</f>
        <v>485.186570908332</v>
      </c>
      <c r="AJ76" s="158" t="n">
        <f aca="false">IF($B76=" ",0,IF($B76&gt;=AJ$33,AJ$25*(1+AJ$30)^(IF(AJ$28&gt;$B76,-1,1)*(YEARFRAC($B76,AJ$28)))*($D76-$D75),0))</f>
        <v>479.894262587163</v>
      </c>
      <c r="AK76" s="159" t="n">
        <f aca="false">IF($B76=" ",0,AK$25*(1+AK$30)^(IF(AK$28&gt;$B76,-1,1)*(YEARFRAC($B76,AK$28))))</f>
        <v>0.0274266165349557</v>
      </c>
      <c r="AL76" s="159" t="n">
        <f aca="false">IF($B76=" ",0,AL$25*AL$28)</f>
        <v>0.0575</v>
      </c>
      <c r="AM76" s="162" t="n">
        <f aca="false">+AI76+AJ76+SUM(AK76:AL76)*SUM($J76*$J$37,$K76*$K$37,$L76*$L$37,$M76*$M$37,$N76*$N$37,$O76*$O$37)/1000</f>
        <v>1063.7388290781</v>
      </c>
      <c r="AN76" s="1"/>
      <c r="AO76" s="163" t="n">
        <f aca="false">IF($B76=" ",0,$AO$25)</f>
        <v>0.25</v>
      </c>
      <c r="AP76" s="159" t="n">
        <f aca="false">IF($B76=" ",0,AP$25*AP$28)</f>
        <v>0.03105</v>
      </c>
      <c r="AQ76" s="162" t="n">
        <f aca="false">SUM(AO76:AP76)*SUM(0)/1000</f>
        <v>0</v>
      </c>
      <c r="AR76" s="1"/>
      <c r="AS76" s="155" t="n">
        <f aca="false">IF($B76=" ",0,AS$25)</f>
        <v>1</v>
      </c>
      <c r="AT76" s="156" t="n">
        <f aca="false">IF($B76=" ",0,AT$25)</f>
        <v>1</v>
      </c>
      <c r="AU76" s="156" t="n">
        <f aca="false">IF($B76=" ",0,AU$25)</f>
        <v>2.3</v>
      </c>
      <c r="AV76" s="157" t="n">
        <f aca="false">+AS76*SUM(J76:K76)/1000</f>
        <v>1297.97231770833</v>
      </c>
      <c r="AW76" s="157" t="n">
        <f aca="false">+AT76*SUM(L76:M76)/1000</f>
        <v>0</v>
      </c>
      <c r="AX76" s="157" t="n">
        <f aca="false">+AU76*SUM(N76:O76)/1000</f>
        <v>0</v>
      </c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</row>
    <row r="77" customFormat="false" ht="12.75" hidden="false" customHeight="false" outlineLevel="0" collapsed="false">
      <c r="A77" s="147" t="n">
        <f aca="false">+IF(B77=" ",A76,B77)</f>
        <v>37622</v>
      </c>
      <c r="B77" s="148" t="n">
        <f aca="false">IF(B76=" "," ",IF(EDATE(B76,1)&gt;=EndDate," ",EDATE(B76,1)))</f>
        <v>37622</v>
      </c>
      <c r="C77" s="149" t="n">
        <f aca="false">IF($B77&lt;&gt;" ",C76+1,C76)</f>
        <v>27</v>
      </c>
      <c r="D77" s="150" t="n">
        <f aca="false">C77/12</f>
        <v>2.25</v>
      </c>
      <c r="E77" s="1"/>
      <c r="F77" s="157" t="n">
        <f aca="false">+SUM($T77:$U77)</f>
        <v>17452.1995503737</v>
      </c>
      <c r="G77" s="152" t="n">
        <f aca="false">-SUM($AA77,$AG77,$AM77,$AQ77,$AV77:$AX77)</f>
        <v>-10177.7668191547</v>
      </c>
      <c r="H77" s="152" t="n">
        <f aca="false">+SUM(F77:G77)</f>
        <v>7274.43273121901</v>
      </c>
      <c r="I77" s="124"/>
      <c r="J77" s="153" t="n">
        <f aca="false">+IF($B77=" ",0,IF(AND($B77&gt;=J$26,$B77&lt;J$28),J$33,0))</f>
        <v>1297972.31770833</v>
      </c>
      <c r="K77" s="153" t="n">
        <f aca="false">+IF($B77=" ",0,IF(AND($B77&gt;=K$26,$B77&lt;K$28),K$33,0))</f>
        <v>0</v>
      </c>
      <c r="L77" s="153" t="n">
        <f aca="false">+IF($B77=" ",0,IF(AND($B77&gt;=L$26,$B77&lt;L$28),L$33,0))</f>
        <v>0</v>
      </c>
      <c r="M77" s="153" t="n">
        <f aca="false">+IF($B77=" ",0,IF(AND($B77&gt;=M$26,$B77&lt;M$28),M$33,0))</f>
        <v>3720184.28571429</v>
      </c>
      <c r="N77" s="153" t="n">
        <f aca="false">+IF($B77=" ",0,IF(AND($B77&gt;=N$26,$B77&lt;N$28),N$33,0))</f>
        <v>0</v>
      </c>
      <c r="O77" s="154" t="n">
        <f aca="false">+IF($B77=" ",0,IF(AND($B77&gt;=O$26,$B77&lt;O$28),O$33,0))</f>
        <v>0</v>
      </c>
      <c r="P77" s="1"/>
      <c r="Q77" s="83" t="n">
        <f aca="false">IF($B77=" ",0,IF($B77&lt;=DATE(2003,12,31),3.55,2.9))</f>
        <v>3.55</v>
      </c>
      <c r="R77" s="155" t="n">
        <f aca="false">IF($B77=" ",0,R$25)</f>
        <v>-0.07</v>
      </c>
      <c r="S77" s="156" t="n">
        <f aca="false">IF($B77=" ",0,S$25)</f>
        <v>0.1</v>
      </c>
      <c r="T77" s="157" t="n">
        <f aca="false">+SUM($Q77,$S77)/1000*(SUM($J77*$J$37,$K77*$K$37,$L77*$L$37,$M77*$M$37,$N77*$N$37,$O77*$O$37))</f>
        <v>17452.1995503737</v>
      </c>
      <c r="U77" s="157" t="n">
        <f aca="false">+SUM($Q77,$R77)/1000*(SUM(0))</f>
        <v>0</v>
      </c>
      <c r="V77" s="1"/>
      <c r="W77" s="158" t="n">
        <f aca="false">IF($B77=" ",0,1)*(IF($B77&gt;=W$25,1,0)*IF($B77&lt;=W$29,W$27,IF($B77&lt;=W$33,W$31,0))*($D77-$D76)*365/1000)</f>
        <v>486.666666666668</v>
      </c>
      <c r="X77" s="158" t="n">
        <f aca="false">IF($B77=" ",0,IF($B77&gt;=X$25,IF($B77&lt;=X$29,X$27,IF($B77&lt;=X$33,X$31,X$31*(1+X$38)^(IF(X$36&gt;$B77,-1,1)*(YEARFRAC($B77,X$36)))))*($D77-$D76)*365/1000,0))</f>
        <v>368.688219497229</v>
      </c>
      <c r="Y77" s="159" t="n">
        <f aca="false">IF($B77=" ",0,Y$25*(1+Y$30)^(IF(Y$28&gt;$B77,-1,1)*(YEARFRAC($B77,Y$28))))</f>
        <v>0.463430912038141</v>
      </c>
      <c r="Z77" s="159" t="n">
        <f aca="false">IF($B77=" ",0,Z$25*(1+Z$30)^(IF(Z$28&gt;$B77,-1,1)*(YEARFRAC($B77,Z$28))))</f>
        <v>0.442404561491296</v>
      </c>
      <c r="AA77" s="162" t="n">
        <f aca="false">+W77+X77+Z77*SUM($J77*$J$37,$L77*$L$37,$N77*$N$37)/1000</f>
        <v>1369.28972843292</v>
      </c>
      <c r="AB77" s="161"/>
      <c r="AC77" s="158" t="n">
        <f aca="false">IF($B77=" ",0,1)*(IF($B77&gt;=AC$25,1,0)*IF($B77&lt;=AC$29,AC$27,IF($B77&lt;=AC$33,AC$31,0))*($D77-$D76)*365/1000)</f>
        <v>1591.66666666667</v>
      </c>
      <c r="AD77" s="158" t="n">
        <f aca="false">IF($B77=" ",0,IF($B77&gt;=AD$25,IF($B77&lt;=AD$29,AD$27,IF($B77&lt;=AD$33,AD$31,AD$31*(1+AD$38)^(IF(AD$36&gt;$B77,-1,1)*(YEARFRAC($B77,AD$36)))))*($D77-$D76)*365/1000,0))</f>
        <v>328.213129848307</v>
      </c>
      <c r="AE77" s="159" t="n">
        <f aca="false">IF($B77=" ",0,AE$25*(1+AE$30)^(IF(AE$28&gt;$B77,-1,1)*(YEARFRAC($B77,AE$28))))</f>
        <v>0.383950060391027</v>
      </c>
      <c r="AF77" s="159" t="n">
        <f aca="false">IF($B77=" ",0,AF$25*(1+AF$30)^(IF(AF$28&gt;$B77,-1,1)*(YEARFRAC($B77,AF$28))))</f>
        <v>0.137760410937036</v>
      </c>
      <c r="AG77" s="162" t="n">
        <f aca="false">+AC77+AD77+AF77*SUM($K77*$K$37,$M77*$M$37,$O77*$O$37)/1000</f>
        <v>2418.53657134552</v>
      </c>
      <c r="AH77" s="1"/>
      <c r="AI77" s="158" t="n">
        <f aca="false">IF($B77=" ",0,1)*IF($B77&gt;=AI$33,AI$25*($D77-$D76),0)</f>
        <v>485.186570908334</v>
      </c>
      <c r="AJ77" s="158" t="n">
        <f aca="false">IF($B77=" ",0,IF($B77&gt;=AJ$33,AJ$25*(1+AJ$30)^(IF(AJ$28&gt;$B77,-1,1)*(YEARFRAC($B77,AJ$28)))*($D77-$D76),0))</f>
        <v>480.391311157116</v>
      </c>
      <c r="AK77" s="159" t="n">
        <f aca="false">IF($B77=" ",0,AK$25*(1+AK$30)^(IF(AK$28&gt;$B77,-1,1)*(YEARFRAC($B77,AK$28))))</f>
        <v>0.0274550235437284</v>
      </c>
      <c r="AL77" s="159" t="n">
        <f aca="false">IF($B77=" ",0,AL$25*AL$28)</f>
        <v>0.0575</v>
      </c>
      <c r="AM77" s="162" t="n">
        <f aca="false">+AI77+AJ77+SUM(AK77:AL77)*SUM($J77*$J$37,$K77*$K$37,$L77*$L$37,$M77*$M$37,$N77*$N$37,$O77*$O$37)/1000</f>
        <v>1371.78391595363</v>
      </c>
      <c r="AN77" s="1"/>
      <c r="AO77" s="163" t="n">
        <f aca="false">IF($B77=" ",0,$AO$25)</f>
        <v>0.25</v>
      </c>
      <c r="AP77" s="159" t="n">
        <f aca="false">IF($B77=" ",0,AP$25*AP$28)</f>
        <v>0.03105</v>
      </c>
      <c r="AQ77" s="162" t="n">
        <f aca="false">SUM(AO77:AP77)*SUM(0)/1000</f>
        <v>0</v>
      </c>
      <c r="AR77" s="1"/>
      <c r="AS77" s="155" t="n">
        <f aca="false">IF($B77=" ",0,AS$25)</f>
        <v>1</v>
      </c>
      <c r="AT77" s="156" t="n">
        <f aca="false">IF($B77=" ",0,AT$25)</f>
        <v>1</v>
      </c>
      <c r="AU77" s="156" t="n">
        <f aca="false">IF($B77=" ",0,AU$25)</f>
        <v>2.3</v>
      </c>
      <c r="AV77" s="157" t="n">
        <f aca="false">+AS77*SUM(J77:K77)/1000</f>
        <v>1297.97231770833</v>
      </c>
      <c r="AW77" s="157" t="n">
        <f aca="false">+AT77*SUM(L77:M77)/1000</f>
        <v>3720.18428571429</v>
      </c>
      <c r="AX77" s="157" t="n">
        <f aca="false">+AU77*SUM(N77:O77)/1000</f>
        <v>0</v>
      </c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</row>
    <row r="78" customFormat="false" ht="12.75" hidden="false" customHeight="false" outlineLevel="0" collapsed="false">
      <c r="A78" s="147" t="n">
        <f aca="false">+IF(B78=" ",A77,B78)</f>
        <v>37653</v>
      </c>
      <c r="B78" s="148" t="n">
        <f aca="false">IF(B77=" "," ",IF(EDATE(B77,1)&gt;=EndDate," ",EDATE(B77,1)))</f>
        <v>37653</v>
      </c>
      <c r="C78" s="149" t="n">
        <f aca="false">IF($B78&lt;&gt;" ",C77+1,C77)</f>
        <v>28</v>
      </c>
      <c r="D78" s="150" t="n">
        <f aca="false">C78/12</f>
        <v>2.33333333333333</v>
      </c>
      <c r="E78" s="1"/>
      <c r="F78" s="157" t="n">
        <f aca="false">+SUM($T78:$U78)</f>
        <v>17452.1995503737</v>
      </c>
      <c r="G78" s="152" t="n">
        <f aca="false">-SUM($AA78,$AG78,$AM78,$AQ78,$AV78:$AX78)</f>
        <v>-10180.7566988041</v>
      </c>
      <c r="H78" s="152" t="n">
        <f aca="false">+SUM(F78:G78)</f>
        <v>7271.44285156957</v>
      </c>
      <c r="I78" s="124"/>
      <c r="J78" s="153" t="n">
        <f aca="false">+IF($B78=" ",0,IF(AND($B78&gt;=J$26,$B78&lt;J$28),J$33,0))</f>
        <v>1297972.31770833</v>
      </c>
      <c r="K78" s="153" t="n">
        <f aca="false">+IF($B78=" ",0,IF(AND($B78&gt;=K$26,$B78&lt;K$28),K$33,0))</f>
        <v>0</v>
      </c>
      <c r="L78" s="153" t="n">
        <f aca="false">+IF($B78=" ",0,IF(AND($B78&gt;=L$26,$B78&lt;L$28),L$33,0))</f>
        <v>0</v>
      </c>
      <c r="M78" s="153" t="n">
        <f aca="false">+IF($B78=" ",0,IF(AND($B78&gt;=M$26,$B78&lt;M$28),M$33,0))</f>
        <v>3720184.28571429</v>
      </c>
      <c r="N78" s="153" t="n">
        <f aca="false">+IF($B78=" ",0,IF(AND($B78&gt;=N$26,$B78&lt;N$28),N$33,0))</f>
        <v>0</v>
      </c>
      <c r="O78" s="154" t="n">
        <f aca="false">+IF($B78=" ",0,IF(AND($B78&gt;=O$26,$B78&lt;O$28),O$33,0))</f>
        <v>0</v>
      </c>
      <c r="P78" s="1"/>
      <c r="Q78" s="83" t="n">
        <f aca="false">IF($B78=" ",0,IF($B78&lt;=DATE(2003,12,31),3.55,2.9))</f>
        <v>3.55</v>
      </c>
      <c r="R78" s="155" t="n">
        <f aca="false">IF($B78=" ",0,R$25)</f>
        <v>-0.07</v>
      </c>
      <c r="S78" s="156" t="n">
        <f aca="false">IF($B78=" ",0,S$25)</f>
        <v>0.1</v>
      </c>
      <c r="T78" s="157" t="n">
        <f aca="false">+SUM($Q78,$S78)/1000*(SUM($J78*$J$37,$K78*$K$37,$L78*$L$37,$M78*$M$37,$N78*$N$37,$O78*$O$37))</f>
        <v>17452.1995503737</v>
      </c>
      <c r="U78" s="157" t="n">
        <f aca="false">+SUM($Q78,$R78)/1000*(SUM(0))</f>
        <v>0</v>
      </c>
      <c r="V78" s="1"/>
      <c r="W78" s="158" t="n">
        <f aca="false">IF($B78=" ",0,1)*(IF($B78&gt;=W$25,1,0)*IF($B78&lt;=W$29,W$27,IF($B78&lt;=W$33,W$31,0))*($D78-$D77)*365/1000)</f>
        <v>486.666666666668</v>
      </c>
      <c r="X78" s="158" t="n">
        <f aca="false">IF($B78=" ",0,IF($B78&gt;=X$25,IF($B78&lt;=X$29,X$27,IF($B78&lt;=X$33,X$31,X$31*(1+X$38)^(IF(X$36&gt;$B78,-1,1)*(YEARFRAC($B78,X$36)))))*($D78-$D77)*365/1000,0))</f>
        <v>369.19641599793</v>
      </c>
      <c r="Y78" s="159" t="n">
        <f aca="false">IF($B78=" ",0,Y$25*(1+Y$30)^(IF(Y$28&gt;$B78,-1,1)*(YEARFRAC($B78,Y$28))))</f>
        <v>0.464069701007681</v>
      </c>
      <c r="Z78" s="159" t="n">
        <f aca="false">IF($B78=" ",0,Z$25*(1+Z$30)^(IF(Z$28&gt;$B78,-1,1)*(YEARFRAC($B78,Z$28))))</f>
        <v>0.443014367929783</v>
      </c>
      <c r="AA78" s="162" t="n">
        <f aca="false">+W78+X78+Z78*SUM($J78*$J$37,$L78*$L$37,$N78*$N$37)/1000</f>
        <v>1370.50632806292</v>
      </c>
      <c r="AB78" s="161"/>
      <c r="AC78" s="158" t="n">
        <f aca="false">IF($B78=" ",0,1)*(IF($B78&gt;=AC$25,1,0)*IF($B78&lt;=AC$29,AC$27,IF($B78&lt;=AC$33,AC$31,0))*($D78-$D77)*365/1000)</f>
        <v>1591.66666666667</v>
      </c>
      <c r="AD78" s="158" t="n">
        <f aca="false">IF($B78=" ",0,IF($B78&gt;=AD$25,IF($B78&lt;=AD$29,AD$27,IF($B78&lt;=AD$33,AD$31,AD$31*(1+AD$38)^(IF(AD$36&gt;$B78,-1,1)*(YEARFRAC($B78,AD$36)))))*($D78-$D77)*365/1000,0))</f>
        <v>328.665535852221</v>
      </c>
      <c r="AE78" s="159" t="n">
        <f aca="false">IF($B78=" ",0,AE$25*(1+AE$30)^(IF(AE$28&gt;$B78,-1,1)*(YEARFRAC($B78,AE$28))))</f>
        <v>0.384479293674913</v>
      </c>
      <c r="AF78" s="159" t="n">
        <f aca="false">IF($B78=" ",0,AF$25*(1+AF$30)^(IF(AF$28&gt;$B78,-1,1)*(YEARFRAC($B78,AF$28))))</f>
        <v>0.137950298639087</v>
      </c>
      <c r="AG78" s="162" t="n">
        <f aca="false">+AC78+AD78+AF78*SUM($K78*$K$37,$M78*$M$37,$O78*$O$37)/1000</f>
        <v>2419.67632132903</v>
      </c>
      <c r="AH78" s="1"/>
      <c r="AI78" s="158" t="n">
        <f aca="false">IF($B78=" ",0,1)*IF($B78&gt;=AI$33,AI$25*($D78-$D77),0)</f>
        <v>485.186570908334</v>
      </c>
      <c r="AJ78" s="158" t="n">
        <f aca="false">IF($B78=" ",0,IF($B78&gt;=AJ$33,AJ$25*(1+AJ$30)^(IF(AJ$28&gt;$B78,-1,1)*(YEARFRAC($B78,AJ$28)))*($D78-$D77),0))</f>
        <v>480.888874543143</v>
      </c>
      <c r="AK78" s="159" t="n">
        <f aca="false">IF($B78=" ",0,AK$25*(1+AK$30)^(IF(AK$28&gt;$B78,-1,1)*(YEARFRAC($B78,AK$28))))</f>
        <v>0.0274834599749473</v>
      </c>
      <c r="AL78" s="159" t="n">
        <f aca="false">IF($B78=" ",0,AL$25*AL$28)</f>
        <v>0.0575</v>
      </c>
      <c r="AM78" s="162" t="n">
        <f aca="false">+AI78+AJ78+SUM(AK78:AL78)*SUM($J78*$J$37,$K78*$K$37,$L78*$L$37,$M78*$M$37,$N78*$N$37,$O78*$O$37)/1000</f>
        <v>1372.41744598955</v>
      </c>
      <c r="AN78" s="1"/>
      <c r="AO78" s="163" t="n">
        <f aca="false">IF($B78=" ",0,$AO$25)</f>
        <v>0.25</v>
      </c>
      <c r="AP78" s="159" t="n">
        <f aca="false">IF($B78=" ",0,AP$25*AP$28)</f>
        <v>0.03105</v>
      </c>
      <c r="AQ78" s="162" t="n">
        <f aca="false">SUM(AO78:AP78)*SUM(0)/1000</f>
        <v>0</v>
      </c>
      <c r="AR78" s="1"/>
      <c r="AS78" s="155" t="n">
        <f aca="false">IF($B78=" ",0,AS$25)</f>
        <v>1</v>
      </c>
      <c r="AT78" s="156" t="n">
        <f aca="false">IF($B78=" ",0,AT$25)</f>
        <v>1</v>
      </c>
      <c r="AU78" s="156" t="n">
        <f aca="false">IF($B78=" ",0,AU$25)</f>
        <v>2.3</v>
      </c>
      <c r="AV78" s="157" t="n">
        <f aca="false">+AS78*SUM(J78:K78)/1000</f>
        <v>1297.97231770833</v>
      </c>
      <c r="AW78" s="157" t="n">
        <f aca="false">+AT78*SUM(L78:M78)/1000</f>
        <v>3720.18428571429</v>
      </c>
      <c r="AX78" s="157" t="n">
        <f aca="false">+AU78*SUM(N78:O78)/1000</f>
        <v>0</v>
      </c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</row>
    <row r="79" customFormat="false" ht="12.75" hidden="false" customHeight="false" outlineLevel="0" collapsed="false">
      <c r="A79" s="147" t="n">
        <f aca="false">+IF(B79=" ",A78,B79)</f>
        <v>37681</v>
      </c>
      <c r="B79" s="148" t="n">
        <f aca="false">IF(B78=" "," ",IF(EDATE(B78,1)&gt;=EndDate," ",EDATE(B78,1)))</f>
        <v>37681</v>
      </c>
      <c r="C79" s="149" t="n">
        <f aca="false">IF($B79&lt;&gt;" ",C78+1,C78)</f>
        <v>29</v>
      </c>
      <c r="D79" s="150" t="n">
        <f aca="false">C79/12</f>
        <v>2.41666666666667</v>
      </c>
      <c r="E79" s="1"/>
      <c r="F79" s="157" t="n">
        <f aca="false">+SUM($T79:$U79)</f>
        <v>17452.1995503737</v>
      </c>
      <c r="G79" s="152" t="n">
        <f aca="false">-SUM($AA79,$AG79,$AM79,$AQ79,$AV79:$AX79)</f>
        <v>-10183.7504826007</v>
      </c>
      <c r="H79" s="152" t="n">
        <f aca="false">+SUM(F79:G79)</f>
        <v>7268.44906777299</v>
      </c>
      <c r="I79" s="124"/>
      <c r="J79" s="153" t="n">
        <f aca="false">+IF($B79=" ",0,IF(AND($B79&gt;=J$26,$B79&lt;J$28),J$33,0))</f>
        <v>1297972.31770833</v>
      </c>
      <c r="K79" s="153" t="n">
        <f aca="false">+IF($B79=" ",0,IF(AND($B79&gt;=K$26,$B79&lt;K$28),K$33,0))</f>
        <v>0</v>
      </c>
      <c r="L79" s="153" t="n">
        <f aca="false">+IF($B79=" ",0,IF(AND($B79&gt;=L$26,$B79&lt;L$28),L$33,0))</f>
        <v>0</v>
      </c>
      <c r="M79" s="153" t="n">
        <f aca="false">+IF($B79=" ",0,IF(AND($B79&gt;=M$26,$B79&lt;M$28),M$33,0))</f>
        <v>3720184.28571429</v>
      </c>
      <c r="N79" s="153" t="n">
        <f aca="false">+IF($B79=" ",0,IF(AND($B79&gt;=N$26,$B79&lt;N$28),N$33,0))</f>
        <v>0</v>
      </c>
      <c r="O79" s="154" t="n">
        <f aca="false">+IF($B79=" ",0,IF(AND($B79&gt;=O$26,$B79&lt;O$28),O$33,0))</f>
        <v>0</v>
      </c>
      <c r="P79" s="1"/>
      <c r="Q79" s="83" t="n">
        <f aca="false">IF($B79=" ",0,IF($B79&lt;=DATE(2003,12,31),3.55,2.9))</f>
        <v>3.55</v>
      </c>
      <c r="R79" s="155" t="n">
        <f aca="false">IF($B79=" ",0,R$25)</f>
        <v>-0.07</v>
      </c>
      <c r="S79" s="156" t="n">
        <f aca="false">IF($B79=" ",0,S$25)</f>
        <v>0.1</v>
      </c>
      <c r="T79" s="157" t="n">
        <f aca="false">+SUM($Q79,$S79)/1000*(SUM($J79*$J$37,$K79*$K$37,$L79*$L$37,$M79*$M$37,$N79*$N$37,$O79*$O$37))</f>
        <v>17452.1995503737</v>
      </c>
      <c r="U79" s="157" t="n">
        <f aca="false">+SUM($Q79,$R79)/1000*(SUM(0))</f>
        <v>0</v>
      </c>
      <c r="V79" s="1"/>
      <c r="W79" s="158" t="n">
        <f aca="false">IF($B79=" ",0,1)*(IF($B79&gt;=W$25,1,0)*IF($B79&lt;=W$29,W$27,IF($B79&lt;=W$33,W$31,0))*($D79-$D78)*365/1000)</f>
        <v>486.666666666665</v>
      </c>
      <c r="X79" s="158" t="n">
        <f aca="false">IF($B79=" ",0,IF($B79&gt;=X$25,IF($B79&lt;=X$29,X$27,IF($B79&lt;=X$33,X$31,X$31*(1+X$38)^(IF(X$36&gt;$B79,-1,1)*(YEARFRAC($B79,X$36)))))*($D79-$D78)*365/1000,0))</f>
        <v>369.705312992079</v>
      </c>
      <c r="Y79" s="159" t="n">
        <f aca="false">IF($B79=" ",0,Y$25*(1+Y$30)^(IF(Y$28&gt;$B79,-1,1)*(YEARFRAC($B79,Y$28))))</f>
        <v>0.464709370478148</v>
      </c>
      <c r="Z79" s="159" t="n">
        <f aca="false">IF($B79=" ",0,Z$25*(1+Z$30)^(IF(Z$28&gt;$B79,-1,1)*(YEARFRAC($B79,Z$28))))</f>
        <v>0.443625014919939</v>
      </c>
      <c r="AA79" s="162" t="n">
        <f aca="false">+W79+X79+Z79*SUM($J79*$J$37,$L79*$L$37,$N79*$N$37)/1000</f>
        <v>1371.72460464282</v>
      </c>
      <c r="AB79" s="161"/>
      <c r="AC79" s="158" t="n">
        <f aca="false">IF($B79=" ",0,1)*(IF($B79&gt;=AC$25,1,0)*IF($B79&lt;=AC$29,AC$27,IF($B79&lt;=AC$33,AC$31,0))*($D79-$D78)*365/1000)</f>
        <v>1591.66666666666</v>
      </c>
      <c r="AD79" s="158" t="n">
        <f aca="false">IF($B79=" ",0,IF($B79&gt;=AD$25,IF($B79&lt;=AD$29,AD$27,IF($B79&lt;=AD$33,AD$31,AD$31*(1+AD$38)^(IF(AD$36&gt;$B79,-1,1)*(YEARFRAC($B79,AD$36)))))*($D79-$D78)*365/1000,0))</f>
        <v>329.118565448469</v>
      </c>
      <c r="AE79" s="159" t="n">
        <f aca="false">IF($B79=" ",0,AE$25*(1+AE$30)^(IF(AE$28&gt;$B79,-1,1)*(YEARFRAC($B79,AE$28))))</f>
        <v>0.385009256449161</v>
      </c>
      <c r="AF79" s="159" t="n">
        <f aca="false">IF($B79=" ",0,AF$25*(1+AF$30)^(IF(AF$28&gt;$B79,-1,1)*(YEARFRAC($B79,AF$28))))</f>
        <v>0.138140448080624</v>
      </c>
      <c r="AG79" s="162" t="n">
        <f aca="false">+AC79+AD79+AF79*SUM($K79*$K$37,$M79*$M$37,$O79*$O$37)/1000</f>
        <v>2420.81764233358</v>
      </c>
      <c r="AH79" s="1"/>
      <c r="AI79" s="158" t="n">
        <f aca="false">IF($B79=" ",0,1)*IF($B79&gt;=AI$33,AI$25*($D79-$D78),0)</f>
        <v>485.186570908332</v>
      </c>
      <c r="AJ79" s="158" t="n">
        <f aca="false">IF($B79=" ",0,IF($B79&gt;=AJ$33,AJ$25*(1+AJ$30)^(IF(AJ$28&gt;$B79,-1,1)*(YEARFRAC($B79,AJ$28)))*($D79-$D78),0))</f>
        <v>481.386953278461</v>
      </c>
      <c r="AK79" s="159" t="n">
        <f aca="false">IF($B79=" ",0,AK$25*(1+AK$30)^(IF(AK$28&gt;$B79,-1,1)*(YEARFRAC($B79,AK$28))))</f>
        <v>0.0275119258590865</v>
      </c>
      <c r="AL79" s="159" t="n">
        <f aca="false">IF($B79=" ",0,AL$25*AL$28)</f>
        <v>0.0575</v>
      </c>
      <c r="AM79" s="162" t="n">
        <f aca="false">+AI79+AJ79+SUM(AK79:AL79)*SUM($J79*$J$37,$K79*$K$37,$L79*$L$37,$M79*$M$37,$N79*$N$37,$O79*$O$37)/1000</f>
        <v>1373.05163220168</v>
      </c>
      <c r="AN79" s="1"/>
      <c r="AO79" s="163" t="n">
        <f aca="false">IF($B79=" ",0,$AO$25)</f>
        <v>0.25</v>
      </c>
      <c r="AP79" s="159" t="n">
        <f aca="false">IF($B79=" ",0,AP$25*AP$28)</f>
        <v>0.03105</v>
      </c>
      <c r="AQ79" s="162" t="n">
        <f aca="false">SUM(AO79:AP79)*SUM(0)/1000</f>
        <v>0</v>
      </c>
      <c r="AR79" s="1"/>
      <c r="AS79" s="155" t="n">
        <f aca="false">IF($B79=" ",0,AS$25)</f>
        <v>1</v>
      </c>
      <c r="AT79" s="156" t="n">
        <f aca="false">IF($B79=" ",0,AT$25)</f>
        <v>1</v>
      </c>
      <c r="AU79" s="156" t="n">
        <f aca="false">IF($B79=" ",0,AU$25)</f>
        <v>2.3</v>
      </c>
      <c r="AV79" s="157" t="n">
        <f aca="false">+AS79*SUM(J79:K79)/1000</f>
        <v>1297.97231770833</v>
      </c>
      <c r="AW79" s="157" t="n">
        <f aca="false">+AT79*SUM(L79:M79)/1000</f>
        <v>3720.18428571429</v>
      </c>
      <c r="AX79" s="157" t="n">
        <f aca="false">+AU79*SUM(N79:O79)/1000</f>
        <v>0</v>
      </c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</row>
    <row r="80" customFormat="false" ht="12.75" hidden="false" customHeight="false" outlineLevel="0" collapsed="false">
      <c r="A80" s="147" t="n">
        <f aca="false">+IF(B80=" ",A79,B80)</f>
        <v>37712</v>
      </c>
      <c r="B80" s="148" t="n">
        <f aca="false">IF(B79=" "," ",IF(EDATE(B79,1)&gt;=EndDate," ",EDATE(B79,1)))</f>
        <v>37712</v>
      </c>
      <c r="C80" s="149" t="n">
        <f aca="false">IF($B80&lt;&gt;" ",C79+1,C79)</f>
        <v>30</v>
      </c>
      <c r="D80" s="150" t="n">
        <f aca="false">C80/12</f>
        <v>2.5</v>
      </c>
      <c r="E80" s="1"/>
      <c r="F80" s="157" t="n">
        <f aca="false">+SUM($T80:$U80)</f>
        <v>17452.1995503737</v>
      </c>
      <c r="G80" s="152" t="n">
        <f aca="false">-SUM($AA80,$AG80,$AM80,$AQ80,$AV80:$AX80)</f>
        <v>-10186.7481757011</v>
      </c>
      <c r="H80" s="152" t="n">
        <f aca="false">+SUM(F80:G80)</f>
        <v>7265.4513746726</v>
      </c>
      <c r="I80" s="124"/>
      <c r="J80" s="153" t="n">
        <f aca="false">+IF($B80=" ",0,IF(AND($B80&gt;=J$26,$B80&lt;J$28),J$33,0))</f>
        <v>1297972.31770833</v>
      </c>
      <c r="K80" s="153" t="n">
        <f aca="false">+IF($B80=" ",0,IF(AND($B80&gt;=K$26,$B80&lt;K$28),K$33,0))</f>
        <v>0</v>
      </c>
      <c r="L80" s="153" t="n">
        <f aca="false">+IF($B80=" ",0,IF(AND($B80&gt;=L$26,$B80&lt;L$28),L$33,0))</f>
        <v>0</v>
      </c>
      <c r="M80" s="153" t="n">
        <f aca="false">+IF($B80=" ",0,IF(AND($B80&gt;=M$26,$B80&lt;M$28),M$33,0))</f>
        <v>3720184.28571429</v>
      </c>
      <c r="N80" s="153" t="n">
        <f aca="false">+IF($B80=" ",0,IF(AND($B80&gt;=N$26,$B80&lt;N$28),N$33,0))</f>
        <v>0</v>
      </c>
      <c r="O80" s="154" t="n">
        <f aca="false">+IF($B80=" ",0,IF(AND($B80&gt;=O$26,$B80&lt;O$28),O$33,0))</f>
        <v>0</v>
      </c>
      <c r="P80" s="1"/>
      <c r="Q80" s="83" t="n">
        <f aca="false">IF($B80=" ",0,IF($B80&lt;=DATE(2003,12,31),3.55,2.9))</f>
        <v>3.55</v>
      </c>
      <c r="R80" s="155" t="n">
        <f aca="false">IF($B80=" ",0,R$25)</f>
        <v>-0.07</v>
      </c>
      <c r="S80" s="156" t="n">
        <f aca="false">IF($B80=" ",0,S$25)</f>
        <v>0.1</v>
      </c>
      <c r="T80" s="157" t="n">
        <f aca="false">+SUM($Q80,$S80)/1000*(SUM($J80*$J$37,$K80*$K$37,$L80*$L$37,$M80*$M$37,$N80*$N$37,$O80*$O$37))</f>
        <v>17452.1995503737</v>
      </c>
      <c r="U80" s="157" t="n">
        <f aca="false">+SUM($Q80,$R80)/1000*(SUM(0))</f>
        <v>0</v>
      </c>
      <c r="V80" s="1"/>
      <c r="W80" s="158" t="n">
        <f aca="false">IF($B80=" ",0,1)*(IF($B80&gt;=W$25,1,0)*IF($B80&lt;=W$29,W$27,IF($B80&lt;=W$33,W$31,0))*($D80-$D79)*365/1000)</f>
        <v>486.666666666668</v>
      </c>
      <c r="X80" s="158" t="n">
        <f aca="false">IF($B80=" ",0,IF($B80&gt;=X$25,IF($B80&lt;=X$29,X$27,IF($B80&lt;=X$33,X$31,X$31*(1+X$38)^(IF(X$36&gt;$B80,-1,1)*(YEARFRAC($B80,X$36)))))*($D80-$D79)*365/1000,0))</f>
        <v>370.214911445238</v>
      </c>
      <c r="Y80" s="159" t="n">
        <f aca="false">IF($B80=" ",0,Y$25*(1+Y$30)^(IF(Y$28&gt;$B80,-1,1)*(YEARFRAC($B80,Y$28))))</f>
        <v>0.465349921663216</v>
      </c>
      <c r="Z80" s="159" t="n">
        <f aca="false">IF($B80=" ",0,Z$25*(1+Z$30)^(IF(Z$28&gt;$B80,-1,1)*(YEARFRAC($B80,Z$28))))</f>
        <v>0.444236503620373</v>
      </c>
      <c r="AA80" s="162" t="n">
        <f aca="false">+W80+X80+Z80*SUM($J80*$J$37,$L80*$L$37,$N80*$N$37)/1000</f>
        <v>1372.94456048413</v>
      </c>
      <c r="AB80" s="161"/>
      <c r="AC80" s="158" t="n">
        <f aca="false">IF($B80=" ",0,1)*(IF($B80&gt;=AC$25,1,0)*IF($B80&lt;=AC$29,AC$27,IF($B80&lt;=AC$33,AC$31,0))*($D80-$D79)*365/1000)</f>
        <v>1591.66666666667</v>
      </c>
      <c r="AD80" s="158" t="n">
        <f aca="false">IF($B80=" ",0,IF($B80&gt;=AD$25,IF($B80&lt;=AD$29,AD$27,IF($B80&lt;=AD$33,AD$31,AD$31*(1+AD$38)^(IF(AD$36&gt;$B80,-1,1)*(YEARFRAC($B80,AD$36)))))*($D80-$D79)*365/1000,0))</f>
        <v>329.572219496611</v>
      </c>
      <c r="AE80" s="159" t="n">
        <f aca="false">IF($B80=" ",0,AE$25*(1+AE$30)^(IF(AE$28&gt;$B80,-1,1)*(YEARFRAC($B80,AE$28))))</f>
        <v>0.385539949719295</v>
      </c>
      <c r="AF80" s="159" t="n">
        <f aca="false">IF($B80=" ",0,AF$25*(1+AF$30)^(IF(AF$28&gt;$B80,-1,1)*(YEARFRAC($B80,AF$28))))</f>
        <v>0.138330859622429</v>
      </c>
      <c r="AG80" s="162" t="n">
        <f aca="false">+AC80+AD80+AF80*SUM($K80*$K$37,$M80*$M$37,$O80*$O$37)/1000</f>
        <v>2421.96053652468</v>
      </c>
      <c r="AH80" s="1"/>
      <c r="AI80" s="158" t="n">
        <f aca="false">IF($B80=" ",0,1)*IF($B80&gt;=AI$33,AI$25*($D80-$D79),0)</f>
        <v>485.186570908334</v>
      </c>
      <c r="AJ80" s="158" t="n">
        <f aca="false">IF($B80=" ",0,IF($B80&gt;=AJ$33,AJ$25*(1+AJ$30)^(IF(AJ$28&gt;$B80,-1,1)*(YEARFRAC($B80,AJ$28)))*($D80-$D79),0))</f>
        <v>481.88554789685</v>
      </c>
      <c r="AK80" s="159" t="n">
        <f aca="false">IF($B80=" ",0,AK$25*(1+AK$30)^(IF(AK$28&gt;$B80,-1,1)*(YEARFRAC($B80,AK$28))))</f>
        <v>0.0275404212266517</v>
      </c>
      <c r="AL80" s="159" t="n">
        <f aca="false">IF($B80=" ",0,AL$25*AL$28)</f>
        <v>0.0575</v>
      </c>
      <c r="AM80" s="162" t="n">
        <f aca="false">+AI80+AJ80+SUM(AK80:AL80)*SUM($J80*$J$37,$K80*$K$37,$L80*$L$37,$M80*$M$37,$N80*$N$37,$O80*$O$37)/1000</f>
        <v>1373.68647526967</v>
      </c>
      <c r="AN80" s="1"/>
      <c r="AO80" s="163" t="n">
        <f aca="false">IF($B80=" ",0,$AO$25)</f>
        <v>0.25</v>
      </c>
      <c r="AP80" s="159" t="n">
        <f aca="false">IF($B80=" ",0,AP$25*AP$28)</f>
        <v>0.03105</v>
      </c>
      <c r="AQ80" s="162" t="n">
        <f aca="false">SUM(AO80:AP80)*SUM(0)/1000</f>
        <v>0</v>
      </c>
      <c r="AR80" s="1"/>
      <c r="AS80" s="155" t="n">
        <f aca="false">IF($B80=" ",0,AS$25)</f>
        <v>1</v>
      </c>
      <c r="AT80" s="156" t="n">
        <f aca="false">IF($B80=" ",0,AT$25)</f>
        <v>1</v>
      </c>
      <c r="AU80" s="156" t="n">
        <f aca="false">IF($B80=" ",0,AU$25)</f>
        <v>2.3</v>
      </c>
      <c r="AV80" s="157" t="n">
        <f aca="false">+AS80*SUM(J80:K80)/1000</f>
        <v>1297.97231770833</v>
      </c>
      <c r="AW80" s="157" t="n">
        <f aca="false">+AT80*SUM(L80:M80)/1000</f>
        <v>3720.18428571429</v>
      </c>
      <c r="AX80" s="157" t="n">
        <f aca="false">+AU80*SUM(N80:O80)/1000</f>
        <v>0</v>
      </c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</row>
    <row r="81" customFormat="false" ht="12.75" hidden="false" customHeight="false" outlineLevel="0" collapsed="false">
      <c r="A81" s="147" t="n">
        <f aca="false">+IF(B81=" ",A80,B81)</f>
        <v>37742</v>
      </c>
      <c r="B81" s="148" t="n">
        <f aca="false">IF(B80=" "," ",IF(EDATE(B80,1)&gt;=EndDate," ",EDATE(B80,1)))</f>
        <v>37742</v>
      </c>
      <c r="C81" s="149" t="n">
        <f aca="false">IF($B81&lt;&gt;" ",C80+1,C80)</f>
        <v>31</v>
      </c>
      <c r="D81" s="150" t="n">
        <f aca="false">C81/12</f>
        <v>2.58333333333333</v>
      </c>
      <c r="E81" s="1"/>
      <c r="F81" s="157" t="n">
        <f aca="false">+SUM($T81:$U81)</f>
        <v>17452.1995503737</v>
      </c>
      <c r="G81" s="152" t="n">
        <f aca="false">-SUM($AA81,$AG81,$AM81,$AQ81,$AV81:$AX81)</f>
        <v>-10189.7497832687</v>
      </c>
      <c r="H81" s="152" t="n">
        <f aca="false">+SUM(F81:G81)</f>
        <v>7262.44976710498</v>
      </c>
      <c r="I81" s="124"/>
      <c r="J81" s="153" t="n">
        <f aca="false">+IF($B81=" ",0,IF(AND($B81&gt;=J$26,$B81&lt;J$28),J$33,0))</f>
        <v>1297972.31770833</v>
      </c>
      <c r="K81" s="153" t="n">
        <f aca="false">+IF($B81=" ",0,IF(AND($B81&gt;=K$26,$B81&lt;K$28),K$33,0))</f>
        <v>0</v>
      </c>
      <c r="L81" s="153" t="n">
        <f aca="false">+IF($B81=" ",0,IF(AND($B81&gt;=L$26,$B81&lt;L$28),L$33,0))</f>
        <v>0</v>
      </c>
      <c r="M81" s="153" t="n">
        <f aca="false">+IF($B81=" ",0,IF(AND($B81&gt;=M$26,$B81&lt;M$28),M$33,0))</f>
        <v>3720184.28571429</v>
      </c>
      <c r="N81" s="153" t="n">
        <f aca="false">+IF($B81=" ",0,IF(AND($B81&gt;=N$26,$B81&lt;N$28),N$33,0))</f>
        <v>0</v>
      </c>
      <c r="O81" s="154" t="n">
        <f aca="false">+IF($B81=" ",0,IF(AND($B81&gt;=O$26,$B81&lt;O$28),O$33,0))</f>
        <v>0</v>
      </c>
      <c r="P81" s="1"/>
      <c r="Q81" s="83" t="n">
        <f aca="false">IF($B81=" ",0,IF($B81&lt;=DATE(2003,12,31),3.55,2.9))</f>
        <v>3.55</v>
      </c>
      <c r="R81" s="155" t="n">
        <f aca="false">IF($B81=" ",0,R$25)</f>
        <v>-0.07</v>
      </c>
      <c r="S81" s="156" t="n">
        <f aca="false">IF($B81=" ",0,S$25)</f>
        <v>0.1</v>
      </c>
      <c r="T81" s="157" t="n">
        <f aca="false">+SUM($Q81,$S81)/1000*(SUM($J81*$J$37,$K81*$K$37,$L81*$L$37,$M81*$M$37,$N81*$N$37,$O81*$O$37))</f>
        <v>17452.1995503737</v>
      </c>
      <c r="U81" s="157" t="n">
        <f aca="false">+SUM($Q81,$R81)/1000*(SUM(0))</f>
        <v>0</v>
      </c>
      <c r="V81" s="1"/>
      <c r="W81" s="158" t="n">
        <f aca="false">IF($B81=" ",0,1)*(IF($B81&gt;=W$25,1,0)*IF($B81&lt;=W$29,W$27,IF($B81&lt;=W$33,W$31,0))*($D81-$D80)*365/1000)</f>
        <v>486.666666666668</v>
      </c>
      <c r="X81" s="158" t="n">
        <f aca="false">IF($B81=" ",0,IF($B81&gt;=X$25,IF($B81&lt;=X$29,X$27,IF($B81&lt;=X$33,X$31,X$31*(1+X$38)^(IF(X$36&gt;$B81,-1,1)*(YEARFRAC($B81,X$36)))))*($D81-$D80)*365/1000,0))</f>
        <v>370.725212324285</v>
      </c>
      <c r="Y81" s="159" t="n">
        <f aca="false">IF($B81=" ",0,Y$25*(1+Y$30)^(IF(Y$28&gt;$B81,-1,1)*(YEARFRAC($B81,Y$28))))</f>
        <v>0.465991355778233</v>
      </c>
      <c r="Z81" s="159" t="n">
        <f aca="false">IF($B81=" ",0,Z$25*(1+Z$30)^(IF(Z$28&gt;$B81,-1,1)*(YEARFRAC($B81,Z$28))))</f>
        <v>0.444848835191289</v>
      </c>
      <c r="AA81" s="162" t="n">
        <f aca="false">+W81+X81+Z81*SUM($J81*$J$37,$L81*$L$37,$N81*$N$37)/1000</f>
        <v>1374.16619790152</v>
      </c>
      <c r="AB81" s="161"/>
      <c r="AC81" s="158" t="n">
        <f aca="false">IF($B81=" ",0,1)*(IF($B81&gt;=AC$25,1,0)*IF($B81&lt;=AC$29,AC$27,IF($B81&lt;=AC$33,AC$31,0))*($D81-$D80)*365/1000)</f>
        <v>1591.66666666667</v>
      </c>
      <c r="AD81" s="158" t="n">
        <f aca="false">IF($B81=" ",0,IF($B81&gt;=AD$25,IF($B81&lt;=AD$29,AD$27,IF($B81&lt;=AD$33,AD$31,AD$31*(1+AD$38)^(IF(AD$36&gt;$B81,-1,1)*(YEARFRAC($B81,AD$36)))))*($D81-$D80)*365/1000,0))</f>
        <v>330.026498857379</v>
      </c>
      <c r="AE81" s="159" t="n">
        <f aca="false">IF($B81=" ",0,AE$25*(1+AE$30)^(IF(AE$28&gt;$B81,-1,1)*(YEARFRAC($B81,AE$28))))</f>
        <v>0.386071374492223</v>
      </c>
      <c r="AF81" s="159" t="n">
        <f aca="false">IF($B81=" ",0,AF$25*(1+AF$30)^(IF(AF$28&gt;$B81,-1,1)*(YEARFRAC($B81,AF$28))))</f>
        <v>0.138521533625778</v>
      </c>
      <c r="AG81" s="162" t="n">
        <f aca="false">+AC81+AD81+AF81*SUM($K81*$K$37,$M81*$M$37,$O81*$O$37)/1000</f>
        <v>2423.10500607076</v>
      </c>
      <c r="AH81" s="1"/>
      <c r="AI81" s="158" t="n">
        <f aca="false">IF($B81=" ",0,1)*IF($B81&gt;=AI$33,AI$25*($D81-$D80),0)</f>
        <v>485.186570908334</v>
      </c>
      <c r="AJ81" s="158" t="n">
        <f aca="false">IF($B81=" ",0,IF($B81&gt;=AJ$33,AJ$25*(1+AJ$30)^(IF(AJ$28&gt;$B81,-1,1)*(YEARFRAC($B81,AJ$28)))*($D81-$D80),0))</f>
        <v>482.384658932625</v>
      </c>
      <c r="AK81" s="159" t="n">
        <f aca="false">IF($B81=" ",0,AK$25*(1+AK$30)^(IF(AK$28&gt;$B81,-1,1)*(YEARFRAC($B81,AK$28))))</f>
        <v>0.0275689461081803</v>
      </c>
      <c r="AL81" s="159" t="n">
        <f aca="false">IF($B81=" ",0,AL$25*AL$28)</f>
        <v>0.0575</v>
      </c>
      <c r="AM81" s="162" t="n">
        <f aca="false">+AI81+AJ81+SUM(AK81:AL81)*SUM($J81*$J$37,$K81*$K$37,$L81*$L$37,$M81*$M$37,$N81*$N$37,$O81*$O$37)/1000</f>
        <v>1374.32197587382</v>
      </c>
      <c r="AN81" s="1"/>
      <c r="AO81" s="163" t="n">
        <f aca="false">IF($B81=" ",0,$AO$25)</f>
        <v>0.25</v>
      </c>
      <c r="AP81" s="159" t="n">
        <f aca="false">IF($B81=" ",0,AP$25*AP$28)</f>
        <v>0.03105</v>
      </c>
      <c r="AQ81" s="162" t="n">
        <f aca="false">SUM(AO81:AP81)*SUM(0)/1000</f>
        <v>0</v>
      </c>
      <c r="AR81" s="1"/>
      <c r="AS81" s="155" t="n">
        <f aca="false">IF($B81=" ",0,AS$25)</f>
        <v>1</v>
      </c>
      <c r="AT81" s="156" t="n">
        <f aca="false">IF($B81=" ",0,AT$25)</f>
        <v>1</v>
      </c>
      <c r="AU81" s="156" t="n">
        <f aca="false">IF($B81=" ",0,AU$25)</f>
        <v>2.3</v>
      </c>
      <c r="AV81" s="157" t="n">
        <f aca="false">+AS81*SUM(J81:K81)/1000</f>
        <v>1297.97231770833</v>
      </c>
      <c r="AW81" s="157" t="n">
        <f aca="false">+AT81*SUM(L81:M81)/1000</f>
        <v>3720.18428571429</v>
      </c>
      <c r="AX81" s="157" t="n">
        <f aca="false">+AU81*SUM(N81:O81)/1000</f>
        <v>0</v>
      </c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</row>
    <row r="82" customFormat="false" ht="12.75" hidden="false" customHeight="false" outlineLevel="0" collapsed="false">
      <c r="A82" s="147" t="n">
        <f aca="false">+IF(B82=" ",A81,B82)</f>
        <v>37773</v>
      </c>
      <c r="B82" s="148" t="n">
        <f aca="false">IF(B81=" "," ",IF(EDATE(B81,1)&gt;=EndDate," ",EDATE(B81,1)))</f>
        <v>37773</v>
      </c>
      <c r="C82" s="149" t="n">
        <f aca="false">IF($B82&lt;&gt;" ",C81+1,C81)</f>
        <v>32</v>
      </c>
      <c r="D82" s="150" t="n">
        <f aca="false">C82/12</f>
        <v>2.66666666666667</v>
      </c>
      <c r="E82" s="1"/>
      <c r="F82" s="157" t="n">
        <f aca="false">+SUM($T82:$U82)</f>
        <v>17452.1995503737</v>
      </c>
      <c r="G82" s="152" t="n">
        <f aca="false">-SUM($AA82,$AG82,$AM82,$AQ82,$AV82:$AX82)</f>
        <v>-10192.7553104739</v>
      </c>
      <c r="H82" s="152" t="n">
        <f aca="false">+SUM(F82:G82)</f>
        <v>7259.44423989976</v>
      </c>
      <c r="I82" s="124"/>
      <c r="J82" s="153" t="n">
        <f aca="false">+IF($B82=" ",0,IF(AND($B82&gt;=J$26,$B82&lt;J$28),J$33,0))</f>
        <v>1297972.31770833</v>
      </c>
      <c r="K82" s="153" t="n">
        <f aca="false">+IF($B82=" ",0,IF(AND($B82&gt;=K$26,$B82&lt;K$28),K$33,0))</f>
        <v>0</v>
      </c>
      <c r="L82" s="153" t="n">
        <f aca="false">+IF($B82=" ",0,IF(AND($B82&gt;=L$26,$B82&lt;L$28),L$33,0))</f>
        <v>0</v>
      </c>
      <c r="M82" s="153" t="n">
        <f aca="false">+IF($B82=" ",0,IF(AND($B82&gt;=M$26,$B82&lt;M$28),M$33,0))</f>
        <v>3720184.28571429</v>
      </c>
      <c r="N82" s="153" t="n">
        <f aca="false">+IF($B82=" ",0,IF(AND($B82&gt;=N$26,$B82&lt;N$28),N$33,0))</f>
        <v>0</v>
      </c>
      <c r="O82" s="154" t="n">
        <f aca="false">+IF($B82=" ",0,IF(AND($B82&gt;=O$26,$B82&lt;O$28),O$33,0))</f>
        <v>0</v>
      </c>
      <c r="P82" s="1"/>
      <c r="Q82" s="83" t="n">
        <f aca="false">IF($B82=" ",0,IF($B82&lt;=DATE(2003,12,31),3.55,2.9))</f>
        <v>3.55</v>
      </c>
      <c r="R82" s="155" t="n">
        <f aca="false">IF($B82=" ",0,R$25)</f>
        <v>-0.07</v>
      </c>
      <c r="S82" s="156" t="n">
        <f aca="false">IF($B82=" ",0,S$25)</f>
        <v>0.1</v>
      </c>
      <c r="T82" s="157" t="n">
        <f aca="false">+SUM($Q82,$S82)/1000*(SUM($J82*$J$37,$K82*$K$37,$L82*$L$37,$M82*$M$37,$N82*$N$37,$O82*$O$37))</f>
        <v>17452.1995503737</v>
      </c>
      <c r="U82" s="157" t="n">
        <f aca="false">+SUM($Q82,$R82)/1000*(SUM(0))</f>
        <v>0</v>
      </c>
      <c r="V82" s="1"/>
      <c r="W82" s="158" t="n">
        <f aca="false">IF($B82=" ",0,1)*(IF($B82&gt;=W$25,1,0)*IF($B82&lt;=W$29,W$27,IF($B82&lt;=W$33,W$31,0))*($D82-$D81)*365/1000)</f>
        <v>486.666666666665</v>
      </c>
      <c r="X82" s="158" t="n">
        <f aca="false">IF($B82=" ",0,IF($B82&gt;=X$25,IF($B82&lt;=X$29,X$27,IF($B82&lt;=X$33,X$31,X$31*(1+X$38)^(IF(X$36&gt;$B82,-1,1)*(YEARFRAC($B82,X$36)))))*($D82-$D81)*365/1000,0))</f>
        <v>371.236216597437</v>
      </c>
      <c r="Y82" s="159" t="n">
        <f aca="false">IF($B82=" ",0,Y$25*(1+Y$30)^(IF(Y$28&gt;$B82,-1,1)*(YEARFRAC($B82,Y$28))))</f>
        <v>0.466633674040222</v>
      </c>
      <c r="Z82" s="159" t="n">
        <f aca="false">IF($B82=" ",0,Z$25*(1+Z$30)^(IF(Z$28&gt;$B82,-1,1)*(YEARFRAC($B82,Z$28))))</f>
        <v>0.445462010794495</v>
      </c>
      <c r="AA82" s="162" t="n">
        <f aca="false">+W82+X82+Z82*SUM($J82*$J$37,$L82*$L$37,$N82*$N$37)/1000</f>
        <v>1375.38951921284</v>
      </c>
      <c r="AB82" s="161"/>
      <c r="AC82" s="158" t="n">
        <f aca="false">IF($B82=" ",0,1)*(IF($B82&gt;=AC$25,1,0)*IF($B82&lt;=AC$29,AC$27,IF($B82&lt;=AC$33,AC$31,0))*($D82-$D81)*365/1000)</f>
        <v>1591.66666666666</v>
      </c>
      <c r="AD82" s="158" t="n">
        <f aca="false">IF($B82=" ",0,IF($B82&gt;=AD$25,IF($B82&lt;=AD$29,AD$27,IF($B82&lt;=AD$33,AD$31,AD$31*(1+AD$38)^(IF(AD$36&gt;$B82,-1,1)*(YEARFRAC($B82,AD$36)))))*($D82-$D81)*365/1000,0))</f>
        <v>330.481404392701</v>
      </c>
      <c r="AE82" s="159" t="n">
        <f aca="false">IF($B82=" ",0,AE$25*(1+AE$30)^(IF(AE$28&gt;$B82,-1,1)*(YEARFRAC($B82,AE$28))))</f>
        <v>0.386603531776242</v>
      </c>
      <c r="AF82" s="159" t="n">
        <f aca="false">IF($B82=" ",0,AF$25*(1+AF$30)^(IF(AF$28&gt;$B82,-1,1)*(YEARFRAC($B82,AF$28))))</f>
        <v>0.138712470452445</v>
      </c>
      <c r="AG82" s="162" t="n">
        <f aca="false">+AC82+AD82+AF82*SUM($K82*$K$37,$M82*$M$37,$O82*$O$37)/1000</f>
        <v>2424.25105314329</v>
      </c>
      <c r="AH82" s="1"/>
      <c r="AI82" s="158" t="n">
        <f aca="false">IF($B82=" ",0,1)*IF($B82&gt;=AI$33,AI$25*($D82-$D81),0)</f>
        <v>485.186570908332</v>
      </c>
      <c r="AJ82" s="158" t="n">
        <f aca="false">IF($B82=" ",0,IF($B82&gt;=AJ$33,AJ$25*(1+AJ$30)^(IF(AJ$28&gt;$B82,-1,1)*(YEARFRAC($B82,AJ$28)))*($D82-$D81),0))</f>
        <v>482.884286920663</v>
      </c>
      <c r="AK82" s="159" t="n">
        <f aca="false">IF($B82=" ",0,AK$25*(1+AK$30)^(IF(AK$28&gt;$B82,-1,1)*(YEARFRAC($B82,AK$28))))</f>
        <v>0.0275975005342413</v>
      </c>
      <c r="AL82" s="159" t="n">
        <f aca="false">IF($B82=" ",0,AL$25*AL$28)</f>
        <v>0.0575</v>
      </c>
      <c r="AM82" s="162" t="n">
        <f aca="false">+AI82+AJ82+SUM(AK82:AL82)*SUM($J82*$J$37,$K82*$K$37,$L82*$L$37,$M82*$M$37,$N82*$N$37,$O82*$O$37)/1000</f>
        <v>1374.95813469519</v>
      </c>
      <c r="AN82" s="1"/>
      <c r="AO82" s="163" t="n">
        <f aca="false">IF($B82=" ",0,$AO$25)</f>
        <v>0.25</v>
      </c>
      <c r="AP82" s="159" t="n">
        <f aca="false">IF($B82=" ",0,AP$25*AP$28)</f>
        <v>0.03105</v>
      </c>
      <c r="AQ82" s="162" t="n">
        <f aca="false">SUM(AO82:AP82)*SUM(0)/1000</f>
        <v>0</v>
      </c>
      <c r="AR82" s="1"/>
      <c r="AS82" s="155" t="n">
        <f aca="false">IF($B82=" ",0,AS$25)</f>
        <v>1</v>
      </c>
      <c r="AT82" s="156" t="n">
        <f aca="false">IF($B82=" ",0,AT$25)</f>
        <v>1</v>
      </c>
      <c r="AU82" s="156" t="n">
        <f aca="false">IF($B82=" ",0,AU$25)</f>
        <v>2.3</v>
      </c>
      <c r="AV82" s="157" t="n">
        <f aca="false">+AS82*SUM(J82:K82)/1000</f>
        <v>1297.97231770833</v>
      </c>
      <c r="AW82" s="157" t="n">
        <f aca="false">+AT82*SUM(L82:M82)/1000</f>
        <v>3720.18428571429</v>
      </c>
      <c r="AX82" s="157" t="n">
        <f aca="false">+AU82*SUM(N82:O82)/1000</f>
        <v>0</v>
      </c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</row>
    <row r="83" customFormat="false" ht="12.75" hidden="false" customHeight="false" outlineLevel="0" collapsed="false">
      <c r="A83" s="147" t="n">
        <f aca="false">+IF(B83=" ",A82,B83)</f>
        <v>37803</v>
      </c>
      <c r="B83" s="148" t="n">
        <f aca="false">IF(B82=" "," ",IF(EDATE(B82,1)&gt;=EndDate," ",EDATE(B82,1)))</f>
        <v>37803</v>
      </c>
      <c r="C83" s="149" t="n">
        <f aca="false">IF($B83&lt;&gt;" ",C82+1,C82)</f>
        <v>33</v>
      </c>
      <c r="D83" s="150" t="n">
        <f aca="false">C83/12</f>
        <v>2.75</v>
      </c>
      <c r="E83" s="1"/>
      <c r="F83" s="157" t="n">
        <f aca="false">+SUM($T83:$U83)</f>
        <v>17452.1995503737</v>
      </c>
      <c r="G83" s="152" t="n">
        <f aca="false">-SUM($AA83,$AG83,$AM83,$AQ83,$AV83:$AX83)</f>
        <v>-10195.7647624941</v>
      </c>
      <c r="H83" s="152" t="n">
        <f aca="false">+SUM(F83:G83)</f>
        <v>7256.43478787963</v>
      </c>
      <c r="I83" s="124"/>
      <c r="J83" s="153" t="n">
        <f aca="false">+IF($B83=" ",0,IF(AND($B83&gt;=J$26,$B83&lt;J$28),J$33,0))</f>
        <v>1297972.31770833</v>
      </c>
      <c r="K83" s="153" t="n">
        <f aca="false">+IF($B83=" ",0,IF(AND($B83&gt;=K$26,$B83&lt;K$28),K$33,0))</f>
        <v>0</v>
      </c>
      <c r="L83" s="153" t="n">
        <f aca="false">+IF($B83=" ",0,IF(AND($B83&gt;=L$26,$B83&lt;L$28),L$33,0))</f>
        <v>0</v>
      </c>
      <c r="M83" s="153" t="n">
        <f aca="false">+IF($B83=" ",0,IF(AND($B83&gt;=M$26,$B83&lt;M$28),M$33,0))</f>
        <v>3720184.28571429</v>
      </c>
      <c r="N83" s="153" t="n">
        <f aca="false">+IF($B83=" ",0,IF(AND($B83&gt;=N$26,$B83&lt;N$28),N$33,0))</f>
        <v>0</v>
      </c>
      <c r="O83" s="154" t="n">
        <f aca="false">+IF($B83=" ",0,IF(AND($B83&gt;=O$26,$B83&lt;O$28),O$33,0))</f>
        <v>0</v>
      </c>
      <c r="P83" s="1"/>
      <c r="Q83" s="83" t="n">
        <f aca="false">IF($B83=" ",0,IF($B83&lt;=DATE(2003,12,31),3.55,2.9))</f>
        <v>3.55</v>
      </c>
      <c r="R83" s="155" t="n">
        <f aca="false">IF($B83=" ",0,R$25)</f>
        <v>-0.07</v>
      </c>
      <c r="S83" s="156" t="n">
        <f aca="false">IF($B83=" ",0,S$25)</f>
        <v>0.1</v>
      </c>
      <c r="T83" s="157" t="n">
        <f aca="false">+SUM($Q83,$S83)/1000*(SUM($J83*$J$37,$K83*$K$37,$L83*$L$37,$M83*$M$37,$N83*$N$37,$O83*$O$37))</f>
        <v>17452.1995503737</v>
      </c>
      <c r="U83" s="157" t="n">
        <f aca="false">+SUM($Q83,$R83)/1000*(SUM(0))</f>
        <v>0</v>
      </c>
      <c r="V83" s="1"/>
      <c r="W83" s="158" t="n">
        <f aca="false">IF($B83=" ",0,1)*(IF($B83&gt;=W$25,1,0)*IF($B83&lt;=W$29,W$27,IF($B83&lt;=W$33,W$31,0))*($D83-$D82)*365/1000)</f>
        <v>486.666666666668</v>
      </c>
      <c r="X83" s="158" t="n">
        <f aca="false">IF($B83=" ",0,IF($B83&gt;=X$25,IF($B83&lt;=X$29,X$27,IF($B83&lt;=X$33,X$31,X$31*(1+X$38)^(IF(X$36&gt;$B83,-1,1)*(YEARFRAC($B83,X$36)))))*($D83-$D82)*365/1000,0))</f>
        <v>371.747925234252</v>
      </c>
      <c r="Y83" s="159" t="n">
        <f aca="false">IF($B83=" ",0,Y$25*(1+Y$30)^(IF(Y$28&gt;$B83,-1,1)*(YEARFRAC($B83,Y$28))))</f>
        <v>0.467276877667882</v>
      </c>
      <c r="Z83" s="159" t="n">
        <f aca="false">IF($B83=" ",0,Z$25*(1+Z$30)^(IF(Z$28&gt;$B83,-1,1)*(YEARFRAC($B83,Z$28))))</f>
        <v>0.446076031593395</v>
      </c>
      <c r="AA83" s="162" t="n">
        <f aca="false">+W83+X83+Z83*SUM($J83*$J$37,$L83*$L$37,$N83*$N$37)/1000</f>
        <v>1376.61452673919</v>
      </c>
      <c r="AB83" s="161"/>
      <c r="AC83" s="158" t="n">
        <f aca="false">IF($B83=" ",0,1)*(IF($B83&gt;=AC$25,1,0)*IF($B83&lt;=AC$29,AC$27,IF($B83&lt;=AC$33,AC$31,0))*($D83-$D82)*365/1000)</f>
        <v>1591.66666666667</v>
      </c>
      <c r="AD83" s="158" t="n">
        <f aca="false">IF($B83=" ",0,IF($B83&gt;=AD$25,IF($B83&lt;=AD$29,AD$27,IF($B83&lt;=AD$33,AD$31,AD$31*(1+AD$38)^(IF(AD$36&gt;$B83,-1,1)*(YEARFRAC($B83,AD$36)))))*($D83-$D82)*365/1000,0))</f>
        <v>330.936936965693</v>
      </c>
      <c r="AE83" s="159" t="n">
        <f aca="false">IF($B83=" ",0,AE$25*(1+AE$30)^(IF(AE$28&gt;$B83,-1,1)*(YEARFRAC($B83,AE$28))))</f>
        <v>0.387136422581039</v>
      </c>
      <c r="AF83" s="159" t="n">
        <f aca="false">IF($B83=" ",0,AF$25*(1+AF$30)^(IF(AF$28&gt;$B83,-1,1)*(YEARFRAC($B83,AF$28))))</f>
        <v>0.138903670464703</v>
      </c>
      <c r="AG83" s="162" t="n">
        <f aca="false">+AC83+AD83+AF83*SUM($K83*$K$37,$M83*$M$37,$O83*$O$37)/1000</f>
        <v>2425.39867991674</v>
      </c>
      <c r="AH83" s="1"/>
      <c r="AI83" s="158" t="n">
        <f aca="false">IF($B83=" ",0,1)*IF($B83&gt;=AI$33,AI$25*($D83-$D82),0)</f>
        <v>485.186570908334</v>
      </c>
      <c r="AJ83" s="158" t="n">
        <f aca="false">IF($B83=" ",0,IF($B83&gt;=AJ$33,AJ$25*(1+AJ$30)^(IF(AJ$28&gt;$B83,-1,1)*(YEARFRAC($B83,AJ$28)))*($D83-$D82),0))</f>
        <v>483.384432396404</v>
      </c>
      <c r="AK83" s="159" t="n">
        <f aca="false">IF($B83=" ",0,AK$25*(1+AK$30)^(IF(AK$28&gt;$B83,-1,1)*(YEARFRAC($B83,AK$28))))</f>
        <v>0.0276260845354353</v>
      </c>
      <c r="AL83" s="159" t="n">
        <f aca="false">IF($B83=" ",0,AL$25*AL$28)</f>
        <v>0.0575</v>
      </c>
      <c r="AM83" s="162" t="n">
        <f aca="false">+AI83+AJ83+SUM(AK83:AL83)*SUM($J83*$J$37,$K83*$K$37,$L83*$L$37,$M83*$M$37,$N83*$N$37,$O83*$O$37)/1000</f>
        <v>1375.59495241553</v>
      </c>
      <c r="AN83" s="1"/>
      <c r="AO83" s="163" t="n">
        <f aca="false">IF($B83=" ",0,$AO$25)</f>
        <v>0.25</v>
      </c>
      <c r="AP83" s="159" t="n">
        <f aca="false">IF($B83=" ",0,AP$25*AP$28)</f>
        <v>0.03105</v>
      </c>
      <c r="AQ83" s="162" t="n">
        <f aca="false">SUM(AO83:AP83)*SUM(0)/1000</f>
        <v>0</v>
      </c>
      <c r="AR83" s="1"/>
      <c r="AS83" s="155" t="n">
        <f aca="false">IF($B83=" ",0,AS$25)</f>
        <v>1</v>
      </c>
      <c r="AT83" s="156" t="n">
        <f aca="false">IF($B83=" ",0,AT$25)</f>
        <v>1</v>
      </c>
      <c r="AU83" s="156" t="n">
        <f aca="false">IF($B83=" ",0,AU$25)</f>
        <v>2.3</v>
      </c>
      <c r="AV83" s="157" t="n">
        <f aca="false">+AS83*SUM(J83:K83)/1000</f>
        <v>1297.97231770833</v>
      </c>
      <c r="AW83" s="157" t="n">
        <f aca="false">+AT83*SUM(L83:M83)/1000</f>
        <v>3720.18428571429</v>
      </c>
      <c r="AX83" s="157" t="n">
        <f aca="false">+AU83*SUM(N83:O83)/1000</f>
        <v>0</v>
      </c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</row>
    <row r="84" customFormat="false" ht="12.75" hidden="false" customHeight="false" outlineLevel="0" collapsed="false">
      <c r="A84" s="147" t="n">
        <f aca="false">+IF(B84=" ",A83,B84)</f>
        <v>37834</v>
      </c>
      <c r="B84" s="148" t="n">
        <f aca="false">IF(B83=" "," ",IF(EDATE(B83,1)&gt;=EndDate," ",EDATE(B83,1)))</f>
        <v>37834</v>
      </c>
      <c r="C84" s="149" t="n">
        <f aca="false">IF($B84&lt;&gt;" ",C83+1,C83)</f>
        <v>34</v>
      </c>
      <c r="D84" s="150" t="n">
        <f aca="false">C84/12</f>
        <v>2.83333333333333</v>
      </c>
      <c r="E84" s="1"/>
      <c r="F84" s="157" t="n">
        <f aca="false">+SUM($T84:$U84)</f>
        <v>17452.1995503737</v>
      </c>
      <c r="G84" s="152" t="n">
        <f aca="false">-SUM($AA84,$AG84,$AM84,$AQ84,$AV84:$AX84)</f>
        <v>-10198.7781445132</v>
      </c>
      <c r="H84" s="152" t="n">
        <f aca="false">+SUM(F84:G84)</f>
        <v>7253.42140586048</v>
      </c>
      <c r="I84" s="124"/>
      <c r="J84" s="153" t="n">
        <f aca="false">+IF($B84=" ",0,IF(AND($B84&gt;=J$26,$B84&lt;J$28),J$33,0))</f>
        <v>1297972.31770833</v>
      </c>
      <c r="K84" s="153" t="n">
        <f aca="false">+IF($B84=" ",0,IF(AND($B84&gt;=K$26,$B84&lt;K$28),K$33,0))</f>
        <v>0</v>
      </c>
      <c r="L84" s="153" t="n">
        <f aca="false">+IF($B84=" ",0,IF(AND($B84&gt;=L$26,$B84&lt;L$28),L$33,0))</f>
        <v>0</v>
      </c>
      <c r="M84" s="153" t="n">
        <f aca="false">+IF($B84=" ",0,IF(AND($B84&gt;=M$26,$B84&lt;M$28),M$33,0))</f>
        <v>3720184.28571429</v>
      </c>
      <c r="N84" s="153" t="n">
        <f aca="false">+IF($B84=" ",0,IF(AND($B84&gt;=N$26,$B84&lt;N$28),N$33,0))</f>
        <v>0</v>
      </c>
      <c r="O84" s="154" t="n">
        <f aca="false">+IF($B84=" ",0,IF(AND($B84&gt;=O$26,$B84&lt;O$28),O$33,0))</f>
        <v>0</v>
      </c>
      <c r="P84" s="1"/>
      <c r="Q84" s="83" t="n">
        <f aca="false">IF($B84=" ",0,IF($B84&lt;=DATE(2003,12,31),3.55,2.9))</f>
        <v>3.55</v>
      </c>
      <c r="R84" s="155" t="n">
        <f aca="false">IF($B84=" ",0,R$25)</f>
        <v>-0.07</v>
      </c>
      <c r="S84" s="156" t="n">
        <f aca="false">IF($B84=" ",0,S$25)</f>
        <v>0.1</v>
      </c>
      <c r="T84" s="157" t="n">
        <f aca="false">+SUM($Q84,$S84)/1000*(SUM($J84*$J$37,$K84*$K$37,$L84*$L$37,$M84*$M$37,$N84*$N$37,$O84*$O$37))</f>
        <v>17452.1995503737</v>
      </c>
      <c r="U84" s="157" t="n">
        <f aca="false">+SUM($Q84,$R84)/1000*(SUM(0))</f>
        <v>0</v>
      </c>
      <c r="V84" s="1"/>
      <c r="W84" s="158" t="n">
        <f aca="false">IF($B84=" ",0,1)*(IF($B84&gt;=W$25,1,0)*IF($B84&lt;=W$29,W$27,IF($B84&lt;=W$33,W$31,0))*($D84-$D83)*365/1000)</f>
        <v>486.666666666668</v>
      </c>
      <c r="X84" s="158" t="n">
        <f aca="false">IF($B84=" ",0,IF($B84&gt;=X$25,IF($B84&lt;=X$29,X$27,IF($B84&lt;=X$33,X$31,X$31*(1+X$38)^(IF(X$36&gt;$B84,-1,1)*(YEARFRAC($B84,X$36)))))*($D84-$D83)*365/1000,0))</f>
        <v>372.260339205613</v>
      </c>
      <c r="Y84" s="159" t="n">
        <f aca="false">IF($B84=" ",0,Y$25*(1+Y$30)^(IF(Y$28&gt;$B84,-1,1)*(YEARFRAC($B84,Y$28))))</f>
        <v>0.467920967881594</v>
      </c>
      <c r="Z84" s="159" t="n">
        <f aca="false">IF($B84=" ",0,Z$25*(1+Z$30)^(IF(Z$28&gt;$B84,-1,1)*(YEARFRAC($B84,Z$28))))</f>
        <v>0.446690898752999</v>
      </c>
      <c r="AA84" s="162" t="n">
        <f aca="false">+W84+X84+Z84*SUM($J84*$J$37,$L84*$L$37,$N84*$N$37)/1000</f>
        <v>1377.8412228048</v>
      </c>
      <c r="AB84" s="161"/>
      <c r="AC84" s="158" t="n">
        <f aca="false">IF($B84=" ",0,1)*(IF($B84&gt;=AC$25,1,0)*IF($B84&lt;=AC$29,AC$27,IF($B84&lt;=AC$33,AC$31,0))*($D84-$D83)*365/1000)</f>
        <v>1591.66666666667</v>
      </c>
      <c r="AD84" s="158" t="n">
        <f aca="false">IF($B84=" ",0,IF($B84&gt;=AD$25,IF($B84&lt;=AD$29,AD$27,IF($B84&lt;=AD$33,AD$31,AD$31*(1+AD$38)^(IF(AD$36&gt;$B84,-1,1)*(YEARFRAC($B84,AD$36)))))*($D84-$D83)*365/1000,0))</f>
        <v>331.393097440655</v>
      </c>
      <c r="AE84" s="159" t="n">
        <f aca="false">IF($B84=" ",0,AE$25*(1+AE$30)^(IF(AE$28&gt;$B84,-1,1)*(YEARFRAC($B84,AE$28))))</f>
        <v>0.387670047917692</v>
      </c>
      <c r="AF84" s="159" t="n">
        <f aca="false">IF($B84=" ",0,AF$25*(1+AF$30)^(IF(AF$28&gt;$B84,-1,1)*(YEARFRAC($B84,AF$28))))</f>
        <v>0.139095134025326</v>
      </c>
      <c r="AG84" s="162" t="n">
        <f aca="false">+AC84+AD84+AF84*SUM($K84*$K$37,$M84*$M$37,$O84*$O$37)/1000</f>
        <v>2426.54788856851</v>
      </c>
      <c r="AH84" s="1"/>
      <c r="AI84" s="158" t="n">
        <f aca="false">IF($B84=" ",0,1)*IF($B84&gt;=AI$33,AI$25*($D84-$D83),0)</f>
        <v>485.186570908334</v>
      </c>
      <c r="AJ84" s="158" t="n">
        <f aca="false">IF($B84=" ",0,IF($B84&gt;=AJ$33,AJ$25*(1+AJ$30)^(IF(AJ$28&gt;$B84,-1,1)*(YEARFRAC($B84,AJ$28)))*($D84-$D83),0))</f>
        <v>483.885095895826</v>
      </c>
      <c r="AK84" s="159" t="n">
        <f aca="false">IF($B84=" ",0,AK$25*(1+AK$30)^(IF(AK$28&gt;$B84,-1,1)*(YEARFRAC($B84,AK$28))))</f>
        <v>0.0276546981423946</v>
      </c>
      <c r="AL84" s="159" t="n">
        <f aca="false">IF($B84=" ",0,AL$25*AL$28)</f>
        <v>0.0575</v>
      </c>
      <c r="AM84" s="162" t="n">
        <f aca="false">+AI84+AJ84+SUM(AK84:AL84)*SUM($J84*$J$37,$K84*$K$37,$L84*$L$37,$M84*$M$37,$N84*$N$37,$O84*$O$37)/1000</f>
        <v>1376.23242971729</v>
      </c>
      <c r="AN84" s="1"/>
      <c r="AO84" s="163" t="n">
        <f aca="false">IF($B84=" ",0,$AO$25)</f>
        <v>0.25</v>
      </c>
      <c r="AP84" s="159" t="n">
        <f aca="false">IF($B84=" ",0,AP$25*AP$28)</f>
        <v>0.03105</v>
      </c>
      <c r="AQ84" s="162" t="n">
        <f aca="false">SUM(AO84:AP84)*SUM(0)/1000</f>
        <v>0</v>
      </c>
      <c r="AR84" s="1"/>
      <c r="AS84" s="155" t="n">
        <f aca="false">IF($B84=" ",0,AS$25)</f>
        <v>1</v>
      </c>
      <c r="AT84" s="156" t="n">
        <f aca="false">IF($B84=" ",0,AT$25)</f>
        <v>1</v>
      </c>
      <c r="AU84" s="156" t="n">
        <f aca="false">IF($B84=" ",0,AU$25)</f>
        <v>2.3</v>
      </c>
      <c r="AV84" s="157" t="n">
        <f aca="false">+AS84*SUM(J84:K84)/1000</f>
        <v>1297.97231770833</v>
      </c>
      <c r="AW84" s="157" t="n">
        <f aca="false">+AT84*SUM(L84:M84)/1000</f>
        <v>3720.18428571429</v>
      </c>
      <c r="AX84" s="157" t="n">
        <f aca="false">+AU84*SUM(N84:O84)/1000</f>
        <v>0</v>
      </c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</row>
    <row r="85" customFormat="false" ht="12.75" hidden="false" customHeight="false" outlineLevel="0" collapsed="false">
      <c r="A85" s="147" t="n">
        <f aca="false">+IF(B85=" ",A84,B85)</f>
        <v>37865</v>
      </c>
      <c r="B85" s="148" t="n">
        <f aca="false">IF(B84=" "," ",IF(EDATE(B84,1)&gt;=EndDate," ",EDATE(B84,1)))</f>
        <v>37865</v>
      </c>
      <c r="C85" s="149" t="n">
        <f aca="false">IF($B85&lt;&gt;" ",C84+1,C84)</f>
        <v>35</v>
      </c>
      <c r="D85" s="150" t="n">
        <f aca="false">C85/12</f>
        <v>2.91666666666667</v>
      </c>
      <c r="E85" s="1"/>
      <c r="F85" s="157" t="n">
        <f aca="false">+SUM($T85:$U85)</f>
        <v>17452.1995503737</v>
      </c>
      <c r="G85" s="152" t="n">
        <f aca="false">-SUM($AA85,$AG85,$AM85,$AQ85,$AV85:$AX85)</f>
        <v>-10201.7954617224</v>
      </c>
      <c r="H85" s="152" t="n">
        <f aca="false">+SUM(F85:G85)</f>
        <v>7250.40408865125</v>
      </c>
      <c r="I85" s="124"/>
      <c r="J85" s="153" t="n">
        <f aca="false">+IF($B85=" ",0,IF(AND($B85&gt;=J$26,$B85&lt;J$28),J$33,0))</f>
        <v>1297972.31770833</v>
      </c>
      <c r="K85" s="153" t="n">
        <f aca="false">+IF($B85=" ",0,IF(AND($B85&gt;=K$26,$B85&lt;K$28),K$33,0))</f>
        <v>0</v>
      </c>
      <c r="L85" s="153" t="n">
        <f aca="false">+IF($B85=" ",0,IF(AND($B85&gt;=L$26,$B85&lt;L$28),L$33,0))</f>
        <v>0</v>
      </c>
      <c r="M85" s="153" t="n">
        <f aca="false">+IF($B85=" ",0,IF(AND($B85&gt;=M$26,$B85&lt;M$28),M$33,0))</f>
        <v>3720184.28571429</v>
      </c>
      <c r="N85" s="153" t="n">
        <f aca="false">+IF($B85=" ",0,IF(AND($B85&gt;=N$26,$B85&lt;N$28),N$33,0))</f>
        <v>0</v>
      </c>
      <c r="O85" s="154" t="n">
        <f aca="false">+IF($B85=" ",0,IF(AND($B85&gt;=O$26,$B85&lt;O$28),O$33,0))</f>
        <v>0</v>
      </c>
      <c r="P85" s="1"/>
      <c r="Q85" s="83" t="n">
        <f aca="false">IF($B85=" ",0,IF($B85&lt;=DATE(2003,12,31),3.55,2.9))</f>
        <v>3.55</v>
      </c>
      <c r="R85" s="155" t="n">
        <f aca="false">IF($B85=" ",0,R$25)</f>
        <v>-0.07</v>
      </c>
      <c r="S85" s="156" t="n">
        <f aca="false">IF($B85=" ",0,S$25)</f>
        <v>0.1</v>
      </c>
      <c r="T85" s="157" t="n">
        <f aca="false">+SUM($Q85,$S85)/1000*(SUM($J85*$J$37,$K85*$K$37,$L85*$L$37,$M85*$M$37,$N85*$N$37,$O85*$O$37))</f>
        <v>17452.1995503737</v>
      </c>
      <c r="U85" s="157" t="n">
        <f aca="false">+SUM($Q85,$R85)/1000*(SUM(0))</f>
        <v>0</v>
      </c>
      <c r="V85" s="1"/>
      <c r="W85" s="158" t="n">
        <f aca="false">IF($B85=" ",0,1)*(IF($B85&gt;=W$25,1,0)*IF($B85&lt;=W$29,W$27,IF($B85&lt;=W$33,W$31,0))*($D85-$D84)*365/1000)</f>
        <v>486.666666666665</v>
      </c>
      <c r="X85" s="158" t="n">
        <f aca="false">IF($B85=" ",0,IF($B85&gt;=X$25,IF($B85&lt;=X$29,X$27,IF($B85&lt;=X$33,X$31,X$31*(1+X$38)^(IF(X$36&gt;$B85,-1,1)*(YEARFRAC($B85,X$36)))))*($D85-$D84)*365/1000,0))</f>
        <v>372.773459483747</v>
      </c>
      <c r="Y85" s="159" t="n">
        <f aca="false">IF($B85=" ",0,Y$25*(1+Y$30)^(IF(Y$28&gt;$B85,-1,1)*(YEARFRAC($B85,Y$28))))</f>
        <v>0.46856594590342</v>
      </c>
      <c r="Z85" s="159" t="n">
        <f aca="false">IF($B85=" ",0,Z$25*(1+Z$30)^(IF(Z$28&gt;$B85,-1,1)*(YEARFRAC($B85,Z$28))))</f>
        <v>0.447306613439925</v>
      </c>
      <c r="AA85" s="162" t="n">
        <f aca="false">+W85+X85+Z85*SUM($J85*$J$37,$L85*$L$37,$N85*$N$37)/1000</f>
        <v>1379.06960973714</v>
      </c>
      <c r="AB85" s="161"/>
      <c r="AC85" s="158" t="n">
        <f aca="false">IF($B85=" ",0,1)*(IF($B85&gt;=AC$25,1,0)*IF($B85&lt;=AC$29,AC$27,IF($B85&lt;=AC$33,AC$31,0))*($D85-$D84)*365/1000)</f>
        <v>1591.66666666666</v>
      </c>
      <c r="AD85" s="158" t="n">
        <f aca="false">IF($B85=" ",0,IF($B85&gt;=AD$25,IF($B85&lt;=AD$29,AD$27,IF($B85&lt;=AD$33,AD$31,AD$31*(1+AD$38)^(IF(AD$36&gt;$B85,-1,1)*(YEARFRAC($B85,AD$36)))))*($D85-$D84)*365/1000,0))</f>
        <v>331.849886683079</v>
      </c>
      <c r="AE85" s="159" t="n">
        <f aca="false">IF($B85=" ",0,AE$25*(1+AE$30)^(IF(AE$28&gt;$B85,-1,1)*(YEARFRAC($B85,AE$28))))</f>
        <v>0.388204408798674</v>
      </c>
      <c r="AF85" s="159" t="n">
        <f aca="false">IF($B85=" ",0,AF$25*(1+AF$30)^(IF(AF$28&gt;$B85,-1,1)*(YEARFRAC($B85,AF$28))))</f>
        <v>0.139286861497586</v>
      </c>
      <c r="AG85" s="162" t="n">
        <f aca="false">+AC85+AD85+AF85*SUM($K85*$K$37,$M85*$M$37,$O85*$O$37)/1000</f>
        <v>2427.69868127908</v>
      </c>
      <c r="AH85" s="1"/>
      <c r="AI85" s="158" t="n">
        <f aca="false">IF($B85=" ",0,1)*IF($B85&gt;=AI$33,AI$25*($D85-$D84),0)</f>
        <v>485.186570908332</v>
      </c>
      <c r="AJ85" s="158" t="n">
        <f aca="false">IF($B85=" ",0,IF($B85&gt;=AJ$33,AJ$25*(1+AJ$30)^(IF(AJ$28&gt;$B85,-1,1)*(YEARFRAC($B85,AJ$28)))*($D85-$D84),0))</f>
        <v>484.38627795547</v>
      </c>
      <c r="AK85" s="159" t="n">
        <f aca="false">IF($B85=" ",0,AK$25*(1+AK$30)^(IF(AK$28&gt;$B85,-1,1)*(YEARFRAC($B85,AK$28))))</f>
        <v>0.0276833413857832</v>
      </c>
      <c r="AL85" s="159" t="n">
        <f aca="false">IF($B85=" ",0,AL$25*AL$28)</f>
        <v>0.0575</v>
      </c>
      <c r="AM85" s="162" t="n">
        <f aca="false">+AI85+AJ85+SUM(AK85:AL85)*SUM($J85*$J$37,$K85*$K$37,$L85*$L$37,$M85*$M$37,$N85*$N$37,$O85*$O$37)/1000</f>
        <v>1376.87056728361</v>
      </c>
      <c r="AN85" s="1"/>
      <c r="AO85" s="163" t="n">
        <f aca="false">IF($B85=" ",0,$AO$25)</f>
        <v>0.25</v>
      </c>
      <c r="AP85" s="159" t="n">
        <f aca="false">IF($B85=" ",0,AP$25*AP$28)</f>
        <v>0.03105</v>
      </c>
      <c r="AQ85" s="162" t="n">
        <f aca="false">SUM(AO85:AP85)*SUM(0)/1000</f>
        <v>0</v>
      </c>
      <c r="AR85" s="1"/>
      <c r="AS85" s="155" t="n">
        <f aca="false">IF($B85=" ",0,AS$25)</f>
        <v>1</v>
      </c>
      <c r="AT85" s="156" t="n">
        <f aca="false">IF($B85=" ",0,AT$25)</f>
        <v>1</v>
      </c>
      <c r="AU85" s="156" t="n">
        <f aca="false">IF($B85=" ",0,AU$25)</f>
        <v>2.3</v>
      </c>
      <c r="AV85" s="157" t="n">
        <f aca="false">+AS85*SUM(J85:K85)/1000</f>
        <v>1297.97231770833</v>
      </c>
      <c r="AW85" s="157" t="n">
        <f aca="false">+AT85*SUM(L85:M85)/1000</f>
        <v>3720.18428571429</v>
      </c>
      <c r="AX85" s="157" t="n">
        <f aca="false">+AU85*SUM(N85:O85)/1000</f>
        <v>0</v>
      </c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</row>
    <row r="86" customFormat="false" ht="12.75" hidden="false" customHeight="false" outlineLevel="0" collapsed="false">
      <c r="A86" s="147" t="n">
        <f aca="false">+IF(B86=" ",A85,B86)</f>
        <v>37895</v>
      </c>
      <c r="B86" s="148" t="n">
        <f aca="false">IF(B85=" "," ",IF(EDATE(B85,1)&gt;=EndDate," ",EDATE(B85,1)))</f>
        <v>37895</v>
      </c>
      <c r="C86" s="149" t="n">
        <f aca="false">IF($B86&lt;&gt;" ",C85+1,C85)</f>
        <v>36</v>
      </c>
      <c r="D86" s="150" t="n">
        <f aca="false">C86/12</f>
        <v>3</v>
      </c>
      <c r="E86" s="1"/>
      <c r="F86" s="157" t="n">
        <f aca="false">+SUM($T86:$U86)</f>
        <v>17452.1995503737</v>
      </c>
      <c r="G86" s="152" t="n">
        <f aca="false">-SUM($AA86,$AG86,$AM86,$AQ86,$AV86:$AX86)</f>
        <v>-10204.8167193198</v>
      </c>
      <c r="H86" s="152" t="n">
        <f aca="false">+SUM(F86:G86)</f>
        <v>7247.38283105388</v>
      </c>
      <c r="I86" s="124"/>
      <c r="J86" s="153" t="n">
        <f aca="false">+IF($B86=" ",0,IF(AND($B86&gt;=J$26,$B86&lt;J$28),J$33,0))</f>
        <v>1297972.31770833</v>
      </c>
      <c r="K86" s="153" t="n">
        <f aca="false">+IF($B86=" ",0,IF(AND($B86&gt;=K$26,$B86&lt;K$28),K$33,0))</f>
        <v>0</v>
      </c>
      <c r="L86" s="153" t="n">
        <f aca="false">+IF($B86=" ",0,IF(AND($B86&gt;=L$26,$B86&lt;L$28),L$33,0))</f>
        <v>0</v>
      </c>
      <c r="M86" s="153" t="n">
        <f aca="false">+IF($B86=" ",0,IF(AND($B86&gt;=M$26,$B86&lt;M$28),M$33,0))</f>
        <v>3720184.28571429</v>
      </c>
      <c r="N86" s="153" t="n">
        <f aca="false">+IF($B86=" ",0,IF(AND($B86&gt;=N$26,$B86&lt;N$28),N$33,0))</f>
        <v>0</v>
      </c>
      <c r="O86" s="154" t="n">
        <f aca="false">+IF($B86=" ",0,IF(AND($B86&gt;=O$26,$B86&lt;O$28),O$33,0))</f>
        <v>0</v>
      </c>
      <c r="P86" s="1"/>
      <c r="Q86" s="83" t="n">
        <f aca="false">IF($B86=" ",0,IF($B86&lt;=DATE(2003,12,31),3.55,2.9))</f>
        <v>3.55</v>
      </c>
      <c r="R86" s="155" t="n">
        <f aca="false">IF($B86=" ",0,R$25)</f>
        <v>-0.07</v>
      </c>
      <c r="S86" s="156" t="n">
        <f aca="false">IF($B86=" ",0,S$25)</f>
        <v>0.1</v>
      </c>
      <c r="T86" s="157" t="n">
        <f aca="false">+SUM($Q86,$S86)/1000*(SUM($J86*$J$37,$K86*$K$37,$L86*$L$37,$M86*$M$37,$N86*$N$37,$O86*$O$37))</f>
        <v>17452.1995503737</v>
      </c>
      <c r="U86" s="157" t="n">
        <f aca="false">+SUM($Q86,$R86)/1000*(SUM(0))</f>
        <v>0</v>
      </c>
      <c r="V86" s="1"/>
      <c r="W86" s="158" t="n">
        <f aca="false">IF($B86=" ",0,1)*(IF($B86&gt;=W$25,1,0)*IF($B86&lt;=W$29,W$27,IF($B86&lt;=W$33,W$31,0))*($D86-$D85)*365/1000)</f>
        <v>486.666666666668</v>
      </c>
      <c r="X86" s="158" t="n">
        <f aca="false">IF($B86=" ",0,IF($B86&gt;=X$25,IF($B86&lt;=X$29,X$27,IF($B86&lt;=X$33,X$31,X$31*(1+X$38)^(IF(X$36&gt;$B86,-1,1)*(YEARFRAC($B86,X$36)))))*($D86-$D85)*365/1000,0))</f>
        <v>373.287287042226</v>
      </c>
      <c r="Y86" s="159" t="n">
        <f aca="false">IF($B86=" ",0,Y$25*(1+Y$30)^(IF(Y$28&gt;$B86,-1,1)*(YEARFRAC($B86,Y$28))))</f>
        <v>0.469211812957106</v>
      </c>
      <c r="Z86" s="159" t="n">
        <f aca="false">IF($B86=" ",0,Z$25*(1+Z$30)^(IF(Z$28&gt;$B86,-1,1)*(YEARFRAC($B86,Z$28))))</f>
        <v>0.447923176822396</v>
      </c>
      <c r="AA86" s="162" t="n">
        <f aca="false">+W86+X86+Z86*SUM($J86*$J$37,$L86*$L$37,$N86*$N$37)/1000</f>
        <v>1380.29968986692</v>
      </c>
      <c r="AB86" s="161"/>
      <c r="AC86" s="158" t="n">
        <f aca="false">IF($B86=" ",0,1)*(IF($B86&gt;=AC$25,1,0)*IF($B86&lt;=AC$29,AC$27,IF($B86&lt;=AC$33,AC$31,0))*($D86-$D85)*365/1000)</f>
        <v>1591.66666666667</v>
      </c>
      <c r="AD86" s="158" t="n">
        <f aca="false">IF($B86=" ",0,IF($B86&gt;=AD$25,IF($B86&lt;=AD$29,AD$27,IF($B86&lt;=AD$33,AD$31,AD$31*(1+AD$38)^(IF(AD$36&gt;$B86,-1,1)*(YEARFRAC($B86,AD$36)))))*($D86-$D85)*365/1000,0))</f>
        <v>332.307305559659</v>
      </c>
      <c r="AE86" s="159" t="n">
        <f aca="false">IF($B86=" ",0,AE$25*(1+AE$30)^(IF(AE$28&gt;$B86,-1,1)*(YEARFRAC($B86,AE$28))))</f>
        <v>0.388739506237852</v>
      </c>
      <c r="AF86" s="159" t="n">
        <f aca="false">IF($B86=" ",0,AF$25*(1+AF$30)^(IF(AF$28&gt;$B86,-1,1)*(YEARFRAC($B86,AF$28))))</f>
        <v>0.139478853245256</v>
      </c>
      <c r="AG86" s="162" t="n">
        <f aca="false">+AC86+AD86+AF86*SUM($K86*$K$37,$M86*$M$37,$O86*$O$37)/1000</f>
        <v>2428.8510602319</v>
      </c>
      <c r="AH86" s="1"/>
      <c r="AI86" s="158" t="n">
        <f aca="false">IF($B86=" ",0,1)*IF($B86&gt;=AI$33,AI$25*($D86-$D85),0)</f>
        <v>485.186570908334</v>
      </c>
      <c r="AJ86" s="158" t="n">
        <f aca="false">IF($B86=" ",0,IF($B86&gt;=AJ$33,AJ$25*(1+AJ$30)^(IF(AJ$28&gt;$B86,-1,1)*(YEARFRAC($B86,AJ$28)))*($D86-$D85),0))</f>
        <v>484.887979112439</v>
      </c>
      <c r="AK86" s="159" t="n">
        <f aca="false">IF($B86=" ",0,AK$25*(1+AK$30)^(IF(AK$28&gt;$B86,-1,1)*(YEARFRAC($B86,AK$28))))</f>
        <v>0.0277120142962971</v>
      </c>
      <c r="AL86" s="159" t="n">
        <f aca="false">IF($B86=" ",0,AL$25*AL$28)</f>
        <v>0.0575</v>
      </c>
      <c r="AM86" s="162" t="n">
        <f aca="false">+AI86+AJ86+SUM(AK86:AL86)*SUM($J86*$J$37,$K86*$K$37,$L86*$L$37,$M86*$M$37,$N86*$N$37,$O86*$O$37)/1000</f>
        <v>1377.50936579838</v>
      </c>
      <c r="AN86" s="1"/>
      <c r="AO86" s="163" t="n">
        <f aca="false">IF($B86=" ",0,$AO$25)</f>
        <v>0.25</v>
      </c>
      <c r="AP86" s="159" t="n">
        <f aca="false">IF($B86=" ",0,AP$25*AP$28)</f>
        <v>0.03105</v>
      </c>
      <c r="AQ86" s="162" t="n">
        <f aca="false">SUM(AO86:AP86)*SUM(0)/1000</f>
        <v>0</v>
      </c>
      <c r="AR86" s="1"/>
      <c r="AS86" s="155" t="n">
        <f aca="false">IF($B86=" ",0,AS$25)</f>
        <v>1</v>
      </c>
      <c r="AT86" s="156" t="n">
        <f aca="false">IF($B86=" ",0,AT$25)</f>
        <v>1</v>
      </c>
      <c r="AU86" s="156" t="n">
        <f aca="false">IF($B86=" ",0,AU$25)</f>
        <v>2.3</v>
      </c>
      <c r="AV86" s="157" t="n">
        <f aca="false">+AS86*SUM(J86:K86)/1000</f>
        <v>1297.97231770833</v>
      </c>
      <c r="AW86" s="157" t="n">
        <f aca="false">+AT86*SUM(L86:M86)/1000</f>
        <v>3720.18428571429</v>
      </c>
      <c r="AX86" s="157" t="n">
        <f aca="false">+AU86*SUM(N86:O86)/1000</f>
        <v>0</v>
      </c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</row>
    <row r="87" customFormat="false" ht="12.75" hidden="false" customHeight="false" outlineLevel="0" collapsed="false">
      <c r="A87" s="147" t="n">
        <f aca="false">+IF(B87=" ",A86,B87)</f>
        <v>37926</v>
      </c>
      <c r="B87" s="148" t="n">
        <f aca="false">IF(B86=" "," ",IF(EDATE(B86,1)&gt;=EndDate," ",EDATE(B86,1)))</f>
        <v>37926</v>
      </c>
      <c r="C87" s="149" t="n">
        <f aca="false">IF($B87&lt;&gt;" ",C86+1,C86)</f>
        <v>37</v>
      </c>
      <c r="D87" s="150" t="n">
        <f aca="false">C87/12</f>
        <v>3.08333333333333</v>
      </c>
      <c r="E87" s="1"/>
      <c r="F87" s="157" t="n">
        <f aca="false">+SUM($T87:$U87)</f>
        <v>17452.1995503737</v>
      </c>
      <c r="G87" s="152" t="n">
        <f aca="false">-SUM($AA87,$AG87,$AM87,$AQ87,$AV87:$AX87)</f>
        <v>-10207.8419225102</v>
      </c>
      <c r="H87" s="152" t="n">
        <f aca="false">+SUM(F87:G87)</f>
        <v>7244.3576278635</v>
      </c>
      <c r="I87" s="124"/>
      <c r="J87" s="153" t="n">
        <f aca="false">+IF($B87=" ",0,IF(AND($B87&gt;=J$26,$B87&lt;J$28),J$33,0))</f>
        <v>1297972.31770833</v>
      </c>
      <c r="K87" s="153" t="n">
        <f aca="false">+IF($B87=" ",0,IF(AND($B87&gt;=K$26,$B87&lt;K$28),K$33,0))</f>
        <v>0</v>
      </c>
      <c r="L87" s="153" t="n">
        <f aca="false">+IF($B87=" ",0,IF(AND($B87&gt;=L$26,$B87&lt;L$28),L$33,0))</f>
        <v>0</v>
      </c>
      <c r="M87" s="153" t="n">
        <f aca="false">+IF($B87=" ",0,IF(AND($B87&gt;=M$26,$B87&lt;M$28),M$33,0))</f>
        <v>3720184.28571429</v>
      </c>
      <c r="N87" s="153" t="n">
        <f aca="false">+IF($B87=" ",0,IF(AND($B87&gt;=N$26,$B87&lt;N$28),N$33,0))</f>
        <v>0</v>
      </c>
      <c r="O87" s="154" t="n">
        <f aca="false">+IF($B87=" ",0,IF(AND($B87&gt;=O$26,$B87&lt;O$28),O$33,0))</f>
        <v>0</v>
      </c>
      <c r="P87" s="1"/>
      <c r="Q87" s="83" t="n">
        <f aca="false">IF($B87=" ",0,IF($B87&lt;=DATE(2003,12,31),3.55,2.9))</f>
        <v>3.55</v>
      </c>
      <c r="R87" s="155" t="n">
        <f aca="false">IF($B87=" ",0,R$25)</f>
        <v>-0.07</v>
      </c>
      <c r="S87" s="156" t="n">
        <f aca="false">IF($B87=" ",0,S$25)</f>
        <v>0.1</v>
      </c>
      <c r="T87" s="157" t="n">
        <f aca="false">+SUM($Q87,$S87)/1000*(SUM($J87*$J$37,$K87*$K$37,$L87*$L$37,$M87*$M$37,$N87*$N$37,$O87*$O$37))</f>
        <v>17452.1995503737</v>
      </c>
      <c r="U87" s="157" t="n">
        <f aca="false">+SUM($Q87,$R87)/1000*(SUM(0))</f>
        <v>0</v>
      </c>
      <c r="V87" s="1"/>
      <c r="W87" s="158" t="n">
        <f aca="false">IF($B87=" ",0,1)*(IF($B87&gt;=W$25,1,0)*IF($B87&lt;=W$29,W$27,IF($B87&lt;=W$33,W$31,0))*($D87-$D86)*365/1000)</f>
        <v>486.666666666668</v>
      </c>
      <c r="X87" s="158" t="n">
        <f aca="false">IF($B87=" ",0,IF($B87&gt;=X$25,IF($B87&lt;=X$29,X$27,IF($B87&lt;=X$33,X$31,X$31*(1+X$38)^(IF(X$36&gt;$B87,-1,1)*(YEARFRAC($B87,X$36)))))*($D87-$D86)*365/1000,0))</f>
        <v>373.801822855954</v>
      </c>
      <c r="Y87" s="159" t="n">
        <f aca="false">IF($B87=" ",0,Y$25*(1+Y$30)^(IF(Y$28&gt;$B87,-1,1)*(YEARFRAC($B87,Y$28))))</f>
        <v>0.469858570268086</v>
      </c>
      <c r="Z87" s="159" t="n">
        <f aca="false">IF($B87=" ",0,Z$25*(1+Z$30)^(IF(Z$28&gt;$B87,-1,1)*(YEARFRAC($B87,Z$28))))</f>
        <v>0.448540590070246</v>
      </c>
      <c r="AA87" s="162" t="n">
        <f aca="false">+W87+X87+Z87*SUM($J87*$J$37,$L87*$L$37,$N87*$N$37)/1000</f>
        <v>1381.53146552799</v>
      </c>
      <c r="AB87" s="161"/>
      <c r="AC87" s="158" t="n">
        <f aca="false">IF($B87=" ",0,1)*(IF($B87&gt;=AC$25,1,0)*IF($B87&lt;=AC$29,AC$27,IF($B87&lt;=AC$33,AC$31,0))*($D87-$D86)*365/1000)</f>
        <v>1591.66666666667</v>
      </c>
      <c r="AD87" s="158" t="n">
        <f aca="false">IF($B87=" ",0,IF($B87&gt;=AD$25,IF($B87&lt;=AD$29,AD$27,IF($B87&lt;=AD$33,AD$31,AD$31*(1+AD$38)^(IF(AD$36&gt;$B87,-1,1)*(YEARFRAC($B87,AD$36)))))*($D87-$D86)*365/1000,0))</f>
        <v>332.765354938272</v>
      </c>
      <c r="AE87" s="159" t="n">
        <f aca="false">IF($B87=" ",0,AE$25*(1+AE$30)^(IF(AE$28&gt;$B87,-1,1)*(YEARFRAC($B87,AE$28))))</f>
        <v>0.389275341250491</v>
      </c>
      <c r="AF87" s="159" t="n">
        <f aca="false">IF($B87=" ",0,AF$25*(1+AF$30)^(IF(AF$28&gt;$B87,-1,1)*(YEARFRAC($B87,AF$28))))</f>
        <v>0.139671109632611</v>
      </c>
      <c r="AG87" s="162" t="n">
        <f aca="false">+AC87+AD87+AF87*SUM($K87*$K$37,$M87*$M$37,$O87*$O$37)/1000</f>
        <v>2430.00502761342</v>
      </c>
      <c r="AH87" s="1"/>
      <c r="AI87" s="158" t="n">
        <f aca="false">IF($B87=" ",0,1)*IF($B87&gt;=AI$33,AI$25*($D87-$D86),0)</f>
        <v>485.186570908334</v>
      </c>
      <c r="AJ87" s="158" t="n">
        <f aca="false">IF($B87=" ",0,IF($B87&gt;=AJ$33,AJ$25*(1+AJ$30)^(IF(AJ$28&gt;$B87,-1,1)*(YEARFRAC($B87,AJ$28)))*($D87-$D86),0))</f>
        <v>485.39019990438</v>
      </c>
      <c r="AK87" s="159" t="n">
        <f aca="false">IF($B87=" ",0,AK$25*(1+AK$30)^(IF(AK$28&gt;$B87,-1,1)*(YEARFRAC($B87,AK$28))))</f>
        <v>0.0277407169046637</v>
      </c>
      <c r="AL87" s="159" t="n">
        <f aca="false">IF($B87=" ",0,AL$25*AL$28)</f>
        <v>0.0575</v>
      </c>
      <c r="AM87" s="162" t="n">
        <f aca="false">+AI87+AJ87+SUM(AK87:AL87)*SUM($J87*$J$37,$K87*$K$37,$L87*$L$37,$M87*$M$37,$N87*$N$37,$O87*$O$37)/1000</f>
        <v>1378.14882594617</v>
      </c>
      <c r="AN87" s="1"/>
      <c r="AO87" s="163" t="n">
        <f aca="false">IF($B87=" ",0,$AO$25)</f>
        <v>0.25</v>
      </c>
      <c r="AP87" s="159" t="n">
        <f aca="false">IF($B87=" ",0,AP$25*AP$28)</f>
        <v>0.03105</v>
      </c>
      <c r="AQ87" s="162" t="n">
        <f aca="false">SUM(AO87:AP87)*SUM(0)/1000</f>
        <v>0</v>
      </c>
      <c r="AR87" s="1"/>
      <c r="AS87" s="155" t="n">
        <f aca="false">IF($B87=" ",0,AS$25)</f>
        <v>1</v>
      </c>
      <c r="AT87" s="156" t="n">
        <f aca="false">IF($B87=" ",0,AT$25)</f>
        <v>1</v>
      </c>
      <c r="AU87" s="156" t="n">
        <f aca="false">IF($B87=" ",0,AU$25)</f>
        <v>2.3</v>
      </c>
      <c r="AV87" s="157" t="n">
        <f aca="false">+AS87*SUM(J87:K87)/1000</f>
        <v>1297.97231770833</v>
      </c>
      <c r="AW87" s="157" t="n">
        <f aca="false">+AT87*SUM(L87:M87)/1000</f>
        <v>3720.18428571429</v>
      </c>
      <c r="AX87" s="157" t="n">
        <f aca="false">+AU87*SUM(N87:O87)/1000</f>
        <v>0</v>
      </c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</row>
    <row r="88" customFormat="false" ht="12.75" hidden="false" customHeight="false" outlineLevel="0" collapsed="false">
      <c r="A88" s="147" t="n">
        <f aca="false">+IF(B88=" ",A87,B88)</f>
        <v>37956</v>
      </c>
      <c r="B88" s="148" t="n">
        <f aca="false">IF(B87=" "," ",IF(EDATE(B87,1)&gt;=EndDate," ",EDATE(B87,1)))</f>
        <v>37956</v>
      </c>
      <c r="C88" s="149" t="n">
        <f aca="false">IF($B88&lt;&gt;" ",C87+1,C87)</f>
        <v>38</v>
      </c>
      <c r="D88" s="150" t="n">
        <f aca="false">C88/12</f>
        <v>3.16666666666667</v>
      </c>
      <c r="E88" s="1"/>
      <c r="F88" s="157" t="n">
        <f aca="false">+SUM($T88:$U88)</f>
        <v>17452.1995503737</v>
      </c>
      <c r="G88" s="152" t="n">
        <f aca="false">-SUM($AA88,$AG88,$AM88,$AQ88,$AV88:$AX88)</f>
        <v>-10210.8710765054</v>
      </c>
      <c r="H88" s="152" t="n">
        <f aca="false">+SUM(F88:G88)</f>
        <v>7241.32847386825</v>
      </c>
      <c r="I88" s="124"/>
      <c r="J88" s="153" t="n">
        <f aca="false">+IF($B88=" ",0,IF(AND($B88&gt;=J$26,$B88&lt;J$28),J$33,0))</f>
        <v>1297972.31770833</v>
      </c>
      <c r="K88" s="153" t="n">
        <f aca="false">+IF($B88=" ",0,IF(AND($B88&gt;=K$26,$B88&lt;K$28),K$33,0))</f>
        <v>0</v>
      </c>
      <c r="L88" s="153" t="n">
        <f aca="false">+IF($B88=" ",0,IF(AND($B88&gt;=L$26,$B88&lt;L$28),L$33,0))</f>
        <v>0</v>
      </c>
      <c r="M88" s="153" t="n">
        <f aca="false">+IF($B88=" ",0,IF(AND($B88&gt;=M$26,$B88&lt;M$28),M$33,0))</f>
        <v>3720184.28571429</v>
      </c>
      <c r="N88" s="153" t="n">
        <f aca="false">+IF($B88=" ",0,IF(AND($B88&gt;=N$26,$B88&lt;N$28),N$33,0))</f>
        <v>0</v>
      </c>
      <c r="O88" s="154" t="n">
        <f aca="false">+IF($B88=" ",0,IF(AND($B88&gt;=O$26,$B88&lt;O$28),O$33,0))</f>
        <v>0</v>
      </c>
      <c r="P88" s="1"/>
      <c r="Q88" s="83" t="n">
        <f aca="false">IF($B88=" ",0,IF($B88&lt;=DATE(2003,12,31),3.55,2.9))</f>
        <v>3.55</v>
      </c>
      <c r="R88" s="155" t="n">
        <f aca="false">IF($B88=" ",0,R$25)</f>
        <v>-0.07</v>
      </c>
      <c r="S88" s="156" t="n">
        <f aca="false">IF($B88=" ",0,S$25)</f>
        <v>0.1</v>
      </c>
      <c r="T88" s="157" t="n">
        <f aca="false">+SUM($Q88,$S88)/1000*(SUM($J88*$J$37,$K88*$K$37,$L88*$L$37,$M88*$M$37,$N88*$N$37,$O88*$O$37))</f>
        <v>17452.1995503737</v>
      </c>
      <c r="U88" s="157" t="n">
        <f aca="false">+SUM($Q88,$R88)/1000*(SUM(0))</f>
        <v>0</v>
      </c>
      <c r="V88" s="1"/>
      <c r="W88" s="158" t="n">
        <f aca="false">IF($B88=" ",0,1)*(IF($B88&gt;=W$25,1,0)*IF($B88&lt;=W$29,W$27,IF($B88&lt;=W$33,W$31,0))*($D88-$D87)*365/1000)</f>
        <v>486.666666666665</v>
      </c>
      <c r="X88" s="158" t="n">
        <f aca="false">IF($B88=" ",0,IF($B88&gt;=X$25,IF($B88&lt;=X$29,X$27,IF($B88&lt;=X$33,X$31,X$31*(1+X$38)^(IF(X$36&gt;$B88,-1,1)*(YEARFRAC($B88,X$36)))))*($D88-$D87)*365/1000,0))</f>
        <v>374.317067901182</v>
      </c>
      <c r="Y88" s="159" t="n">
        <f aca="false">IF($B88=" ",0,Y$25*(1+Y$30)^(IF(Y$28&gt;$B88,-1,1)*(YEARFRAC($B88,Y$28))))</f>
        <v>0.470506219063483</v>
      </c>
      <c r="Z88" s="159" t="n">
        <f aca="false">IF($B88=" ",0,Z$25*(1+Z$30)^(IF(Z$28&gt;$B88,-1,1)*(YEARFRAC($B88,Z$28))))</f>
        <v>0.449158854354921</v>
      </c>
      <c r="AA88" s="162" t="n">
        <f aca="false">+W88+X88+Z88*SUM($J88*$J$37,$L88*$L$37,$N88*$N$37)/1000</f>
        <v>1382.76493905747</v>
      </c>
      <c r="AB88" s="161"/>
      <c r="AC88" s="158" t="n">
        <f aca="false">IF($B88=" ",0,1)*(IF($B88&gt;=AC$25,1,0)*IF($B88&lt;=AC$29,AC$27,IF($B88&lt;=AC$33,AC$31,0))*($D88-$D87)*365/1000)</f>
        <v>1591.66666666666</v>
      </c>
      <c r="AD88" s="158" t="n">
        <f aca="false">IF($B88=" ",0,IF($B88&gt;=AD$25,IF($B88&lt;=AD$29,AD$27,IF($B88&lt;=AD$33,AD$31,AD$31*(1+AD$38)^(IF(AD$36&gt;$B88,-1,1)*(YEARFRAC($B88,AD$36)))))*($D88-$D87)*365/1000,0))</f>
        <v>333.224035687996</v>
      </c>
      <c r="AE88" s="159" t="n">
        <f aca="false">IF($B88=" ",0,AE$25*(1+AE$30)^(IF(AE$28&gt;$B88,-1,1)*(YEARFRAC($B88,AE$28))))</f>
        <v>0.389811914853255</v>
      </c>
      <c r="AF88" s="159" t="n">
        <f aca="false">IF($B88=" ",0,AF$25*(1+AF$30)^(IF(AF$28&gt;$B88,-1,1)*(YEARFRAC($B88,AF$28))))</f>
        <v>0.139863631024428</v>
      </c>
      <c r="AG88" s="162" t="n">
        <f aca="false">+AC88+AD88+AF88*SUM($K88*$K$37,$M88*$M$37,$O88*$O$37)/1000</f>
        <v>2431.16058561311</v>
      </c>
      <c r="AH88" s="1"/>
      <c r="AI88" s="158" t="n">
        <f aca="false">IF($B88=" ",0,1)*IF($B88&gt;=AI$33,AI$25*($D88-$D87),0)</f>
        <v>485.186570908332</v>
      </c>
      <c r="AJ88" s="158" t="n">
        <f aca="false">IF($B88=" ",0,IF($B88&gt;=AJ$33,AJ$25*(1+AJ$30)^(IF(AJ$28&gt;$B88,-1,1)*(YEARFRAC($B88,AJ$28)))*($D88-$D87),0))</f>
        <v>485.892940869502</v>
      </c>
      <c r="AK88" s="159" t="n">
        <f aca="false">IF($B88=" ",0,AK$25*(1+AK$30)^(IF(AK$28&gt;$B88,-1,1)*(YEARFRAC($B88,AK$28))))</f>
        <v>0.0277694492416426</v>
      </c>
      <c r="AL88" s="159" t="n">
        <f aca="false">IF($B88=" ",0,AL$25*AL$28)</f>
        <v>0.0575</v>
      </c>
      <c r="AM88" s="162" t="n">
        <f aca="false">+AI88+AJ88+SUM(AK88:AL88)*SUM($J88*$J$37,$K88*$K$37,$L88*$L$37,$M88*$M$37,$N88*$N$37,$O88*$O$37)/1000</f>
        <v>1378.78894841225</v>
      </c>
      <c r="AN88" s="1"/>
      <c r="AO88" s="163" t="n">
        <f aca="false">IF($B88=" ",0,$AO$25)</f>
        <v>0.25</v>
      </c>
      <c r="AP88" s="159" t="n">
        <f aca="false">IF($B88=" ",0,AP$25*AP$28)</f>
        <v>0.03105</v>
      </c>
      <c r="AQ88" s="162" t="n">
        <f aca="false">SUM(AO88:AP88)*SUM(0)/1000</f>
        <v>0</v>
      </c>
      <c r="AR88" s="1"/>
      <c r="AS88" s="155" t="n">
        <f aca="false">IF($B88=" ",0,AS$25)</f>
        <v>1</v>
      </c>
      <c r="AT88" s="156" t="n">
        <f aca="false">IF($B88=" ",0,AT$25)</f>
        <v>1</v>
      </c>
      <c r="AU88" s="156" t="n">
        <f aca="false">IF($B88=" ",0,AU$25)</f>
        <v>2.3</v>
      </c>
      <c r="AV88" s="157" t="n">
        <f aca="false">+AS88*SUM(J88:K88)/1000</f>
        <v>1297.97231770833</v>
      </c>
      <c r="AW88" s="157" t="n">
        <f aca="false">+AT88*SUM(L88:M88)/1000</f>
        <v>3720.18428571429</v>
      </c>
      <c r="AX88" s="157" t="n">
        <f aca="false">+AU88*SUM(N88:O88)/1000</f>
        <v>0</v>
      </c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</row>
    <row r="89" customFormat="false" ht="12.75" hidden="false" customHeight="false" outlineLevel="0" collapsed="false">
      <c r="A89" s="147" t="n">
        <f aca="false">+IF(B89=" ",A88,B89)</f>
        <v>37987</v>
      </c>
      <c r="B89" s="148" t="n">
        <f aca="false">IF(B88=" "," ",IF(EDATE(B88,1)&gt;=EndDate," ",EDATE(B88,1)))</f>
        <v>37987</v>
      </c>
      <c r="C89" s="149" t="n">
        <f aca="false">IF($B89&lt;&gt;" ",C88+1,C88)</f>
        <v>39</v>
      </c>
      <c r="D89" s="150" t="n">
        <f aca="false">C89/12</f>
        <v>3.25</v>
      </c>
      <c r="E89" s="1"/>
      <c r="F89" s="157" t="n">
        <f aca="false">+SUM($T89:$U89)</f>
        <v>14883.5779284771</v>
      </c>
      <c r="G89" s="152" t="n">
        <f aca="false">-SUM($AA89,$AG89,$AM89,$AQ89,$AV89:$AX89)</f>
        <v>-16414.4461441596</v>
      </c>
      <c r="H89" s="152" t="n">
        <f aca="false">+SUM(F89:G89)</f>
        <v>-1530.86821568253</v>
      </c>
      <c r="I89" s="124"/>
      <c r="J89" s="153" t="n">
        <f aca="false">+IF($B89=" ",0,IF(AND($B89&gt;=J$26,$B89&lt;J$28),J$33,0))</f>
        <v>0</v>
      </c>
      <c r="K89" s="153" t="n">
        <f aca="false">+IF($B89=" ",0,IF(AND($B89&gt;=K$26,$B89&lt;K$28),K$33,0))</f>
        <v>0</v>
      </c>
      <c r="L89" s="153" t="n">
        <f aca="false">+IF($B89=" ",0,IF(AND($B89&gt;=L$26,$B89&lt;L$28),L$33,0))</f>
        <v>0</v>
      </c>
      <c r="M89" s="153" t="n">
        <f aca="false">+IF($B89=" ",0,IF(AND($B89&gt;=M$26,$B89&lt;M$28),M$33,0))</f>
        <v>0</v>
      </c>
      <c r="N89" s="153" t="n">
        <f aca="false">+IF($B89=" ",0,IF(AND($B89&gt;=N$26,$B89&lt;N$28),N$33,0))</f>
        <v>0</v>
      </c>
      <c r="O89" s="154" t="n">
        <f aca="false">+IF($B89=" ",0,IF(AND($B89&gt;=O$26,$B89&lt;O$28),O$33,0))</f>
        <v>5016515.625</v>
      </c>
      <c r="P89" s="1"/>
      <c r="Q89" s="83" t="n">
        <f aca="false">IF($B89=" ",0,IF($B89&lt;=DATE(2003,12,31),3.55,2.9))</f>
        <v>2.9</v>
      </c>
      <c r="R89" s="155" t="n">
        <f aca="false">IF($B89=" ",0,R$25)</f>
        <v>-0.07</v>
      </c>
      <c r="S89" s="156" t="n">
        <f aca="false">IF($B89=" ",0,S$25)</f>
        <v>0.1</v>
      </c>
      <c r="T89" s="157" t="n">
        <f aca="false">+SUM($Q89,$S89)/1000*(SUM($J89*$J$37,$K89*$K$37,$L89*$L$37,$M89*$M$37,$N89*$N$37,$O89*$O$37))</f>
        <v>14883.5779284771</v>
      </c>
      <c r="U89" s="157" t="n">
        <f aca="false">+SUM($Q89,$R89)/1000*(SUM(0))</f>
        <v>0</v>
      </c>
      <c r="V89" s="1"/>
      <c r="W89" s="158" t="n">
        <f aca="false">IF($B89=" ",0,1)*(IF($B89&gt;=W$25,1,0)*IF($B89&lt;=W$29,W$27,IF($B89&lt;=W$33,W$31,0))*($D89-$D88)*365/1000)</f>
        <v>486.666666666668</v>
      </c>
      <c r="X89" s="158" t="n">
        <f aca="false">IF($B89=" ",0,IF($B89&gt;=X$25,IF($B89&lt;=X$29,X$27,IF($B89&lt;=X$33,X$31,X$31*(1+X$38)^(IF(X$36&gt;$B89,-1,1)*(YEARFRAC($B89,X$36)))))*($D89-$D88)*365/1000,0))</f>
        <v>374.833023155516</v>
      </c>
      <c r="Y89" s="159" t="n">
        <f aca="false">IF($B89=" ",0,Y$25*(1+Y$30)^(IF(Y$28&gt;$B89,-1,1)*(YEARFRAC($B89,Y$28))))</f>
        <v>0.47115476057211</v>
      </c>
      <c r="Z89" s="159" t="n">
        <f aca="false">IF($B89=" ",0,Z$25*(1+Z$30)^(IF(Z$28&gt;$B89,-1,1)*(YEARFRAC($B89,Z$28))))</f>
        <v>0.449777970849484</v>
      </c>
      <c r="AA89" s="162" t="n">
        <f aca="false">+W89+X89+Z89*SUM($J89*$J$37,$L89*$L$37,$N89*$N$37)/1000</f>
        <v>861.499689822184</v>
      </c>
      <c r="AB89" s="161"/>
      <c r="AC89" s="158" t="n">
        <f aca="false">IF($B89=" ",0,1)*(IF($B89&gt;=AC$25,1,0)*IF($B89&lt;=AC$29,AC$27,IF($B89&lt;=AC$33,AC$31,0))*($D89-$D88)*365/1000)</f>
        <v>1591.66666666667</v>
      </c>
      <c r="AD89" s="158" t="n">
        <f aca="false">IF($B89=" ",0,IF($B89&gt;=AD$25,IF($B89&lt;=AD$29,AD$27,IF($B89&lt;=AD$33,AD$31,AD$31*(1+AD$38)^(IF(AD$36&gt;$B89,-1,1)*(YEARFRAC($B89,AD$36)))))*($D89-$D88)*365/1000,0))</f>
        <v>333.683348679112</v>
      </c>
      <c r="AE89" s="159" t="n">
        <f aca="false">IF($B89=" ",0,AE$25*(1+AE$30)^(IF(AE$28&gt;$B89,-1,1)*(YEARFRAC($B89,AE$28))))</f>
        <v>0.390349228064211</v>
      </c>
      <c r="AF89" s="159" t="n">
        <f aca="false">IF($B89=" ",0,AF$25*(1+AF$30)^(IF(AF$28&gt;$B89,-1,1)*(YEARFRAC($B89,AF$28))))</f>
        <v>0.140056417785987</v>
      </c>
      <c r="AG89" s="162" t="n">
        <f aca="false">+AC89+AD89+AF89*SUM($K89*$K$37,$M89*$M$37,$O89*$O$37)/1000</f>
        <v>2620.19688484614</v>
      </c>
      <c r="AH89" s="1"/>
      <c r="AI89" s="158" t="n">
        <f aca="false">IF($B89=" ",0,1)*IF($B89&gt;=AI$33,AI$25*($D89-$D88),0)</f>
        <v>485.186570908334</v>
      </c>
      <c r="AJ89" s="158" t="n">
        <f aca="false">IF($B89=" ",0,IF($B89&gt;=AJ$33,AJ$25*(1+AJ$30)^(IF(AJ$28&gt;$B89,-1,1)*(YEARFRAC($B89,AJ$28)))*($D89-$D88),0))</f>
        <v>486.39620254658</v>
      </c>
      <c r="AK89" s="159" t="n">
        <f aca="false">IF($B89=" ",0,AK$25*(1+AK$30)^(IF(AK$28&gt;$B89,-1,1)*(YEARFRAC($B89,AK$28))))</f>
        <v>0.027798211338025</v>
      </c>
      <c r="AL89" s="159" t="n">
        <f aca="false">IF($B89=" ",0,AL$25*AL$28)</f>
        <v>0.0575</v>
      </c>
      <c r="AM89" s="162" t="n">
        <f aca="false">+AI89+AJ89+SUM(AK89:AL89)*SUM($J89*$J$37,$K89*$K$37,$L89*$L$37,$M89*$M$37,$N89*$N$37,$O89*$O$37)/1000</f>
        <v>1394.76363199132</v>
      </c>
      <c r="AN89" s="1"/>
      <c r="AO89" s="163" t="n">
        <f aca="false">IF($B89=" ",0,$AO$25)</f>
        <v>0.25</v>
      </c>
      <c r="AP89" s="159" t="n">
        <f aca="false">IF($B89=" ",0,AP$25*AP$28)</f>
        <v>0.03105</v>
      </c>
      <c r="AQ89" s="162" t="n">
        <f aca="false">SUM(AO89:AP89)*SUM(0)/1000</f>
        <v>0</v>
      </c>
      <c r="AR89" s="1"/>
      <c r="AS89" s="155" t="n">
        <f aca="false">IF($B89=" ",0,AS$25)</f>
        <v>1</v>
      </c>
      <c r="AT89" s="156" t="n">
        <f aca="false">IF($B89=" ",0,AT$25)</f>
        <v>1</v>
      </c>
      <c r="AU89" s="156" t="n">
        <f aca="false">IF($B89=" ",0,AU$25)</f>
        <v>2.3</v>
      </c>
      <c r="AV89" s="157" t="n">
        <f aca="false">+AS89*SUM(J89:K89)/1000</f>
        <v>0</v>
      </c>
      <c r="AW89" s="157" t="n">
        <f aca="false">+AT89*SUM(L89:M89)/1000</f>
        <v>0</v>
      </c>
      <c r="AX89" s="157" t="n">
        <f aca="false">+AU89*SUM(N89:O89)/1000</f>
        <v>11537.9859375</v>
      </c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</row>
    <row r="90" customFormat="false" ht="12.75" hidden="false" customHeight="false" outlineLevel="0" collapsed="false">
      <c r="A90" s="164" t="n">
        <f aca="false">+IF(B90=" ",A89,B90)</f>
        <v>38018</v>
      </c>
      <c r="B90" s="148" t="n">
        <f aca="false">IF(B89=" "," ",IF(EDATE(B89,1)&gt;=EndDate," ",EDATE(B89,1)))</f>
        <v>38018</v>
      </c>
      <c r="C90" s="149" t="n">
        <f aca="false">IF($B90&lt;&gt;" ",C89+1,C89)</f>
        <v>40</v>
      </c>
      <c r="D90" s="150" t="n">
        <f aca="false">C90/12</f>
        <v>3.33333333333333</v>
      </c>
      <c r="F90" s="157" t="n">
        <f aca="false">+SUM($T90:$U90)</f>
        <v>14883.5779284771</v>
      </c>
      <c r="G90" s="152" t="n">
        <f aca="false">-SUM($AA90,$AG90,$AM90,$AQ90,$AV90:$AX90)</f>
        <v>-16417.0271523586</v>
      </c>
      <c r="H90" s="152" t="n">
        <f aca="false">+SUM(F90:G90)</f>
        <v>-1533.44922388147</v>
      </c>
      <c r="I90" s="124"/>
      <c r="J90" s="153" t="n">
        <f aca="false">+IF($B90=" ",0,IF(AND($B90&gt;=J$26,$B90&lt;J$28),J$33,0))</f>
        <v>0</v>
      </c>
      <c r="K90" s="153" t="n">
        <f aca="false">+IF($B90=" ",0,IF(AND($B90&gt;=K$26,$B90&lt;K$28),K$33,0))</f>
        <v>0</v>
      </c>
      <c r="L90" s="153" t="n">
        <f aca="false">+IF($B90=" ",0,IF(AND($B90&gt;=L$26,$B90&lt;L$28),L$33,0))</f>
        <v>0</v>
      </c>
      <c r="M90" s="153" t="n">
        <f aca="false">+IF($B90=" ",0,IF(AND($B90&gt;=M$26,$B90&lt;M$28),M$33,0))</f>
        <v>0</v>
      </c>
      <c r="N90" s="153" t="n">
        <f aca="false">+IF($B90=" ",0,IF(AND($B90&gt;=N$26,$B90&lt;N$28),N$33,0))</f>
        <v>0</v>
      </c>
      <c r="O90" s="154" t="n">
        <f aca="false">+IF($B90=" ",0,IF(AND($B90&gt;=O$26,$B90&lt;O$28),O$33,0))</f>
        <v>5016515.625</v>
      </c>
      <c r="Q90" s="83" t="n">
        <f aca="false">IF($B90=" ",0,IF($B90&lt;=DATE(2003,12,31),3.55,2.9))</f>
        <v>2.9</v>
      </c>
      <c r="R90" s="155" t="n">
        <f aca="false">IF($B90=" ",0,R$25)</f>
        <v>-0.07</v>
      </c>
      <c r="S90" s="156" t="n">
        <f aca="false">IF($B90=" ",0,S$25)</f>
        <v>0.1</v>
      </c>
      <c r="T90" s="157" t="n">
        <f aca="false">+SUM($Q90,$S90)/1000*(SUM($J90*$J$37,$K90*$K$37,$L90*$L$37,$M90*$M$37,$N90*$N$37,$O90*$O$37))</f>
        <v>14883.5779284771</v>
      </c>
      <c r="U90" s="157" t="n">
        <f aca="false">+SUM($Q90,$R90)/1000*(SUM(0))</f>
        <v>0</v>
      </c>
      <c r="W90" s="158" t="n">
        <f aca="false">IF($B90=" ",0,1)*(IF($B90&gt;=W$25,1,0)*IF($B90&lt;=W$29,W$27,IF($B90&lt;=W$33,W$31,0))*($D90-$D89)*365/1000)</f>
        <v>486.666666666668</v>
      </c>
      <c r="X90" s="158" t="n">
        <f aca="false">IF($B90=" ",0,IF($B90&gt;=X$25,IF($B90&lt;=X$29,X$27,IF($B90&lt;=X$33,X$31,X$31*(1+X$38)^(IF(X$36&gt;$B90,-1,1)*(YEARFRAC($B90,X$36)))))*($D90-$D89)*365/1000,0))</f>
        <v>375.349689597895</v>
      </c>
      <c r="Y90" s="159" t="n">
        <f aca="false">IF($B90=" ",0,Y$25*(1+Y$30)^(IF(Y$28&gt;$B90,-1,1)*(YEARFRAC($B90,Y$28))))</f>
        <v>0.471804196024476</v>
      </c>
      <c r="Z90" s="159" t="n">
        <f aca="false">IF($B90=" ",0,Z$25*(1+Z$30)^(IF(Z$28&gt;$B90,-1,1)*(YEARFRAC($B90,Z$28))))</f>
        <v>0.450397940728613</v>
      </c>
      <c r="AA90" s="162" t="n">
        <f aca="false">+W90+X90+Z90*SUM($J90*$J$37,$L90*$L$37,$N90*$N$37)/1000</f>
        <v>862.016356264562</v>
      </c>
      <c r="AB90" s="161"/>
      <c r="AC90" s="158" t="n">
        <f aca="false">IF($B90=" ",0,1)*(IF($B90&gt;=AC$25,1,0)*IF($B90&lt;=AC$29,AC$27,IF($B90&lt;=AC$33,AC$31,0))*($D90-$D89)*365/1000)</f>
        <v>1591.66666666667</v>
      </c>
      <c r="AD90" s="158" t="n">
        <f aca="false">IF($B90=" ",0,IF($B90&gt;=AD$25,IF($B90&lt;=AD$29,AD$27,IF($B90&lt;=AD$33,AD$31,AD$31*(1+AD$38)^(IF(AD$36&gt;$B90,-1,1)*(YEARFRAC($B90,AD$36)))))*($D90-$D89)*365/1000,0))</f>
        <v>334.143294783091</v>
      </c>
      <c r="AE90" s="159" t="n">
        <f aca="false">IF($B90=" ",0,AE$25*(1+AE$30)^(IF(AE$28&gt;$B90,-1,1)*(YEARFRAC($B90,AE$28))))</f>
        <v>0.390887281902828</v>
      </c>
      <c r="AF90" s="159" t="n">
        <f aca="false">IF($B90=" ",0,AF$25*(1+AF$30)^(IF(AF$28&gt;$B90,-1,1)*(YEARFRAC($B90,AF$28))))</f>
        <v>0.140249470283071</v>
      </c>
      <c r="AG90" s="162" t="n">
        <f aca="false">+AC90+AD90+AF90*SUM($K90*$K$37,$M90*$M$37,$O90*$O$37)/1000</f>
        <v>2621.61460157834</v>
      </c>
      <c r="AI90" s="158" t="n">
        <f aca="false">IF($B90=" ",0,1)*IF($B90&gt;=AI$33,AI$25*($D90-$D89),0)</f>
        <v>485.186570908334</v>
      </c>
      <c r="AJ90" s="158" t="n">
        <f aca="false">IF($B90=" ",0,IF($B90&gt;=AJ$33,AJ$25*(1+AJ$30)^(IF(AJ$28&gt;$B90,-1,1)*(YEARFRAC($B90,AJ$28)))*($D90-$D89),0))</f>
        <v>486.899985474932</v>
      </c>
      <c r="AK90" s="159" t="n">
        <f aca="false">IF($B90=" ",0,AK$25*(1+AK$30)^(IF(AK$28&gt;$B90,-1,1)*(YEARFRAC($B90,AK$28))))</f>
        <v>0.0278270032246341</v>
      </c>
      <c r="AL90" s="159" t="n">
        <f aca="false">IF($B90=" ",0,AL$25*AL$28)</f>
        <v>0.0575</v>
      </c>
      <c r="AM90" s="162" t="n">
        <f aca="false">+AI90+AJ90+SUM(AK90:AL90)*SUM($J90*$J$37,$K90*$K$37,$L90*$L$37,$M90*$M$37,$N90*$N$37,$O90*$O$37)/1000</f>
        <v>1395.41025701569</v>
      </c>
      <c r="AO90" s="163" t="n">
        <f aca="false">IF($B90=" ",0,$AO$25)</f>
        <v>0.25</v>
      </c>
      <c r="AP90" s="159" t="n">
        <f aca="false">IF($B90=" ",0,AP$25*AP$28)</f>
        <v>0.03105</v>
      </c>
      <c r="AQ90" s="162" t="n">
        <f aca="false">SUM(AO90:AP90)*SUM(0)/1000</f>
        <v>0</v>
      </c>
      <c r="AS90" s="155" t="n">
        <f aca="false">IF($B90=" ",0,AS$25)</f>
        <v>1</v>
      </c>
      <c r="AT90" s="156" t="n">
        <f aca="false">IF($B90=" ",0,AT$25)</f>
        <v>1</v>
      </c>
      <c r="AU90" s="156" t="n">
        <f aca="false">IF($B90=" ",0,AU$25)</f>
        <v>2.3</v>
      </c>
      <c r="AV90" s="157" t="n">
        <f aca="false">+AS90*SUM(J90:K90)/1000</f>
        <v>0</v>
      </c>
      <c r="AW90" s="157" t="n">
        <f aca="false">+AT90*SUM(L90:M90)/1000</f>
        <v>0</v>
      </c>
      <c r="AX90" s="157" t="n">
        <f aca="false">+AU90*SUM(N90:O90)/1000</f>
        <v>11537.9859375</v>
      </c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</row>
    <row r="91" customFormat="false" ht="12.75" hidden="false" customHeight="false" outlineLevel="0" collapsed="false">
      <c r="A91" s="164" t="n">
        <f aca="false">+IF(B91=" ",A90,B91)</f>
        <v>38047</v>
      </c>
      <c r="B91" s="148" t="n">
        <f aca="false">IF(B90=" "," ",IF(EDATE(B90,1)&gt;=EndDate," ",EDATE(B90,1)))</f>
        <v>38047</v>
      </c>
      <c r="C91" s="149" t="n">
        <f aca="false">IF($B91&lt;&gt;" ",C90+1,C90)</f>
        <v>41</v>
      </c>
      <c r="D91" s="150" t="n">
        <f aca="false">C91/12</f>
        <v>3.41666666666667</v>
      </c>
      <c r="F91" s="157" t="n">
        <f aca="false">+SUM($T91:$U91)</f>
        <v>14883.5779284771</v>
      </c>
      <c r="G91" s="152" t="n">
        <f aca="false">-SUM($AA91,$AG91,$AM91,$AQ91,$AV91:$AX91)</f>
        <v>-16419.611496633</v>
      </c>
      <c r="H91" s="152" t="n">
        <f aca="false">+SUM(F91:G91)</f>
        <v>-1536.03356815592</v>
      </c>
      <c r="I91" s="124"/>
      <c r="J91" s="153" t="n">
        <f aca="false">+IF($B91=" ",0,IF(AND($B91&gt;=J$26,$B91&lt;J$28),J$33,0))</f>
        <v>0</v>
      </c>
      <c r="K91" s="153" t="n">
        <f aca="false">+IF($B91=" ",0,IF(AND($B91&gt;=K$26,$B91&lt;K$28),K$33,0))</f>
        <v>0</v>
      </c>
      <c r="L91" s="153" t="n">
        <f aca="false">+IF($B91=" ",0,IF(AND($B91&gt;=L$26,$B91&lt;L$28),L$33,0))</f>
        <v>0</v>
      </c>
      <c r="M91" s="153" t="n">
        <f aca="false">+IF($B91=" ",0,IF(AND($B91&gt;=M$26,$B91&lt;M$28),M$33,0))</f>
        <v>0</v>
      </c>
      <c r="N91" s="153" t="n">
        <f aca="false">+IF($B91=" ",0,IF(AND($B91&gt;=N$26,$B91&lt;N$28),N$33,0))</f>
        <v>0</v>
      </c>
      <c r="O91" s="154" t="n">
        <f aca="false">+IF($B91=" ",0,IF(AND($B91&gt;=O$26,$B91&lt;O$28),O$33,0))</f>
        <v>5016515.625</v>
      </c>
      <c r="Q91" s="83" t="n">
        <f aca="false">IF($B91=" ",0,IF($B91&lt;=DATE(2003,12,31),3.55,2.9))</f>
        <v>2.9</v>
      </c>
      <c r="R91" s="155" t="n">
        <f aca="false">IF($B91=" ",0,R$25)</f>
        <v>-0.07</v>
      </c>
      <c r="S91" s="156" t="n">
        <f aca="false">IF($B91=" ",0,S$25)</f>
        <v>0.1</v>
      </c>
      <c r="T91" s="157" t="n">
        <f aca="false">+SUM($Q91,$S91)/1000*(SUM($J91*$J$37,$K91*$K$37,$L91*$L$37,$M91*$M$37,$N91*$N$37,$O91*$O$37))</f>
        <v>14883.5779284771</v>
      </c>
      <c r="U91" s="157" t="n">
        <f aca="false">+SUM($Q91,$R91)/1000*(SUM(0))</f>
        <v>0</v>
      </c>
      <c r="W91" s="158" t="n">
        <f aca="false">IF($B91=" ",0,1)*(IF($B91&gt;=W$25,1,0)*IF($B91&lt;=W$29,W$27,IF($B91&lt;=W$33,W$31,0))*($D91-$D90)*365/1000)</f>
        <v>486.666666666665</v>
      </c>
      <c r="X91" s="158" t="n">
        <f aca="false">IF($B91=" ",0,IF($B91&gt;=X$25,IF($B91&lt;=X$29,X$27,IF($B91&lt;=X$33,X$31,X$31*(1+X$38)^(IF(X$36&gt;$B91,-1,1)*(YEARFRAC($B91,X$36)))))*($D91-$D90)*365/1000,0))</f>
        <v>375.867068208614</v>
      </c>
      <c r="Y91" s="159" t="n">
        <f aca="false">IF($B91=" ",0,Y$25*(1+Y$30)^(IF(Y$28&gt;$B91,-1,1)*(YEARFRAC($B91,Y$28))))</f>
        <v>0.472454526652784</v>
      </c>
      <c r="Z91" s="159" t="n">
        <f aca="false">IF($B91=" ",0,Z$25*(1+Z$30)^(IF(Z$28&gt;$B91,-1,1)*(YEARFRAC($B91,Z$28))))</f>
        <v>0.451018765168605</v>
      </c>
      <c r="AA91" s="162" t="n">
        <f aca="false">+W91+X91+Z91*SUM($J91*$J$37,$L91*$L$37,$N91*$N$37)/1000</f>
        <v>862.533734875279</v>
      </c>
      <c r="AB91" s="161"/>
      <c r="AC91" s="158" t="n">
        <f aca="false">IF($B91=" ",0,1)*(IF($B91&gt;=AC$25,1,0)*IF($B91&lt;=AC$29,AC$27,IF($B91&lt;=AC$33,AC$31,0))*($D91-$D90)*365/1000)</f>
        <v>1591.66666666666</v>
      </c>
      <c r="AD91" s="158" t="n">
        <f aca="false">IF($B91=" ",0,IF($B91&gt;=AD$25,IF($B91&lt;=AD$29,AD$27,IF($B91&lt;=AD$33,AD$31,AD$31*(1+AD$38)^(IF(AD$36&gt;$B91,-1,1)*(YEARFRAC($B91,AD$36)))))*($D91-$D90)*365/1000,0))</f>
        <v>334.60387487261</v>
      </c>
      <c r="AE91" s="159" t="n">
        <f aca="false">IF($B91=" ",0,AE$25*(1+AE$30)^(IF(AE$28&gt;$B91,-1,1)*(YEARFRAC($B91,AE$28))))</f>
        <v>0.39142607738998</v>
      </c>
      <c r="AF91" s="159" t="n">
        <f aca="false">IF($B91=" ",0,AF$25*(1+AF$30)^(IF(AF$28&gt;$B91,-1,1)*(YEARFRAC($B91,AF$28))))</f>
        <v>0.140442788881968</v>
      </c>
      <c r="AG91" s="162" t="n">
        <f aca="false">+AC91+AD91+AF91*SUM($K91*$K$37,$M91*$M$37,$O91*$O$37)/1000</f>
        <v>2623.03427247841</v>
      </c>
      <c r="AI91" s="158" t="n">
        <f aca="false">IF($B91=" ",0,1)*IF($B91&gt;=AI$33,AI$25*($D91-$D90),0)</f>
        <v>485.186570908332</v>
      </c>
      <c r="AJ91" s="158" t="n">
        <f aca="false">IF($B91=" ",0,IF($B91&gt;=AJ$33,AJ$25*(1+AJ$30)^(IF(AJ$28&gt;$B91,-1,1)*(YEARFRAC($B91,AJ$28)))*($D91-$D90),0))</f>
        <v>487.404290194442</v>
      </c>
      <c r="AK91" s="159" t="n">
        <f aca="false">IF($B91=" ",0,AK$25*(1+AK$30)^(IF(AK$28&gt;$B91,-1,1)*(YEARFRAC($B91,AK$28))))</f>
        <v>0.027855824932325</v>
      </c>
      <c r="AL91" s="159" t="n">
        <f aca="false">IF($B91=" ",0,AL$25*AL$28)</f>
        <v>0.0575</v>
      </c>
      <c r="AM91" s="162" t="n">
        <f aca="false">+AI91+AJ91+SUM(AK91:AL91)*SUM($J91*$J$37,$K91*$K$37,$L91*$L$37,$M91*$M$37,$N91*$N$37,$O91*$O$37)/1000</f>
        <v>1396.05755177934</v>
      </c>
      <c r="AO91" s="163" t="n">
        <f aca="false">IF($B91=" ",0,$AO$25)</f>
        <v>0.25</v>
      </c>
      <c r="AP91" s="159" t="n">
        <f aca="false">IF($B91=" ",0,AP$25*AP$28)</f>
        <v>0.03105</v>
      </c>
      <c r="AQ91" s="162" t="n">
        <f aca="false">SUM(AO91:AP91)*SUM(0)/1000</f>
        <v>0</v>
      </c>
      <c r="AS91" s="155" t="n">
        <f aca="false">IF($B91=" ",0,AS$25)</f>
        <v>1</v>
      </c>
      <c r="AT91" s="156" t="n">
        <f aca="false">IF($B91=" ",0,AT$25)</f>
        <v>1</v>
      </c>
      <c r="AU91" s="156" t="n">
        <f aca="false">IF($B91=" ",0,AU$25)</f>
        <v>2.3</v>
      </c>
      <c r="AV91" s="157" t="n">
        <f aca="false">+AS91*SUM(J91:K91)/1000</f>
        <v>0</v>
      </c>
      <c r="AW91" s="157" t="n">
        <f aca="false">+AT91*SUM(L91:M91)/1000</f>
        <v>0</v>
      </c>
      <c r="AX91" s="157" t="n">
        <f aca="false">+AU91*SUM(N91:O91)/1000</f>
        <v>11537.9859375</v>
      </c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</row>
    <row r="92" customFormat="false" ht="12.75" hidden="false" customHeight="false" outlineLevel="0" collapsed="false">
      <c r="A92" s="164" t="n">
        <f aca="false">+IF(B92=" ",A91,B92)</f>
        <v>38078</v>
      </c>
      <c r="B92" s="148" t="n">
        <f aca="false">IF(B91=" "," ",IF(EDATE(B91,1)&gt;=EndDate," ",EDATE(B91,1)))</f>
        <v>38078</v>
      </c>
      <c r="C92" s="149" t="n">
        <f aca="false">IF($B92&lt;&gt;" ",C91+1,C91)</f>
        <v>42</v>
      </c>
      <c r="D92" s="150" t="n">
        <f aca="false">C92/12</f>
        <v>3.5</v>
      </c>
      <c r="F92" s="157" t="n">
        <f aca="false">+SUM($T92:$U92)</f>
        <v>14883.5779284771</v>
      </c>
      <c r="G92" s="152" t="n">
        <f aca="false">-SUM($AA92,$AG92,$AM92,$AQ92,$AV92:$AX92)</f>
        <v>-16422.199181352</v>
      </c>
      <c r="H92" s="152" t="n">
        <f aca="false">+SUM(F92:G92)</f>
        <v>-1538.62125287488</v>
      </c>
      <c r="I92" s="124"/>
      <c r="J92" s="153" t="n">
        <f aca="false">+IF($B92=" ",0,IF(AND($B92&gt;=J$26,$B92&lt;J$28),J$33,0))</f>
        <v>0</v>
      </c>
      <c r="K92" s="153" t="n">
        <f aca="false">+IF($B92=" ",0,IF(AND($B92&gt;=K$26,$B92&lt;K$28),K$33,0))</f>
        <v>0</v>
      </c>
      <c r="L92" s="153" t="n">
        <f aca="false">+IF($B92=" ",0,IF(AND($B92&gt;=L$26,$B92&lt;L$28),L$33,0))</f>
        <v>0</v>
      </c>
      <c r="M92" s="153" t="n">
        <f aca="false">+IF($B92=" ",0,IF(AND($B92&gt;=M$26,$B92&lt;M$28),M$33,0))</f>
        <v>0</v>
      </c>
      <c r="N92" s="153" t="n">
        <f aca="false">+IF($B92=" ",0,IF(AND($B92&gt;=N$26,$B92&lt;N$28),N$33,0))</f>
        <v>0</v>
      </c>
      <c r="O92" s="154" t="n">
        <f aca="false">+IF($B92=" ",0,IF(AND($B92&gt;=O$26,$B92&lt;O$28),O$33,0))</f>
        <v>5016515.625</v>
      </c>
      <c r="Q92" s="83" t="n">
        <f aca="false">IF($B92=" ",0,IF($B92&lt;=DATE(2003,12,31),3.55,2.9))</f>
        <v>2.9</v>
      </c>
      <c r="R92" s="155" t="n">
        <f aca="false">IF($B92=" ",0,R$25)</f>
        <v>-0.07</v>
      </c>
      <c r="S92" s="156" t="n">
        <f aca="false">IF($B92=" ",0,S$25)</f>
        <v>0.1</v>
      </c>
      <c r="T92" s="157" t="n">
        <f aca="false">+SUM($Q92,$S92)/1000*(SUM($J92*$J$37,$K92*$K$37,$L92*$L$37,$M92*$M$37,$N92*$N$37,$O92*$O$37))</f>
        <v>14883.5779284771</v>
      </c>
      <c r="U92" s="157" t="n">
        <f aca="false">+SUM($Q92,$R92)/1000*(SUM(0))</f>
        <v>0</v>
      </c>
      <c r="W92" s="158" t="n">
        <f aca="false">IF($B92=" ",0,1)*(IF($B92&gt;=W$25,1,0)*IF($B92&lt;=W$29,W$27,IF($B92&lt;=W$33,W$31,0))*($D92-$D91)*365/1000)</f>
        <v>486.666666666668</v>
      </c>
      <c r="X92" s="158" t="n">
        <f aca="false">IF($B92=" ",0,IF($B92&gt;=X$25,IF($B92&lt;=X$29,X$27,IF($B92&lt;=X$33,X$31,X$31*(1+X$38)^(IF(X$36&gt;$B92,-1,1)*(YEARFRAC($B92,X$36)))))*($D92-$D91)*365/1000,0))</f>
        <v>376.385159969325</v>
      </c>
      <c r="Y92" s="159" t="n">
        <f aca="false">IF($B92=" ",0,Y$25*(1+Y$30)^(IF(Y$28&gt;$B92,-1,1)*(YEARFRAC($B92,Y$28))))</f>
        <v>0.473105753690936</v>
      </c>
      <c r="Z92" s="159" t="n">
        <f aca="false">IF($B92=" ",0,Z$25*(1+Z$30)^(IF(Z$28&gt;$B92,-1,1)*(YEARFRAC($B92,Z$28))))</f>
        <v>0.451640445347379</v>
      </c>
      <c r="AA92" s="162" t="n">
        <f aca="false">+W92+X92+Z92*SUM($J92*$J$37,$L92*$L$37,$N92*$N$37)/1000</f>
        <v>863.051826635993</v>
      </c>
      <c r="AB92" s="161"/>
      <c r="AC92" s="158" t="n">
        <f aca="false">IF($B92=" ",0,1)*(IF($B92&gt;=AC$25,1,0)*IF($B92&lt;=AC$29,AC$27,IF($B92&lt;=AC$33,AC$31,0))*($D92-$D91)*365/1000)</f>
        <v>1591.66666666667</v>
      </c>
      <c r="AD92" s="158" t="n">
        <f aca="false">IF($B92=" ",0,IF($B92&gt;=AD$25,IF($B92&lt;=AD$29,AD$27,IF($B92&lt;=AD$33,AD$31,AD$31*(1+AD$38)^(IF(AD$36&gt;$B92,-1,1)*(YEARFRAC($B92,AD$36)))))*($D92-$D91)*365/1000,0))</f>
        <v>335.065089821554</v>
      </c>
      <c r="AE92" s="159" t="n">
        <f aca="false">IF($B92=" ",0,AE$25*(1+AE$30)^(IF(AE$28&gt;$B92,-1,1)*(YEARFRAC($B92,AE$28))))</f>
        <v>0.39196561554795</v>
      </c>
      <c r="AF92" s="159" t="n">
        <f aca="false">IF($B92=" ",0,AF$25*(1+AF$30)^(IF(AF$28&gt;$B92,-1,1)*(YEARFRAC($B92,AF$28))))</f>
        <v>0.14063637394947</v>
      </c>
      <c r="AG92" s="162" t="n">
        <f aca="false">+AC92+AD92+AF92*SUM($K92*$K$37,$M92*$M$37,$O92*$O$37)/1000</f>
        <v>2624.45590024002</v>
      </c>
      <c r="AI92" s="158" t="n">
        <f aca="false">IF($B92=" ",0,1)*IF($B92&gt;=AI$33,AI$25*($D92-$D91),0)</f>
        <v>485.186570908334</v>
      </c>
      <c r="AJ92" s="158" t="n">
        <f aca="false">IF($B92=" ",0,IF($B92&gt;=AJ$33,AJ$25*(1+AJ$30)^(IF(AJ$28&gt;$B92,-1,1)*(YEARFRAC($B92,AJ$28)))*($D92-$D91),0))</f>
        <v>487.90911724556</v>
      </c>
      <c r="AK92" s="159" t="n">
        <f aca="false">IF($B92=" ",0,AK$25*(1+AK$30)^(IF(AK$28&gt;$B92,-1,1)*(YEARFRAC($B92,AK$28))))</f>
        <v>0.0278846764919848</v>
      </c>
      <c r="AL92" s="159" t="n">
        <f aca="false">IF($B92=" ",0,AL$25*AL$28)</f>
        <v>0.0575</v>
      </c>
      <c r="AM92" s="162" t="n">
        <f aca="false">+AI92+AJ92+SUM(AK92:AL92)*SUM($J92*$J$37,$K92*$K$37,$L92*$L$37,$M92*$M$37,$N92*$N$37,$O92*$O$37)/1000</f>
        <v>1396.70551697598</v>
      </c>
      <c r="AO92" s="163" t="n">
        <f aca="false">IF($B92=" ",0,$AO$25)</f>
        <v>0.25</v>
      </c>
      <c r="AP92" s="159" t="n">
        <f aca="false">IF($B92=" ",0,AP$25*AP$28)</f>
        <v>0.03105</v>
      </c>
      <c r="AQ92" s="162" t="n">
        <f aca="false">SUM(AO92:AP92)*SUM(0)/1000</f>
        <v>0</v>
      </c>
      <c r="AS92" s="155" t="n">
        <f aca="false">IF($B92=" ",0,AS$25)</f>
        <v>1</v>
      </c>
      <c r="AT92" s="156" t="n">
        <f aca="false">IF($B92=" ",0,AT$25)</f>
        <v>1</v>
      </c>
      <c r="AU92" s="156" t="n">
        <f aca="false">IF($B92=" ",0,AU$25)</f>
        <v>2.3</v>
      </c>
      <c r="AV92" s="157" t="n">
        <f aca="false">+AS92*SUM(J92:K92)/1000</f>
        <v>0</v>
      </c>
      <c r="AW92" s="157" t="n">
        <f aca="false">+AT92*SUM(L92:M92)/1000</f>
        <v>0</v>
      </c>
      <c r="AX92" s="157" t="n">
        <f aca="false">+AU92*SUM(N92:O92)/1000</f>
        <v>11537.9859375</v>
      </c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</row>
    <row r="93" customFormat="false" ht="12.75" hidden="false" customHeight="false" outlineLevel="0" collapsed="false">
      <c r="A93" s="164" t="n">
        <f aca="false">+IF(B93=" ",A92,B93)</f>
        <v>38108</v>
      </c>
      <c r="B93" s="148" t="n">
        <f aca="false">IF(B92=" "," ",IF(EDATE(B92,1)&gt;=EndDate," ",EDATE(B92,1)))</f>
        <v>38108</v>
      </c>
      <c r="C93" s="149" t="n">
        <f aca="false">IF($B93&lt;&gt;" ",C92+1,C92)</f>
        <v>43</v>
      </c>
      <c r="D93" s="150" t="n">
        <f aca="false">C93/12</f>
        <v>3.58333333333333</v>
      </c>
      <c r="F93" s="157" t="n">
        <f aca="false">+SUM($T93:$U93)</f>
        <v>14883.5779284771</v>
      </c>
      <c r="G93" s="152" t="n">
        <f aca="false">-SUM($AA93,$AG93,$AM93,$AQ93,$AV93:$AX93)</f>
        <v>-16424.7902108901</v>
      </c>
      <c r="H93" s="152" t="n">
        <f aca="false">+SUM(F93:G93)</f>
        <v>-1541.212282413</v>
      </c>
      <c r="I93" s="124"/>
      <c r="J93" s="153" t="n">
        <f aca="false">+IF($B93=" ",0,IF(AND($B93&gt;=J$26,$B93&lt;J$28),J$33,0))</f>
        <v>0</v>
      </c>
      <c r="K93" s="153" t="n">
        <f aca="false">+IF($B93=" ",0,IF(AND($B93&gt;=K$26,$B93&lt;K$28),K$33,0))</f>
        <v>0</v>
      </c>
      <c r="L93" s="153" t="n">
        <f aca="false">+IF($B93=" ",0,IF(AND($B93&gt;=L$26,$B93&lt;L$28),L$33,0))</f>
        <v>0</v>
      </c>
      <c r="M93" s="153" t="n">
        <f aca="false">+IF($B93=" ",0,IF(AND($B93&gt;=M$26,$B93&lt;M$28),M$33,0))</f>
        <v>0</v>
      </c>
      <c r="N93" s="153" t="n">
        <f aca="false">+IF($B93=" ",0,IF(AND($B93&gt;=N$26,$B93&lt;N$28),N$33,0))</f>
        <v>0</v>
      </c>
      <c r="O93" s="154" t="n">
        <f aca="false">+IF($B93=" ",0,IF(AND($B93&gt;=O$26,$B93&lt;O$28),O$33,0))</f>
        <v>5016515.625</v>
      </c>
      <c r="Q93" s="83" t="n">
        <f aca="false">IF($B93=" ",0,IF($B93&lt;=DATE(2003,12,31),3.55,2.9))</f>
        <v>2.9</v>
      </c>
      <c r="R93" s="155" t="n">
        <f aca="false">IF($B93=" ",0,R$25)</f>
        <v>-0.07</v>
      </c>
      <c r="S93" s="156" t="n">
        <f aca="false">IF($B93=" ",0,S$25)</f>
        <v>0.1</v>
      </c>
      <c r="T93" s="157" t="n">
        <f aca="false">+SUM($Q93,$S93)/1000*(SUM($J93*$J$37,$K93*$K$37,$L93*$L$37,$M93*$M$37,$N93*$N$37,$O93*$O$37))</f>
        <v>14883.5779284771</v>
      </c>
      <c r="U93" s="157" t="n">
        <f aca="false">+SUM($Q93,$R93)/1000*(SUM(0))</f>
        <v>0</v>
      </c>
      <c r="W93" s="158" t="n">
        <f aca="false">IF($B93=" ",0,1)*(IF($B93&gt;=W$25,1,0)*IF($B93&lt;=W$29,W$27,IF($B93&lt;=W$33,W$31,0))*($D93-$D92)*365/1000)</f>
        <v>486.666666666668</v>
      </c>
      <c r="X93" s="158" t="n">
        <f aca="false">IF($B93=" ",0,IF($B93&gt;=X$25,IF($B93&lt;=X$29,X$27,IF($B93&lt;=X$33,X$31,X$31*(1+X$38)^(IF(X$36&gt;$B93,-1,1)*(YEARFRAC($B93,X$36)))))*($D93-$D92)*365/1000,0))</f>
        <v>376.903965863023</v>
      </c>
      <c r="Y93" s="159" t="n">
        <f aca="false">IF($B93=" ",0,Y$25*(1+Y$30)^(IF(Y$28&gt;$B93,-1,1)*(YEARFRAC($B93,Y$28))))</f>
        <v>0.473757878374537</v>
      </c>
      <c r="Z93" s="159" t="n">
        <f aca="false">IF($B93=" ",0,Z$25*(1+Z$30)^(IF(Z$28&gt;$B93,-1,1)*(YEARFRAC($B93,Z$28))))</f>
        <v>0.452262982444477</v>
      </c>
      <c r="AA93" s="162" t="n">
        <f aca="false">+W93+X93+Z93*SUM($J93*$J$37,$L93*$L$37,$N93*$N$37)/1000</f>
        <v>863.57063252969</v>
      </c>
      <c r="AB93" s="161"/>
      <c r="AC93" s="158" t="n">
        <f aca="false">IF($B93=" ",0,1)*(IF($B93&gt;=AC$25,1,0)*IF($B93&lt;=AC$29,AC$27,IF($B93&lt;=AC$33,AC$31,0))*($D93-$D92)*365/1000)</f>
        <v>1591.66666666667</v>
      </c>
      <c r="AD93" s="158" t="n">
        <f aca="false">IF($B93=" ",0,IF($B93&gt;=AD$25,IF($B93&lt;=AD$29,AD$27,IF($B93&lt;=AD$33,AD$31,AD$31*(1+AD$38)^(IF(AD$36&gt;$B93,-1,1)*(YEARFRAC($B93,AD$36)))))*($D93-$D92)*365/1000,0))</f>
        <v>335.526940505003</v>
      </c>
      <c r="AE93" s="159" t="n">
        <f aca="false">IF($B93=" ",0,AE$25*(1+AE$30)^(IF(AE$28&gt;$B93,-1,1)*(YEARFRAC($B93,AE$28))))</f>
        <v>0.392505897400426</v>
      </c>
      <c r="AF93" s="159" t="n">
        <f aca="false">IF($B93=" ",0,AF$25*(1+AF$30)^(IF(AF$28&gt;$B93,-1,1)*(YEARFRAC($B93,AF$28))))</f>
        <v>0.140830225852874</v>
      </c>
      <c r="AG93" s="162" t="n">
        <f aca="false">+AC93+AD93+AF93*SUM($K93*$K$37,$M93*$M$37,$O93*$O$37)/1000</f>
        <v>2625.87948756043</v>
      </c>
      <c r="AI93" s="158" t="n">
        <f aca="false">IF($B93=" ",0,1)*IF($B93&gt;=AI$33,AI$25*($D93-$D92),0)</f>
        <v>485.186570908334</v>
      </c>
      <c r="AJ93" s="158" t="n">
        <f aca="false">IF($B93=" ",0,IF($B93&gt;=AJ$33,AJ$25*(1+AJ$30)^(IF(AJ$28&gt;$B93,-1,1)*(YEARFRAC($B93,AJ$28)))*($D93-$D92),0))</f>
        <v>488.414467169283</v>
      </c>
      <c r="AK93" s="159" t="n">
        <f aca="false">IF($B93=" ",0,AK$25*(1+AK$30)^(IF(AK$28&gt;$B93,-1,1)*(YEARFRAC($B93,AK$28))))</f>
        <v>0.0279135579345326</v>
      </c>
      <c r="AL93" s="159" t="n">
        <f aca="false">IF($B93=" ",0,AL$25*AL$28)</f>
        <v>0.0575</v>
      </c>
      <c r="AM93" s="162" t="n">
        <f aca="false">+AI93+AJ93+SUM(AK93:AL93)*SUM($J93*$J$37,$K93*$K$37,$L93*$L$37,$M93*$M$37,$N93*$N$37,$O93*$O$37)/1000</f>
        <v>1397.35415329999</v>
      </c>
      <c r="AO93" s="163" t="n">
        <f aca="false">IF($B93=" ",0,$AO$25)</f>
        <v>0.25</v>
      </c>
      <c r="AP93" s="159" t="n">
        <f aca="false">IF($B93=" ",0,AP$25*AP$28)</f>
        <v>0.03105</v>
      </c>
      <c r="AQ93" s="162" t="n">
        <f aca="false">SUM(AO93:AP93)*SUM(0)/1000</f>
        <v>0</v>
      </c>
      <c r="AS93" s="155" t="n">
        <f aca="false">IF($B93=" ",0,AS$25)</f>
        <v>1</v>
      </c>
      <c r="AT93" s="156" t="n">
        <f aca="false">IF($B93=" ",0,AT$25)</f>
        <v>1</v>
      </c>
      <c r="AU93" s="156" t="n">
        <f aca="false">IF($B93=" ",0,AU$25)</f>
        <v>2.3</v>
      </c>
      <c r="AV93" s="157" t="n">
        <f aca="false">+AS93*SUM(J93:K93)/1000</f>
        <v>0</v>
      </c>
      <c r="AW93" s="157" t="n">
        <f aca="false">+AT93*SUM(L93:M93)/1000</f>
        <v>0</v>
      </c>
      <c r="AX93" s="157" t="n">
        <f aca="false">+AU93*SUM(N93:O93)/1000</f>
        <v>11537.9859375</v>
      </c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</row>
    <row r="94" customFormat="false" ht="12.75" hidden="false" customHeight="false" outlineLevel="0" collapsed="false">
      <c r="A94" s="164" t="n">
        <f aca="false">+IF(B94=" ",A93,B94)</f>
        <v>38139</v>
      </c>
      <c r="B94" s="148" t="n">
        <f aca="false">IF(B93=" "," ",IF(EDATE(B93,1)&gt;=EndDate," ",EDATE(B93,1)))</f>
        <v>38139</v>
      </c>
      <c r="C94" s="149" t="n">
        <f aca="false">IF($B94&lt;&gt;" ",C93+1,C93)</f>
        <v>44</v>
      </c>
      <c r="D94" s="150" t="n">
        <f aca="false">C94/12</f>
        <v>3.66666666666667</v>
      </c>
      <c r="F94" s="157" t="n">
        <f aca="false">+SUM($T94:$U94)</f>
        <v>14883.5779284771</v>
      </c>
      <c r="G94" s="152" t="n">
        <f aca="false">-SUM($AA94,$AG94,$AM94,$AQ94,$AV94:$AX94)</f>
        <v>-16427.3845896279</v>
      </c>
      <c r="H94" s="152" t="n">
        <f aca="false">+SUM(F94:G94)</f>
        <v>-1543.80666115079</v>
      </c>
      <c r="I94" s="124"/>
      <c r="J94" s="153" t="n">
        <f aca="false">+IF($B94=" ",0,IF(AND($B94&gt;=J$26,$B94&lt;J$28),J$33,0))</f>
        <v>0</v>
      </c>
      <c r="K94" s="153" t="n">
        <f aca="false">+IF($B94=" ",0,IF(AND($B94&gt;=K$26,$B94&lt;K$28),K$33,0))</f>
        <v>0</v>
      </c>
      <c r="L94" s="153" t="n">
        <f aca="false">+IF($B94=" ",0,IF(AND($B94&gt;=L$26,$B94&lt;L$28),L$33,0))</f>
        <v>0</v>
      </c>
      <c r="M94" s="153" t="n">
        <f aca="false">+IF($B94=" ",0,IF(AND($B94&gt;=M$26,$B94&lt;M$28),M$33,0))</f>
        <v>0</v>
      </c>
      <c r="N94" s="153" t="n">
        <f aca="false">+IF($B94=" ",0,IF(AND($B94&gt;=N$26,$B94&lt;N$28),N$33,0))</f>
        <v>0</v>
      </c>
      <c r="O94" s="154" t="n">
        <f aca="false">+IF($B94=" ",0,IF(AND($B94&gt;=O$26,$B94&lt;O$28),O$33,0))</f>
        <v>5016515.625</v>
      </c>
      <c r="Q94" s="83" t="n">
        <f aca="false">IF($B94=" ",0,IF($B94&lt;=DATE(2003,12,31),3.55,2.9))</f>
        <v>2.9</v>
      </c>
      <c r="R94" s="155" t="n">
        <f aca="false">IF($B94=" ",0,R$25)</f>
        <v>-0.07</v>
      </c>
      <c r="S94" s="156" t="n">
        <f aca="false">IF($B94=" ",0,S$25)</f>
        <v>0.1</v>
      </c>
      <c r="T94" s="157" t="n">
        <f aca="false">+SUM($Q94,$S94)/1000*(SUM($J94*$J$37,$K94*$K$37,$L94*$L$37,$M94*$M$37,$N94*$N$37,$O94*$O$37))</f>
        <v>14883.5779284771</v>
      </c>
      <c r="U94" s="157" t="n">
        <f aca="false">+SUM($Q94,$R94)/1000*(SUM(0))</f>
        <v>0</v>
      </c>
      <c r="W94" s="158" t="n">
        <f aca="false">IF($B94=" ",0,1)*(IF($B94&gt;=W$25,1,0)*IF($B94&lt;=W$29,W$27,IF($B94&lt;=W$33,W$31,0))*($D94-$D93)*365/1000)</f>
        <v>486.666666666665</v>
      </c>
      <c r="X94" s="158" t="n">
        <f aca="false">IF($B94=" ",0,IF($B94&gt;=X$25,IF($B94&lt;=X$29,X$27,IF($B94&lt;=X$33,X$31,X$31*(1+X$38)^(IF(X$36&gt;$B94,-1,1)*(YEARFRAC($B94,X$36)))))*($D94-$D93)*365/1000,0))</f>
        <v>377.423486874061</v>
      </c>
      <c r="Y94" s="159" t="n">
        <f aca="false">IF($B94=" ",0,Y$25*(1+Y$30)^(IF(Y$28&gt;$B94,-1,1)*(YEARFRAC($B94,Y$28))))</f>
        <v>0.474410901940892</v>
      </c>
      <c r="Z94" s="159" t="n">
        <f aca="false">IF($B94=" ",0,Z$25*(1+Z$30)^(IF(Z$28&gt;$B94,-1,1)*(YEARFRAC($B94,Z$28))))</f>
        <v>0.452886377641069</v>
      </c>
      <c r="AA94" s="162" t="n">
        <f aca="false">+W94+X94+Z94*SUM($J94*$J$37,$L94*$L$37,$N94*$N$37)/1000</f>
        <v>864.090153540725</v>
      </c>
      <c r="AB94" s="161"/>
      <c r="AC94" s="158" t="n">
        <f aca="false">IF($B94=" ",0,1)*(IF($B94&gt;=AC$25,1,0)*IF($B94&lt;=AC$29,AC$27,IF($B94&lt;=AC$33,AC$31,0))*($D94-$D93)*365/1000)</f>
        <v>1591.66666666666</v>
      </c>
      <c r="AD94" s="158" t="n">
        <f aca="false">IF($B94=" ",0,IF($B94&gt;=AD$25,IF($B94&lt;=AD$29,AD$27,IF($B94&lt;=AD$33,AD$31,AD$31*(1+AD$38)^(IF(AD$36&gt;$B94,-1,1)*(YEARFRAC($B94,AD$36)))))*($D94-$D93)*365/1000,0))</f>
        <v>335.989427799246</v>
      </c>
      <c r="AE94" s="159" t="n">
        <f aca="false">IF($B94=" ",0,AE$25*(1+AE$30)^(IF(AE$28&gt;$B94,-1,1)*(YEARFRAC($B94,AE$28))))</f>
        <v>0.393046923972513</v>
      </c>
      <c r="AF94" s="159" t="n">
        <f aca="false">IF($B94=" ",0,AF$25*(1+AF$30)^(IF(AF$28&gt;$B94,-1,1)*(YEARFRAC($B94,AF$28))))</f>
        <v>0.141024344959985</v>
      </c>
      <c r="AG94" s="162" t="n">
        <f aca="false">+AC94+AD94+AF94*SUM($K94*$K$37,$M94*$M$37,$O94*$O$37)/1000</f>
        <v>2627.3050371407</v>
      </c>
      <c r="AI94" s="158" t="n">
        <f aca="false">IF($B94=" ",0,1)*IF($B94&gt;=AI$33,AI$25*($D94-$D93),0)</f>
        <v>485.186570908332</v>
      </c>
      <c r="AJ94" s="158" t="n">
        <f aca="false">IF($B94=" ",0,IF($B94&gt;=AJ$33,AJ$25*(1+AJ$30)^(IF(AJ$28&gt;$B94,-1,1)*(YEARFRAC($B94,AJ$28)))*($D94-$D93),0))</f>
        <v>488.920340507172</v>
      </c>
      <c r="AK94" s="159" t="n">
        <f aca="false">IF($B94=" ",0,AK$25*(1+AK$30)^(IF(AK$28&gt;$B94,-1,1)*(YEARFRAC($B94,AK$28))))</f>
        <v>0.0279424692909193</v>
      </c>
      <c r="AL94" s="159" t="n">
        <f aca="false">IF($B94=" ",0,AL$25*AL$28)</f>
        <v>0.0575</v>
      </c>
      <c r="AM94" s="162" t="n">
        <f aca="false">+AI94+AJ94+SUM(AK94:AL94)*SUM($J94*$J$37,$K94*$K$37,$L94*$L$37,$M94*$M$37,$N94*$N$37,$O94*$O$37)/1000</f>
        <v>1398.00346144647</v>
      </c>
      <c r="AO94" s="163" t="n">
        <f aca="false">IF($B94=" ",0,$AO$25)</f>
        <v>0.25</v>
      </c>
      <c r="AP94" s="159" t="n">
        <f aca="false">IF($B94=" ",0,AP$25*AP$28)</f>
        <v>0.03105</v>
      </c>
      <c r="AQ94" s="162" t="n">
        <f aca="false">SUM(AO94:AP94)*SUM(0)/1000</f>
        <v>0</v>
      </c>
      <c r="AS94" s="155" t="n">
        <f aca="false">IF($B94=" ",0,AS$25)</f>
        <v>1</v>
      </c>
      <c r="AT94" s="156" t="n">
        <f aca="false">IF($B94=" ",0,AT$25)</f>
        <v>1</v>
      </c>
      <c r="AU94" s="156" t="n">
        <f aca="false">IF($B94=" ",0,AU$25)</f>
        <v>2.3</v>
      </c>
      <c r="AV94" s="157" t="n">
        <f aca="false">+AS94*SUM(J94:K94)/1000</f>
        <v>0</v>
      </c>
      <c r="AW94" s="157" t="n">
        <f aca="false">+AT94*SUM(L94:M94)/1000</f>
        <v>0</v>
      </c>
      <c r="AX94" s="157" t="n">
        <f aca="false">+AU94*SUM(N94:O94)/1000</f>
        <v>11537.9859375</v>
      </c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</row>
    <row r="95" customFormat="false" ht="12.75" hidden="false" customHeight="false" outlineLevel="0" collapsed="false">
      <c r="A95" s="164" t="n">
        <f aca="false">+IF(B95=" ",A94,B95)</f>
        <v>38169</v>
      </c>
      <c r="B95" s="148" t="n">
        <f aca="false">IF(B94=" "," ",IF(EDATE(B94,1)&gt;=EndDate," ",EDATE(B94,1)))</f>
        <v>38169</v>
      </c>
      <c r="C95" s="149" t="n">
        <f aca="false">IF($B95&lt;&gt;" ",C94+1,C94)</f>
        <v>45</v>
      </c>
      <c r="D95" s="150" t="n">
        <f aca="false">C95/12</f>
        <v>3.75</v>
      </c>
      <c r="F95" s="157" t="n">
        <f aca="false">+SUM($T95:$U95)</f>
        <v>14883.5779284771</v>
      </c>
      <c r="G95" s="152" t="n">
        <f aca="false">-SUM($AA95,$AG95,$AM95,$AQ95,$AV95:$AX95)</f>
        <v>-16429.9823219517</v>
      </c>
      <c r="H95" s="152" t="n">
        <f aca="false">+SUM(F95:G95)</f>
        <v>-1546.40439347462</v>
      </c>
      <c r="I95" s="124"/>
      <c r="J95" s="153" t="n">
        <f aca="false">+IF($B95=" ",0,IF(AND($B95&gt;=J$26,$B95&lt;J$28),J$33,0))</f>
        <v>0</v>
      </c>
      <c r="K95" s="153" t="n">
        <f aca="false">+IF($B95=" ",0,IF(AND($B95&gt;=K$26,$B95&lt;K$28),K$33,0))</f>
        <v>0</v>
      </c>
      <c r="L95" s="153" t="n">
        <f aca="false">+IF($B95=" ",0,IF(AND($B95&gt;=L$26,$B95&lt;L$28),L$33,0))</f>
        <v>0</v>
      </c>
      <c r="M95" s="153" t="n">
        <f aca="false">+IF($B95=" ",0,IF(AND($B95&gt;=M$26,$B95&lt;M$28),M$33,0))</f>
        <v>0</v>
      </c>
      <c r="N95" s="153" t="n">
        <f aca="false">+IF($B95=" ",0,IF(AND($B95&gt;=N$26,$B95&lt;N$28),N$33,0))</f>
        <v>0</v>
      </c>
      <c r="O95" s="154" t="n">
        <f aca="false">+IF($B95=" ",0,IF(AND($B95&gt;=O$26,$B95&lt;O$28),O$33,0))</f>
        <v>5016515.625</v>
      </c>
      <c r="Q95" s="83" t="n">
        <f aca="false">IF($B95=" ",0,IF($B95&lt;=DATE(2003,12,31),3.55,2.9))</f>
        <v>2.9</v>
      </c>
      <c r="R95" s="155" t="n">
        <f aca="false">IF($B95=" ",0,R$25)</f>
        <v>-0.07</v>
      </c>
      <c r="S95" s="156" t="n">
        <f aca="false">IF($B95=" ",0,S$25)</f>
        <v>0.1</v>
      </c>
      <c r="T95" s="157" t="n">
        <f aca="false">+SUM($Q95,$S95)/1000*(SUM($J95*$J$37,$K95*$K$37,$L95*$L$37,$M95*$M$37,$N95*$N$37,$O95*$O$37))</f>
        <v>14883.5779284771</v>
      </c>
      <c r="U95" s="157" t="n">
        <f aca="false">+SUM($Q95,$R95)/1000*(SUM(0))</f>
        <v>0</v>
      </c>
      <c r="W95" s="158" t="n">
        <f aca="false">IF($B95=" ",0,1)*(IF($B95&gt;=W$25,1,0)*IF($B95&lt;=W$29,W$27,IF($B95&lt;=W$33,W$31,0))*($D95-$D94)*365/1000)</f>
        <v>486.666666666668</v>
      </c>
      <c r="X95" s="158" t="n">
        <f aca="false">IF($B95=" ",0,IF($B95&gt;=X$25,IF($B95&lt;=X$29,X$27,IF($B95&lt;=X$33,X$31,X$31*(1+X$38)^(IF(X$36&gt;$B95,-1,1)*(YEARFRAC($B95,X$36)))))*($D95-$D94)*365/1000,0))</f>
        <v>377.943723988156</v>
      </c>
      <c r="Y95" s="159" t="n">
        <f aca="false">IF($B95=" ",0,Y$25*(1+Y$30)^(IF(Y$28&gt;$B95,-1,1)*(YEARFRAC($B95,Y$28))))</f>
        <v>0.475064825629013</v>
      </c>
      <c r="Z95" s="159" t="n">
        <f aca="false">IF($B95=" ",0,Z$25*(1+Z$30)^(IF(Z$28&gt;$B95,-1,1)*(YEARFRAC($B95,Z$28))))</f>
        <v>0.453510632119951</v>
      </c>
      <c r="AA95" s="162" t="n">
        <f aca="false">+W95+X95+Z95*SUM($J95*$J$37,$L95*$L$37,$N95*$N$37)/1000</f>
        <v>864.610390654824</v>
      </c>
      <c r="AB95" s="161"/>
      <c r="AC95" s="158" t="n">
        <f aca="false">IF($B95=" ",0,1)*(IF($B95&gt;=AC$25,1,0)*IF($B95&lt;=AC$29,AC$27,IF($B95&lt;=AC$33,AC$31,0))*($D95-$D94)*365/1000)</f>
        <v>1591.66666666667</v>
      </c>
      <c r="AD95" s="158" t="n">
        <f aca="false">IF($B95=" ",0,IF($B95&gt;=AD$25,IF($B95&lt;=AD$29,AD$27,IF($B95&lt;=AD$33,AD$31,AD$31*(1+AD$38)^(IF(AD$36&gt;$B95,-1,1)*(YEARFRAC($B95,AD$36)))))*($D95-$D94)*365/1000,0))</f>
        <v>336.452552581788</v>
      </c>
      <c r="AE95" s="159" t="n">
        <f aca="false">IF($B95=" ",0,AE$25*(1+AE$30)^(IF(AE$28&gt;$B95,-1,1)*(YEARFRAC($B95,AE$28))))</f>
        <v>0.393588696290723</v>
      </c>
      <c r="AF95" s="159" t="n">
        <f aca="false">IF($B95=" ",0,AF$25*(1+AF$30)^(IF(AF$28&gt;$B95,-1,1)*(YEARFRAC($B95,AF$28))))</f>
        <v>0.141218731639115</v>
      </c>
      <c r="AG95" s="162" t="n">
        <f aca="false">+AC95+AD95+AF95*SUM($K95*$K$37,$M95*$M$37,$O95*$O$37)/1000</f>
        <v>2628.73255168561</v>
      </c>
      <c r="AI95" s="158" t="n">
        <f aca="false">IF($B95=" ",0,1)*IF($B95&gt;=AI$33,AI$25*($D95-$D94),0)</f>
        <v>485.186570908334</v>
      </c>
      <c r="AJ95" s="158" t="n">
        <f aca="false">IF($B95=" ",0,IF($B95&gt;=AJ$33,AJ$25*(1+AJ$30)^(IF(AJ$28&gt;$B95,-1,1)*(YEARFRAC($B95,AJ$28)))*($D95-$D94),0))</f>
        <v>489.426737801359</v>
      </c>
      <c r="AK95" s="159" t="n">
        <f aca="false">IF($B95=" ",0,AK$25*(1+AK$30)^(IF(AK$28&gt;$B95,-1,1)*(YEARFRAC($B95,AK$28))))</f>
        <v>0.0279714105921282</v>
      </c>
      <c r="AL95" s="159" t="n">
        <f aca="false">IF($B95=" ",0,AL$25*AL$28)</f>
        <v>0.0575</v>
      </c>
      <c r="AM95" s="162" t="n">
        <f aca="false">+AI95+AJ95+SUM(AK95:AL95)*SUM($J95*$J$37,$K95*$K$37,$L95*$L$37,$M95*$M$37,$N95*$N$37,$O95*$O$37)/1000</f>
        <v>1398.6534421113</v>
      </c>
      <c r="AO95" s="163" t="n">
        <f aca="false">IF($B95=" ",0,$AO$25)</f>
        <v>0.25</v>
      </c>
      <c r="AP95" s="159" t="n">
        <f aca="false">IF($B95=" ",0,AP$25*AP$28)</f>
        <v>0.03105</v>
      </c>
      <c r="AQ95" s="162" t="n">
        <f aca="false">SUM(AO95:AP95)*SUM(0)/1000</f>
        <v>0</v>
      </c>
      <c r="AS95" s="155" t="n">
        <f aca="false">IF($B95=" ",0,AS$25)</f>
        <v>1</v>
      </c>
      <c r="AT95" s="156" t="n">
        <f aca="false">IF($B95=" ",0,AT$25)</f>
        <v>1</v>
      </c>
      <c r="AU95" s="156" t="n">
        <f aca="false">IF($B95=" ",0,AU$25)</f>
        <v>2.3</v>
      </c>
      <c r="AV95" s="157" t="n">
        <f aca="false">+AS95*SUM(J95:K95)/1000</f>
        <v>0</v>
      </c>
      <c r="AW95" s="157" t="n">
        <f aca="false">+AT95*SUM(L95:M95)/1000</f>
        <v>0</v>
      </c>
      <c r="AX95" s="157" t="n">
        <f aca="false">+AU95*SUM(N95:O95)/1000</f>
        <v>11537.9859375</v>
      </c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</row>
    <row r="96" customFormat="false" ht="12.75" hidden="false" customHeight="false" outlineLevel="0" collapsed="false">
      <c r="A96" s="164" t="n">
        <f aca="false">+IF(B96=" ",A95,B96)</f>
        <v>38200</v>
      </c>
      <c r="B96" s="148" t="n">
        <f aca="false">IF(B95=" "," ",IF(EDATE(B95,1)&gt;=EndDate," ",EDATE(B95,1)))</f>
        <v>38200</v>
      </c>
      <c r="C96" s="149" t="n">
        <f aca="false">IF($B96&lt;&gt;" ",C95+1,C95)</f>
        <v>46</v>
      </c>
      <c r="D96" s="150" t="n">
        <f aca="false">C96/12</f>
        <v>3.83333333333333</v>
      </c>
      <c r="F96" s="157" t="n">
        <f aca="false">+SUM($T96:$U96)</f>
        <v>14883.5779284771</v>
      </c>
      <c r="G96" s="152" t="n">
        <f aca="false">-SUM($AA96,$AG96,$AM96,$AQ96,$AV96:$AX96)</f>
        <v>-16432.5834122537</v>
      </c>
      <c r="H96" s="152" t="n">
        <f aca="false">+SUM(F96:G96)</f>
        <v>-1549.00548377655</v>
      </c>
      <c r="I96" s="124"/>
      <c r="J96" s="153" t="n">
        <f aca="false">+IF($B96=" ",0,IF(AND($B96&gt;=J$26,$B96&lt;J$28),J$33,0))</f>
        <v>0</v>
      </c>
      <c r="K96" s="153" t="n">
        <f aca="false">+IF($B96=" ",0,IF(AND($B96&gt;=K$26,$B96&lt;K$28),K$33,0))</f>
        <v>0</v>
      </c>
      <c r="L96" s="153" t="n">
        <f aca="false">+IF($B96=" ",0,IF(AND($B96&gt;=L$26,$B96&lt;L$28),L$33,0))</f>
        <v>0</v>
      </c>
      <c r="M96" s="153" t="n">
        <f aca="false">+IF($B96=" ",0,IF(AND($B96&gt;=M$26,$B96&lt;M$28),M$33,0))</f>
        <v>0</v>
      </c>
      <c r="N96" s="153" t="n">
        <f aca="false">+IF($B96=" ",0,IF(AND($B96&gt;=N$26,$B96&lt;N$28),N$33,0))</f>
        <v>0</v>
      </c>
      <c r="O96" s="154" t="n">
        <f aca="false">+IF($B96=" ",0,IF(AND($B96&gt;=O$26,$B96&lt;O$28),O$33,0))</f>
        <v>5016515.625</v>
      </c>
      <c r="Q96" s="83" t="n">
        <f aca="false">IF($B96=" ",0,IF($B96&lt;=DATE(2003,12,31),3.55,2.9))</f>
        <v>2.9</v>
      </c>
      <c r="R96" s="155" t="n">
        <f aca="false">IF($B96=" ",0,R$25)</f>
        <v>-0.07</v>
      </c>
      <c r="S96" s="156" t="n">
        <f aca="false">IF($B96=" ",0,S$25)</f>
        <v>0.1</v>
      </c>
      <c r="T96" s="157" t="n">
        <f aca="false">+SUM($Q96,$S96)/1000*(SUM($J96*$J$37,$K96*$K$37,$L96*$L$37,$M96*$M$37,$N96*$N$37,$O96*$O$37))</f>
        <v>14883.5779284771</v>
      </c>
      <c r="U96" s="157" t="n">
        <f aca="false">+SUM($Q96,$R96)/1000*(SUM(0))</f>
        <v>0</v>
      </c>
      <c r="W96" s="158" t="n">
        <f aca="false">IF($B96=" ",0,1)*(IF($B96&gt;=W$25,1,0)*IF($B96&lt;=W$29,W$27,IF($B96&lt;=W$33,W$31,0))*($D96-$D95)*365/1000)</f>
        <v>486.666666666668</v>
      </c>
      <c r="X96" s="158" t="n">
        <f aca="false">IF($B96=" ",0,IF($B96&gt;=X$25,IF($B96&lt;=X$29,X$27,IF($B96&lt;=X$33,X$31,X$31*(1+X$38)^(IF(X$36&gt;$B96,-1,1)*(YEARFRAC($B96,X$36)))))*($D96-$D95)*365/1000,0))</f>
        <v>378.464678192373</v>
      </c>
      <c r="Y96" s="159" t="n">
        <f aca="false">IF($B96=" ",0,Y$25*(1+Y$30)^(IF(Y$28&gt;$B96,-1,1)*(YEARFRAC($B96,Y$28))))</f>
        <v>0.47571965067962</v>
      </c>
      <c r="Z96" s="159" t="n">
        <f aca="false">IF($B96=" ",0,Z$25*(1+Z$30)^(IF(Z$28&gt;$B96,-1,1)*(YEARFRAC($B96,Z$28))))</f>
        <v>0.454135747065549</v>
      </c>
      <c r="AA96" s="162" t="n">
        <f aca="false">+W96+X96+Z96*SUM($J96*$J$37,$L96*$L$37,$N96*$N$37)/1000</f>
        <v>865.131344859041</v>
      </c>
      <c r="AB96" s="161"/>
      <c r="AC96" s="158" t="n">
        <f aca="false">IF($B96=" ",0,1)*(IF($B96&gt;=AC$25,1,0)*IF($B96&lt;=AC$29,AC$27,IF($B96&lt;=AC$33,AC$31,0))*($D96-$D95)*365/1000)</f>
        <v>1591.66666666667</v>
      </c>
      <c r="AD96" s="158" t="n">
        <f aca="false">IF($B96=" ",0,IF($B96&gt;=AD$25,IF($B96&lt;=AD$29,AD$27,IF($B96&lt;=AD$33,AD$31,AD$31*(1+AD$38)^(IF(AD$36&gt;$B96,-1,1)*(YEARFRAC($B96,AD$36)))))*($D96-$D95)*365/1000,0))</f>
        <v>336.916315731332</v>
      </c>
      <c r="AE96" s="159" t="n">
        <f aca="false">IF($B96=" ",0,AE$25*(1+AE$30)^(IF(AE$28&gt;$B96,-1,1)*(YEARFRAC($B96,AE$28))))</f>
        <v>0.394131215382987</v>
      </c>
      <c r="AF96" s="159" t="n">
        <f aca="false">IF($B96=" ",0,AF$25*(1+AF$30)^(IF(AF$28&gt;$B96,-1,1)*(YEARFRAC($B96,AF$28))))</f>
        <v>0.141413386259081</v>
      </c>
      <c r="AG96" s="162" t="n">
        <f aca="false">+AC96+AD96+AF96*SUM($K96*$K$37,$M96*$M$37,$O96*$O$37)/1000</f>
        <v>2630.16203390363</v>
      </c>
      <c r="AI96" s="158" t="n">
        <f aca="false">IF($B96=" ",0,1)*IF($B96&gt;=AI$33,AI$25*($D96-$D95),0)</f>
        <v>485.186570908334</v>
      </c>
      <c r="AJ96" s="158" t="n">
        <f aca="false">IF($B96=" ",0,IF($B96&gt;=AJ$33,AJ$25*(1+AJ$30)^(IF(AJ$28&gt;$B96,-1,1)*(YEARFRAC($B96,AJ$28)))*($D96-$D95),0))</f>
        <v>489.933659594524</v>
      </c>
      <c r="AK96" s="159" t="n">
        <f aca="false">IF($B96=" ",0,AK$25*(1+AK$30)^(IF(AK$28&gt;$B96,-1,1)*(YEARFRAC($B96,AK$28))))</f>
        <v>0.0280003818691745</v>
      </c>
      <c r="AL96" s="159" t="n">
        <f aca="false">IF($B96=" ",0,AL$25*AL$28)</f>
        <v>0.0575</v>
      </c>
      <c r="AM96" s="162" t="n">
        <f aca="false">+AI96+AJ96+SUM(AK96:AL96)*SUM($J96*$J$37,$K96*$K$37,$L96*$L$37,$M96*$M$37,$N96*$N$37,$O96*$O$37)/1000</f>
        <v>1399.304095991</v>
      </c>
      <c r="AO96" s="163" t="n">
        <f aca="false">IF($B96=" ",0,$AO$25)</f>
        <v>0.25</v>
      </c>
      <c r="AP96" s="159" t="n">
        <f aca="false">IF($B96=" ",0,AP$25*AP$28)</f>
        <v>0.03105</v>
      </c>
      <c r="AQ96" s="162" t="n">
        <f aca="false">SUM(AO96:AP96)*SUM(0)/1000</f>
        <v>0</v>
      </c>
      <c r="AS96" s="155" t="n">
        <f aca="false">IF($B96=" ",0,AS$25)</f>
        <v>1</v>
      </c>
      <c r="AT96" s="156" t="n">
        <f aca="false">IF($B96=" ",0,AT$25)</f>
        <v>1</v>
      </c>
      <c r="AU96" s="156" t="n">
        <f aca="false">IF($B96=" ",0,AU$25)</f>
        <v>2.3</v>
      </c>
      <c r="AV96" s="157" t="n">
        <f aca="false">+AS96*SUM(J96:K96)/1000</f>
        <v>0</v>
      </c>
      <c r="AW96" s="157" t="n">
        <f aca="false">+AT96*SUM(L96:M96)/1000</f>
        <v>0</v>
      </c>
      <c r="AX96" s="157" t="n">
        <f aca="false">+AU96*SUM(N96:O96)/1000</f>
        <v>11537.9859375</v>
      </c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</row>
    <row r="97" customFormat="false" ht="12.75" hidden="false" customHeight="false" outlineLevel="0" collapsed="false">
      <c r="A97" s="164" t="n">
        <f aca="false">+IF(B97=" ",A96,B97)</f>
        <v>38231</v>
      </c>
      <c r="B97" s="148" t="n">
        <f aca="false">IF(B96=" "," ",IF(EDATE(B96,1)&gt;=EndDate," ",EDATE(B96,1)))</f>
        <v>38231</v>
      </c>
      <c r="C97" s="149" t="n">
        <f aca="false">IF($B97&lt;&gt;" ",C96+1,C96)</f>
        <v>47</v>
      </c>
      <c r="D97" s="150" t="n">
        <f aca="false">C97/12</f>
        <v>3.91666666666667</v>
      </c>
      <c r="F97" s="157" t="n">
        <f aca="false">+SUM($T97:$U97)</f>
        <v>14883.5779284771</v>
      </c>
      <c r="G97" s="152" t="n">
        <f aca="false">-SUM($AA97,$AG97,$AM97,$AQ97,$AV97:$AX97)</f>
        <v>-16435.1878649316</v>
      </c>
      <c r="H97" s="152" t="n">
        <f aca="false">+SUM(F97:G97)</f>
        <v>-1551.60993645451</v>
      </c>
      <c r="I97" s="124"/>
      <c r="J97" s="153" t="n">
        <f aca="false">+IF($B97=" ",0,IF(AND($B97&gt;=J$26,$B97&lt;J$28),J$33,0))</f>
        <v>0</v>
      </c>
      <c r="K97" s="153" t="n">
        <f aca="false">+IF($B97=" ",0,IF(AND($B97&gt;=K$26,$B97&lt;K$28),K$33,0))</f>
        <v>0</v>
      </c>
      <c r="L97" s="153" t="n">
        <f aca="false">+IF($B97=" ",0,IF(AND($B97&gt;=L$26,$B97&lt;L$28),L$33,0))</f>
        <v>0</v>
      </c>
      <c r="M97" s="153" t="n">
        <f aca="false">+IF($B97=" ",0,IF(AND($B97&gt;=M$26,$B97&lt;M$28),M$33,0))</f>
        <v>0</v>
      </c>
      <c r="N97" s="153" t="n">
        <f aca="false">+IF($B97=" ",0,IF(AND($B97&gt;=N$26,$B97&lt;N$28),N$33,0))</f>
        <v>0</v>
      </c>
      <c r="O97" s="154" t="n">
        <f aca="false">+IF($B97=" ",0,IF(AND($B97&gt;=O$26,$B97&lt;O$28),O$33,0))</f>
        <v>5016515.625</v>
      </c>
      <c r="Q97" s="83" t="n">
        <f aca="false">IF($B97=" ",0,IF($B97&lt;=DATE(2003,12,31),3.55,2.9))</f>
        <v>2.9</v>
      </c>
      <c r="R97" s="155" t="n">
        <f aca="false">IF($B97=" ",0,R$25)</f>
        <v>-0.07</v>
      </c>
      <c r="S97" s="156" t="n">
        <f aca="false">IF($B97=" ",0,S$25)</f>
        <v>0.1</v>
      </c>
      <c r="T97" s="157" t="n">
        <f aca="false">+SUM($Q97,$S97)/1000*(SUM($J97*$J$37,$K97*$K$37,$L97*$L$37,$M97*$M$37,$N97*$N$37,$O97*$O$37))</f>
        <v>14883.5779284771</v>
      </c>
      <c r="U97" s="157" t="n">
        <f aca="false">+SUM($Q97,$R97)/1000*(SUM(0))</f>
        <v>0</v>
      </c>
      <c r="W97" s="158" t="n">
        <f aca="false">IF($B97=" ",0,1)*(IF($B97&gt;=W$25,1,0)*IF($B97&lt;=W$29,W$27,IF($B97&lt;=W$33,W$31,0))*($D97-$D96)*365/1000)</f>
        <v>486.666666666665</v>
      </c>
      <c r="X97" s="158" t="n">
        <f aca="false">IF($B97=" ",0,IF($B97&gt;=X$25,IF($B97&lt;=X$29,X$27,IF($B97&lt;=X$33,X$31,X$31*(1+X$38)^(IF(X$36&gt;$B97,-1,1)*(YEARFRAC($B97,X$36)))))*($D97-$D96)*365/1000,0))</f>
        <v>378.986350475143</v>
      </c>
      <c r="Y97" s="159" t="n">
        <f aca="false">IF($B97=" ",0,Y$25*(1+Y$30)^(IF(Y$28&gt;$B97,-1,1)*(YEARFRAC($B97,Y$28))))</f>
        <v>0.476375378335143</v>
      </c>
      <c r="Z97" s="159" t="n">
        <f aca="false">IF($B97=" ",0,Z$25*(1+Z$30)^(IF(Z$28&gt;$B97,-1,1)*(YEARFRAC($B97,Z$28))))</f>
        <v>0.454761723663924</v>
      </c>
      <c r="AA97" s="162" t="n">
        <f aca="false">+W97+X97+Z97*SUM($J97*$J$37,$L97*$L$37,$N97*$N$37)/1000</f>
        <v>865.653017141808</v>
      </c>
      <c r="AB97" s="161"/>
      <c r="AC97" s="158" t="n">
        <f aca="false">IF($B97=" ",0,1)*(IF($B97&gt;=AC$25,1,0)*IF($B97&lt;=AC$29,AC$27,IF($B97&lt;=AC$33,AC$31,0))*($D97-$D96)*365/1000)</f>
        <v>1591.66666666666</v>
      </c>
      <c r="AD97" s="158" t="n">
        <f aca="false">IF($B97=" ",0,IF($B97&gt;=AD$25,IF($B97&lt;=AD$29,AD$27,IF($B97&lt;=AD$33,AD$31,AD$31*(1+AD$38)^(IF(AD$36&gt;$B97,-1,1)*(YEARFRAC($B97,AD$36)))))*($D97-$D96)*365/1000,0))</f>
        <v>337.380718127797</v>
      </c>
      <c r="AE97" s="159" t="n">
        <f aca="false">IF($B97=" ",0,AE$25*(1+AE$30)^(IF(AE$28&gt;$B97,-1,1)*(YEARFRAC($B97,AE$28))))</f>
        <v>0.394674482278652</v>
      </c>
      <c r="AF97" s="159" t="n">
        <f aca="false">IF($B97=" ",0,AF$25*(1+AF$30)^(IF(AF$28&gt;$B97,-1,1)*(YEARFRAC($B97,AF$28))))</f>
        <v>0.141608309189212</v>
      </c>
      <c r="AG97" s="162" t="n">
        <f aca="false">+AC97+AD97+AF97*SUM($K97*$K$37,$M97*$M$37,$O97*$O$37)/1000</f>
        <v>2631.59348650696</v>
      </c>
      <c r="AI97" s="158" t="n">
        <f aca="false">IF($B97=" ",0,1)*IF($B97&gt;=AI$33,AI$25*($D97-$D96),0)</f>
        <v>485.186570908332</v>
      </c>
      <c r="AJ97" s="158" t="n">
        <f aca="false">IF($B97=" ",0,IF($B97&gt;=AJ$33,AJ$25*(1+AJ$30)^(IF(AJ$28&gt;$B97,-1,1)*(YEARFRAC($B97,AJ$28)))*($D97-$D96),0))</f>
        <v>490.441106429913</v>
      </c>
      <c r="AK97" s="159" t="n">
        <f aca="false">IF($B97=" ",0,AK$25*(1+AK$30)^(IF(AK$28&gt;$B97,-1,1)*(YEARFRAC($B97,AK$28))))</f>
        <v>0.0280293831531055</v>
      </c>
      <c r="AL97" s="159" t="n">
        <f aca="false">IF($B97=" ",0,AL$25*AL$28)</f>
        <v>0.0575</v>
      </c>
      <c r="AM97" s="162" t="n">
        <f aca="false">+AI97+AJ97+SUM(AK97:AL97)*SUM($J97*$J$37,$K97*$K$37,$L97*$L$37,$M97*$M$37,$N97*$N$37,$O97*$O$37)/1000</f>
        <v>1399.95542378285</v>
      </c>
      <c r="AO97" s="163" t="n">
        <f aca="false">IF($B97=" ",0,$AO$25)</f>
        <v>0.25</v>
      </c>
      <c r="AP97" s="159" t="n">
        <f aca="false">IF($B97=" ",0,AP$25*AP$28)</f>
        <v>0.03105</v>
      </c>
      <c r="AQ97" s="162" t="n">
        <f aca="false">SUM(AO97:AP97)*SUM(0)/1000</f>
        <v>0</v>
      </c>
      <c r="AS97" s="155" t="n">
        <f aca="false">IF($B97=" ",0,AS$25)</f>
        <v>1</v>
      </c>
      <c r="AT97" s="156" t="n">
        <f aca="false">IF($B97=" ",0,AT$25)</f>
        <v>1</v>
      </c>
      <c r="AU97" s="156" t="n">
        <f aca="false">IF($B97=" ",0,AU$25)</f>
        <v>2.3</v>
      </c>
      <c r="AV97" s="157" t="n">
        <f aca="false">+AS97*SUM(J97:K97)/1000</f>
        <v>0</v>
      </c>
      <c r="AW97" s="157" t="n">
        <f aca="false">+AT97*SUM(L97:M97)/1000</f>
        <v>0</v>
      </c>
      <c r="AX97" s="157" t="n">
        <f aca="false">+AU97*SUM(N97:O97)/1000</f>
        <v>11537.9859375</v>
      </c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</row>
    <row r="98" customFormat="false" ht="12.75" hidden="false" customHeight="false" outlineLevel="0" collapsed="false">
      <c r="A98" s="164" t="n">
        <f aca="false">+IF(B98=" ",A97,B98)</f>
        <v>38261</v>
      </c>
      <c r="B98" s="148" t="n">
        <f aca="false">IF(B97=" "," ",IF(EDATE(B97,1)&gt;=EndDate," ",EDATE(B97,1)))</f>
        <v>38261</v>
      </c>
      <c r="C98" s="149" t="n">
        <f aca="false">IF($B98&lt;&gt;" ",C97+1,C97)</f>
        <v>48</v>
      </c>
      <c r="D98" s="150" t="n">
        <f aca="false">C98/12</f>
        <v>4</v>
      </c>
      <c r="F98" s="157" t="n">
        <f aca="false">+SUM($T98:$U98)</f>
        <v>14883.5779284771</v>
      </c>
      <c r="G98" s="152" t="n">
        <f aca="false">-SUM($AA98,$AG98,$AM98,$AQ98,$AV98:$AX98)</f>
        <v>-16437.7956843894</v>
      </c>
      <c r="H98" s="152" t="n">
        <f aca="false">+SUM(F98:G98)</f>
        <v>-1554.21775591232</v>
      </c>
      <c r="I98" s="124"/>
      <c r="J98" s="153" t="n">
        <f aca="false">+IF($B98=" ",0,IF(AND($B98&gt;=J$26,$B98&lt;J$28),J$33,0))</f>
        <v>0</v>
      </c>
      <c r="K98" s="153" t="n">
        <f aca="false">+IF($B98=" ",0,IF(AND($B98&gt;=K$26,$B98&lt;K$28),K$33,0))</f>
        <v>0</v>
      </c>
      <c r="L98" s="153" t="n">
        <f aca="false">+IF($B98=" ",0,IF(AND($B98&gt;=L$26,$B98&lt;L$28),L$33,0))</f>
        <v>0</v>
      </c>
      <c r="M98" s="153" t="n">
        <f aca="false">+IF($B98=" ",0,IF(AND($B98&gt;=M$26,$B98&lt;M$28),M$33,0))</f>
        <v>0</v>
      </c>
      <c r="N98" s="153" t="n">
        <f aca="false">+IF($B98=" ",0,IF(AND($B98&gt;=N$26,$B98&lt;N$28),N$33,0))</f>
        <v>0</v>
      </c>
      <c r="O98" s="154" t="n">
        <f aca="false">+IF($B98=" ",0,IF(AND($B98&gt;=O$26,$B98&lt;O$28),O$33,0))</f>
        <v>5016515.625</v>
      </c>
      <c r="Q98" s="83" t="n">
        <f aca="false">IF($B98=" ",0,IF($B98&lt;=DATE(2003,12,31),3.55,2.9))</f>
        <v>2.9</v>
      </c>
      <c r="R98" s="155" t="n">
        <f aca="false">IF($B98=" ",0,R$25)</f>
        <v>-0.07</v>
      </c>
      <c r="S98" s="156" t="n">
        <f aca="false">IF($B98=" ",0,S$25)</f>
        <v>0.1</v>
      </c>
      <c r="T98" s="157" t="n">
        <f aca="false">+SUM($Q98,$S98)/1000*(SUM($J98*$J$37,$K98*$K$37,$L98*$L$37,$M98*$M$37,$N98*$N$37,$O98*$O$37))</f>
        <v>14883.5779284771</v>
      </c>
      <c r="U98" s="157" t="n">
        <f aca="false">+SUM($Q98,$R98)/1000*(SUM(0))</f>
        <v>0</v>
      </c>
      <c r="W98" s="158" t="n">
        <f aca="false">IF($B98=" ",0,1)*(IF($B98&gt;=W$25,1,0)*IF($B98&lt;=W$29,W$27,IF($B98&lt;=W$33,W$31,0))*($D98-$D97)*365/1000)</f>
        <v>486.666666666668</v>
      </c>
      <c r="X98" s="158" t="n">
        <f aca="false">IF($B98=" ",0,IF($B98&gt;=X$25,IF($B98&lt;=X$29,X$27,IF($B98&lt;=X$33,X$31,X$31*(1+X$38)^(IF(X$36&gt;$B98,-1,1)*(YEARFRAC($B98,X$36)))))*($D98-$D97)*365/1000,0))</f>
        <v>379.508741826263</v>
      </c>
      <c r="Y98" s="159" t="n">
        <f aca="false">IF($B98=" ",0,Y$25*(1+Y$30)^(IF(Y$28&gt;$B98,-1,1)*(YEARFRAC($B98,Y$28))))</f>
        <v>0.477032009839724</v>
      </c>
      <c r="Z98" s="159" t="n">
        <f aca="false">IF($B98=" ",0,Z$25*(1+Z$30)^(IF(Z$28&gt;$B98,-1,1)*(YEARFRAC($B98,Z$28))))</f>
        <v>0.455388563102769</v>
      </c>
      <c r="AA98" s="162" t="n">
        <f aca="false">+W98+X98+Z98*SUM($J98*$J$37,$L98*$L$37,$N98*$N$37)/1000</f>
        <v>866.175408492931</v>
      </c>
      <c r="AB98" s="161"/>
      <c r="AC98" s="158" t="n">
        <f aca="false">IF($B98=" ",0,1)*(IF($B98&gt;=AC$25,1,0)*IF($B98&lt;=AC$29,AC$27,IF($B98&lt;=AC$33,AC$31,0))*($D98-$D97)*365/1000)</f>
        <v>1591.66666666667</v>
      </c>
      <c r="AD98" s="158" t="n">
        <f aca="false">IF($B98=" ",0,IF($B98&gt;=AD$25,IF($B98&lt;=AD$29,AD$27,IF($B98&lt;=AD$33,AD$31,AD$31*(1+AD$38)^(IF(AD$36&gt;$B98,-1,1)*(YEARFRAC($B98,AD$36)))))*($D98-$D97)*365/1000,0))</f>
        <v>337.84576065232</v>
      </c>
      <c r="AE98" s="159" t="n">
        <f aca="false">IF($B98=" ",0,AE$25*(1+AE$30)^(IF(AE$28&gt;$B98,-1,1)*(YEARFRAC($B98,AE$28))))</f>
        <v>0.395218498008483</v>
      </c>
      <c r="AF98" s="159" t="n">
        <f aca="false">IF($B98=" ",0,AF$25*(1+AF$30)^(IF(AF$28&gt;$B98,-1,1)*(YEARFRAC($B98,AF$28))))</f>
        <v>0.141803500799343</v>
      </c>
      <c r="AG98" s="162" t="n">
        <f aca="false">+AC98+AD98+AF98*SUM($K98*$K$37,$M98*$M$37,$O98*$O$37)/1000</f>
        <v>2633.02691221162</v>
      </c>
      <c r="AI98" s="158" t="n">
        <f aca="false">IF($B98=" ",0,1)*IF($B98&gt;=AI$33,AI$25*($D98-$D97),0)</f>
        <v>485.186570908334</v>
      </c>
      <c r="AJ98" s="158" t="n">
        <f aca="false">IF($B98=" ",0,IF($B98&gt;=AJ$33,AJ$25*(1+AJ$30)^(IF(AJ$28&gt;$B98,-1,1)*(YEARFRAC($B98,AJ$28)))*($D98-$D97),0))</f>
        <v>490.949078851345</v>
      </c>
      <c r="AK98" s="159" t="n">
        <f aca="false">IF($B98=" ",0,AK$25*(1+AK$30)^(IF(AK$28&gt;$B98,-1,1)*(YEARFRAC($B98,AK$28))))</f>
        <v>0.0280584144750008</v>
      </c>
      <c r="AL98" s="159" t="n">
        <f aca="false">IF($B98=" ",0,AL$25*AL$28)</f>
        <v>0.0575</v>
      </c>
      <c r="AM98" s="162" t="n">
        <f aca="false">+AI98+AJ98+SUM(AK98:AL98)*SUM($J98*$J$37,$K98*$K$37,$L98*$L$37,$M98*$M$37,$N98*$N$37,$O98*$O$37)/1000</f>
        <v>1400.60742618489</v>
      </c>
      <c r="AO98" s="163" t="n">
        <f aca="false">IF($B98=" ",0,$AO$25)</f>
        <v>0.25</v>
      </c>
      <c r="AP98" s="159" t="n">
        <f aca="false">IF($B98=" ",0,AP$25*AP$28)</f>
        <v>0.03105</v>
      </c>
      <c r="AQ98" s="162" t="n">
        <f aca="false">SUM(AO98:AP98)*SUM(0)/1000</f>
        <v>0</v>
      </c>
      <c r="AS98" s="155" t="n">
        <f aca="false">IF($B98=" ",0,AS$25)</f>
        <v>1</v>
      </c>
      <c r="AT98" s="156" t="n">
        <f aca="false">IF($B98=" ",0,AT$25)</f>
        <v>1</v>
      </c>
      <c r="AU98" s="156" t="n">
        <f aca="false">IF($B98=" ",0,AU$25)</f>
        <v>2.3</v>
      </c>
      <c r="AV98" s="157" t="n">
        <f aca="false">+AS98*SUM(J98:K98)/1000</f>
        <v>0</v>
      </c>
      <c r="AW98" s="157" t="n">
        <f aca="false">+AT98*SUM(L98:M98)/1000</f>
        <v>0</v>
      </c>
      <c r="AX98" s="157" t="n">
        <f aca="false">+AU98*SUM(N98:O98)/1000</f>
        <v>11537.9859375</v>
      </c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</row>
    <row r="99" customFormat="false" ht="12.75" hidden="false" customHeight="false" outlineLevel="0" collapsed="false">
      <c r="A99" s="164" t="n">
        <f aca="false">+IF(B99=" ",A98,B99)</f>
        <v>38292</v>
      </c>
      <c r="B99" s="148" t="n">
        <f aca="false">IF(B98=" "," ",IF(EDATE(B98,1)&gt;=EndDate," ",EDATE(B98,1)))</f>
        <v>38292</v>
      </c>
      <c r="C99" s="149" t="n">
        <f aca="false">IF($B99&lt;&gt;" ",C98+1,C98)</f>
        <v>49</v>
      </c>
      <c r="D99" s="150" t="n">
        <f aca="false">C99/12</f>
        <v>4.08333333333333</v>
      </c>
      <c r="F99" s="157" t="n">
        <f aca="false">+SUM($T99:$U99)</f>
        <v>14883.5779284771</v>
      </c>
      <c r="G99" s="152" t="n">
        <f aca="false">-SUM($AA99,$AG99,$AM99,$AQ99,$AV99:$AX99)</f>
        <v>-16440.4068750366</v>
      </c>
      <c r="H99" s="152" t="n">
        <f aca="false">+SUM(F99:G99)</f>
        <v>-1556.82894655949</v>
      </c>
      <c r="I99" s="124"/>
      <c r="J99" s="153" t="n">
        <f aca="false">+IF($B99=" ",0,IF(AND($B99&gt;=J$26,$B99&lt;J$28),J$33,0))</f>
        <v>0</v>
      </c>
      <c r="K99" s="153" t="n">
        <f aca="false">+IF($B99=" ",0,IF(AND($B99&gt;=K$26,$B99&lt;K$28),K$33,0))</f>
        <v>0</v>
      </c>
      <c r="L99" s="153" t="n">
        <f aca="false">+IF($B99=" ",0,IF(AND($B99&gt;=L$26,$B99&lt;L$28),L$33,0))</f>
        <v>0</v>
      </c>
      <c r="M99" s="153" t="n">
        <f aca="false">+IF($B99=" ",0,IF(AND($B99&gt;=M$26,$B99&lt;M$28),M$33,0))</f>
        <v>0</v>
      </c>
      <c r="N99" s="153" t="n">
        <f aca="false">+IF($B99=" ",0,IF(AND($B99&gt;=N$26,$B99&lt;N$28),N$33,0))</f>
        <v>0</v>
      </c>
      <c r="O99" s="154" t="n">
        <f aca="false">+IF($B99=" ",0,IF(AND($B99&gt;=O$26,$B99&lt;O$28),O$33,0))</f>
        <v>5016515.625</v>
      </c>
      <c r="Q99" s="83" t="n">
        <f aca="false">IF($B99=" ",0,IF($B99&lt;=DATE(2003,12,31),3.55,2.9))</f>
        <v>2.9</v>
      </c>
      <c r="R99" s="155" t="n">
        <f aca="false">IF($B99=" ",0,R$25)</f>
        <v>-0.07</v>
      </c>
      <c r="S99" s="156" t="n">
        <f aca="false">IF($B99=" ",0,S$25)</f>
        <v>0.1</v>
      </c>
      <c r="T99" s="157" t="n">
        <f aca="false">+SUM($Q99,$S99)/1000*(SUM($J99*$J$37,$K99*$K$37,$L99*$L$37,$M99*$M$37,$N99*$N$37,$O99*$O$37))</f>
        <v>14883.5779284771</v>
      </c>
      <c r="U99" s="157" t="n">
        <f aca="false">+SUM($Q99,$R99)/1000*(SUM(0))</f>
        <v>0</v>
      </c>
      <c r="W99" s="158" t="n">
        <f aca="false">IF($B99=" ",0,1)*(IF($B99&gt;=W$25,1,0)*IF($B99&lt;=W$29,W$27,IF($B99&lt;=W$33,W$31,0))*($D99-$D98)*365/1000)</f>
        <v>486.666666666665</v>
      </c>
      <c r="X99" s="158" t="n">
        <f aca="false">IF($B99=" ",0,IF($B99&gt;=X$25,IF($B99&lt;=X$29,X$27,IF($B99&lt;=X$33,X$31,X$31*(1+X$38)^(IF(X$36&gt;$B99,-1,1)*(YEARFRAC($B99,X$36)))))*($D99-$D98)*365/1000,0))</f>
        <v>380.031853236884</v>
      </c>
      <c r="Y99" s="159" t="n">
        <f aca="false">IF($B99=" ",0,Y$25*(1+Y$30)^(IF(Y$28&gt;$B99,-1,1)*(YEARFRAC($B99,Y$28))))</f>
        <v>0.477689546439221</v>
      </c>
      <c r="Z99" s="159" t="n">
        <f aca="false">IF($B99=" ",0,Z$25*(1+Z$30)^(IF(Z$28&gt;$B99,-1,1)*(YEARFRAC($B99,Z$28))))</f>
        <v>0.456016266571417</v>
      </c>
      <c r="AA99" s="162" t="n">
        <f aca="false">+W99+X99+Z99*SUM($J99*$J$37,$L99*$L$37,$N99*$N$37)/1000</f>
        <v>866.698519903549</v>
      </c>
      <c r="AB99" s="161"/>
      <c r="AC99" s="158" t="n">
        <f aca="false">IF($B99=" ",0,1)*(IF($B99&gt;=AC$25,1,0)*IF($B99&lt;=AC$29,AC$27,IF($B99&lt;=AC$33,AC$31,0))*($D99-$D98)*365/1000)</f>
        <v>1591.66666666666</v>
      </c>
      <c r="AD99" s="158" t="n">
        <f aca="false">IF($B99=" ",0,IF($B99&gt;=AD$25,IF($B99&lt;=AD$29,AD$27,IF($B99&lt;=AD$33,AD$31,AD$31*(1+AD$38)^(IF(AD$36&gt;$B99,-1,1)*(YEARFRAC($B99,AD$36)))))*($D99-$D98)*365/1000,0))</f>
        <v>338.311444187242</v>
      </c>
      <c r="AE99" s="159" t="n">
        <f aca="false">IF($B99=" ",0,AE$25*(1+AE$30)^(IF(AE$28&gt;$B99,-1,1)*(YEARFRAC($B99,AE$28))))</f>
        <v>0.395763263604665</v>
      </c>
      <c r="AF99" s="159" t="n">
        <f aca="false">IF($B99=" ",0,AF$25*(1+AF$30)^(IF(AF$28&gt;$B99,-1,1)*(YEARFRAC($B99,AF$28))))</f>
        <v>0.141998961459821</v>
      </c>
      <c r="AG99" s="162" t="n">
        <f aca="false">+AC99+AD99+AF99*SUM($K99*$K$37,$M99*$M$37,$O99*$O$37)/1000</f>
        <v>2634.46231373726</v>
      </c>
      <c r="AI99" s="158" t="n">
        <f aca="false">IF($B99=" ",0,1)*IF($B99&gt;=AI$33,AI$25*($D99-$D98),0)</f>
        <v>485.186570908332</v>
      </c>
      <c r="AJ99" s="158" t="n">
        <f aca="false">IF($B99=" ",0,IF($B99&gt;=AJ$33,AJ$25*(1+AJ$30)^(IF(AJ$28&gt;$B99,-1,1)*(YEARFRAC($B99,AJ$28)))*($D99-$D98),0))</f>
        <v>491.457577403182</v>
      </c>
      <c r="AK99" s="159" t="n">
        <f aca="false">IF($B99=" ",0,AK$25*(1+AK$30)^(IF(AK$28&gt;$B99,-1,1)*(YEARFRAC($B99,AK$28))))</f>
        <v>0.028087475865972</v>
      </c>
      <c r="AL99" s="159" t="n">
        <f aca="false">IF($B99=" ",0,AL$25*AL$28)</f>
        <v>0.0575</v>
      </c>
      <c r="AM99" s="162" t="n">
        <f aca="false">+AI99+AJ99+SUM(AK99:AL99)*SUM($J99*$J$37,$K99*$K$37,$L99*$L$37,$M99*$M$37,$N99*$N$37,$O99*$O$37)/1000</f>
        <v>1401.2601038958</v>
      </c>
      <c r="AO99" s="163" t="n">
        <f aca="false">IF($B99=" ",0,$AO$25)</f>
        <v>0.25</v>
      </c>
      <c r="AP99" s="159" t="n">
        <f aca="false">IF($B99=" ",0,AP$25*AP$28)</f>
        <v>0.03105</v>
      </c>
      <c r="AQ99" s="162" t="n">
        <f aca="false">SUM(AO99:AP99)*SUM(0)/1000</f>
        <v>0</v>
      </c>
      <c r="AS99" s="155" t="n">
        <f aca="false">IF($B99=" ",0,AS$25)</f>
        <v>1</v>
      </c>
      <c r="AT99" s="156" t="n">
        <f aca="false">IF($B99=" ",0,AT$25)</f>
        <v>1</v>
      </c>
      <c r="AU99" s="156" t="n">
        <f aca="false">IF($B99=" ",0,AU$25)</f>
        <v>2.3</v>
      </c>
      <c r="AV99" s="157" t="n">
        <f aca="false">+AS99*SUM(J99:K99)/1000</f>
        <v>0</v>
      </c>
      <c r="AW99" s="157" t="n">
        <f aca="false">+AT99*SUM(L99:M99)/1000</f>
        <v>0</v>
      </c>
      <c r="AX99" s="157" t="n">
        <f aca="false">+AU99*SUM(N99:O99)/1000</f>
        <v>11537.9859375</v>
      </c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</row>
    <row r="100" customFormat="false" ht="12.75" hidden="false" customHeight="false" outlineLevel="0" collapsed="false">
      <c r="A100" s="165" t="n">
        <f aca="false">+IF(B100=" ",A99,B100)</f>
        <v>38322</v>
      </c>
      <c r="B100" s="166" t="n">
        <f aca="false">IF(B99=" "," ",IF(EDATE(B99,1)&gt;=EndDate," ",EDATE(B99,1)))</f>
        <v>38322</v>
      </c>
      <c r="C100" s="167" t="n">
        <f aca="false">IF($B100&lt;&gt;" ",C99+1,C99)</f>
        <v>50</v>
      </c>
      <c r="D100" s="168" t="n">
        <f aca="false">C100/12</f>
        <v>4.16666666666667</v>
      </c>
      <c r="E100" s="169"/>
      <c r="F100" s="170" t="n">
        <f aca="false">+SUM($T100:$U100)</f>
        <v>14883.5779284771</v>
      </c>
      <c r="G100" s="171" t="n">
        <f aca="false">-SUM($AA100,$AG100,$AM100,$AQ100,$AV100:$AX100)</f>
        <v>-16443.0214412887</v>
      </c>
      <c r="H100" s="171" t="n">
        <f aca="false">+SUM(F100:G100)</f>
        <v>-1559.44351281154</v>
      </c>
      <c r="I100" s="124"/>
      <c r="J100" s="172" t="n">
        <f aca="false">+IF($B100=" ",0,IF(AND($B100&gt;=J$26,$B100&lt;J$28),J$33,0))</f>
        <v>0</v>
      </c>
      <c r="K100" s="172" t="n">
        <f aca="false">+IF($B100=" ",0,IF(AND($B100&gt;=K$26,$B100&lt;K$28),K$33,0))</f>
        <v>0</v>
      </c>
      <c r="L100" s="172" t="n">
        <f aca="false">+IF($B100=" ",0,IF(AND($B100&gt;=L$26,$B100&lt;L$28),L$33,0))</f>
        <v>0</v>
      </c>
      <c r="M100" s="172" t="n">
        <f aca="false">+IF($B100=" ",0,IF(AND($B100&gt;=M$26,$B100&lt;M$28),M$33,0))</f>
        <v>0</v>
      </c>
      <c r="N100" s="172" t="n">
        <f aca="false">+IF($B100=" ",0,IF(AND($B100&gt;=N$26,$B100&lt;N$28),N$33,0))</f>
        <v>0</v>
      </c>
      <c r="O100" s="173" t="n">
        <f aca="false">+IF($B100=" ",0,IF(AND($B100&gt;=O$26,$B100&lt;O$28),O$33,0))</f>
        <v>5016515.625</v>
      </c>
      <c r="P100" s="169"/>
      <c r="Q100" s="174" t="n">
        <f aca="false">IF($B100=" ",0,IF($B100&lt;=DATE(2003,12,31),3.55,2.9))</f>
        <v>2.9</v>
      </c>
      <c r="R100" s="175" t="n">
        <f aca="false">IF($B100=" ",0,R$25)</f>
        <v>-0.07</v>
      </c>
      <c r="S100" s="176" t="n">
        <f aca="false">IF($B100=" ",0,S$25)</f>
        <v>0.1</v>
      </c>
      <c r="T100" s="170" t="n">
        <f aca="false">+SUM($Q100,$S100)/1000*(SUM($J100*$J$37,$K100*$K$37,$L100*$L$37,$M100*$M$37,$N100*$N$37,$O100*$O$37))</f>
        <v>14883.5779284771</v>
      </c>
      <c r="U100" s="170" t="n">
        <f aca="false">+SUM($Q100,$R100)/1000*(SUM(0))</f>
        <v>0</v>
      </c>
      <c r="V100" s="169"/>
      <c r="W100" s="177" t="n">
        <f aca="false">IF($B100=" ",0,1)*(IF($B100&gt;=W$25,1,0)*IF($B100&lt;=W$29,W$27,IF($B100&lt;=W$33,W$31,0))*($D100-$D99)*365/1000)</f>
        <v>486.66666666667</v>
      </c>
      <c r="X100" s="177" t="n">
        <f aca="false">IF($B100=" ",0,IF($B100&gt;=X$25,IF($B100&lt;=X$29,X$27,IF($B100&lt;=X$33,X$31,X$31*(1+X$38)^(IF(X$36&gt;$B100,-1,1)*(YEARFRAC($B100,X$36)))))*($D100-$D99)*365/1000,0))</f>
        <v>380.55568569954</v>
      </c>
      <c r="Y100" s="178" t="n">
        <f aca="false">IF($B100=" ",0,Y$25*(1+Y$30)^(IF(Y$28&gt;$B100,-1,1)*(YEARFRAC($B100,Y$28))))</f>
        <v>0.478347989381207</v>
      </c>
      <c r="Z100" s="178" t="n">
        <f aca="false">IF($B100=" ",0,Z$25*(1+Z$30)^(IF(Z$28&gt;$B100,-1,1)*(YEARFRAC($B100,Z$28))))</f>
        <v>0.456644835260837</v>
      </c>
      <c r="AA100" s="179" t="n">
        <f aca="false">+W100+X100+Z100*SUM($J100*$J$37,$L100*$L$37,$N100*$N$37)/1000</f>
        <v>867.22235236621</v>
      </c>
      <c r="AB100" s="180"/>
      <c r="AC100" s="177" t="n">
        <f aca="false">IF($B100=" ",0,1)*(IF($B100&gt;=AC$25,1,0)*IF($B100&lt;=AC$29,AC$27,IF($B100&lt;=AC$33,AC$31,0))*($D100-$D99)*365/1000)</f>
        <v>1591.66666666668</v>
      </c>
      <c r="AD100" s="177" t="n">
        <f aca="false">IF($B100=" ",0,IF($B100&gt;=AD$25,IF($B100&lt;=AD$29,AD$27,IF($B100&lt;=AD$33,AD$31,AD$31*(1+AD$38)^(IF(AD$36&gt;$B100,-1,1)*(YEARFRAC($B100,AD$36)))))*($D100-$D99)*365/1000,0))</f>
        <v>338.777769616133</v>
      </c>
      <c r="AE100" s="178" t="n">
        <f aca="false">IF($B100=" ",0,AE$25*(1+AE$30)^(IF(AE$28&gt;$B100,-1,1)*(YEARFRAC($B100,AE$28))))</f>
        <v>0.396308780100809</v>
      </c>
      <c r="AF100" s="178" t="n">
        <f aca="false">IF($B100=" ",0,AF$25*(1+AF$30)^(IF(AF$28&gt;$B100,-1,1)*(YEARFRAC($B100,AF$28))))</f>
        <v>0.142194691541502</v>
      </c>
      <c r="AG100" s="179" t="n">
        <f aca="false">+AC100+AD100+AF100*SUM($K100*$K$37,$M100*$M$37,$O100*$O$37)/1000</f>
        <v>2635.89969380738</v>
      </c>
      <c r="AH100" s="169"/>
      <c r="AI100" s="177" t="n">
        <f aca="false">IF($B100=" ",0,1)*IF($B100&gt;=AI$33,AI$25*($D100-$D99),0)</f>
        <v>485.186570908337</v>
      </c>
      <c r="AJ100" s="177" t="n">
        <f aca="false">IF($B100=" ",0,IF($B100&gt;=AJ$33,AJ$25*(1+AJ$30)^(IF(AJ$28&gt;$B100,-1,1)*(YEARFRAC($B100,AJ$28)))*($D100-$D99),0))</f>
        <v>491.966602630376</v>
      </c>
      <c r="AK100" s="178" t="n">
        <f aca="false">IF($B100=" ",0,AK$25*(1+AK$30)^(IF(AK$28&gt;$B100,-1,1)*(YEARFRAC($B100,AK$28))))</f>
        <v>0.0281165673571632</v>
      </c>
      <c r="AL100" s="178" t="n">
        <f aca="false">IF($B100=" ",0,AL$25*AL$28)</f>
        <v>0.0575</v>
      </c>
      <c r="AM100" s="179" t="n">
        <f aca="false">+AI100+AJ100+SUM(AK100:AL100)*SUM($J100*$J$37,$K100*$K$37,$L100*$L$37,$M100*$M$37,$N100*$N$37,$O100*$O$37)/1000</f>
        <v>1401.91345761506</v>
      </c>
      <c r="AN100" s="169"/>
      <c r="AO100" s="181" t="n">
        <f aca="false">IF($B100=" ",0,$AO$25)</f>
        <v>0.25</v>
      </c>
      <c r="AP100" s="178" t="n">
        <f aca="false">IF($B100=" ",0,AP$25*AP$28)</f>
        <v>0.03105</v>
      </c>
      <c r="AQ100" s="179" t="n">
        <f aca="false">SUM(AO100:AP100)*SUM(0)/1000</f>
        <v>0</v>
      </c>
      <c r="AR100" s="169"/>
      <c r="AS100" s="175" t="n">
        <f aca="false">IF($B100=" ",0,AS$25)</f>
        <v>1</v>
      </c>
      <c r="AT100" s="176" t="n">
        <f aca="false">IF($B100=" ",0,AT$25)</f>
        <v>1</v>
      </c>
      <c r="AU100" s="176" t="n">
        <f aca="false">IF($B100=" ",0,AU$25)</f>
        <v>2.3</v>
      </c>
      <c r="AV100" s="170" t="n">
        <f aca="false">+AS100*SUM(J100:K100)/1000</f>
        <v>0</v>
      </c>
      <c r="AW100" s="170" t="n">
        <f aca="false">+AT100*SUM(L100:M100)/1000</f>
        <v>0</v>
      </c>
      <c r="AX100" s="170" t="n">
        <f aca="false">+AU100*SUM(N100:O100)/1000</f>
        <v>11537.9859375</v>
      </c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169"/>
      <c r="BQ100" s="169"/>
      <c r="BR100" s="169"/>
      <c r="BS100" s="169"/>
      <c r="BT100" s="169"/>
      <c r="BU100" s="169"/>
      <c r="BV100" s="169"/>
      <c r="BW100" s="169"/>
      <c r="BX100" s="169"/>
      <c r="BY100" s="169"/>
      <c r="BZ100" s="169"/>
      <c r="CA100" s="169"/>
      <c r="CB100" s="169"/>
      <c r="CC100" s="169"/>
      <c r="CD100" s="169"/>
      <c r="CE100" s="169"/>
      <c r="CF100" s="169"/>
      <c r="CG100" s="169"/>
      <c r="CH100" s="169"/>
      <c r="CI100" s="169"/>
      <c r="CJ100" s="169"/>
      <c r="CK100" s="169"/>
      <c r="CL100" s="169"/>
      <c r="CM100" s="169"/>
      <c r="CN100" s="169"/>
      <c r="CO100" s="169"/>
      <c r="CP100" s="169"/>
      <c r="CQ100" s="169"/>
      <c r="CR100" s="169"/>
      <c r="CS100" s="169"/>
      <c r="CT100" s="169"/>
      <c r="CU100" s="169"/>
      <c r="CV100" s="169"/>
      <c r="CW100" s="169"/>
      <c r="CX100" s="169"/>
      <c r="CY100" s="169"/>
      <c r="CZ100" s="169"/>
      <c r="DA100" s="169"/>
      <c r="DB100" s="169"/>
      <c r="DC100" s="169"/>
      <c r="DD100" s="169"/>
      <c r="DE100" s="169"/>
      <c r="DF100" s="169"/>
      <c r="DG100" s="169"/>
      <c r="DH100" s="169"/>
      <c r="DI100" s="169"/>
      <c r="DJ100" s="169"/>
      <c r="DK100" s="169"/>
      <c r="DL100" s="169"/>
      <c r="DM100" s="169"/>
      <c r="DN100" s="169"/>
      <c r="DO100" s="169"/>
      <c r="DP100" s="169"/>
      <c r="DQ100" s="169"/>
      <c r="DR100" s="169"/>
      <c r="DS100" s="169"/>
      <c r="DT100" s="169"/>
      <c r="DU100" s="169"/>
      <c r="DV100" s="169"/>
      <c r="DW100" s="169"/>
      <c r="DX100" s="169"/>
      <c r="DY100" s="169"/>
      <c r="DZ100" s="169"/>
      <c r="EA100" s="169"/>
      <c r="EB100" s="169"/>
      <c r="EC100" s="169"/>
      <c r="ED100" s="169"/>
      <c r="EE100" s="169"/>
      <c r="EF100" s="169"/>
      <c r="EG100" s="169"/>
      <c r="EH100" s="169"/>
      <c r="EI100" s="169"/>
      <c r="EJ100" s="169"/>
      <c r="EK100" s="169"/>
      <c r="EL100" s="169"/>
      <c r="EM100" s="169"/>
      <c r="EN100" s="169"/>
      <c r="EO100" s="169"/>
      <c r="EP100" s="169"/>
      <c r="EQ100" s="169"/>
      <c r="ER100" s="169"/>
      <c r="ES100" s="169"/>
      <c r="ET100" s="169"/>
      <c r="EU100" s="169"/>
      <c r="EV100" s="169"/>
      <c r="EW100" s="169"/>
      <c r="EX100" s="169"/>
      <c r="EY100" s="169"/>
      <c r="EZ100" s="169"/>
      <c r="FA100" s="169"/>
      <c r="FB100" s="169"/>
      <c r="FC100" s="169"/>
      <c r="FD100" s="169"/>
      <c r="FE100" s="169"/>
      <c r="FF100" s="169"/>
      <c r="FG100" s="169"/>
      <c r="FH100" s="169"/>
      <c r="FI100" s="169"/>
      <c r="FJ100" s="169"/>
      <c r="FK100" s="169"/>
      <c r="FL100" s="169"/>
      <c r="FM100" s="169"/>
      <c r="FN100" s="169"/>
      <c r="FO100" s="169"/>
      <c r="FP100" s="169"/>
      <c r="FQ100" s="169"/>
      <c r="FR100" s="169"/>
      <c r="FS100" s="169"/>
      <c r="FT100" s="169"/>
      <c r="FU100" s="169"/>
      <c r="FV100" s="169"/>
      <c r="FW100" s="169"/>
      <c r="FX100" s="169"/>
      <c r="FY100" s="169"/>
      <c r="FZ100" s="169"/>
      <c r="GA100" s="169"/>
      <c r="GB100" s="169"/>
      <c r="GC100" s="169"/>
      <c r="GD100" s="169"/>
      <c r="GE100" s="169"/>
      <c r="GF100" s="169"/>
      <c r="GG100" s="169"/>
      <c r="GH100" s="169"/>
      <c r="GI100" s="169"/>
      <c r="GJ100" s="169"/>
      <c r="GK100" s="169"/>
      <c r="GL100" s="169"/>
      <c r="GM100" s="169"/>
      <c r="GN100" s="169"/>
      <c r="GO100" s="169"/>
      <c r="GP100" s="169"/>
      <c r="GQ100" s="169"/>
      <c r="GR100" s="169"/>
      <c r="GS100" s="169"/>
      <c r="GT100" s="169"/>
      <c r="GU100" s="169"/>
      <c r="GV100" s="169"/>
      <c r="GW100" s="169"/>
      <c r="GX100" s="169"/>
      <c r="GY100" s="169"/>
      <c r="GZ100" s="169"/>
      <c r="HA100" s="169"/>
      <c r="HB100" s="169"/>
      <c r="HC100" s="169"/>
      <c r="HD100" s="169"/>
      <c r="HE100" s="169"/>
      <c r="HF100" s="169"/>
      <c r="HG100" s="169"/>
      <c r="HH100" s="169"/>
      <c r="HI100" s="169"/>
      <c r="HJ100" s="169"/>
      <c r="HK100" s="169"/>
      <c r="HL100" s="169"/>
      <c r="HM100" s="169"/>
      <c r="HN100" s="169"/>
      <c r="HO100" s="169"/>
      <c r="HP100" s="169"/>
      <c r="HQ100" s="169"/>
      <c r="HR100" s="169"/>
      <c r="HS100" s="169"/>
      <c r="HT100" s="169"/>
      <c r="HU100" s="169"/>
      <c r="HV100" s="169"/>
      <c r="HW100" s="169"/>
      <c r="HX100" s="169"/>
      <c r="HY100" s="169"/>
      <c r="HZ100" s="169"/>
      <c r="IA100" s="169"/>
      <c r="IB100" s="169"/>
      <c r="IC100" s="169"/>
      <c r="ID100" s="169"/>
      <c r="IE100" s="169"/>
      <c r="IF100" s="169"/>
      <c r="IG100" s="169"/>
      <c r="IH100" s="169"/>
      <c r="II100" s="169"/>
      <c r="IJ100" s="169"/>
      <c r="IK100" s="169"/>
      <c r="IL100" s="169"/>
      <c r="IM100" s="169"/>
      <c r="IN100" s="169"/>
      <c r="IO100" s="169"/>
      <c r="IP100" s="169"/>
      <c r="IQ100" s="169"/>
      <c r="IR100" s="169"/>
      <c r="IS100" s="169"/>
      <c r="IT100" s="169"/>
      <c r="IU100" s="169"/>
      <c r="IV100" s="169"/>
      <c r="IW100" s="169"/>
    </row>
    <row r="101" customFormat="false" ht="12.75" hidden="true" customHeight="false" outlineLevel="1" collapsed="false">
      <c r="A101" s="164" t="n">
        <f aca="false">+IF(B101=" ",A100,B101)</f>
        <v>38353</v>
      </c>
      <c r="B101" s="148" t="n">
        <f aca="false">IF(B100=" "," ",IF(EDATE(B100,1)&gt;=EndDate," ",EDATE(B100,1)))</f>
        <v>38353</v>
      </c>
      <c r="C101" s="149" t="n">
        <f aca="false">IF($B101&lt;&gt;" ",C100+1,C100)</f>
        <v>51</v>
      </c>
      <c r="D101" s="150" t="n">
        <f aca="false">C101/12</f>
        <v>4.25</v>
      </c>
      <c r="F101" s="157" t="n">
        <f aca="false">+SUM($T101:$U101)</f>
        <v>14883.5779284771</v>
      </c>
      <c r="G101" s="152" t="n">
        <f aca="false">-SUM($AA101,$AG101,$AM101,$AQ101,$AV101:$AX101)</f>
        <v>-16445.6393875667</v>
      </c>
      <c r="H101" s="152" t="n">
        <f aca="false">+SUM(F101:G101)</f>
        <v>-1562.0614590896</v>
      </c>
      <c r="I101" s="124"/>
      <c r="J101" s="153" t="n">
        <f aca="false">+IF($B101=" ",0,IF(AND($B101&gt;=J$26,$B101&lt;J$28),J$33,0))</f>
        <v>0</v>
      </c>
      <c r="K101" s="153" t="n">
        <f aca="false">+IF($B101=" ",0,IF(AND($B101&gt;=K$26,$B101&lt;K$28),K$33,0))</f>
        <v>0</v>
      </c>
      <c r="L101" s="153" t="n">
        <f aca="false">+IF($B101=" ",0,IF(AND($B101&gt;=L$26,$B101&lt;L$28),L$33,0))</f>
        <v>0</v>
      </c>
      <c r="M101" s="153" t="n">
        <f aca="false">+IF($B101=" ",0,IF(AND($B101&gt;=M$26,$B101&lt;M$28),M$33,0))</f>
        <v>0</v>
      </c>
      <c r="N101" s="153" t="n">
        <f aca="false">+IF($B101=" ",0,IF(AND($B101&gt;=N$26,$B101&lt;N$28),N$33,0))</f>
        <v>0</v>
      </c>
      <c r="O101" s="154" t="n">
        <f aca="false">+IF($B101=" ",0,IF(AND($B101&gt;=O$26,$B101&lt;O$28),O$33,0))</f>
        <v>5016515.625</v>
      </c>
      <c r="Q101" s="83" t="n">
        <f aca="false">IF($B101=" ",0,IF($B101&lt;=DATE(2003,12,31),3.55,2.9))</f>
        <v>2.9</v>
      </c>
      <c r="R101" s="155" t="n">
        <f aca="false">IF($B101=" ",0,R$25)</f>
        <v>-0.07</v>
      </c>
      <c r="S101" s="156" t="n">
        <f aca="false">IF($B101=" ",0,S$25)</f>
        <v>0.1</v>
      </c>
      <c r="T101" s="157" t="n">
        <f aca="false">+SUM($Q101,$S101)/1000*(SUM($J101*$J$37,$K101*$K$37,$L101*$L$37,$M101*$M$37,$N101*$N$37,$O101*$O$37))</f>
        <v>14883.5779284771</v>
      </c>
      <c r="U101" s="157" t="n">
        <f aca="false">+SUM($Q101,$R101)/1000*(SUM(0))</f>
        <v>0</v>
      </c>
      <c r="W101" s="158" t="n">
        <f aca="false">IF($B101=" ",0,1)*(IF($B101&gt;=W$25,1,0)*IF($B101&lt;=W$29,W$27,IF($B101&lt;=W$33,W$31,0))*($D101-$D100)*365/1000)</f>
        <v>486.666666666665</v>
      </c>
      <c r="X101" s="158" t="n">
        <f aca="false">IF($B101=" ",0,IF($B101&gt;=X$25,IF($B101&lt;=X$29,X$27,IF($B101&lt;=X$33,X$31,X$31*(1+X$38)^(IF(X$36&gt;$B101,-1,1)*(YEARFRAC($B101,X$36)))))*($D101-$D100)*365/1000,0))</f>
        <v>381.080240208106</v>
      </c>
      <c r="Y101" s="159" t="n">
        <f aca="false">IF($B101=" ",0,Y$25*(1+Y$30)^(IF(Y$28&gt;$B101,-1,1)*(YEARFRAC($B101,Y$28))))</f>
        <v>0.479007339914978</v>
      </c>
      <c r="Z101" s="159" t="n">
        <f aca="false">IF($B101=" ",0,Z$25*(1+Z$30)^(IF(Z$28&gt;$B101,-1,1)*(YEARFRAC($B101,Z$28))))</f>
        <v>0.457274270363642</v>
      </c>
      <c r="AA101" s="162" t="n">
        <f aca="false">+W101+X101+Z101*SUM($J101*$J$37,$L101*$L$37,$N101*$N$37)/1000</f>
        <v>867.746906874771</v>
      </c>
      <c r="AB101" s="161"/>
      <c r="AC101" s="158" t="n">
        <f aca="false">IF($B101=" ",0,1)*(IF($B101&gt;=AC$25,1,0)*IF($B101&lt;=AC$29,AC$27,IF($B101&lt;=AC$33,AC$31,0))*($D101-$D100)*365/1000)</f>
        <v>1591.66666666666</v>
      </c>
      <c r="AD101" s="158" t="n">
        <f aca="false">IF($B101=" ",0,IF($B101&gt;=AD$25,IF($B101&lt;=AD$29,AD$27,IF($B101&lt;=AD$33,AD$31,AD$31*(1+AD$38)^(IF(AD$36&gt;$B101,-1,1)*(YEARFRAC($B101,AD$36)))))*($D101-$D100)*365/1000,0))</f>
        <v>339.244737823762</v>
      </c>
      <c r="AE101" s="159" t="n">
        <f aca="false">IF($B101=" ",0,AE$25*(1+AE$30)^(IF(AE$28&gt;$B101,-1,1)*(YEARFRAC($B101,AE$28))))</f>
        <v>0.396855048531948</v>
      </c>
      <c r="AF101" s="159" t="n">
        <f aca="false">IF($B101=" ",0,AF$25*(1+AF$30)^(IF(AF$28&gt;$B101,-1,1)*(YEARFRAC($B101,AF$28))))</f>
        <v>0.142390691415754</v>
      </c>
      <c r="AG101" s="162" t="n">
        <f aca="false">+AC101+AD101+AF101*SUM($K101*$K$37,$M101*$M$37,$O101*$O$37)/1000</f>
        <v>2637.33905514912</v>
      </c>
      <c r="AI101" s="158" t="n">
        <f aca="false">IF($B101=" ",0,1)*IF($B101&gt;=AI$33,AI$25*($D101-$D100),0)</f>
        <v>485.186570908332</v>
      </c>
      <c r="AJ101" s="158" t="n">
        <f aca="false">IF($B101=" ",0,IF($B101&gt;=AJ$33,AJ$25*(1+AJ$30)^(IF(AJ$28&gt;$B101,-1,1)*(YEARFRAC($B101,AJ$28)))*($D101-$D100),0))</f>
        <v>492.47615507841</v>
      </c>
      <c r="AK101" s="159" t="n">
        <f aca="false">IF($B101=" ",0,AK$25*(1+AK$30)^(IF(AK$28&gt;$B101,-1,1)*(YEARFRAC($B101,AK$28))))</f>
        <v>0.0281456889797503</v>
      </c>
      <c r="AL101" s="159" t="n">
        <f aca="false">IF($B101=" ",0,AL$25*AL$28)</f>
        <v>0.0575</v>
      </c>
      <c r="AM101" s="162" t="n">
        <f aca="false">+AI101+AJ101+SUM(AK101:AL101)*SUM($J101*$J$37,$K101*$K$37,$L101*$L$37,$M101*$M$37,$N101*$N$37,$O101*$O$37)/1000</f>
        <v>1402.56748804282</v>
      </c>
      <c r="AO101" s="163" t="n">
        <f aca="false">IF($B101=" ",0,$AO$25)</f>
        <v>0.25</v>
      </c>
      <c r="AP101" s="159" t="n">
        <f aca="false">IF($B101=" ",0,AP$25*AP$28)</f>
        <v>0.03105</v>
      </c>
      <c r="AQ101" s="162" t="n">
        <f aca="false">SUM(AO101:AP101)*SUM(0)/1000</f>
        <v>0</v>
      </c>
      <c r="AS101" s="155" t="n">
        <f aca="false">IF($B101=" ",0,AS$25)</f>
        <v>1</v>
      </c>
      <c r="AT101" s="156" t="n">
        <f aca="false">IF($B101=" ",0,AT$25)</f>
        <v>1</v>
      </c>
      <c r="AU101" s="156" t="n">
        <f aca="false">IF($B101=" ",0,AU$25)</f>
        <v>2.3</v>
      </c>
      <c r="AV101" s="157" t="n">
        <f aca="false">+AS101*SUM(J101:K101)/1000</f>
        <v>0</v>
      </c>
      <c r="AW101" s="157" t="n">
        <f aca="false">+AT101*SUM(L101:M101)/1000</f>
        <v>0</v>
      </c>
      <c r="AX101" s="157" t="n">
        <f aca="false">+AU101*SUM(N101:O101)/1000</f>
        <v>11537.9859375</v>
      </c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</row>
    <row r="102" customFormat="false" ht="12.75" hidden="true" customHeight="false" outlineLevel="1" collapsed="false">
      <c r="A102" s="164" t="n">
        <f aca="false">+IF(B102=" ",A101,B102)</f>
        <v>38384</v>
      </c>
      <c r="B102" s="148" t="n">
        <f aca="false">IF(B101=" "," ",IF(EDATE(B101,1)&gt;=EndDate," ",EDATE(B101,1)))</f>
        <v>38384</v>
      </c>
      <c r="C102" s="149" t="n">
        <f aca="false">IF($B102&lt;&gt;" ",C101+1,C101)</f>
        <v>52</v>
      </c>
      <c r="D102" s="150" t="n">
        <f aca="false">C102/12</f>
        <v>4.33333333333333</v>
      </c>
      <c r="F102" s="157" t="n">
        <f aca="false">+SUM($T102:$U102)</f>
        <v>14883.5779284771</v>
      </c>
      <c r="G102" s="152" t="n">
        <f aca="false">-SUM($AA102,$AG102,$AM102,$AQ102,$AV102:$AX102)</f>
        <v>-16448.260718298</v>
      </c>
      <c r="H102" s="152" t="n">
        <f aca="false">+SUM(F102:G102)</f>
        <v>-1564.68278982092</v>
      </c>
      <c r="I102" s="124"/>
      <c r="J102" s="153" t="n">
        <f aca="false">+IF($B102=" ",0,IF(AND($B102&gt;=J$26,$B102&lt;J$28),J$33,0))</f>
        <v>0</v>
      </c>
      <c r="K102" s="153" t="n">
        <f aca="false">+IF($B102=" ",0,IF(AND($B102&gt;=K$26,$B102&lt;K$28),K$33,0))</f>
        <v>0</v>
      </c>
      <c r="L102" s="153" t="n">
        <f aca="false">+IF($B102=" ",0,IF(AND($B102&gt;=L$26,$B102&lt;L$28),L$33,0))</f>
        <v>0</v>
      </c>
      <c r="M102" s="153" t="n">
        <f aca="false">+IF($B102=" ",0,IF(AND($B102&gt;=M$26,$B102&lt;M$28),M$33,0))</f>
        <v>0</v>
      </c>
      <c r="N102" s="153" t="n">
        <f aca="false">+IF($B102=" ",0,IF(AND($B102&gt;=N$26,$B102&lt;N$28),N$33,0))</f>
        <v>0</v>
      </c>
      <c r="O102" s="154" t="n">
        <f aca="false">+IF($B102=" ",0,IF(AND($B102&gt;=O$26,$B102&lt;O$28),O$33,0))</f>
        <v>5016515.625</v>
      </c>
      <c r="Q102" s="83" t="n">
        <f aca="false">IF($B102=" ",0,IF($B102&lt;=DATE(2003,12,31),3.55,2.9))</f>
        <v>2.9</v>
      </c>
      <c r="R102" s="155" t="n">
        <f aca="false">IF($B102=" ",0,R$25)</f>
        <v>-0.07</v>
      </c>
      <c r="S102" s="156" t="n">
        <f aca="false">IF($B102=" ",0,S$25)</f>
        <v>0.1</v>
      </c>
      <c r="T102" s="157" t="n">
        <f aca="false">+SUM($Q102,$S102)/1000*(SUM($J102*$J$37,$K102*$K$37,$L102*$L$37,$M102*$M$37,$N102*$N$37,$O102*$O$37))</f>
        <v>14883.5779284771</v>
      </c>
      <c r="U102" s="157" t="n">
        <f aca="false">+SUM($Q102,$R102)/1000*(SUM(0))</f>
        <v>0</v>
      </c>
      <c r="W102" s="158" t="n">
        <f aca="false">IF($B102=" ",0,1)*(IF($B102&gt;=W$25,1,0)*IF($B102&lt;=W$29,W$27,IF($B102&lt;=W$33,W$31,0))*($D102-$D101)*365/1000)</f>
        <v>486.666666666665</v>
      </c>
      <c r="X102" s="158" t="n">
        <f aca="false">IF($B102=" ",0,IF($B102&gt;=X$25,IF($B102&lt;=X$29,X$27,IF($B102&lt;=X$33,X$31,X$31*(1+X$38)^(IF(X$36&gt;$B102,-1,1)*(YEARFRAC($B102,X$36)))))*($D102-$D101)*365/1000,0))</f>
        <v>381.605517757858</v>
      </c>
      <c r="Y102" s="159" t="n">
        <f aca="false">IF($B102=" ",0,Y$25*(1+Y$30)^(IF(Y$28&gt;$B102,-1,1)*(YEARFRAC($B102,Y$28))))</f>
        <v>0.47966759929155</v>
      </c>
      <c r="Z102" s="159" t="n">
        <f aca="false">IF($B102=" ",0,Z$25*(1+Z$30)^(IF(Z$28&gt;$B102,-1,1)*(YEARFRAC($B102,Z$28))))</f>
        <v>0.45790457307409</v>
      </c>
      <c r="AA102" s="162" t="n">
        <f aca="false">+W102+X102+Z102*SUM($J102*$J$37,$L102*$L$37,$N102*$N$37)/1000</f>
        <v>868.272184424523</v>
      </c>
      <c r="AB102" s="161"/>
      <c r="AC102" s="158" t="n">
        <f aca="false">IF($B102=" ",0,1)*(IF($B102&gt;=AC$25,1,0)*IF($B102&lt;=AC$29,AC$27,IF($B102&lt;=AC$33,AC$31,0))*($D102-$D101)*365/1000)</f>
        <v>1591.66666666666</v>
      </c>
      <c r="AD102" s="158" t="n">
        <f aca="false">IF($B102=" ",0,IF($B102&gt;=AD$25,IF($B102&lt;=AD$29,AD$27,IF($B102&lt;=AD$33,AD$31,AD$31*(1+AD$38)^(IF(AD$36&gt;$B102,-1,1)*(YEARFRAC($B102,AD$36)))))*($D102-$D101)*365/1000,0))</f>
        <v>339.712349696141</v>
      </c>
      <c r="AE102" s="159" t="n">
        <f aca="false">IF($B102=" ",0,AE$25*(1+AE$30)^(IF(AE$28&gt;$B102,-1,1)*(YEARFRAC($B102,AE$28))))</f>
        <v>0.397402069934542</v>
      </c>
      <c r="AF102" s="159" t="n">
        <f aca="false">IF($B102=" ",0,AF$25*(1+AF$30)^(IF(AF$28&gt;$B102,-1,1)*(YEARFRAC($B102,AF$28))))</f>
        <v>0.142586961454456</v>
      </c>
      <c r="AG102" s="162" t="n">
        <f aca="false">+AC102+AD102+AF102*SUM($K102*$K$37,$M102*$M$37,$O102*$O$37)/1000</f>
        <v>2638.78040049352</v>
      </c>
      <c r="AI102" s="158" t="n">
        <f aca="false">IF($B102=" ",0,1)*IF($B102&gt;=AI$33,AI$25*($D102-$D101),0)</f>
        <v>485.186570908332</v>
      </c>
      <c r="AJ102" s="158" t="n">
        <f aca="false">IF($B102=" ",0,IF($B102&gt;=AJ$33,AJ$25*(1+AJ$30)^(IF(AJ$28&gt;$B102,-1,1)*(YEARFRAC($B102,AJ$28)))*($D102-$D101),0))</f>
        <v>492.986235293366</v>
      </c>
      <c r="AK102" s="159" t="n">
        <f aca="false">IF($B102=" ",0,AK$25*(1+AK$30)^(IF(AK$28&gt;$B102,-1,1)*(YEARFRAC($B102,AK$28))))</f>
        <v>0.0281748407649421</v>
      </c>
      <c r="AL102" s="159" t="n">
        <f aca="false">IF($B102=" ",0,AL$25*AL$28)</f>
        <v>0.0575</v>
      </c>
      <c r="AM102" s="162" t="n">
        <f aca="false">+AI102+AJ102+SUM(AK102:AL102)*SUM($J102*$J$37,$K102*$K$37,$L102*$L$37,$M102*$M$37,$N102*$N$37,$O102*$O$37)/1000</f>
        <v>1403.22219587999</v>
      </c>
      <c r="AO102" s="163" t="n">
        <f aca="false">IF($B102=" ",0,$AO$25)</f>
        <v>0.25</v>
      </c>
      <c r="AP102" s="159" t="n">
        <f aca="false">IF($B102=" ",0,AP$25*AP$28)</f>
        <v>0.03105</v>
      </c>
      <c r="AQ102" s="162" t="n">
        <f aca="false">SUM(AO102:AP102)*SUM(0)/1000</f>
        <v>0</v>
      </c>
      <c r="AS102" s="155" t="n">
        <f aca="false">IF($B102=" ",0,AS$25)</f>
        <v>1</v>
      </c>
      <c r="AT102" s="156" t="n">
        <f aca="false">IF($B102=" ",0,AT$25)</f>
        <v>1</v>
      </c>
      <c r="AU102" s="156" t="n">
        <f aca="false">IF($B102=" ",0,AU$25)</f>
        <v>2.3</v>
      </c>
      <c r="AV102" s="157" t="n">
        <f aca="false">+AS102*SUM(J102:K102)/1000</f>
        <v>0</v>
      </c>
      <c r="AW102" s="157" t="n">
        <f aca="false">+AT102*SUM(L102:M102)/1000</f>
        <v>0</v>
      </c>
      <c r="AX102" s="157" t="n">
        <f aca="false">+AU102*SUM(N102:O102)/1000</f>
        <v>11537.9859375</v>
      </c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</row>
    <row r="103" customFormat="false" ht="12.75" hidden="true" customHeight="false" outlineLevel="1" collapsed="false">
      <c r="A103" s="164" t="n">
        <f aca="false">+IF(B103=" ",A102,B103)</f>
        <v>38412</v>
      </c>
      <c r="B103" s="148" t="n">
        <f aca="false">IF(B102=" "," ",IF(EDATE(B102,1)&gt;=EndDate," ",EDATE(B102,1)))</f>
        <v>38412</v>
      </c>
      <c r="C103" s="149" t="n">
        <f aca="false">IF($B103&lt;&gt;" ",C102+1,C102)</f>
        <v>53</v>
      </c>
      <c r="D103" s="150" t="n">
        <f aca="false">C103/12</f>
        <v>4.41666666666667</v>
      </c>
      <c r="F103" s="157" t="n">
        <f aca="false">+SUM($T103:$U103)</f>
        <v>14883.5779284771</v>
      </c>
      <c r="G103" s="152" t="n">
        <f aca="false">-SUM($AA103,$AG103,$AM103,$AQ103,$AV103:$AX103)</f>
        <v>-16450.8854379156</v>
      </c>
      <c r="H103" s="152" t="n">
        <f aca="false">+SUM(F103:G103)</f>
        <v>-1567.3075094385</v>
      </c>
      <c r="I103" s="124"/>
      <c r="J103" s="153" t="n">
        <f aca="false">+IF($B103=" ",0,IF(AND($B103&gt;=J$26,$B103&lt;J$28),J$33,0))</f>
        <v>0</v>
      </c>
      <c r="K103" s="153" t="n">
        <f aca="false">+IF($B103=" ",0,IF(AND($B103&gt;=K$26,$B103&lt;K$28),K$33,0))</f>
        <v>0</v>
      </c>
      <c r="L103" s="153" t="n">
        <f aca="false">+IF($B103=" ",0,IF(AND($B103&gt;=L$26,$B103&lt;L$28),L$33,0))</f>
        <v>0</v>
      </c>
      <c r="M103" s="153" t="n">
        <f aca="false">+IF($B103=" ",0,IF(AND($B103&gt;=M$26,$B103&lt;M$28),M$33,0))</f>
        <v>0</v>
      </c>
      <c r="N103" s="153" t="n">
        <f aca="false">+IF($B103=" ",0,IF(AND($B103&gt;=N$26,$B103&lt;N$28),N$33,0))</f>
        <v>0</v>
      </c>
      <c r="O103" s="154" t="n">
        <f aca="false">+IF($B103=" ",0,IF(AND($B103&gt;=O$26,$B103&lt;O$28),O$33,0))</f>
        <v>5016515.625</v>
      </c>
      <c r="Q103" s="83" t="n">
        <f aca="false">IF($B103=" ",0,IF($B103&lt;=DATE(2003,12,31),3.55,2.9))</f>
        <v>2.9</v>
      </c>
      <c r="R103" s="155" t="n">
        <f aca="false">IF($B103=" ",0,R$25)</f>
        <v>-0.07</v>
      </c>
      <c r="S103" s="156" t="n">
        <f aca="false">IF($B103=" ",0,S$25)</f>
        <v>0.1</v>
      </c>
      <c r="T103" s="157" t="n">
        <f aca="false">+SUM($Q103,$S103)/1000*(SUM($J103*$J$37,$K103*$K$37,$L103*$L$37,$M103*$M$37,$N103*$N$37,$O103*$O$37))</f>
        <v>14883.5779284771</v>
      </c>
      <c r="U103" s="157" t="n">
        <f aca="false">+SUM($Q103,$R103)/1000*(SUM(0))</f>
        <v>0</v>
      </c>
      <c r="W103" s="158" t="n">
        <f aca="false">IF($B103=" ",0,1)*(IF($B103&gt;=W$25,1,0)*IF($B103&lt;=W$29,W$27,IF($B103&lt;=W$33,W$31,0))*($D103-$D102)*365/1000)</f>
        <v>486.66666666667</v>
      </c>
      <c r="X103" s="158" t="n">
        <f aca="false">IF($B103=" ",0,IF($B103&gt;=X$25,IF($B103&lt;=X$29,X$27,IF($B103&lt;=X$33,X$31,X$31*(1+X$38)^(IF(X$36&gt;$B103,-1,1)*(YEARFRAC($B103,X$36)))))*($D103-$D102)*365/1000,0))</f>
        <v>382.131519345428</v>
      </c>
      <c r="Y103" s="159" t="n">
        <f aca="false">IF($B103=" ",0,Y$25*(1+Y$30)^(IF(Y$28&gt;$B103,-1,1)*(YEARFRAC($B103,Y$28))))</f>
        <v>0.480328768763663</v>
      </c>
      <c r="Z103" s="159" t="n">
        <f aca="false">IF($B103=" ",0,Z$25*(1+Z$30)^(IF(Z$28&gt;$B103,-1,1)*(YEARFRAC($B103,Z$28))))</f>
        <v>0.458535744588081</v>
      </c>
      <c r="AA103" s="162" t="n">
        <f aca="false">+W103+X103+Z103*SUM($J103*$J$37,$L103*$L$37,$N103*$N$37)/1000</f>
        <v>868.798186012098</v>
      </c>
      <c r="AB103" s="161"/>
      <c r="AC103" s="158" t="n">
        <f aca="false">IF($B103=" ",0,1)*(IF($B103&gt;=AC$25,1,0)*IF($B103&lt;=AC$29,AC$27,IF($B103&lt;=AC$33,AC$31,0))*($D103-$D102)*365/1000)</f>
        <v>1591.66666666668</v>
      </c>
      <c r="AD103" s="158" t="n">
        <f aca="false">IF($B103=" ",0,IF($B103&gt;=AD$25,IF($B103&lt;=AD$29,AD$27,IF($B103&lt;=AD$33,AD$31,AD$31*(1+AD$38)^(IF(AD$36&gt;$B103,-1,1)*(YEARFRAC($B103,AD$36)))))*($D103-$D102)*365/1000,0))</f>
        <v>340.18060612049</v>
      </c>
      <c r="AE103" s="159" t="n">
        <f aca="false">IF($B103=" ",0,AE$25*(1+AE$30)^(IF(AE$28&gt;$B103,-1,1)*(YEARFRAC($B103,AE$28))))</f>
        <v>0.39794984534648</v>
      </c>
      <c r="AF103" s="159" t="n">
        <f aca="false">IF($B103=" ",0,AF$25*(1+AF$30)^(IF(AF$28&gt;$B103,-1,1)*(YEARFRAC($B103,AF$28))))</f>
        <v>0.142783502030001</v>
      </c>
      <c r="AG103" s="162" t="n">
        <f aca="false">+AC103+AD103+AF103*SUM($K103*$K$37,$M103*$M$37,$O103*$O$37)/1000</f>
        <v>2640.2237325753</v>
      </c>
      <c r="AI103" s="158" t="n">
        <f aca="false">IF($B103=" ",0,1)*IF($B103&gt;=AI$33,AI$25*($D103-$D102),0)</f>
        <v>485.186570908337</v>
      </c>
      <c r="AJ103" s="158" t="n">
        <f aca="false">IF($B103=" ",0,IF($B103&gt;=AJ$33,AJ$25*(1+AJ$30)^(IF(AJ$28&gt;$B103,-1,1)*(YEARFRAC($B103,AJ$28)))*($D103-$D102),0))</f>
        <v>493.496843821878</v>
      </c>
      <c r="AK103" s="159" t="n">
        <f aca="false">IF($B103=" ",0,AK$25*(1+AK$30)^(IF(AK$28&gt;$B103,-1,1)*(YEARFRAC($B103,AK$28))))</f>
        <v>0.0282040227439791</v>
      </c>
      <c r="AL103" s="159" t="n">
        <f aca="false">IF($B103=" ",0,AL$25*AL$28)</f>
        <v>0.0575</v>
      </c>
      <c r="AM103" s="162" t="n">
        <f aca="false">+AI103+AJ103+SUM(AK103:AL103)*SUM($J103*$J$37,$K103*$K$37,$L103*$L$37,$M103*$M$37,$N103*$N$37,$O103*$O$37)/1000</f>
        <v>1403.87758182821</v>
      </c>
      <c r="AO103" s="163" t="n">
        <f aca="false">IF($B103=" ",0,$AO$25)</f>
        <v>0.25</v>
      </c>
      <c r="AP103" s="159" t="n">
        <f aca="false">IF($B103=" ",0,AP$25*AP$28)</f>
        <v>0.03105</v>
      </c>
      <c r="AQ103" s="162" t="n">
        <f aca="false">SUM(AO103:AP103)*SUM(0)/1000</f>
        <v>0</v>
      </c>
      <c r="AS103" s="155" t="n">
        <f aca="false">IF($B103=" ",0,AS$25)</f>
        <v>1</v>
      </c>
      <c r="AT103" s="156" t="n">
        <f aca="false">IF($B103=" ",0,AT$25)</f>
        <v>1</v>
      </c>
      <c r="AU103" s="156" t="n">
        <f aca="false">IF($B103=" ",0,AU$25)</f>
        <v>2.3</v>
      </c>
      <c r="AV103" s="157" t="n">
        <f aca="false">+AS103*SUM(J103:K103)/1000</f>
        <v>0</v>
      </c>
      <c r="AW103" s="157" t="n">
        <f aca="false">+AT103*SUM(L103:M103)/1000</f>
        <v>0</v>
      </c>
      <c r="AX103" s="157" t="n">
        <f aca="false">+AU103*SUM(N103:O103)/1000</f>
        <v>11537.9859375</v>
      </c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</row>
    <row r="104" customFormat="false" ht="12.75" hidden="true" customHeight="false" outlineLevel="1" collapsed="false">
      <c r="A104" s="164" t="n">
        <f aca="false">+IF(B104=" ",A103,B104)</f>
        <v>38443</v>
      </c>
      <c r="B104" s="148" t="n">
        <f aca="false">IF(B103=" "," ",IF(EDATE(B103,1)&gt;=EndDate," ",EDATE(B103,1)))</f>
        <v>38443</v>
      </c>
      <c r="C104" s="149" t="n">
        <f aca="false">IF($B104&lt;&gt;" ",C103+1,C103)</f>
        <v>54</v>
      </c>
      <c r="D104" s="150" t="n">
        <f aca="false">C104/12</f>
        <v>4.5</v>
      </c>
      <c r="F104" s="157" t="n">
        <f aca="false">+SUM($T104:$U104)</f>
        <v>14883.5779284771</v>
      </c>
      <c r="G104" s="152" t="n">
        <f aca="false">-SUM($AA104,$AG104,$AM104,$AQ104,$AV104:$AX104)</f>
        <v>-16453.5135508582</v>
      </c>
      <c r="H104" s="152" t="n">
        <f aca="false">+SUM(F104:G104)</f>
        <v>-1569.93562238105</v>
      </c>
      <c r="I104" s="124"/>
      <c r="J104" s="153" t="n">
        <f aca="false">+IF($B104=" ",0,IF(AND($B104&gt;=J$26,$B104&lt;J$28),J$33,0))</f>
        <v>0</v>
      </c>
      <c r="K104" s="153" t="n">
        <f aca="false">+IF($B104=" ",0,IF(AND($B104&gt;=K$26,$B104&lt;K$28),K$33,0))</f>
        <v>0</v>
      </c>
      <c r="L104" s="153" t="n">
        <f aca="false">+IF($B104=" ",0,IF(AND($B104&gt;=L$26,$B104&lt;L$28),L$33,0))</f>
        <v>0</v>
      </c>
      <c r="M104" s="153" t="n">
        <f aca="false">+IF($B104=" ",0,IF(AND($B104&gt;=M$26,$B104&lt;M$28),M$33,0))</f>
        <v>0</v>
      </c>
      <c r="N104" s="153" t="n">
        <f aca="false">+IF($B104=" ",0,IF(AND($B104&gt;=N$26,$B104&lt;N$28),N$33,0))</f>
        <v>0</v>
      </c>
      <c r="O104" s="154" t="n">
        <f aca="false">+IF($B104=" ",0,IF(AND($B104&gt;=O$26,$B104&lt;O$28),O$33,0))</f>
        <v>5016515.625</v>
      </c>
      <c r="Q104" s="83" t="n">
        <f aca="false">IF($B104=" ",0,IF($B104&lt;=DATE(2003,12,31),3.55,2.9))</f>
        <v>2.9</v>
      </c>
      <c r="R104" s="155" t="n">
        <f aca="false">IF($B104=" ",0,R$25)</f>
        <v>-0.07</v>
      </c>
      <c r="S104" s="156" t="n">
        <f aca="false">IF($B104=" ",0,S$25)</f>
        <v>0.1</v>
      </c>
      <c r="T104" s="157" t="n">
        <f aca="false">+SUM($Q104,$S104)/1000*(SUM($J104*$J$37,$K104*$K$37,$L104*$L$37,$M104*$M$37,$N104*$N$37,$O104*$O$37))</f>
        <v>14883.5779284771</v>
      </c>
      <c r="U104" s="157" t="n">
        <f aca="false">+SUM($Q104,$R104)/1000*(SUM(0))</f>
        <v>0</v>
      </c>
      <c r="W104" s="158" t="n">
        <f aca="false">IF($B104=" ",0,1)*(IF($B104&gt;=W$25,1,0)*IF($B104&lt;=W$29,W$27,IF($B104&lt;=W$33,W$31,0))*($D104-$D103)*365/1000)</f>
        <v>486.666666666665</v>
      </c>
      <c r="X104" s="158" t="n">
        <f aca="false">IF($B104=" ",0,IF($B104&gt;=X$25,IF($B104&lt;=X$29,X$27,IF($B104&lt;=X$33,X$31,X$31*(1+X$38)^(IF(X$36&gt;$B104,-1,1)*(YEARFRAC($B104,X$36)))))*($D104-$D103)*365/1000,0))</f>
        <v>382.658245968812</v>
      </c>
      <c r="Y104" s="159" t="n">
        <f aca="false">IF($B104=" ",0,Y$25*(1+Y$30)^(IF(Y$28&gt;$B104,-1,1)*(YEARFRAC($B104,Y$28))))</f>
        <v>0.480990849585785</v>
      </c>
      <c r="Z104" s="159" t="n">
        <f aca="false">IF($B104=" ",0,Z$25*(1+Z$30)^(IF(Z$28&gt;$B104,-1,1)*(YEARFRAC($B104,Z$28))))</f>
        <v>0.459167786103168</v>
      </c>
      <c r="AA104" s="162" t="n">
        <f aca="false">+W104+X104+Z104*SUM($J104*$J$37,$L104*$L$37,$N104*$N$37)/1000</f>
        <v>869.324912635477</v>
      </c>
      <c r="AB104" s="161"/>
      <c r="AC104" s="158" t="n">
        <f aca="false">IF($B104=" ",0,1)*(IF($B104&gt;=AC$25,1,0)*IF($B104&lt;=AC$29,AC$27,IF($B104&lt;=AC$33,AC$31,0))*($D104-$D103)*365/1000)</f>
        <v>1591.66666666666</v>
      </c>
      <c r="AD104" s="158" t="n">
        <f aca="false">IF($B104=" ",0,IF($B104&gt;=AD$25,IF($B104&lt;=AD$29,AD$27,IF($B104&lt;=AD$33,AD$31,AD$31*(1+AD$38)^(IF(AD$36&gt;$B104,-1,1)*(YEARFRAC($B104,AD$36)))))*($D104-$D103)*365/1000,0))</f>
        <v>340.649507985245</v>
      </c>
      <c r="AE104" s="159" t="n">
        <f aca="false">IF($B104=" ",0,AE$25*(1+AE$30)^(IF(AE$28&gt;$B104,-1,1)*(YEARFRAC($B104,AE$28))))</f>
        <v>0.398498375807082</v>
      </c>
      <c r="AF104" s="159" t="n">
        <f aca="false">IF($B104=" ",0,AF$25*(1+AF$30)^(IF(AF$28&gt;$B104,-1,1)*(YEARFRAC($B104,AF$28))))</f>
        <v>0.142980313515294</v>
      </c>
      <c r="AG104" s="162" t="n">
        <f aca="false">+AC104+AD104+AF104*SUM($K104*$K$37,$M104*$M$37,$O104*$O$37)/1000</f>
        <v>2641.6690541329</v>
      </c>
      <c r="AI104" s="158" t="n">
        <f aca="false">IF($B104=" ",0,1)*IF($B104&gt;=AI$33,AI$25*($D104-$D103),0)</f>
        <v>485.186570908332</v>
      </c>
      <c r="AJ104" s="158" t="n">
        <f aca="false">IF($B104=" ",0,IF($B104&gt;=AJ$33,AJ$25*(1+AJ$30)^(IF(AJ$28&gt;$B104,-1,1)*(YEARFRAC($B104,AJ$28)))*($D104-$D103),0))</f>
        <v>494.007981211127</v>
      </c>
      <c r="AK104" s="159" t="n">
        <f aca="false">IF($B104=" ",0,AK$25*(1+AK$30)^(IF(AK$28&gt;$B104,-1,1)*(YEARFRAC($B104,AK$28))))</f>
        <v>0.0282332349481346</v>
      </c>
      <c r="AL104" s="159" t="n">
        <f aca="false">IF($B104=" ",0,AL$25*AL$28)</f>
        <v>0.0575</v>
      </c>
      <c r="AM104" s="162" t="n">
        <f aca="false">+AI104+AJ104+SUM(AK104:AL104)*SUM($J104*$J$37,$K104*$K$37,$L104*$L$37,$M104*$M$37,$N104*$N$37,$O104*$O$37)/1000</f>
        <v>1404.53364658979</v>
      </c>
      <c r="AO104" s="163" t="n">
        <f aca="false">IF($B104=" ",0,$AO$25)</f>
        <v>0.25</v>
      </c>
      <c r="AP104" s="159" t="n">
        <f aca="false">IF($B104=" ",0,AP$25*AP$28)</f>
        <v>0.03105</v>
      </c>
      <c r="AQ104" s="162" t="n">
        <f aca="false">SUM(AO104:AP104)*SUM(0)/1000</f>
        <v>0</v>
      </c>
      <c r="AS104" s="155" t="n">
        <f aca="false">IF($B104=" ",0,AS$25)</f>
        <v>1</v>
      </c>
      <c r="AT104" s="156" t="n">
        <f aca="false">IF($B104=" ",0,AT$25)</f>
        <v>1</v>
      </c>
      <c r="AU104" s="156" t="n">
        <f aca="false">IF($B104=" ",0,AU$25)</f>
        <v>2.3</v>
      </c>
      <c r="AV104" s="157" t="n">
        <f aca="false">+AS104*SUM(J104:K104)/1000</f>
        <v>0</v>
      </c>
      <c r="AW104" s="157" t="n">
        <f aca="false">+AT104*SUM(L104:M104)/1000</f>
        <v>0</v>
      </c>
      <c r="AX104" s="157" t="n">
        <f aca="false">+AU104*SUM(N104:O104)/1000</f>
        <v>11537.9859375</v>
      </c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</row>
    <row r="105" customFormat="false" ht="12.75" hidden="true" customHeight="false" outlineLevel="1" collapsed="false">
      <c r="A105" s="164" t="n">
        <f aca="false">+IF(B105=" ",A104,B105)</f>
        <v>38473</v>
      </c>
      <c r="B105" s="148" t="n">
        <f aca="false">IF(B104=" "," ",IF(EDATE(B104,1)&gt;=EndDate," ",EDATE(B104,1)))</f>
        <v>38473</v>
      </c>
      <c r="C105" s="149" t="n">
        <f aca="false">IF($B105&lt;&gt;" ",C104+1,C104)</f>
        <v>55</v>
      </c>
      <c r="D105" s="150" t="n">
        <f aca="false">C105/12</f>
        <v>4.58333333333333</v>
      </c>
      <c r="F105" s="157" t="n">
        <f aca="false">+SUM($T105:$U105)</f>
        <v>14883.5779284771</v>
      </c>
      <c r="G105" s="152" t="n">
        <f aca="false">-SUM($AA105,$AG105,$AM105,$AQ105,$AV105:$AX105)</f>
        <v>-16456.1450615706</v>
      </c>
      <c r="H105" s="152" t="n">
        <f aca="false">+SUM(F105:G105)</f>
        <v>-1572.56713309345</v>
      </c>
      <c r="I105" s="124"/>
      <c r="J105" s="153" t="n">
        <f aca="false">+IF($B105=" ",0,IF(AND($B105&gt;=J$26,$B105&lt;J$28),J$33,0))</f>
        <v>0</v>
      </c>
      <c r="K105" s="153" t="n">
        <f aca="false">+IF($B105=" ",0,IF(AND($B105&gt;=K$26,$B105&lt;K$28),K$33,0))</f>
        <v>0</v>
      </c>
      <c r="L105" s="153" t="n">
        <f aca="false">+IF($B105=" ",0,IF(AND($B105&gt;=L$26,$B105&lt;L$28),L$33,0))</f>
        <v>0</v>
      </c>
      <c r="M105" s="153" t="n">
        <f aca="false">+IF($B105=" ",0,IF(AND($B105&gt;=M$26,$B105&lt;M$28),M$33,0))</f>
        <v>0</v>
      </c>
      <c r="N105" s="153" t="n">
        <f aca="false">+IF($B105=" ",0,IF(AND($B105&gt;=N$26,$B105&lt;N$28),N$33,0))</f>
        <v>0</v>
      </c>
      <c r="O105" s="154" t="n">
        <f aca="false">+IF($B105=" ",0,IF(AND($B105&gt;=O$26,$B105&lt;O$28),O$33,0))</f>
        <v>5016515.625</v>
      </c>
      <c r="Q105" s="83" t="n">
        <f aca="false">IF($B105=" ",0,IF($B105&lt;=DATE(2003,12,31),3.55,2.9))</f>
        <v>2.9</v>
      </c>
      <c r="R105" s="155" t="n">
        <f aca="false">IF($B105=" ",0,R$25)</f>
        <v>-0.07</v>
      </c>
      <c r="S105" s="156" t="n">
        <f aca="false">IF($B105=" ",0,S$25)</f>
        <v>0.1</v>
      </c>
      <c r="T105" s="157" t="n">
        <f aca="false">+SUM($Q105,$S105)/1000*(SUM($J105*$J$37,$K105*$K$37,$L105*$L$37,$M105*$M$37,$N105*$N$37,$O105*$O$37))</f>
        <v>14883.5779284771</v>
      </c>
      <c r="U105" s="157" t="n">
        <f aca="false">+SUM($Q105,$R105)/1000*(SUM(0))</f>
        <v>0</v>
      </c>
      <c r="W105" s="158" t="n">
        <f aca="false">IF($B105=" ",0,1)*(IF($B105&gt;=W$25,1,0)*IF($B105&lt;=W$29,W$27,IF($B105&lt;=W$33,W$31,0))*($D105-$D104)*365/1000)</f>
        <v>486.666666666665</v>
      </c>
      <c r="X105" s="158" t="n">
        <f aca="false">IF($B105=" ",0,IF($B105&gt;=X$25,IF($B105&lt;=X$29,X$27,IF($B105&lt;=X$33,X$31,X$31*(1+X$38)^(IF(X$36&gt;$B105,-1,1)*(YEARFRAC($B105,X$36)))))*($D105-$D104)*365/1000,0))</f>
        <v>383.185698627404</v>
      </c>
      <c r="Y105" s="159" t="n">
        <f aca="false">IF($B105=" ",0,Y$25*(1+Y$30)^(IF(Y$28&gt;$B105,-1,1)*(YEARFRAC($B105,Y$28))))</f>
        <v>0.481653843014113</v>
      </c>
      <c r="Z105" s="159" t="n">
        <f aca="false">IF($B105=" ",0,Z$25*(1+Z$30)^(IF(Z$28&gt;$B105,-1,1)*(YEARFRAC($B105,Z$28))))</f>
        <v>0.459800698818552</v>
      </c>
      <c r="AA105" s="162" t="n">
        <f aca="false">+W105+X105+Z105*SUM($J105*$J$37,$L105*$L$37,$N105*$N$37)/1000</f>
        <v>869.852365294069</v>
      </c>
      <c r="AB105" s="161"/>
      <c r="AC105" s="158" t="n">
        <f aca="false">IF($B105=" ",0,1)*(IF($B105&gt;=AC$25,1,0)*IF($B105&lt;=AC$29,AC$27,IF($B105&lt;=AC$33,AC$31,0))*($D105-$D104)*365/1000)</f>
        <v>1591.66666666666</v>
      </c>
      <c r="AD105" s="158" t="n">
        <f aca="false">IF($B105=" ",0,IF($B105&gt;=AD$25,IF($B105&lt;=AD$29,AD$27,IF($B105&lt;=AD$33,AD$31,AD$31*(1+AD$38)^(IF(AD$36&gt;$B105,-1,1)*(YEARFRAC($B105,AD$36)))))*($D105-$D104)*365/1000,0))</f>
        <v>341.119056180084</v>
      </c>
      <c r="AE105" s="159" t="n">
        <f aca="false">IF($B105=" ",0,AE$25*(1+AE$30)^(IF(AE$28&gt;$B105,-1,1)*(YEARFRAC($B105,AE$28))))</f>
        <v>0.3990476623571</v>
      </c>
      <c r="AF105" s="159" t="n">
        <f aca="false">IF($B105=" ",0,AF$25*(1+AF$30)^(IF(AF$28&gt;$B105,-1,1)*(YEARFRAC($B105,AF$28))))</f>
        <v>0.143177396283755</v>
      </c>
      <c r="AG105" s="162" t="n">
        <f aca="false">+AC105+AD105+AF105*SUM($K105*$K$37,$M105*$M$37,$O105*$O$37)/1000</f>
        <v>2643.11636790865</v>
      </c>
      <c r="AI105" s="158" t="n">
        <f aca="false">IF($B105=" ",0,1)*IF($B105&gt;=AI$33,AI$25*($D105-$D104),0)</f>
        <v>485.186570908332</v>
      </c>
      <c r="AJ105" s="158" t="n">
        <f aca="false">IF($B105=" ",0,IF($B105&gt;=AJ$33,AJ$25*(1+AJ$30)^(IF(AJ$28&gt;$B105,-1,1)*(YEARFRAC($B105,AJ$28)))*($D105-$D104),0))</f>
        <v>494.519648008896</v>
      </c>
      <c r="AK105" s="159" t="n">
        <f aca="false">IF($B105=" ",0,AK$25*(1+AK$30)^(IF(AK$28&gt;$B105,-1,1)*(YEARFRAC($B105,AK$28))))</f>
        <v>0.0282624774087142</v>
      </c>
      <c r="AL105" s="159" t="n">
        <f aca="false">IF($B105=" ",0,AL$25*AL$28)</f>
        <v>0.0575</v>
      </c>
      <c r="AM105" s="162" t="n">
        <f aca="false">+AI105+AJ105+SUM(AK105:AL105)*SUM($J105*$J$37,$K105*$K$37,$L105*$L$37,$M105*$M$37,$N105*$N$37,$O105*$O$37)/1000</f>
        <v>1405.19039086785</v>
      </c>
      <c r="AO105" s="163" t="n">
        <f aca="false">IF($B105=" ",0,$AO$25)</f>
        <v>0.25</v>
      </c>
      <c r="AP105" s="159" t="n">
        <f aca="false">IF($B105=" ",0,AP$25*AP$28)</f>
        <v>0.03105</v>
      </c>
      <c r="AQ105" s="162" t="n">
        <f aca="false">SUM(AO105:AP105)*SUM(0)/1000</f>
        <v>0</v>
      </c>
      <c r="AS105" s="155" t="n">
        <f aca="false">IF($B105=" ",0,AS$25)</f>
        <v>1</v>
      </c>
      <c r="AT105" s="156" t="n">
        <f aca="false">IF($B105=" ",0,AT$25)</f>
        <v>1</v>
      </c>
      <c r="AU105" s="156" t="n">
        <f aca="false">IF($B105=" ",0,AU$25)</f>
        <v>2.3</v>
      </c>
      <c r="AV105" s="157" t="n">
        <f aca="false">+AS105*SUM(J105:K105)/1000</f>
        <v>0</v>
      </c>
      <c r="AW105" s="157" t="n">
        <f aca="false">+AT105*SUM(L105:M105)/1000</f>
        <v>0</v>
      </c>
      <c r="AX105" s="157" t="n">
        <f aca="false">+AU105*SUM(N105:O105)/1000</f>
        <v>11537.9859375</v>
      </c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</row>
    <row r="106" customFormat="false" ht="12.75" hidden="true" customHeight="false" outlineLevel="1" collapsed="false">
      <c r="A106" s="164" t="n">
        <f aca="false">+IF(B106=" ",A105,B106)</f>
        <v>38504</v>
      </c>
      <c r="B106" s="148" t="n">
        <f aca="false">IF(B105=" "," ",IF(EDATE(B105,1)&gt;=EndDate," ",EDATE(B105,1)))</f>
        <v>38504</v>
      </c>
      <c r="C106" s="149" t="n">
        <f aca="false">IF($B106&lt;&gt;" ",C105+1,C105)</f>
        <v>56</v>
      </c>
      <c r="D106" s="150" t="n">
        <f aca="false">C106/12</f>
        <v>4.66666666666667</v>
      </c>
      <c r="F106" s="157" t="n">
        <f aca="false">+SUM($T106:$U106)</f>
        <v>14883.5779284771</v>
      </c>
      <c r="G106" s="152" t="n">
        <f aca="false">-SUM($AA106,$AG106,$AM106,$AQ106,$AV106:$AX106)</f>
        <v>-16458.7799745034</v>
      </c>
      <c r="H106" s="152" t="n">
        <f aca="false">+SUM(F106:G106)</f>
        <v>-1575.20204602632</v>
      </c>
      <c r="I106" s="124"/>
      <c r="J106" s="153" t="n">
        <f aca="false">+IF($B106=" ",0,IF(AND($B106&gt;=J$26,$B106&lt;J$28),J$33,0))</f>
        <v>0</v>
      </c>
      <c r="K106" s="153" t="n">
        <f aca="false">+IF($B106=" ",0,IF(AND($B106&gt;=K$26,$B106&lt;K$28),K$33,0))</f>
        <v>0</v>
      </c>
      <c r="L106" s="153" t="n">
        <f aca="false">+IF($B106=" ",0,IF(AND($B106&gt;=L$26,$B106&lt;L$28),L$33,0))</f>
        <v>0</v>
      </c>
      <c r="M106" s="153" t="n">
        <f aca="false">+IF($B106=" ",0,IF(AND($B106&gt;=M$26,$B106&lt;M$28),M$33,0))</f>
        <v>0</v>
      </c>
      <c r="N106" s="153" t="n">
        <f aca="false">+IF($B106=" ",0,IF(AND($B106&gt;=N$26,$B106&lt;N$28),N$33,0))</f>
        <v>0</v>
      </c>
      <c r="O106" s="154" t="n">
        <f aca="false">+IF($B106=" ",0,IF(AND($B106&gt;=O$26,$B106&lt;O$28),O$33,0))</f>
        <v>5016515.625</v>
      </c>
      <c r="Q106" s="83" t="n">
        <f aca="false">IF($B106=" ",0,IF($B106&lt;=DATE(2003,12,31),3.55,2.9))</f>
        <v>2.9</v>
      </c>
      <c r="R106" s="155" t="n">
        <f aca="false">IF($B106=" ",0,R$25)</f>
        <v>-0.07</v>
      </c>
      <c r="S106" s="156" t="n">
        <f aca="false">IF($B106=" ",0,S$25)</f>
        <v>0.1</v>
      </c>
      <c r="T106" s="157" t="n">
        <f aca="false">+SUM($Q106,$S106)/1000*(SUM($J106*$J$37,$K106*$K$37,$L106*$L$37,$M106*$M$37,$N106*$N$37,$O106*$O$37))</f>
        <v>14883.5779284771</v>
      </c>
      <c r="U106" s="157" t="n">
        <f aca="false">+SUM($Q106,$R106)/1000*(SUM(0))</f>
        <v>0</v>
      </c>
      <c r="W106" s="158" t="n">
        <f aca="false">IF($B106=" ",0,1)*(IF($B106&gt;=W$25,1,0)*IF($B106&lt;=W$29,W$27,IF($B106&lt;=W$33,W$31,0))*($D106-$D105)*365/1000)</f>
        <v>486.66666666667</v>
      </c>
      <c r="X106" s="158" t="n">
        <f aca="false">IF($B106=" ",0,IF($B106&gt;=X$25,IF($B106&lt;=X$29,X$27,IF($B106&lt;=X$33,X$31,X$31*(1+X$38)^(IF(X$36&gt;$B106,-1,1)*(YEARFRAC($B106,X$36)))))*($D106-$D105)*365/1000,0))</f>
        <v>383.713878321966</v>
      </c>
      <c r="Y106" s="159" t="n">
        <f aca="false">IF($B106=" ",0,Y$25*(1+Y$30)^(IF(Y$28&gt;$B106,-1,1)*(YEARFRAC($B106,Y$28))))</f>
        <v>0.482317750306574</v>
      </c>
      <c r="Z106" s="159" t="n">
        <f aca="false">IF($B106=" ",0,Z$25*(1+Z$30)^(IF(Z$28&gt;$B106,-1,1)*(YEARFRAC($B106,Z$28))))</f>
        <v>0.460434483935087</v>
      </c>
      <c r="AA106" s="162" t="n">
        <f aca="false">+W106+X106+Z106*SUM($J106*$J$37,$L106*$L$37,$N106*$N$37)/1000</f>
        <v>870.380544988636</v>
      </c>
      <c r="AB106" s="161"/>
      <c r="AC106" s="158" t="n">
        <f aca="false">IF($B106=" ",0,1)*(IF($B106&gt;=AC$25,1,0)*IF($B106&lt;=AC$29,AC$27,IF($B106&lt;=AC$33,AC$31,0))*($D106-$D105)*365/1000)</f>
        <v>1591.66666666668</v>
      </c>
      <c r="AD106" s="158" t="n">
        <f aca="false">IF($B106=" ",0,IF($B106&gt;=AD$25,IF($B106&lt;=AD$29,AD$27,IF($B106&lt;=AD$33,AD$31,AD$31*(1+AD$38)^(IF(AD$36&gt;$B106,-1,1)*(YEARFRAC($B106,AD$36)))))*($D106-$D105)*365/1000,0))</f>
        <v>341.589251595904</v>
      </c>
      <c r="AE106" s="159" t="n">
        <f aca="false">IF($B106=" ",0,AE$25*(1+AE$30)^(IF(AE$28&gt;$B106,-1,1)*(YEARFRAC($B106,AE$28))))</f>
        <v>0.399597706038721</v>
      </c>
      <c r="AF106" s="159" t="n">
        <f aca="false">IF($B106=" ",0,AF$25*(1+AF$30)^(IF(AF$28&gt;$B106,-1,1)*(YEARFRAC($B106,AF$28))))</f>
        <v>0.143374750709318</v>
      </c>
      <c r="AG106" s="162" t="n">
        <f aca="false">+AC106+AD106+AF106*SUM($K106*$K$37,$M106*$M$37,$O106*$O$37)/1000</f>
        <v>2644.56567664862</v>
      </c>
      <c r="AI106" s="158" t="n">
        <f aca="false">IF($B106=" ",0,1)*IF($B106&gt;=AI$33,AI$25*($D106-$D105),0)</f>
        <v>485.186570908337</v>
      </c>
      <c r="AJ106" s="158" t="n">
        <f aca="false">IF($B106=" ",0,IF($B106&gt;=AJ$33,AJ$25*(1+AJ$30)^(IF(AJ$28&gt;$B106,-1,1)*(YEARFRAC($B106,AJ$28)))*($D106-$D105),0))</f>
        <v>495.031844763516</v>
      </c>
      <c r="AK106" s="159" t="n">
        <f aca="false">IF($B106=" ",0,AK$25*(1+AK$30)^(IF(AK$28&gt;$B106,-1,1)*(YEARFRAC($B106,AK$28))))</f>
        <v>0.0282917501570558</v>
      </c>
      <c r="AL106" s="159" t="n">
        <f aca="false">IF($B106=" ",0,AL$25*AL$28)</f>
        <v>0.0575</v>
      </c>
      <c r="AM106" s="162" t="n">
        <f aca="false">+AI106+AJ106+SUM(AK106:AL106)*SUM($J106*$J$37,$K106*$K$37,$L106*$L$37,$M106*$M$37,$N106*$N$37,$O106*$O$37)/1000</f>
        <v>1405.84781536618</v>
      </c>
      <c r="AO106" s="163" t="n">
        <f aca="false">IF($B106=" ",0,$AO$25)</f>
        <v>0.25</v>
      </c>
      <c r="AP106" s="159" t="n">
        <f aca="false">IF($B106=" ",0,AP$25*AP$28)</f>
        <v>0.03105</v>
      </c>
      <c r="AQ106" s="162" t="n">
        <f aca="false">SUM(AO106:AP106)*SUM(0)/1000</f>
        <v>0</v>
      </c>
      <c r="AS106" s="155" t="n">
        <f aca="false">IF($B106=" ",0,AS$25)</f>
        <v>1</v>
      </c>
      <c r="AT106" s="156" t="n">
        <f aca="false">IF($B106=" ",0,AT$25)</f>
        <v>1</v>
      </c>
      <c r="AU106" s="156" t="n">
        <f aca="false">IF($B106=" ",0,AU$25)</f>
        <v>2.3</v>
      </c>
      <c r="AV106" s="157" t="n">
        <f aca="false">+AS106*SUM(J106:K106)/1000</f>
        <v>0</v>
      </c>
      <c r="AW106" s="157" t="n">
        <f aca="false">+AT106*SUM(L106:M106)/1000</f>
        <v>0</v>
      </c>
      <c r="AX106" s="157" t="n">
        <f aca="false">+AU106*SUM(N106:O106)/1000</f>
        <v>11537.9859375</v>
      </c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</row>
    <row r="107" customFormat="false" ht="12.75" hidden="true" customHeight="false" outlineLevel="1" collapsed="false">
      <c r="A107" s="164" t="n">
        <f aca="false">+IF(B107=" ",A106,B107)</f>
        <v>38534</v>
      </c>
      <c r="B107" s="148" t="n">
        <f aca="false">IF(B106=" "," ",IF(EDATE(B106,1)&gt;=EndDate," ",EDATE(B106,1)))</f>
        <v>38534</v>
      </c>
      <c r="C107" s="149" t="n">
        <f aca="false">IF($B107&lt;&gt;" ",C106+1,C106)</f>
        <v>57</v>
      </c>
      <c r="D107" s="150" t="n">
        <f aca="false">C107/12</f>
        <v>4.75</v>
      </c>
      <c r="F107" s="157" t="n">
        <f aca="false">+SUM($T107:$U107)</f>
        <v>14883.5779284771</v>
      </c>
      <c r="G107" s="152" t="n">
        <f aca="false">-SUM($AA107,$AG107,$AM107,$AQ107,$AV107:$AX107)</f>
        <v>-16461.4182941132</v>
      </c>
      <c r="H107" s="152" t="n">
        <f aca="false">+SUM(F107:G107)</f>
        <v>-1577.84036563605</v>
      </c>
      <c r="I107" s="124"/>
      <c r="J107" s="153" t="n">
        <f aca="false">+IF($B107=" ",0,IF(AND($B107&gt;=J$26,$B107&lt;J$28),J$33,0))</f>
        <v>0</v>
      </c>
      <c r="K107" s="153" t="n">
        <f aca="false">+IF($B107=" ",0,IF(AND($B107&gt;=K$26,$B107&lt;K$28),K$33,0))</f>
        <v>0</v>
      </c>
      <c r="L107" s="153" t="n">
        <f aca="false">+IF($B107=" ",0,IF(AND($B107&gt;=L$26,$B107&lt;L$28),L$33,0))</f>
        <v>0</v>
      </c>
      <c r="M107" s="153" t="n">
        <f aca="false">+IF($B107=" ",0,IF(AND($B107&gt;=M$26,$B107&lt;M$28),M$33,0))</f>
        <v>0</v>
      </c>
      <c r="N107" s="153" t="n">
        <f aca="false">+IF($B107=" ",0,IF(AND($B107&gt;=N$26,$B107&lt;N$28),N$33,0))</f>
        <v>0</v>
      </c>
      <c r="O107" s="154" t="n">
        <f aca="false">+IF($B107=" ",0,IF(AND($B107&gt;=O$26,$B107&lt;O$28),O$33,0))</f>
        <v>5016515.625</v>
      </c>
      <c r="Q107" s="83" t="n">
        <f aca="false">IF($B107=" ",0,IF($B107&lt;=DATE(2003,12,31),3.55,2.9))</f>
        <v>2.9</v>
      </c>
      <c r="R107" s="155" t="n">
        <f aca="false">IF($B107=" ",0,R$25)</f>
        <v>-0.07</v>
      </c>
      <c r="S107" s="156" t="n">
        <f aca="false">IF($B107=" ",0,S$25)</f>
        <v>0.1</v>
      </c>
      <c r="T107" s="157" t="n">
        <f aca="false">+SUM($Q107,$S107)/1000*(SUM($J107*$J$37,$K107*$K$37,$L107*$L$37,$M107*$M$37,$N107*$N$37,$O107*$O$37))</f>
        <v>14883.5779284771</v>
      </c>
      <c r="U107" s="157" t="n">
        <f aca="false">+SUM($Q107,$R107)/1000*(SUM(0))</f>
        <v>0</v>
      </c>
      <c r="W107" s="158" t="n">
        <f aca="false">IF($B107=" ",0,1)*(IF($B107&gt;=W$25,1,0)*IF($B107&lt;=W$29,W$27,IF($B107&lt;=W$33,W$31,0))*($D107-$D106)*365/1000)</f>
        <v>486.666666666665</v>
      </c>
      <c r="X107" s="158" t="n">
        <f aca="false">IF($B107=" ",0,IF($B107&gt;=X$25,IF($B107&lt;=X$29,X$27,IF($B107&lt;=X$33,X$31,X$31*(1+X$38)^(IF(X$36&gt;$B107,-1,1)*(YEARFRAC($B107,X$36)))))*($D107-$D106)*365/1000,0))</f>
        <v>384.242786054623</v>
      </c>
      <c r="Y107" s="159" t="n">
        <f aca="false">IF($B107=" ",0,Y$25*(1+Y$30)^(IF(Y$28&gt;$B107,-1,1)*(YEARFRAC($B107,Y$28))))</f>
        <v>0.48298257272283</v>
      </c>
      <c r="Z107" s="159" t="n">
        <f aca="false">IF($B107=" ",0,Z$25*(1+Z$30)^(IF(Z$28&gt;$B107,-1,1)*(YEARFRAC($B107,Z$28))))</f>
        <v>0.461069142655284</v>
      </c>
      <c r="AA107" s="162" t="n">
        <f aca="false">+W107+X107+Z107*SUM($J107*$J$37,$L107*$L$37,$N107*$N$37)/1000</f>
        <v>870.909452721288</v>
      </c>
      <c r="AB107" s="161"/>
      <c r="AC107" s="158" t="n">
        <f aca="false">IF($B107=" ",0,1)*(IF($B107&gt;=AC$25,1,0)*IF($B107&lt;=AC$29,AC$27,IF($B107&lt;=AC$33,AC$31,0))*($D107-$D106)*365/1000)</f>
        <v>1591.66666666666</v>
      </c>
      <c r="AD107" s="158" t="n">
        <f aca="false">IF($B107=" ",0,IF($B107&gt;=AD$25,IF($B107&lt;=AD$29,AD$27,IF($B107&lt;=AD$33,AD$31,AD$31*(1+AD$38)^(IF(AD$36&gt;$B107,-1,1)*(YEARFRAC($B107,AD$36)))))*($D107-$D106)*365/1000,0))</f>
        <v>342.060095124816</v>
      </c>
      <c r="AE107" s="159" t="n">
        <f aca="false">IF($B107=" ",0,AE$25*(1+AE$30)^(IF(AE$28&gt;$B107,-1,1)*(YEARFRAC($B107,AE$28))))</f>
        <v>0.400148507895568</v>
      </c>
      <c r="AF107" s="159" t="n">
        <f aca="false">IF($B107=" ",0,AF$25*(1+AF$30)^(IF(AF$28&gt;$B107,-1,1)*(YEARFRAC($B107,AF$28))))</f>
        <v>0.143572377166433</v>
      </c>
      <c r="AG107" s="162" t="n">
        <f aca="false">+AC107+AD107+AF107*SUM($K107*$K$37,$M107*$M$37,$O107*$O$37)/1000</f>
        <v>2646.01698310258</v>
      </c>
      <c r="AI107" s="158" t="n">
        <f aca="false">IF($B107=" ",0,1)*IF($B107&gt;=AI$33,AI$25*($D107-$D106),0)</f>
        <v>485.186570908332</v>
      </c>
      <c r="AJ107" s="158" t="n">
        <f aca="false">IF($B107=" ",0,IF($B107&gt;=AJ$33,AJ$25*(1+AJ$30)^(IF(AJ$28&gt;$B107,-1,1)*(YEARFRAC($B107,AJ$28)))*($D107-$D106),0))</f>
        <v>495.544572023874</v>
      </c>
      <c r="AK107" s="159" t="n">
        <f aca="false">IF($B107=" ",0,AK$25*(1+AK$30)^(IF(AK$28&gt;$B107,-1,1)*(YEARFRAC($B107,AK$28))))</f>
        <v>0.0283210532245298</v>
      </c>
      <c r="AL107" s="159" t="n">
        <f aca="false">IF($B107=" ",0,AL$25*AL$28)</f>
        <v>0.0575</v>
      </c>
      <c r="AM107" s="162" t="n">
        <f aca="false">+AI107+AJ107+SUM(AK107:AL107)*SUM($J107*$J$37,$K107*$K$37,$L107*$L$37,$M107*$M$37,$N107*$N$37,$O107*$O$37)/1000</f>
        <v>1406.5059207893</v>
      </c>
      <c r="AO107" s="163" t="n">
        <f aca="false">IF($B107=" ",0,$AO$25)</f>
        <v>0.25</v>
      </c>
      <c r="AP107" s="159" t="n">
        <f aca="false">IF($B107=" ",0,AP$25*AP$28)</f>
        <v>0.03105</v>
      </c>
      <c r="AQ107" s="162" t="n">
        <f aca="false">SUM(AO107:AP107)*SUM(0)/1000</f>
        <v>0</v>
      </c>
      <c r="AS107" s="155" t="n">
        <f aca="false">IF($B107=" ",0,AS$25)</f>
        <v>1</v>
      </c>
      <c r="AT107" s="156" t="n">
        <f aca="false">IF($B107=" ",0,AT$25)</f>
        <v>1</v>
      </c>
      <c r="AU107" s="156" t="n">
        <f aca="false">IF($B107=" ",0,AU$25)</f>
        <v>2.3</v>
      </c>
      <c r="AV107" s="157" t="n">
        <f aca="false">+AS107*SUM(J107:K107)/1000</f>
        <v>0</v>
      </c>
      <c r="AW107" s="157" t="n">
        <f aca="false">+AT107*SUM(L107:M107)/1000</f>
        <v>0</v>
      </c>
      <c r="AX107" s="157" t="n">
        <f aca="false">+AU107*SUM(N107:O107)/1000</f>
        <v>11537.9859375</v>
      </c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</row>
    <row r="108" customFormat="false" ht="12.75" hidden="true" customHeight="false" outlineLevel="1" collapsed="false">
      <c r="A108" s="164" t="n">
        <f aca="false">+IF(B108=" ",A107,B108)</f>
        <v>38565</v>
      </c>
      <c r="B108" s="148" t="n">
        <f aca="false">IF(B107=" "," ",IF(EDATE(B107,1)&gt;=EndDate," ",EDATE(B107,1)))</f>
        <v>38565</v>
      </c>
      <c r="C108" s="149" t="n">
        <f aca="false">IF($B108&lt;&gt;" ",C107+1,C107)</f>
        <v>58</v>
      </c>
      <c r="D108" s="150" t="n">
        <f aca="false">C108/12</f>
        <v>4.83333333333333</v>
      </c>
      <c r="F108" s="157" t="n">
        <f aca="false">+SUM($T108:$U108)</f>
        <v>14883.5779284771</v>
      </c>
      <c r="G108" s="152" t="n">
        <f aca="false">-SUM($AA108,$AG108,$AM108,$AQ108,$AV108:$AX108)</f>
        <v>-16464.0600248623</v>
      </c>
      <c r="H108" s="152" t="n">
        <f aca="false">+SUM(F108:G108)</f>
        <v>-1580.48209638519</v>
      </c>
      <c r="I108" s="124"/>
      <c r="J108" s="153" t="n">
        <f aca="false">+IF($B108=" ",0,IF(AND($B108&gt;=J$26,$B108&lt;J$28),J$33,0))</f>
        <v>0</v>
      </c>
      <c r="K108" s="153" t="n">
        <f aca="false">+IF($B108=" ",0,IF(AND($B108&gt;=K$26,$B108&lt;K$28),K$33,0))</f>
        <v>0</v>
      </c>
      <c r="L108" s="153" t="n">
        <f aca="false">+IF($B108=" ",0,IF(AND($B108&gt;=L$26,$B108&lt;L$28),L$33,0))</f>
        <v>0</v>
      </c>
      <c r="M108" s="153" t="n">
        <f aca="false">+IF($B108=" ",0,IF(AND($B108&gt;=M$26,$B108&lt;M$28),M$33,0))</f>
        <v>0</v>
      </c>
      <c r="N108" s="153" t="n">
        <f aca="false">+IF($B108=" ",0,IF(AND($B108&gt;=N$26,$B108&lt;N$28),N$33,0))</f>
        <v>0</v>
      </c>
      <c r="O108" s="154" t="n">
        <f aca="false">+IF($B108=" ",0,IF(AND($B108&gt;=O$26,$B108&lt;O$28),O$33,0))</f>
        <v>5016515.625</v>
      </c>
      <c r="Q108" s="83" t="n">
        <f aca="false">IF($B108=" ",0,IF($B108&lt;=DATE(2003,12,31),3.55,2.9))</f>
        <v>2.9</v>
      </c>
      <c r="R108" s="155" t="n">
        <f aca="false">IF($B108=" ",0,R$25)</f>
        <v>-0.07</v>
      </c>
      <c r="S108" s="156" t="n">
        <f aca="false">IF($B108=" ",0,S$25)</f>
        <v>0.1</v>
      </c>
      <c r="T108" s="157" t="n">
        <f aca="false">+SUM($Q108,$S108)/1000*(SUM($J108*$J$37,$K108*$K$37,$L108*$L$37,$M108*$M$37,$N108*$N$37,$O108*$O$37))</f>
        <v>14883.5779284771</v>
      </c>
      <c r="U108" s="157" t="n">
        <f aca="false">+SUM($Q108,$R108)/1000*(SUM(0))</f>
        <v>0</v>
      </c>
      <c r="W108" s="158" t="n">
        <f aca="false">IF($B108=" ",0,1)*(IF($B108&gt;=W$25,1,0)*IF($B108&lt;=W$29,W$27,IF($B108&lt;=W$33,W$31,0))*($D108-$D107)*365/1000)</f>
        <v>486.666666666665</v>
      </c>
      <c r="X108" s="158" t="n">
        <f aca="false">IF($B108=" ",0,IF($B108&gt;=X$25,IF($B108&lt;=X$29,X$27,IF($B108&lt;=X$33,X$31,X$31*(1+X$38)^(IF(X$36&gt;$B108,-1,1)*(YEARFRAC($B108,X$36)))))*($D108-$D107)*365/1000,0))</f>
        <v>384.772422828911</v>
      </c>
      <c r="Y108" s="159" t="n">
        <f aca="false">IF($B108=" ",0,Y$25*(1+Y$30)^(IF(Y$28&gt;$B108,-1,1)*(YEARFRAC($B108,Y$28))))</f>
        <v>0.483648311524281</v>
      </c>
      <c r="Z108" s="159" t="n">
        <f aca="false">IF($B108=" ",0,Z$25*(1+Z$30)^(IF(Z$28&gt;$B108,-1,1)*(YEARFRAC($B108,Z$28))))</f>
        <v>0.461704676183309</v>
      </c>
      <c r="AA108" s="162" t="n">
        <f aca="false">+W108+X108+Z108*SUM($J108*$J$37,$L108*$L$37,$N108*$N$37)/1000</f>
        <v>871.439089495576</v>
      </c>
      <c r="AB108" s="161"/>
      <c r="AC108" s="158" t="n">
        <f aca="false">IF($B108=" ",0,1)*(IF($B108&gt;=AC$25,1,0)*IF($B108&lt;=AC$29,AC$27,IF($B108&lt;=AC$33,AC$31,0))*($D108-$D107)*365/1000)</f>
        <v>1591.66666666666</v>
      </c>
      <c r="AD108" s="158" t="n">
        <f aca="false">IF($B108=" ",0,IF($B108&gt;=AD$25,IF($B108&lt;=AD$29,AD$27,IF($B108&lt;=AD$33,AD$31,AD$31*(1+AD$38)^(IF(AD$36&gt;$B108,-1,1)*(YEARFRAC($B108,AD$36)))))*($D108-$D107)*365/1000,0))</f>
        <v>342.531587660186</v>
      </c>
      <c r="AE108" s="159" t="n">
        <f aca="false">IF($B108=" ",0,AE$25*(1+AE$30)^(IF(AE$28&gt;$B108,-1,1)*(YEARFRAC($B108,AE$28))))</f>
        <v>0.400700068972704</v>
      </c>
      <c r="AF108" s="159" t="n">
        <f aca="false">IF($B108=" ",0,AF$25*(1+AF$30)^(IF(AF$28&gt;$B108,-1,1)*(YEARFRAC($B108,AF$28))))</f>
        <v>0.143770276030066</v>
      </c>
      <c r="AG108" s="162" t="n">
        <f aca="false">+AC108+AD108+AF108*SUM($K108*$K$37,$M108*$M$37,$O108*$O$37)/1000</f>
        <v>2647.47029002423</v>
      </c>
      <c r="AI108" s="158" t="n">
        <f aca="false">IF($B108=" ",0,1)*IF($B108&gt;=AI$33,AI$25*($D108-$D107),0)</f>
        <v>485.186570908332</v>
      </c>
      <c r="AJ108" s="158" t="n">
        <f aca="false">IF($B108=" ",0,IF($B108&gt;=AJ$33,AJ$25*(1+AJ$30)^(IF(AJ$28&gt;$B108,-1,1)*(YEARFRAC($B108,AJ$28)))*($D108-$D107),0))</f>
        <v>496.057830339453</v>
      </c>
      <c r="AK108" s="159" t="n">
        <f aca="false">IF($B108=" ",0,AK$25*(1+AK$30)^(IF(AK$28&gt;$B108,-1,1)*(YEARFRAC($B108,AK$28))))</f>
        <v>0.0283503866425392</v>
      </c>
      <c r="AL108" s="159" t="n">
        <f aca="false">IF($B108=" ",0,AL$25*AL$28)</f>
        <v>0.0575</v>
      </c>
      <c r="AM108" s="162" t="n">
        <f aca="false">+AI108+AJ108+SUM(AK108:AL108)*SUM($J108*$J$37,$K108*$K$37,$L108*$L$37,$M108*$M$37,$N108*$N$37,$O108*$O$37)/1000</f>
        <v>1407.16470784249</v>
      </c>
      <c r="AO108" s="163" t="n">
        <f aca="false">IF($B108=" ",0,$AO$25)</f>
        <v>0.25</v>
      </c>
      <c r="AP108" s="159" t="n">
        <f aca="false">IF($B108=" ",0,AP$25*AP$28)</f>
        <v>0.03105</v>
      </c>
      <c r="AQ108" s="162" t="n">
        <f aca="false">SUM(AO108:AP108)*SUM(0)/1000</f>
        <v>0</v>
      </c>
      <c r="AS108" s="155" t="n">
        <f aca="false">IF($B108=" ",0,AS$25)</f>
        <v>1</v>
      </c>
      <c r="AT108" s="156" t="n">
        <f aca="false">IF($B108=" ",0,AT$25)</f>
        <v>1</v>
      </c>
      <c r="AU108" s="156" t="n">
        <f aca="false">IF($B108=" ",0,AU$25)</f>
        <v>2.3</v>
      </c>
      <c r="AV108" s="157" t="n">
        <f aca="false">+AS108*SUM(J108:K108)/1000</f>
        <v>0</v>
      </c>
      <c r="AW108" s="157" t="n">
        <f aca="false">+AT108*SUM(L108:M108)/1000</f>
        <v>0</v>
      </c>
      <c r="AX108" s="157" t="n">
        <f aca="false">+AU108*SUM(N108:O108)/1000</f>
        <v>11537.9859375</v>
      </c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</row>
    <row r="109" customFormat="false" ht="12.75" hidden="true" customHeight="false" outlineLevel="1" collapsed="false">
      <c r="A109" s="164" t="n">
        <f aca="false">+IF(B109=" ",A108,B109)</f>
        <v>38596</v>
      </c>
      <c r="B109" s="148" t="n">
        <f aca="false">IF(B108=" "," ",IF(EDATE(B108,1)&gt;=EndDate," ",EDATE(B108,1)))</f>
        <v>38596</v>
      </c>
      <c r="C109" s="149" t="n">
        <f aca="false">IF($B109&lt;&gt;" ",C108+1,C108)</f>
        <v>59</v>
      </c>
      <c r="D109" s="150" t="n">
        <f aca="false">C109/12</f>
        <v>4.91666666666667</v>
      </c>
      <c r="F109" s="157" t="n">
        <f aca="false">+SUM($T109:$U109)</f>
        <v>14883.5779284771</v>
      </c>
      <c r="G109" s="152" t="n">
        <f aca="false">-SUM($AA109,$AG109,$AM109,$AQ109,$AV109:$AX109)</f>
        <v>-16466.7051712192</v>
      </c>
      <c r="H109" s="152" t="n">
        <f aca="false">+SUM(F109:G109)</f>
        <v>-1583.12724274204</v>
      </c>
      <c r="I109" s="124"/>
      <c r="J109" s="153" t="n">
        <f aca="false">+IF($B109=" ",0,IF(AND($B109&gt;=J$26,$B109&lt;J$28),J$33,0))</f>
        <v>0</v>
      </c>
      <c r="K109" s="153" t="n">
        <f aca="false">+IF($B109=" ",0,IF(AND($B109&gt;=K$26,$B109&lt;K$28),K$33,0))</f>
        <v>0</v>
      </c>
      <c r="L109" s="153" t="n">
        <f aca="false">+IF($B109=" ",0,IF(AND($B109&gt;=L$26,$B109&lt;L$28),L$33,0))</f>
        <v>0</v>
      </c>
      <c r="M109" s="153" t="n">
        <f aca="false">+IF($B109=" ",0,IF(AND($B109&gt;=M$26,$B109&lt;M$28),M$33,0))</f>
        <v>0</v>
      </c>
      <c r="N109" s="153" t="n">
        <f aca="false">+IF($B109=" ",0,IF(AND($B109&gt;=N$26,$B109&lt;N$28),N$33,0))</f>
        <v>0</v>
      </c>
      <c r="O109" s="154" t="n">
        <f aca="false">+IF($B109=" ",0,IF(AND($B109&gt;=O$26,$B109&lt;O$28),O$33,0))</f>
        <v>5016515.625</v>
      </c>
      <c r="Q109" s="83" t="n">
        <f aca="false">IF($B109=" ",0,IF($B109&lt;=DATE(2003,12,31),3.55,2.9))</f>
        <v>2.9</v>
      </c>
      <c r="R109" s="155" t="n">
        <f aca="false">IF($B109=" ",0,R$25)</f>
        <v>-0.07</v>
      </c>
      <c r="S109" s="156" t="n">
        <f aca="false">IF($B109=" ",0,S$25)</f>
        <v>0.1</v>
      </c>
      <c r="T109" s="157" t="n">
        <f aca="false">+SUM($Q109,$S109)/1000*(SUM($J109*$J$37,$K109*$K$37,$L109*$L$37,$M109*$M$37,$N109*$N$37,$O109*$O$37))</f>
        <v>14883.5779284771</v>
      </c>
      <c r="U109" s="157" t="n">
        <f aca="false">+SUM($Q109,$R109)/1000*(SUM(0))</f>
        <v>0</v>
      </c>
      <c r="W109" s="158" t="n">
        <f aca="false">IF($B109=" ",0,1)*(IF($B109&gt;=W$25,1,0)*IF($B109&lt;=W$29,W$27,IF($B109&lt;=W$33,W$31,0))*($D109-$D108)*365/1000)</f>
        <v>486.66666666667</v>
      </c>
      <c r="X109" s="158" t="n">
        <f aca="false">IF($B109=" ",0,IF($B109&gt;=X$25,IF($B109&lt;=X$29,X$27,IF($B109&lt;=X$33,X$31,X$31*(1+X$38)^(IF(X$36&gt;$B109,-1,1)*(YEARFRAC($B109,X$36)))))*($D109-$D108)*365/1000,0))</f>
        <v>385.302789649733</v>
      </c>
      <c r="Y109" s="159" t="n">
        <f aca="false">IF($B109=" ",0,Y$25*(1+Y$30)^(IF(Y$28&gt;$B109,-1,1)*(YEARFRAC($B109,Y$28))))</f>
        <v>0.484314967974062</v>
      </c>
      <c r="Z109" s="159" t="n">
        <f aca="false">IF($B109=" ",0,Z$25*(1+Z$30)^(IF(Z$28&gt;$B109,-1,1)*(YEARFRAC($B109,Z$28))))</f>
        <v>0.462341085724989</v>
      </c>
      <c r="AA109" s="162" t="n">
        <f aca="false">+W109+X109+Z109*SUM($J109*$J$37,$L109*$L$37,$N109*$N$37)/1000</f>
        <v>871.969456316403</v>
      </c>
      <c r="AB109" s="161"/>
      <c r="AC109" s="158" t="n">
        <f aca="false">IF($B109=" ",0,1)*(IF($B109&gt;=AC$25,1,0)*IF($B109&lt;=AC$29,AC$27,IF($B109&lt;=AC$33,AC$31,0))*($D109-$D108)*365/1000)</f>
        <v>1591.66666666668</v>
      </c>
      <c r="AD109" s="158" t="n">
        <f aca="false">IF($B109=" ",0,IF($B109&gt;=AD$25,IF($B109&lt;=AD$29,AD$27,IF($B109&lt;=AD$33,AD$31,AD$31*(1+AD$38)^(IF(AD$36&gt;$B109,-1,1)*(YEARFRAC($B109,AD$36)))))*($D109-$D108)*365/1000,0))</f>
        <v>343.003730096597</v>
      </c>
      <c r="AE109" s="159" t="n">
        <f aca="false">IF($B109=" ",0,AE$25*(1+AE$30)^(IF(AE$28&gt;$B109,-1,1)*(YEARFRAC($B109,AE$28))))</f>
        <v>0.40125239031663</v>
      </c>
      <c r="AF109" s="159" t="n">
        <f aca="false">IF($B109=" ",0,AF$25*(1+AF$30)^(IF(AF$28&gt;$B109,-1,1)*(YEARFRAC($B109,AF$28))))</f>
        <v>0.143968447675699</v>
      </c>
      <c r="AG109" s="162" t="n">
        <f aca="false">+AC109+AD109+AF109*SUM($K109*$K$37,$M109*$M$37,$O109*$O$37)/1000</f>
        <v>2648.92560017099</v>
      </c>
      <c r="AI109" s="158" t="n">
        <f aca="false">IF($B109=" ",0,1)*IF($B109&gt;=AI$33,AI$25*($D109-$D108),0)</f>
        <v>485.186570908337</v>
      </c>
      <c r="AJ109" s="158" t="n">
        <f aca="false">IF($B109=" ",0,IF($B109&gt;=AJ$33,AJ$25*(1+AJ$30)^(IF(AJ$28&gt;$B109,-1,1)*(YEARFRAC($B109,AJ$28)))*($D109-$D108),0))</f>
        <v>496.571620260292</v>
      </c>
      <c r="AK109" s="159" t="n">
        <f aca="false">IF($B109=" ",0,AK$25*(1+AK$30)^(IF(AK$28&gt;$B109,-1,1)*(YEARFRAC($B109,AK$28))))</f>
        <v>0.0283797504425193</v>
      </c>
      <c r="AL109" s="159" t="n">
        <f aca="false">IF($B109=" ",0,AL$25*AL$28)</f>
        <v>0.0575</v>
      </c>
      <c r="AM109" s="162" t="n">
        <f aca="false">+AI109+AJ109+SUM(AK109:AL109)*SUM($J109*$J$37,$K109*$K$37,$L109*$L$37,$M109*$M$37,$N109*$N$37,$O109*$O$37)/1000</f>
        <v>1407.82417723176</v>
      </c>
      <c r="AO109" s="163" t="n">
        <f aca="false">IF($B109=" ",0,$AO$25)</f>
        <v>0.25</v>
      </c>
      <c r="AP109" s="159" t="n">
        <f aca="false">IF($B109=" ",0,AP$25*AP$28)</f>
        <v>0.03105</v>
      </c>
      <c r="AQ109" s="162" t="n">
        <f aca="false">SUM(AO109:AP109)*SUM(0)/1000</f>
        <v>0</v>
      </c>
      <c r="AS109" s="155" t="n">
        <f aca="false">IF($B109=" ",0,AS$25)</f>
        <v>1</v>
      </c>
      <c r="AT109" s="156" t="n">
        <f aca="false">IF($B109=" ",0,AT$25)</f>
        <v>1</v>
      </c>
      <c r="AU109" s="156" t="n">
        <f aca="false">IF($B109=" ",0,AU$25)</f>
        <v>2.3</v>
      </c>
      <c r="AV109" s="157" t="n">
        <f aca="false">+AS109*SUM(J109:K109)/1000</f>
        <v>0</v>
      </c>
      <c r="AW109" s="157" t="n">
        <f aca="false">+AT109*SUM(L109:M109)/1000</f>
        <v>0</v>
      </c>
      <c r="AX109" s="157" t="n">
        <f aca="false">+AU109*SUM(N109:O109)/1000</f>
        <v>11537.9859375</v>
      </c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</row>
    <row r="110" customFormat="false" ht="12.75" hidden="true" customHeight="false" outlineLevel="1" collapsed="false">
      <c r="A110" s="164" t="n">
        <f aca="false">+IF(B110=" ",A109,B110)</f>
        <v>38626</v>
      </c>
      <c r="B110" s="148" t="n">
        <f aca="false">IF(B109=" "," ",IF(EDATE(B109,1)&gt;=EndDate," ",EDATE(B109,1)))</f>
        <v>38626</v>
      </c>
      <c r="C110" s="149" t="n">
        <f aca="false">IF($B110&lt;&gt;" ",C109+1,C109)</f>
        <v>60</v>
      </c>
      <c r="D110" s="150" t="n">
        <f aca="false">C110/12</f>
        <v>5</v>
      </c>
      <c r="F110" s="157" t="n">
        <f aca="false">+SUM($T110:$U110)</f>
        <v>14883.5779284771</v>
      </c>
      <c r="G110" s="152" t="n">
        <f aca="false">-SUM($AA110,$AG110,$AM110,$AQ110,$AV110:$AX110)</f>
        <v>-16469.3537376579</v>
      </c>
      <c r="H110" s="152" t="n">
        <f aca="false">+SUM(F110:G110)</f>
        <v>-1585.77580918075</v>
      </c>
      <c r="I110" s="124"/>
      <c r="J110" s="153" t="n">
        <f aca="false">+IF($B110=" ",0,IF(AND($B110&gt;=J$26,$B110&lt;J$28),J$33,0))</f>
        <v>0</v>
      </c>
      <c r="K110" s="153" t="n">
        <f aca="false">+IF($B110=" ",0,IF(AND($B110&gt;=K$26,$B110&lt;K$28),K$33,0))</f>
        <v>0</v>
      </c>
      <c r="L110" s="153" t="n">
        <f aca="false">+IF($B110=" ",0,IF(AND($B110&gt;=L$26,$B110&lt;L$28),L$33,0))</f>
        <v>0</v>
      </c>
      <c r="M110" s="153" t="n">
        <f aca="false">+IF($B110=" ",0,IF(AND($B110&gt;=M$26,$B110&lt;M$28),M$33,0))</f>
        <v>0</v>
      </c>
      <c r="N110" s="153" t="n">
        <f aca="false">+IF($B110=" ",0,IF(AND($B110&gt;=N$26,$B110&lt;N$28),N$33,0))</f>
        <v>0</v>
      </c>
      <c r="O110" s="154" t="n">
        <f aca="false">+IF($B110=" ",0,IF(AND($B110&gt;=O$26,$B110&lt;O$28),O$33,0))</f>
        <v>5016515.625</v>
      </c>
      <c r="Q110" s="83" t="n">
        <f aca="false">IF($B110=" ",0,IF($B110&lt;=DATE(2003,12,31),3.55,2.9))</f>
        <v>2.9</v>
      </c>
      <c r="R110" s="155" t="n">
        <f aca="false">IF($B110=" ",0,R$25)</f>
        <v>-0.07</v>
      </c>
      <c r="S110" s="156" t="n">
        <f aca="false">IF($B110=" ",0,S$25)</f>
        <v>0.1</v>
      </c>
      <c r="T110" s="157" t="n">
        <f aca="false">+SUM($Q110,$S110)/1000*(SUM($J110*$J$37,$K110*$K$37,$L110*$L$37,$M110*$M$37,$N110*$N$37,$O110*$O$37))</f>
        <v>14883.5779284771</v>
      </c>
      <c r="U110" s="157" t="n">
        <f aca="false">+SUM($Q110,$R110)/1000*(SUM(0))</f>
        <v>0</v>
      </c>
      <c r="W110" s="158" t="n">
        <f aca="false">IF($B110=" ",0,1)*(IF($B110&gt;=W$25,1,0)*IF($B110&lt;=W$29,W$27,IF($B110&lt;=W$33,W$31,0))*($D110-$D109)*365/1000)</f>
        <v>486.666666666665</v>
      </c>
      <c r="X110" s="158" t="n">
        <f aca="false">IF($B110=" ",0,IF($B110&gt;=X$25,IF($B110&lt;=X$29,X$27,IF($B110&lt;=X$33,X$31,X$31*(1+X$38)^(IF(X$36&gt;$B110,-1,1)*(YEARFRAC($B110,X$36)))))*($D110-$D109)*365/1000,0))</f>
        <v>385.833887523366</v>
      </c>
      <c r="Y110" s="159" t="n">
        <f aca="false">IF($B110=" ",0,Y$25*(1+Y$30)^(IF(Y$28&gt;$B110,-1,1)*(YEARFRAC($B110,Y$28))))</f>
        <v>0.484982543337053</v>
      </c>
      <c r="Z110" s="159" t="n">
        <f aca="false">IF($B110=" ",0,Z$25*(1+Z$30)^(IF(Z$28&gt;$B110,-1,1)*(YEARFRAC($B110,Z$28))))</f>
        <v>0.462978372487815</v>
      </c>
      <c r="AA110" s="162" t="n">
        <f aca="false">+W110+X110+Z110*SUM($J110*$J$37,$L110*$L$37,$N110*$N$37)/1000</f>
        <v>872.500554190031</v>
      </c>
      <c r="AB110" s="161"/>
      <c r="AC110" s="158" t="n">
        <f aca="false">IF($B110=" ",0,1)*(IF($B110&gt;=AC$25,1,0)*IF($B110&lt;=AC$29,AC$27,IF($B110&lt;=AC$33,AC$31,0))*($D110-$D109)*365/1000)</f>
        <v>1591.66666666666</v>
      </c>
      <c r="AD110" s="158" t="n">
        <f aca="false">IF($B110=" ",0,IF($B110&gt;=AD$25,IF($B110&lt;=AD$29,AD$27,IF($B110&lt;=AD$33,AD$31,AD$31*(1+AD$38)^(IF(AD$36&gt;$B110,-1,1)*(YEARFRAC($B110,AD$36)))))*($D110-$D109)*365/1000,0))</f>
        <v>343.476523329857</v>
      </c>
      <c r="AE110" s="159" t="n">
        <f aca="false">IF($B110=" ",0,AE$25*(1+AE$30)^(IF(AE$28&gt;$B110,-1,1)*(YEARFRAC($B110,AE$28))))</f>
        <v>0.401805472975291</v>
      </c>
      <c r="AF110" s="159" t="n">
        <f aca="false">IF($B110=" ",0,AF$25*(1+AF$30)^(IF(AF$28&gt;$B110,-1,1)*(YEARFRAC($B110,AF$28))))</f>
        <v>0.144166892479332</v>
      </c>
      <c r="AG110" s="162" t="n">
        <f aca="false">+AC110+AD110+AF110*SUM($K110*$K$37,$M110*$M$37,$O110*$O$37)/1000</f>
        <v>2650.38291630403</v>
      </c>
      <c r="AI110" s="158" t="n">
        <f aca="false">IF($B110=" ",0,1)*IF($B110&gt;=AI$33,AI$25*($D110-$D109),0)</f>
        <v>485.186570908332</v>
      </c>
      <c r="AJ110" s="158" t="n">
        <f aca="false">IF($B110=" ",0,IF($B110&gt;=AJ$33,AJ$25*(1+AJ$30)^(IF(AJ$28&gt;$B110,-1,1)*(YEARFRAC($B110,AJ$28)))*($D110-$D109),0))</f>
        <v>497.085942336984</v>
      </c>
      <c r="AK110" s="159" t="n">
        <f aca="false">IF($B110=" ",0,AK$25*(1+AK$30)^(IF(AK$28&gt;$B110,-1,1)*(YEARFRAC($B110,AK$28))))</f>
        <v>0.0284091446559383</v>
      </c>
      <c r="AL110" s="159" t="n">
        <f aca="false">IF($B110=" ",0,AL$25*AL$28)</f>
        <v>0.0575</v>
      </c>
      <c r="AM110" s="162" t="n">
        <f aca="false">+AI110+AJ110+SUM(AK110:AL110)*SUM($J110*$J$37,$K110*$K$37,$L110*$L$37,$M110*$M$37,$N110*$N$37,$O110*$O$37)/1000</f>
        <v>1408.48432966381</v>
      </c>
      <c r="AO110" s="163" t="n">
        <f aca="false">IF($B110=" ",0,$AO$25)</f>
        <v>0.25</v>
      </c>
      <c r="AP110" s="159" t="n">
        <f aca="false">IF($B110=" ",0,AP$25*AP$28)</f>
        <v>0.03105</v>
      </c>
      <c r="AQ110" s="162" t="n">
        <f aca="false">SUM(AO110:AP110)*SUM(0)/1000</f>
        <v>0</v>
      </c>
      <c r="AS110" s="155" t="n">
        <f aca="false">IF($B110=" ",0,AS$25)</f>
        <v>1</v>
      </c>
      <c r="AT110" s="156" t="n">
        <f aca="false">IF($B110=" ",0,AT$25)</f>
        <v>1</v>
      </c>
      <c r="AU110" s="156" t="n">
        <f aca="false">IF($B110=" ",0,AU$25)</f>
        <v>2.3</v>
      </c>
      <c r="AV110" s="157" t="n">
        <f aca="false">+AS110*SUM(J110:K110)/1000</f>
        <v>0</v>
      </c>
      <c r="AW110" s="157" t="n">
        <f aca="false">+AT110*SUM(L110:M110)/1000</f>
        <v>0</v>
      </c>
      <c r="AX110" s="157" t="n">
        <f aca="false">+AU110*SUM(N110:O110)/1000</f>
        <v>11537.9859375</v>
      </c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</row>
    <row r="111" customFormat="false" ht="12.75" hidden="true" customHeight="false" outlineLevel="1" collapsed="false">
      <c r="A111" s="164" t="n">
        <f aca="false">+IF(B111=" ",A110,B111)</f>
        <v>38657</v>
      </c>
      <c r="B111" s="148" t="n">
        <f aca="false">IF(B110=" "," ",IF(EDATE(B110,1)&gt;=EndDate," ",EDATE(B110,1)))</f>
        <v>38657</v>
      </c>
      <c r="C111" s="149" t="n">
        <f aca="false">IF($B111&lt;&gt;" ",C110+1,C110)</f>
        <v>61</v>
      </c>
      <c r="D111" s="150" t="n">
        <f aca="false">C111/12</f>
        <v>5.08333333333333</v>
      </c>
      <c r="F111" s="157" t="n">
        <f aca="false">+SUM($T111:$U111)</f>
        <v>14883.5779284771</v>
      </c>
      <c r="G111" s="152" t="n">
        <f aca="false">-SUM($AA111,$AG111,$AM111,$AQ111,$AV111:$AX111)</f>
        <v>-16472.0057286587</v>
      </c>
      <c r="H111" s="152" t="n">
        <f aca="false">+SUM(F111:G111)</f>
        <v>-1588.42780018159</v>
      </c>
      <c r="I111" s="124"/>
      <c r="J111" s="153" t="n">
        <f aca="false">+IF($B111=" ",0,IF(AND($B111&gt;=J$26,$B111&lt;J$28),J$33,0))</f>
        <v>0</v>
      </c>
      <c r="K111" s="153" t="n">
        <f aca="false">+IF($B111=" ",0,IF(AND($B111&gt;=K$26,$B111&lt;K$28),K$33,0))</f>
        <v>0</v>
      </c>
      <c r="L111" s="153" t="n">
        <f aca="false">+IF($B111=" ",0,IF(AND($B111&gt;=L$26,$B111&lt;L$28),L$33,0))</f>
        <v>0</v>
      </c>
      <c r="M111" s="153" t="n">
        <f aca="false">+IF($B111=" ",0,IF(AND($B111&gt;=M$26,$B111&lt;M$28),M$33,0))</f>
        <v>0</v>
      </c>
      <c r="N111" s="153" t="n">
        <f aca="false">+IF($B111=" ",0,IF(AND($B111&gt;=N$26,$B111&lt;N$28),N$33,0))</f>
        <v>0</v>
      </c>
      <c r="O111" s="154" t="n">
        <f aca="false">+IF($B111=" ",0,IF(AND($B111&gt;=O$26,$B111&lt;O$28),O$33,0))</f>
        <v>5016515.625</v>
      </c>
      <c r="Q111" s="83" t="n">
        <f aca="false">IF($B111=" ",0,IF($B111&lt;=DATE(2003,12,31),3.55,2.9))</f>
        <v>2.9</v>
      </c>
      <c r="R111" s="155" t="n">
        <f aca="false">IF($B111=" ",0,R$25)</f>
        <v>-0.07</v>
      </c>
      <c r="S111" s="156" t="n">
        <f aca="false">IF($B111=" ",0,S$25)</f>
        <v>0.1</v>
      </c>
      <c r="T111" s="157" t="n">
        <f aca="false">+SUM($Q111,$S111)/1000*(SUM($J111*$J$37,$K111*$K$37,$L111*$L$37,$M111*$M$37,$N111*$N$37,$O111*$O$37))</f>
        <v>14883.5779284771</v>
      </c>
      <c r="U111" s="157" t="n">
        <f aca="false">+SUM($Q111,$R111)/1000*(SUM(0))</f>
        <v>0</v>
      </c>
      <c r="W111" s="158" t="n">
        <f aca="false">IF($B111=" ",0,1)*(IF($B111&gt;=W$25,1,0)*IF($B111&lt;=W$29,W$27,IF($B111&lt;=W$33,W$31,0))*($D111-$D110)*365/1000)</f>
        <v>486.666666666665</v>
      </c>
      <c r="X111" s="158" t="n">
        <f aca="false">IF($B111=" ",0,IF($B111&gt;=X$25,IF($B111&lt;=X$29,X$27,IF($B111&lt;=X$33,X$31,X$31*(1+X$38)^(IF(X$36&gt;$B111,-1,1)*(YEARFRAC($B111,X$36)))))*($D111-$D110)*365/1000,0))</f>
        <v>386.365717457499</v>
      </c>
      <c r="Y111" s="159" t="n">
        <f aca="false">IF($B111=" ",0,Y$25*(1+Y$30)^(IF(Y$28&gt;$B111,-1,1)*(YEARFRAC($B111,Y$28))))</f>
        <v>0.485651038879874</v>
      </c>
      <c r="Z111" s="159" t="n">
        <f aca="false">IF($B111=" ",0,Z$25*(1+Z$30)^(IF(Z$28&gt;$B111,-1,1)*(YEARFRAC($B111,Z$28))))</f>
        <v>0.46361653768094</v>
      </c>
      <c r="AA111" s="162" t="n">
        <f aca="false">+W111+X111+Z111*SUM($J111*$J$37,$L111*$L$37,$N111*$N$37)/1000</f>
        <v>873.032384124164</v>
      </c>
      <c r="AB111" s="161"/>
      <c r="AC111" s="158" t="n">
        <f aca="false">IF($B111=" ",0,1)*(IF($B111&gt;=AC$25,1,0)*IF($B111&lt;=AC$29,AC$27,IF($B111&lt;=AC$33,AC$31,0))*($D111-$D110)*365/1000)</f>
        <v>1591.66666666666</v>
      </c>
      <c r="AD111" s="158" t="n">
        <f aca="false">IF($B111=" ",0,IF($B111&gt;=AD$25,IF($B111&lt;=AD$29,AD$27,IF($B111&lt;=AD$33,AD$31,AD$31*(1+AD$38)^(IF(AD$36&gt;$B111,-1,1)*(YEARFRAC($B111,AD$36)))))*($D111-$D110)*365/1000,0))</f>
        <v>343.949968257029</v>
      </c>
      <c r="AE111" s="159" t="n">
        <f aca="false">IF($B111=" ",0,AE$25*(1+AE$30)^(IF(AE$28&gt;$B111,-1,1)*(YEARFRAC($B111,AE$28))))</f>
        <v>0.402359317998077</v>
      </c>
      <c r="AF111" s="159" t="n">
        <f aca="false">IF($B111=" ",0,AF$25*(1+AF$30)^(IF(AF$28&gt;$B111,-1,1)*(YEARFRAC($B111,AF$28))))</f>
        <v>0.144365610817485</v>
      </c>
      <c r="AG111" s="162" t="n">
        <f aca="false">+AC111+AD111+AF111*SUM($K111*$K$37,$M111*$M$37,$O111*$O$37)/1000</f>
        <v>2651.84224118843</v>
      </c>
      <c r="AI111" s="158" t="n">
        <f aca="false">IF($B111=" ",0,1)*IF($B111&gt;=AI$33,AI$25*($D111-$D110),0)</f>
        <v>485.186570908332</v>
      </c>
      <c r="AJ111" s="158" t="n">
        <f aca="false">IF($B111=" ",0,IF($B111&gt;=AJ$33,AJ$25*(1+AJ$30)^(IF(AJ$28&gt;$B111,-1,1)*(YEARFRAC($B111,AJ$28)))*($D111-$D110),0))</f>
        <v>497.600797120722</v>
      </c>
      <c r="AK111" s="159" t="n">
        <f aca="false">IF($B111=" ",0,AK$25*(1+AK$30)^(IF(AK$28&gt;$B111,-1,1)*(YEARFRAC($B111,AK$28))))</f>
        <v>0.0284385693142967</v>
      </c>
      <c r="AL111" s="159" t="n">
        <f aca="false">IF($B111=" ",0,AL$25*AL$28)</f>
        <v>0.0575</v>
      </c>
      <c r="AM111" s="162" t="n">
        <f aca="false">+AI111+AJ111+SUM(AK111:AL111)*SUM($J111*$J$37,$K111*$K$37,$L111*$L$37,$M111*$M$37,$N111*$N$37,$O111*$O$37)/1000</f>
        <v>1409.14516584611</v>
      </c>
      <c r="AO111" s="163" t="n">
        <f aca="false">IF($B111=" ",0,$AO$25)</f>
        <v>0.25</v>
      </c>
      <c r="AP111" s="159" t="n">
        <f aca="false">IF($B111=" ",0,AP$25*AP$28)</f>
        <v>0.03105</v>
      </c>
      <c r="AQ111" s="162" t="n">
        <f aca="false">SUM(AO111:AP111)*SUM(0)/1000</f>
        <v>0</v>
      </c>
      <c r="AS111" s="155" t="n">
        <f aca="false">IF($B111=" ",0,AS$25)</f>
        <v>1</v>
      </c>
      <c r="AT111" s="156" t="n">
        <f aca="false">IF($B111=" ",0,AT$25)</f>
        <v>1</v>
      </c>
      <c r="AU111" s="156" t="n">
        <f aca="false">IF($B111=" ",0,AU$25)</f>
        <v>2.3</v>
      </c>
      <c r="AV111" s="157" t="n">
        <f aca="false">+AS111*SUM(J111:K111)/1000</f>
        <v>0</v>
      </c>
      <c r="AW111" s="157" t="n">
        <f aca="false">+AT111*SUM(L111:M111)/1000</f>
        <v>0</v>
      </c>
      <c r="AX111" s="157" t="n">
        <f aca="false">+AU111*SUM(N111:O111)/1000</f>
        <v>11537.9859375</v>
      </c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</row>
    <row r="112" customFormat="false" ht="12.75" hidden="true" customHeight="false" outlineLevel="1" collapsed="false">
      <c r="A112" s="164" t="n">
        <f aca="false">+IF(B112=" ",A111,B112)</f>
        <v>38687</v>
      </c>
      <c r="B112" s="148" t="n">
        <f aca="false">IF(B111=" "," ",IF(EDATE(B111,1)&gt;=EndDate," ",EDATE(B111,1)))</f>
        <v>38687</v>
      </c>
      <c r="C112" s="149" t="n">
        <f aca="false">IF($B112&lt;&gt;" ",C111+1,C111)</f>
        <v>62</v>
      </c>
      <c r="D112" s="150" t="n">
        <f aca="false">C112/12</f>
        <v>5.16666666666667</v>
      </c>
      <c r="F112" s="157" t="n">
        <f aca="false">+SUM($T112:$U112)</f>
        <v>14883.5779284771</v>
      </c>
      <c r="G112" s="152" t="n">
        <f aca="false">-SUM($AA112,$AG112,$AM112,$AQ112,$AV112:$AX112)</f>
        <v>-16474.6611487078</v>
      </c>
      <c r="H112" s="152" t="n">
        <f aca="false">+SUM(F112:G112)</f>
        <v>-1591.08322023068</v>
      </c>
      <c r="I112" s="124"/>
      <c r="J112" s="153" t="n">
        <f aca="false">+IF($B112=" ",0,IF(AND($B112&gt;=J$26,$B112&lt;J$28),J$33,0))</f>
        <v>0</v>
      </c>
      <c r="K112" s="153" t="n">
        <f aca="false">+IF($B112=" ",0,IF(AND($B112&gt;=K$26,$B112&lt;K$28),K$33,0))</f>
        <v>0</v>
      </c>
      <c r="L112" s="153" t="n">
        <f aca="false">+IF($B112=" ",0,IF(AND($B112&gt;=L$26,$B112&lt;L$28),L$33,0))</f>
        <v>0</v>
      </c>
      <c r="M112" s="153" t="n">
        <f aca="false">+IF($B112=" ",0,IF(AND($B112&gt;=M$26,$B112&lt;M$28),M$33,0))</f>
        <v>0</v>
      </c>
      <c r="N112" s="153" t="n">
        <f aca="false">+IF($B112=" ",0,IF(AND($B112&gt;=N$26,$B112&lt;N$28),N$33,0))</f>
        <v>0</v>
      </c>
      <c r="O112" s="154" t="n">
        <f aca="false">+IF($B112=" ",0,IF(AND($B112&gt;=O$26,$B112&lt;O$28),O$33,0))</f>
        <v>5016515.625</v>
      </c>
      <c r="Q112" s="83" t="n">
        <f aca="false">IF($B112=" ",0,IF($B112&lt;=DATE(2003,12,31),3.55,2.9))</f>
        <v>2.9</v>
      </c>
      <c r="R112" s="155" t="n">
        <f aca="false">IF($B112=" ",0,R$25)</f>
        <v>-0.07</v>
      </c>
      <c r="S112" s="156" t="n">
        <f aca="false">IF($B112=" ",0,S$25)</f>
        <v>0.1</v>
      </c>
      <c r="T112" s="157" t="n">
        <f aca="false">+SUM($Q112,$S112)/1000*(SUM($J112*$J$37,$K112*$K$37,$L112*$L$37,$M112*$M$37,$N112*$N$37,$O112*$O$37))</f>
        <v>14883.5779284771</v>
      </c>
      <c r="U112" s="157" t="n">
        <f aca="false">+SUM($Q112,$R112)/1000*(SUM(0))</f>
        <v>0</v>
      </c>
      <c r="W112" s="158" t="n">
        <f aca="false">IF($B112=" ",0,1)*(IF($B112&gt;=W$25,1,0)*IF($B112&lt;=W$29,W$27,IF($B112&lt;=W$33,W$31,0))*($D112-$D111)*365/1000)</f>
        <v>486.66666666667</v>
      </c>
      <c r="X112" s="158" t="n">
        <f aca="false">IF($B112=" ",0,IF($B112&gt;=X$25,IF($B112&lt;=X$29,X$27,IF($B112&lt;=X$33,X$31,X$31*(1+X$38)^(IF(X$36&gt;$B112,-1,1)*(YEARFRAC($B112,X$36)))))*($D112-$D111)*365/1000,0))</f>
        <v>386.898280461199</v>
      </c>
      <c r="Y112" s="159" t="n">
        <f aca="false">IF($B112=" ",0,Y$25*(1+Y$30)^(IF(Y$28&gt;$B112,-1,1)*(YEARFRAC($B112,Y$28))))</f>
        <v>0.486320455870894</v>
      </c>
      <c r="Z112" s="159" t="n">
        <f aca="false">IF($B112=" ",0,Z$25*(1+Z$30)^(IF(Z$28&gt;$B112,-1,1)*(YEARFRAC($B112,Z$28))))</f>
        <v>0.464255582515184</v>
      </c>
      <c r="AA112" s="162" t="n">
        <f aca="false">+W112+X112+Z112*SUM($J112*$J$37,$L112*$L$37,$N112*$N$37)/1000</f>
        <v>873.564947127869</v>
      </c>
      <c r="AB112" s="161"/>
      <c r="AC112" s="158" t="n">
        <f aca="false">IF($B112=" ",0,1)*(IF($B112&gt;=AC$25,1,0)*IF($B112&lt;=AC$29,AC$27,IF($B112&lt;=AC$33,AC$31,0))*($D112-$D111)*365/1000)</f>
        <v>1591.66666666668</v>
      </c>
      <c r="AD112" s="158" t="n">
        <f aca="false">IF($B112=" ",0,IF($B112&gt;=AD$25,IF($B112&lt;=AD$29,AD$27,IF($B112&lt;=AD$33,AD$31,AD$31*(1+AD$38)^(IF(AD$36&gt;$B112,-1,1)*(YEARFRAC($B112,AD$36)))))*($D112-$D111)*365/1000,0))</f>
        <v>344.424065776402</v>
      </c>
      <c r="AE112" s="159" t="n">
        <f aca="false">IF($B112=" ",0,AE$25*(1+AE$30)^(IF(AE$28&gt;$B112,-1,1)*(YEARFRAC($B112,AE$28))))</f>
        <v>0.402913926435823</v>
      </c>
      <c r="AF112" s="159" t="n">
        <f aca="false">IF($B112=" ",0,AF$25*(1+AF$30)^(IF(AF$28&gt;$B112,-1,1)*(YEARFRAC($B112,AF$28))))</f>
        <v>0.144564603067193</v>
      </c>
      <c r="AG112" s="162" t="n">
        <f aca="false">+AC112+AD112+AF112*SUM($K112*$K$37,$M112*$M$37,$O112*$O$37)/1000</f>
        <v>2653.30357759306</v>
      </c>
      <c r="AI112" s="158" t="n">
        <f aca="false">IF($B112=" ",0,1)*IF($B112&gt;=AI$33,AI$25*($D112-$D111),0)</f>
        <v>485.186570908337</v>
      </c>
      <c r="AJ112" s="158" t="n">
        <f aca="false">IF($B112=" ",0,IF($B112&gt;=AJ$33,AJ$25*(1+AJ$30)^(IF(AJ$28&gt;$B112,-1,1)*(YEARFRAC($B112,AJ$28)))*($D112-$D111),0))</f>
        <v>498.116185163256</v>
      </c>
      <c r="AK112" s="159" t="n">
        <f aca="false">IF($B112=" ",0,AK$25*(1+AK$30)^(IF(AK$28&gt;$B112,-1,1)*(YEARFRAC($B112,AK$28))))</f>
        <v>0.0284680244491277</v>
      </c>
      <c r="AL112" s="159" t="n">
        <f aca="false">IF($B112=" ",0,AL$25*AL$28)</f>
        <v>0.0575</v>
      </c>
      <c r="AM112" s="162" t="n">
        <f aca="false">+AI112+AJ112+SUM(AK112:AL112)*SUM($J112*$J$37,$K112*$K$37,$L112*$L$37,$M112*$M$37,$N112*$N$37,$O112*$O$37)/1000</f>
        <v>1409.80668648687</v>
      </c>
      <c r="AO112" s="163" t="n">
        <f aca="false">IF($B112=" ",0,$AO$25)</f>
        <v>0.25</v>
      </c>
      <c r="AP112" s="159" t="n">
        <f aca="false">IF($B112=" ",0,AP$25*AP$28)</f>
        <v>0.03105</v>
      </c>
      <c r="AQ112" s="162" t="n">
        <f aca="false">SUM(AO112:AP112)*SUM(0)/1000</f>
        <v>0</v>
      </c>
      <c r="AS112" s="155" t="n">
        <f aca="false">IF($B112=" ",0,AS$25)</f>
        <v>1</v>
      </c>
      <c r="AT112" s="156" t="n">
        <f aca="false">IF($B112=" ",0,AT$25)</f>
        <v>1</v>
      </c>
      <c r="AU112" s="156" t="n">
        <f aca="false">IF($B112=" ",0,AU$25)</f>
        <v>2.3</v>
      </c>
      <c r="AV112" s="157" t="n">
        <f aca="false">+AS112*SUM(J112:K112)/1000</f>
        <v>0</v>
      </c>
      <c r="AW112" s="157" t="n">
        <f aca="false">+AT112*SUM(L112:M112)/1000</f>
        <v>0</v>
      </c>
      <c r="AX112" s="157" t="n">
        <f aca="false">+AU112*SUM(N112:O112)/1000</f>
        <v>11537.9859375</v>
      </c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</row>
    <row r="113" customFormat="false" ht="12.75" hidden="true" customHeight="false" outlineLevel="1" collapsed="false">
      <c r="A113" s="164" t="n">
        <f aca="false">+IF(B113=" ",A112,B113)</f>
        <v>38718</v>
      </c>
      <c r="B113" s="148" t="n">
        <f aca="false">IF(B112=" "," ",IF(EDATE(B112,1)&gt;=EndDate," ",EDATE(B112,1)))</f>
        <v>38718</v>
      </c>
      <c r="C113" s="149" t="n">
        <f aca="false">IF($B113&lt;&gt;" ",C112+1,C112)</f>
        <v>63</v>
      </c>
      <c r="D113" s="150" t="n">
        <f aca="false">C113/12</f>
        <v>5.25</v>
      </c>
      <c r="F113" s="157" t="n">
        <f aca="false">+SUM($T113:$U113)</f>
        <v>14883.5779284771</v>
      </c>
      <c r="G113" s="152" t="n">
        <f aca="false">-SUM($AA113,$AG113,$AM113,$AQ113,$AV113:$AX113)</f>
        <v>-16477.320002297</v>
      </c>
      <c r="H113" s="152" t="n">
        <f aca="false">+SUM(F113:G113)</f>
        <v>-1593.74207381993</v>
      </c>
      <c r="I113" s="124"/>
      <c r="J113" s="153" t="n">
        <f aca="false">+IF($B113=" ",0,IF(AND($B113&gt;=J$26,$B113&lt;J$28),J$33,0))</f>
        <v>0</v>
      </c>
      <c r="K113" s="153" t="n">
        <f aca="false">+IF($B113=" ",0,IF(AND($B113&gt;=K$26,$B113&lt;K$28),K$33,0))</f>
        <v>0</v>
      </c>
      <c r="L113" s="153" t="n">
        <f aca="false">+IF($B113=" ",0,IF(AND($B113&gt;=L$26,$B113&lt;L$28),L$33,0))</f>
        <v>0</v>
      </c>
      <c r="M113" s="153" t="n">
        <f aca="false">+IF($B113=" ",0,IF(AND($B113&gt;=M$26,$B113&lt;M$28),M$33,0))</f>
        <v>0</v>
      </c>
      <c r="N113" s="153" t="n">
        <f aca="false">+IF($B113=" ",0,IF(AND($B113&gt;=N$26,$B113&lt;N$28),N$33,0))</f>
        <v>0</v>
      </c>
      <c r="O113" s="154" t="n">
        <f aca="false">+IF($B113=" ",0,IF(AND($B113&gt;=O$26,$B113&lt;O$28),O$33,0))</f>
        <v>5016515.625</v>
      </c>
      <c r="Q113" s="83" t="n">
        <f aca="false">IF($B113=" ",0,IF($B113&lt;=DATE(2003,12,31),3.55,2.9))</f>
        <v>2.9</v>
      </c>
      <c r="R113" s="155" t="n">
        <f aca="false">IF($B113=" ",0,R$25)</f>
        <v>-0.07</v>
      </c>
      <c r="S113" s="156" t="n">
        <f aca="false">IF($B113=" ",0,S$25)</f>
        <v>0.1</v>
      </c>
      <c r="T113" s="157" t="n">
        <f aca="false">+SUM($Q113,$S113)/1000*(SUM($J113*$J$37,$K113*$K$37,$L113*$L$37,$M113*$M$37,$N113*$N$37,$O113*$O$37))</f>
        <v>14883.5779284771</v>
      </c>
      <c r="U113" s="157" t="n">
        <f aca="false">+SUM($Q113,$R113)/1000*(SUM(0))</f>
        <v>0</v>
      </c>
      <c r="W113" s="158" t="n">
        <f aca="false">IF($B113=" ",0,1)*(IF($B113&gt;=W$25,1,0)*IF($B113&lt;=W$29,W$27,IF($B113&lt;=W$33,W$31,0))*($D113-$D112)*365/1000)</f>
        <v>486.666666666665</v>
      </c>
      <c r="X113" s="158" t="n">
        <f aca="false">IF($B113=" ",0,IF($B113&gt;=X$25,IF($B113&lt;=X$29,X$27,IF($B113&lt;=X$33,X$31,X$31*(1+X$38)^(IF(X$36&gt;$B113,-1,1)*(YEARFRAC($B113,X$36)))))*($D113-$D112)*365/1000,0))</f>
        <v>387.431577544908</v>
      </c>
      <c r="Y113" s="159" t="n">
        <f aca="false">IF($B113=" ",0,Y$25*(1+Y$30)^(IF(Y$28&gt;$B113,-1,1)*(YEARFRAC($B113,Y$28))))</f>
        <v>0.486990795580228</v>
      </c>
      <c r="Z113" s="159" t="n">
        <f aca="false">IF($B113=" ",0,Z$25*(1+Z$30)^(IF(Z$28&gt;$B113,-1,1)*(YEARFRAC($B113,Z$28))))</f>
        <v>0.464895508203036</v>
      </c>
      <c r="AA113" s="162" t="n">
        <f aca="false">+W113+X113+Z113*SUM($J113*$J$37,$L113*$L$37,$N113*$N$37)/1000</f>
        <v>874.098244211573</v>
      </c>
      <c r="AB113" s="161"/>
      <c r="AC113" s="158" t="n">
        <f aca="false">IF($B113=" ",0,1)*(IF($B113&gt;=AC$25,1,0)*IF($B113&lt;=AC$29,AC$27,IF($B113&lt;=AC$33,AC$31,0))*($D113-$D112)*365/1000)</f>
        <v>1591.66666666666</v>
      </c>
      <c r="AD113" s="158" t="n">
        <f aca="false">IF($B113=" ",0,IF($B113&gt;=AD$25,IF($B113&lt;=AD$29,AD$27,IF($B113&lt;=AD$33,AD$31,AD$31*(1+AD$38)^(IF(AD$36&gt;$B113,-1,1)*(YEARFRAC($B113,AD$36)))))*($D113-$D112)*365/1000,0))</f>
        <v>344.898816787491</v>
      </c>
      <c r="AE113" s="159" t="n">
        <f aca="false">IF($B113=" ",0,AE$25*(1+AE$30)^(IF(AE$28&gt;$B113,-1,1)*(YEARFRAC($B113,AE$28))))</f>
        <v>0.403469299340814</v>
      </c>
      <c r="AF113" s="159" t="n">
        <f aca="false">IF($B113=" ",0,AF$25*(1+AF$30)^(IF(AF$28&gt;$B113,-1,1)*(YEARFRAC($B113,AF$28))))</f>
        <v>0.144763869606016</v>
      </c>
      <c r="AG113" s="162" t="n">
        <f aca="false">+AC113+AD113+AF113*SUM($K113*$K$37,$M113*$M$37,$O113*$O$37)/1000</f>
        <v>2654.7669282905</v>
      </c>
      <c r="AI113" s="158" t="n">
        <f aca="false">IF($B113=" ",0,1)*IF($B113&gt;=AI$33,AI$25*($D113-$D112),0)</f>
        <v>485.186570908332</v>
      </c>
      <c r="AJ113" s="158" t="n">
        <f aca="false">IF($B113=" ",0,IF($B113&gt;=AJ$33,AJ$25*(1+AJ$30)^(IF(AJ$28&gt;$B113,-1,1)*(YEARFRAC($B113,AJ$28)))*($D113-$D112),0))</f>
        <v>498.63210701689</v>
      </c>
      <c r="AK113" s="159" t="n">
        <f aca="false">IF($B113=" ",0,AK$25*(1+AK$30)^(IF(AK$28&gt;$B113,-1,1)*(YEARFRAC($B113,AK$28))))</f>
        <v>0.0284975100919972</v>
      </c>
      <c r="AL113" s="159" t="n">
        <f aca="false">IF($B113=" ",0,AL$25*AL$28)</f>
        <v>0.0575</v>
      </c>
      <c r="AM113" s="162" t="n">
        <f aca="false">+AI113+AJ113+SUM(AK113:AL113)*SUM($J113*$J$37,$K113*$K$37,$L113*$L$37,$M113*$M$37,$N113*$N$37,$O113*$O$37)/1000</f>
        <v>1410.46889229497</v>
      </c>
      <c r="AO113" s="163" t="n">
        <f aca="false">IF($B113=" ",0,$AO$25)</f>
        <v>0.25</v>
      </c>
      <c r="AP113" s="159" t="n">
        <f aca="false">IF($B113=" ",0,AP$25*AP$28)</f>
        <v>0.03105</v>
      </c>
      <c r="AQ113" s="162" t="n">
        <f aca="false">SUM(AO113:AP113)*SUM(0)/1000</f>
        <v>0</v>
      </c>
      <c r="AS113" s="155" t="n">
        <f aca="false">IF($B113=" ",0,AS$25)</f>
        <v>1</v>
      </c>
      <c r="AT113" s="156" t="n">
        <f aca="false">IF($B113=" ",0,AT$25)</f>
        <v>1</v>
      </c>
      <c r="AU113" s="156" t="n">
        <f aca="false">IF($B113=" ",0,AU$25)</f>
        <v>2.3</v>
      </c>
      <c r="AV113" s="157" t="n">
        <f aca="false">+AS113*SUM(J113:K113)/1000</f>
        <v>0</v>
      </c>
      <c r="AW113" s="157" t="n">
        <f aca="false">+AT113*SUM(L113:M113)/1000</f>
        <v>0</v>
      </c>
      <c r="AX113" s="157" t="n">
        <f aca="false">+AU113*SUM(N113:O113)/1000</f>
        <v>11537.9859375</v>
      </c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</row>
    <row r="114" customFormat="false" ht="12.75" hidden="true" customHeight="false" outlineLevel="1" collapsed="false">
      <c r="A114" s="164" t="n">
        <f aca="false">+IF(B114=" ",A113,B114)</f>
        <v>38749</v>
      </c>
      <c r="B114" s="148" t="n">
        <f aca="false">IF(B113=" "," ",IF(EDATE(B113,1)&gt;=EndDate," ",EDATE(B113,1)))</f>
        <v>38749</v>
      </c>
      <c r="C114" s="149" t="n">
        <f aca="false">IF($B114&lt;&gt;" ",C113+1,C113)</f>
        <v>64</v>
      </c>
      <c r="D114" s="150" t="n">
        <f aca="false">C114/12</f>
        <v>5.33333333333333</v>
      </c>
      <c r="F114" s="157" t="n">
        <f aca="false">+SUM($T114:$U114)</f>
        <v>14883.5779284771</v>
      </c>
      <c r="G114" s="152" t="n">
        <f aca="false">-SUM($AA114,$AG114,$AM114,$AQ114,$AV114:$AX114)</f>
        <v>-16479.9822939246</v>
      </c>
      <c r="H114" s="152" t="n">
        <f aca="false">+SUM(F114:G114)</f>
        <v>-1596.40436544745</v>
      </c>
      <c r="I114" s="124"/>
      <c r="J114" s="153" t="n">
        <f aca="false">+IF($B114=" ",0,IF(AND($B114&gt;=J$26,$B114&lt;J$28),J$33,0))</f>
        <v>0</v>
      </c>
      <c r="K114" s="153" t="n">
        <f aca="false">+IF($B114=" ",0,IF(AND($B114&gt;=K$26,$B114&lt;K$28),K$33,0))</f>
        <v>0</v>
      </c>
      <c r="L114" s="153" t="n">
        <f aca="false">+IF($B114=" ",0,IF(AND($B114&gt;=L$26,$B114&lt;L$28),L$33,0))</f>
        <v>0</v>
      </c>
      <c r="M114" s="153" t="n">
        <f aca="false">+IF($B114=" ",0,IF(AND($B114&gt;=M$26,$B114&lt;M$28),M$33,0))</f>
        <v>0</v>
      </c>
      <c r="N114" s="153" t="n">
        <f aca="false">+IF($B114=" ",0,IF(AND($B114&gt;=N$26,$B114&lt;N$28),N$33,0))</f>
        <v>0</v>
      </c>
      <c r="O114" s="154" t="n">
        <f aca="false">+IF($B114=" ",0,IF(AND($B114&gt;=O$26,$B114&lt;O$28),O$33,0))</f>
        <v>5016515.625</v>
      </c>
      <c r="Q114" s="83" t="n">
        <f aca="false">IF($B114=" ",0,IF($B114&lt;=DATE(2003,12,31),3.55,2.9))</f>
        <v>2.9</v>
      </c>
      <c r="R114" s="155" t="n">
        <f aca="false">IF($B114=" ",0,R$25)</f>
        <v>-0.07</v>
      </c>
      <c r="S114" s="156" t="n">
        <f aca="false">IF($B114=" ",0,S$25)</f>
        <v>0.1</v>
      </c>
      <c r="T114" s="157" t="n">
        <f aca="false">+SUM($Q114,$S114)/1000*(SUM($J114*$J$37,$K114*$K$37,$L114*$L$37,$M114*$M$37,$N114*$N$37,$O114*$O$37))</f>
        <v>14883.5779284771</v>
      </c>
      <c r="U114" s="157" t="n">
        <f aca="false">+SUM($Q114,$R114)/1000*(SUM(0))</f>
        <v>0</v>
      </c>
      <c r="W114" s="158" t="n">
        <f aca="false">IF($B114=" ",0,1)*(IF($B114&gt;=W$25,1,0)*IF($B114&lt;=W$29,W$27,IF($B114&lt;=W$33,W$31,0))*($D114-$D113)*365/1000)</f>
        <v>486.666666666665</v>
      </c>
      <c r="X114" s="158" t="n">
        <f aca="false">IF($B114=" ",0,IF($B114&gt;=X$25,IF($B114&lt;=X$29,X$27,IF($B114&lt;=X$33,X$31,X$31*(1+X$38)^(IF(X$36&gt;$B114,-1,1)*(YEARFRAC($B114,X$36)))))*($D114-$D113)*365/1000,0))</f>
        <v>387.965609720489</v>
      </c>
      <c r="Y114" s="159" t="n">
        <f aca="false">IF($B114=" ",0,Y$25*(1+Y$30)^(IF(Y$28&gt;$B114,-1,1)*(YEARFRAC($B114,Y$28))))</f>
        <v>0.487662059279743</v>
      </c>
      <c r="Z114" s="159" t="n">
        <f aca="false">IF($B114=" ",0,Z$25*(1+Z$30)^(IF(Z$28&gt;$B114,-1,1)*(YEARFRAC($B114,Z$28))))</f>
        <v>0.465536315958658</v>
      </c>
      <c r="AA114" s="162" t="n">
        <f aca="false">+W114+X114+Z114*SUM($J114*$J$37,$L114*$L$37,$N114*$N$37)/1000</f>
        <v>874.632276387154</v>
      </c>
      <c r="AB114" s="161"/>
      <c r="AC114" s="158" t="n">
        <f aca="false">IF($B114=" ",0,1)*(IF($B114&gt;=AC$25,1,0)*IF($B114&lt;=AC$29,AC$27,IF($B114&lt;=AC$33,AC$31,0))*($D114-$D113)*365/1000)</f>
        <v>1591.66666666666</v>
      </c>
      <c r="AD114" s="158" t="n">
        <f aca="false">IF($B114=" ",0,IF($B114&gt;=AD$25,IF($B114&lt;=AD$29,AD$27,IF($B114&lt;=AD$33,AD$31,AD$31*(1+AD$38)^(IF(AD$36&gt;$B114,-1,1)*(YEARFRAC($B114,AD$36)))))*($D114-$D113)*365/1000,0))</f>
        <v>345.374222191076</v>
      </c>
      <c r="AE114" s="159" t="n">
        <f aca="false">IF($B114=" ",0,AE$25*(1+AE$30)^(IF(AE$28&gt;$B114,-1,1)*(YEARFRAC($B114,AE$28))))</f>
        <v>0.404025437766784</v>
      </c>
      <c r="AF114" s="159" t="n">
        <f aca="false">IF($B114=" ",0,AF$25*(1+AF$30)^(IF(AF$28&gt;$B114,-1,1)*(YEARFRAC($B114,AF$28))))</f>
        <v>0.14496341081203</v>
      </c>
      <c r="AG114" s="162" t="n">
        <f aca="false">+AC114+AD114+AF114*SUM($K114*$K$37,$M114*$M$37,$O114*$O$37)/1000</f>
        <v>2656.2322960573</v>
      </c>
      <c r="AI114" s="158" t="n">
        <f aca="false">IF($B114=" ",0,1)*IF($B114&gt;=AI$33,AI$25*($D114-$D113),0)</f>
        <v>485.186570908332</v>
      </c>
      <c r="AJ114" s="158" t="n">
        <f aca="false">IF($B114=" ",0,IF($B114&gt;=AJ$33,AJ$25*(1+AJ$30)^(IF(AJ$28&gt;$B114,-1,1)*(YEARFRAC($B114,AJ$28)))*($D114-$D113),0))</f>
        <v>499.148563234533</v>
      </c>
      <c r="AK114" s="159" t="n">
        <f aca="false">IF($B114=" ",0,AK$25*(1+AK$30)^(IF(AK$28&gt;$B114,-1,1)*(YEARFRAC($B114,AK$28))))</f>
        <v>0.0285270262745038</v>
      </c>
      <c r="AL114" s="159" t="n">
        <f aca="false">IF($B114=" ",0,AL$25*AL$28)</f>
        <v>0.0575</v>
      </c>
      <c r="AM114" s="162" t="n">
        <f aca="false">+AI114+AJ114+SUM(AK114:AL114)*SUM($J114*$J$37,$K114*$K$37,$L114*$L$37,$M114*$M$37,$N114*$N$37,$O114*$O$37)/1000</f>
        <v>1411.13178398011</v>
      </c>
      <c r="AO114" s="163" t="n">
        <f aca="false">IF($B114=" ",0,$AO$25)</f>
        <v>0.25</v>
      </c>
      <c r="AP114" s="159" t="n">
        <f aca="false">IF($B114=" ",0,AP$25*AP$28)</f>
        <v>0.03105</v>
      </c>
      <c r="AQ114" s="162" t="n">
        <f aca="false">SUM(AO114:AP114)*SUM(0)/1000</f>
        <v>0</v>
      </c>
      <c r="AS114" s="155" t="n">
        <f aca="false">IF($B114=" ",0,AS$25)</f>
        <v>1</v>
      </c>
      <c r="AT114" s="156" t="n">
        <f aca="false">IF($B114=" ",0,AT$25)</f>
        <v>1</v>
      </c>
      <c r="AU114" s="156" t="n">
        <f aca="false">IF($B114=" ",0,AU$25)</f>
        <v>2.3</v>
      </c>
      <c r="AV114" s="157" t="n">
        <f aca="false">+AS114*SUM(J114:K114)/1000</f>
        <v>0</v>
      </c>
      <c r="AW114" s="157" t="n">
        <f aca="false">+AT114*SUM(L114:M114)/1000</f>
        <v>0</v>
      </c>
      <c r="AX114" s="157" t="n">
        <f aca="false">+AU114*SUM(N114:O114)/1000</f>
        <v>11537.9859375</v>
      </c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</row>
    <row r="115" customFormat="false" ht="12.75" hidden="true" customHeight="false" outlineLevel="1" collapsed="false">
      <c r="A115" s="164" t="n">
        <f aca="false">+IF(B115=" ",A114,B115)</f>
        <v>38777</v>
      </c>
      <c r="B115" s="148" t="n">
        <f aca="false">IF(B114=" "," ",IF(EDATE(B114,1)&gt;=EndDate," ",EDATE(B114,1)))</f>
        <v>38777</v>
      </c>
      <c r="C115" s="149" t="n">
        <f aca="false">IF($B115&lt;&gt;" ",C114+1,C114)</f>
        <v>65</v>
      </c>
      <c r="D115" s="150" t="n">
        <f aca="false">C115/12</f>
        <v>5.41666666666667</v>
      </c>
      <c r="F115" s="157" t="n">
        <f aca="false">+SUM($T115:$U115)</f>
        <v>14883.5779284771</v>
      </c>
      <c r="G115" s="152" t="n">
        <f aca="false">-SUM($AA115,$AG115,$AM115,$AQ115,$AV115:$AX115)</f>
        <v>-16482.6480280943</v>
      </c>
      <c r="H115" s="152" t="n">
        <f aca="false">+SUM(F115:G115)</f>
        <v>-1599.07009961719</v>
      </c>
      <c r="I115" s="124"/>
      <c r="J115" s="153" t="n">
        <f aca="false">+IF($B115=" ",0,IF(AND($B115&gt;=J$26,$B115&lt;J$28),J$33,0))</f>
        <v>0</v>
      </c>
      <c r="K115" s="153" t="n">
        <f aca="false">+IF($B115=" ",0,IF(AND($B115&gt;=K$26,$B115&lt;K$28),K$33,0))</f>
        <v>0</v>
      </c>
      <c r="L115" s="153" t="n">
        <f aca="false">+IF($B115=" ",0,IF(AND($B115&gt;=L$26,$B115&lt;L$28),L$33,0))</f>
        <v>0</v>
      </c>
      <c r="M115" s="153" t="n">
        <f aca="false">+IF($B115=" ",0,IF(AND($B115&gt;=M$26,$B115&lt;M$28),M$33,0))</f>
        <v>0</v>
      </c>
      <c r="N115" s="153" t="n">
        <f aca="false">+IF($B115=" ",0,IF(AND($B115&gt;=N$26,$B115&lt;N$28),N$33,0))</f>
        <v>0</v>
      </c>
      <c r="O115" s="154" t="n">
        <f aca="false">+IF($B115=" ",0,IF(AND($B115&gt;=O$26,$B115&lt;O$28),O$33,0))</f>
        <v>5016515.625</v>
      </c>
      <c r="Q115" s="83" t="n">
        <f aca="false">IF($B115=" ",0,IF($B115&lt;=DATE(2003,12,31),3.55,2.9))</f>
        <v>2.9</v>
      </c>
      <c r="R115" s="155" t="n">
        <f aca="false">IF($B115=" ",0,R$25)</f>
        <v>-0.07</v>
      </c>
      <c r="S115" s="156" t="n">
        <f aca="false">IF($B115=" ",0,S$25)</f>
        <v>0.1</v>
      </c>
      <c r="T115" s="157" t="n">
        <f aca="false">+SUM($Q115,$S115)/1000*(SUM($J115*$J$37,$K115*$K$37,$L115*$L$37,$M115*$M$37,$N115*$N$37,$O115*$O$37))</f>
        <v>14883.5779284771</v>
      </c>
      <c r="U115" s="157" t="n">
        <f aca="false">+SUM($Q115,$R115)/1000*(SUM(0))</f>
        <v>0</v>
      </c>
      <c r="W115" s="158" t="n">
        <f aca="false">IF($B115=" ",0,1)*(IF($B115&gt;=W$25,1,0)*IF($B115&lt;=W$29,W$27,IF($B115&lt;=W$33,W$31,0))*($D115-$D114)*365/1000)</f>
        <v>486.66666666667</v>
      </c>
      <c r="X115" s="158" t="n">
        <f aca="false">IF($B115=" ",0,IF($B115&gt;=X$25,IF($B115&lt;=X$29,X$27,IF($B115&lt;=X$33,X$31,X$31*(1+X$38)^(IF(X$36&gt;$B115,-1,1)*(YEARFRAC($B115,X$36)))))*($D115-$D114)*365/1000,0))</f>
        <v>388.500378001185</v>
      </c>
      <c r="Y115" s="159" t="n">
        <f aca="false">IF($B115=" ",0,Y$25*(1+Y$30)^(IF(Y$28&gt;$B115,-1,1)*(YEARFRAC($B115,Y$28))))</f>
        <v>0.488334248243058</v>
      </c>
      <c r="Z115" s="159" t="n">
        <f aca="false">IF($B115=" ",0,Z$25*(1+Z$30)^(IF(Z$28&gt;$B115,-1,1)*(YEARFRAC($B115,Z$28))))</f>
        <v>0.466178006997883</v>
      </c>
      <c r="AA115" s="162" t="n">
        <f aca="false">+W115+X115+Z115*SUM($J115*$J$37,$L115*$L$37,$N115*$N$37)/1000</f>
        <v>875.167044667855</v>
      </c>
      <c r="AB115" s="161"/>
      <c r="AC115" s="158" t="n">
        <f aca="false">IF($B115=" ",0,1)*(IF($B115&gt;=AC$25,1,0)*IF($B115&lt;=AC$29,AC$27,IF($B115&lt;=AC$33,AC$31,0))*($D115-$D114)*365/1000)</f>
        <v>1591.66666666668</v>
      </c>
      <c r="AD115" s="158" t="n">
        <f aca="false">IF($B115=" ",0,IF($B115&gt;=AD$25,IF($B115&lt;=AD$29,AD$27,IF($B115&lt;=AD$33,AD$31,AD$31*(1+AD$38)^(IF(AD$36&gt;$B115,-1,1)*(YEARFRAC($B115,AD$36)))))*($D115-$D114)*365/1000,0))</f>
        <v>345.850282889165</v>
      </c>
      <c r="AE115" s="159" t="n">
        <f aca="false">IF($B115=" ",0,AE$25*(1+AE$30)^(IF(AE$28&gt;$B115,-1,1)*(YEARFRAC($B115,AE$28))))</f>
        <v>0.404582342768921</v>
      </c>
      <c r="AF115" s="159" t="n">
        <f aca="false">IF($B115=" ",0,AF$25*(1+AF$30)^(IF(AF$28&gt;$B115,-1,1)*(YEARFRAC($B115,AF$28))))</f>
        <v>0.145163227063834</v>
      </c>
      <c r="AG115" s="162" t="n">
        <f aca="false">+AC115+AD115+AF115*SUM($K115*$K$37,$M115*$M$37,$O115*$O$37)/1000</f>
        <v>2657.69968367377</v>
      </c>
      <c r="AI115" s="158" t="n">
        <f aca="false">IF($B115=" ",0,1)*IF($B115&gt;=AI$33,AI$25*($D115-$D114),0)</f>
        <v>485.186570908337</v>
      </c>
      <c r="AJ115" s="158" t="n">
        <f aca="false">IF($B115=" ",0,IF($B115&gt;=AJ$33,AJ$25*(1+AJ$30)^(IF(AJ$28&gt;$B115,-1,1)*(YEARFRAC($B115,AJ$28)))*($D115-$D114),0))</f>
        <v>499.665554369651</v>
      </c>
      <c r="AK115" s="159" t="n">
        <f aca="false">IF($B115=" ",0,AK$25*(1+AK$30)^(IF(AK$28&gt;$B115,-1,1)*(YEARFRAC($B115,AK$28))))</f>
        <v>0.0285565730282788</v>
      </c>
      <c r="AL115" s="159" t="n">
        <f aca="false">IF($B115=" ",0,AL$25*AL$28)</f>
        <v>0.0575</v>
      </c>
      <c r="AM115" s="162" t="n">
        <f aca="false">+AI115+AJ115+SUM(AK115:AL115)*SUM($J115*$J$37,$K115*$K$37,$L115*$L$37,$M115*$M$37,$N115*$N$37,$O115*$O$37)/1000</f>
        <v>1411.79536225268</v>
      </c>
      <c r="AO115" s="163" t="n">
        <f aca="false">IF($B115=" ",0,$AO$25)</f>
        <v>0.25</v>
      </c>
      <c r="AP115" s="159" t="n">
        <f aca="false">IF($B115=" ",0,AP$25*AP$28)</f>
        <v>0.03105</v>
      </c>
      <c r="AQ115" s="162" t="n">
        <f aca="false">SUM(AO115:AP115)*SUM(0)/1000</f>
        <v>0</v>
      </c>
      <c r="AS115" s="155" t="n">
        <f aca="false">IF($B115=" ",0,AS$25)</f>
        <v>1</v>
      </c>
      <c r="AT115" s="156" t="n">
        <f aca="false">IF($B115=" ",0,AT$25)</f>
        <v>1</v>
      </c>
      <c r="AU115" s="156" t="n">
        <f aca="false">IF($B115=" ",0,AU$25)</f>
        <v>2.3</v>
      </c>
      <c r="AV115" s="157" t="n">
        <f aca="false">+AS115*SUM(J115:K115)/1000</f>
        <v>0</v>
      </c>
      <c r="AW115" s="157" t="n">
        <f aca="false">+AT115*SUM(L115:M115)/1000</f>
        <v>0</v>
      </c>
      <c r="AX115" s="157" t="n">
        <f aca="false">+AU115*SUM(N115:O115)/1000</f>
        <v>11537.9859375</v>
      </c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</row>
    <row r="116" customFormat="false" ht="12.75" hidden="true" customHeight="false" outlineLevel="1" collapsed="false">
      <c r="A116" s="164" t="n">
        <f aca="false">+IF(B116=" ",A115,B116)</f>
        <v>38808</v>
      </c>
      <c r="B116" s="148" t="n">
        <f aca="false">IF(B115=" "," ",IF(EDATE(B115,1)&gt;=EndDate," ",EDATE(B115,1)))</f>
        <v>38808</v>
      </c>
      <c r="C116" s="149" t="n">
        <f aca="false">IF($B116&lt;&gt;" ",C115+1,C115)</f>
        <v>66</v>
      </c>
      <c r="D116" s="150" t="n">
        <f aca="false">C116/12</f>
        <v>5.5</v>
      </c>
      <c r="F116" s="157" t="n">
        <f aca="false">+SUM($T116:$U116)</f>
        <v>14883.5779284771</v>
      </c>
      <c r="G116" s="152" t="n">
        <f aca="false">-SUM($AA116,$AG116,$AM116,$AQ116,$AV116:$AX116)</f>
        <v>-16485.3172093161</v>
      </c>
      <c r="H116" s="152" t="n">
        <f aca="false">+SUM(F116:G116)</f>
        <v>-1601.73928083896</v>
      </c>
      <c r="I116" s="124"/>
      <c r="J116" s="153" t="n">
        <f aca="false">+IF($B116=" ",0,IF(AND($B116&gt;=J$26,$B116&lt;J$28),J$33,0))</f>
        <v>0</v>
      </c>
      <c r="K116" s="153" t="n">
        <f aca="false">+IF($B116=" ",0,IF(AND($B116&gt;=K$26,$B116&lt;K$28),K$33,0))</f>
        <v>0</v>
      </c>
      <c r="L116" s="153" t="n">
        <f aca="false">+IF($B116=" ",0,IF(AND($B116&gt;=L$26,$B116&lt;L$28),L$33,0))</f>
        <v>0</v>
      </c>
      <c r="M116" s="153" t="n">
        <f aca="false">+IF($B116=" ",0,IF(AND($B116&gt;=M$26,$B116&lt;M$28),M$33,0))</f>
        <v>0</v>
      </c>
      <c r="N116" s="153" t="n">
        <f aca="false">+IF($B116=" ",0,IF(AND($B116&gt;=N$26,$B116&lt;N$28),N$33,0))</f>
        <v>0</v>
      </c>
      <c r="O116" s="154" t="n">
        <f aca="false">+IF($B116=" ",0,IF(AND($B116&gt;=O$26,$B116&lt;O$28),O$33,0))</f>
        <v>5016515.625</v>
      </c>
      <c r="Q116" s="83" t="n">
        <f aca="false">IF($B116=" ",0,IF($B116&lt;=DATE(2003,12,31),3.55,2.9))</f>
        <v>2.9</v>
      </c>
      <c r="R116" s="155" t="n">
        <f aca="false">IF($B116=" ",0,R$25)</f>
        <v>-0.07</v>
      </c>
      <c r="S116" s="156" t="n">
        <f aca="false">IF($B116=" ",0,S$25)</f>
        <v>0.1</v>
      </c>
      <c r="T116" s="157" t="n">
        <f aca="false">+SUM($Q116,$S116)/1000*(SUM($J116*$J$37,$K116*$K$37,$L116*$L$37,$M116*$M$37,$N116*$N$37,$O116*$O$37))</f>
        <v>14883.5779284771</v>
      </c>
      <c r="U116" s="157" t="n">
        <f aca="false">+SUM($Q116,$R116)/1000*(SUM(0))</f>
        <v>0</v>
      </c>
      <c r="W116" s="158" t="n">
        <f aca="false">IF($B116=" ",0,1)*(IF($B116&gt;=W$25,1,0)*IF($B116&lt;=W$29,W$27,IF($B116&lt;=W$33,W$31,0))*($D116-$D115)*365/1000)</f>
        <v>486.666666666665</v>
      </c>
      <c r="X116" s="158" t="n">
        <f aca="false">IF($B116=" ",0,IF($B116&gt;=X$25,IF($B116&lt;=X$29,X$27,IF($B116&lt;=X$33,X$31,X$31*(1+X$38)^(IF(X$36&gt;$B116,-1,1)*(YEARFRAC($B116,X$36)))))*($D116-$D115)*365/1000,0))</f>
        <v>389.035883401625</v>
      </c>
      <c r="Y116" s="159" t="n">
        <f aca="false">IF($B116=" ",0,Y$25*(1+Y$30)^(IF(Y$28&gt;$B116,-1,1)*(YEARFRAC($B116,Y$28))))</f>
        <v>0.489007363745548</v>
      </c>
      <c r="Z116" s="159" t="n">
        <f aca="false">IF($B116=" ",0,Z$25*(1+Z$30)^(IF(Z$28&gt;$B116,-1,1)*(YEARFRAC($B116,Z$28))))</f>
        <v>0.466820582538221</v>
      </c>
      <c r="AA116" s="162" t="n">
        <f aca="false">+W116+X116+Z116*SUM($J116*$J$37,$L116*$L$37,$N116*$N$37)/1000</f>
        <v>875.70255006829</v>
      </c>
      <c r="AB116" s="161"/>
      <c r="AC116" s="158" t="n">
        <f aca="false">IF($B116=" ",0,1)*(IF($B116&gt;=AC$25,1,0)*IF($B116&lt;=AC$29,AC$27,IF($B116&lt;=AC$33,AC$31,0))*($D116-$D115)*365/1000)</f>
        <v>1591.66666666666</v>
      </c>
      <c r="AD116" s="158" t="n">
        <f aca="false">IF($B116=" ",0,IF($B116&gt;=AD$25,IF($B116&lt;=AD$29,AD$27,IF($B116&lt;=AD$33,AD$31,AD$31*(1+AD$38)^(IF(AD$36&gt;$B116,-1,1)*(YEARFRAC($B116,AD$36)))))*($D116-$D115)*365/1000,0))</f>
        <v>346.326999784999</v>
      </c>
      <c r="AE116" s="159" t="n">
        <f aca="false">IF($B116=" ",0,AE$25*(1+AE$30)^(IF(AE$28&gt;$B116,-1,1)*(YEARFRAC($B116,AE$28))))</f>
        <v>0.405140015403867</v>
      </c>
      <c r="AF116" s="159" t="n">
        <f aca="false">IF($B116=" ",0,AF$25*(1+AF$30)^(IF(AF$28&gt;$B116,-1,1)*(YEARFRAC($B116,AF$28))))</f>
        <v>0.145363318740549</v>
      </c>
      <c r="AG116" s="162" t="n">
        <f aca="false">+AC116+AD116+AF116*SUM($K116*$K$37,$M116*$M$37,$O116*$O$37)/1000</f>
        <v>2659.169093924</v>
      </c>
      <c r="AI116" s="158" t="n">
        <f aca="false">IF($B116=" ",0,1)*IF($B116&gt;=AI$33,AI$25*($D116-$D115),0)</f>
        <v>485.186570908332</v>
      </c>
      <c r="AJ116" s="158" t="n">
        <f aca="false">IF($B116=" ",0,IF($B116&gt;=AJ$33,AJ$25*(1+AJ$30)^(IF(AJ$28&gt;$B116,-1,1)*(YEARFRAC($B116,AJ$28)))*($D116-$D115),0))</f>
        <v>500.183080976266</v>
      </c>
      <c r="AK116" s="159" t="n">
        <f aca="false">IF($B116=" ",0,AK$25*(1+AK$30)^(IF(AK$28&gt;$B116,-1,1)*(YEARFRAC($B116,AK$28))))</f>
        <v>0.0285861503849863</v>
      </c>
      <c r="AL116" s="159" t="n">
        <f aca="false">IF($B116=" ",0,AL$25*AL$28)</f>
        <v>0.0575</v>
      </c>
      <c r="AM116" s="162" t="n">
        <f aca="false">+AI116+AJ116+SUM(AK116:AL116)*SUM($J116*$J$37,$K116*$K$37,$L116*$L$37,$M116*$M$37,$N116*$N$37,$O116*$O$37)/1000</f>
        <v>1412.45962782378</v>
      </c>
      <c r="AO116" s="163" t="n">
        <f aca="false">IF($B116=" ",0,$AO$25)</f>
        <v>0.25</v>
      </c>
      <c r="AP116" s="159" t="n">
        <f aca="false">IF($B116=" ",0,AP$25*AP$28)</f>
        <v>0.03105</v>
      </c>
      <c r="AQ116" s="162" t="n">
        <f aca="false">SUM(AO116:AP116)*SUM(0)/1000</f>
        <v>0</v>
      </c>
      <c r="AS116" s="155" t="n">
        <f aca="false">IF($B116=" ",0,AS$25)</f>
        <v>1</v>
      </c>
      <c r="AT116" s="156" t="n">
        <f aca="false">IF($B116=" ",0,AT$25)</f>
        <v>1</v>
      </c>
      <c r="AU116" s="156" t="n">
        <f aca="false">IF($B116=" ",0,AU$25)</f>
        <v>2.3</v>
      </c>
      <c r="AV116" s="157" t="n">
        <f aca="false">+AS116*SUM(J116:K116)/1000</f>
        <v>0</v>
      </c>
      <c r="AW116" s="157" t="n">
        <f aca="false">+AT116*SUM(L116:M116)/1000</f>
        <v>0</v>
      </c>
      <c r="AX116" s="157" t="n">
        <f aca="false">+AU116*SUM(N116:O116)/1000</f>
        <v>11537.9859375</v>
      </c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</row>
    <row r="117" customFormat="false" ht="12.75" hidden="true" customHeight="false" outlineLevel="1" collapsed="false">
      <c r="A117" s="164" t="n">
        <f aca="false">+IF(B117=" ",A116,B117)</f>
        <v>38838</v>
      </c>
      <c r="B117" s="148" t="n">
        <f aca="false">IF(B116=" "," ",IF(EDATE(B116,1)&gt;=EndDate," ",EDATE(B116,1)))</f>
        <v>38838</v>
      </c>
      <c r="C117" s="149" t="n">
        <f aca="false">IF($B117&lt;&gt;" ",C116+1,C116)</f>
        <v>67</v>
      </c>
      <c r="D117" s="150" t="n">
        <f aca="false">C117/12</f>
        <v>5.58333333333333</v>
      </c>
      <c r="F117" s="157" t="n">
        <f aca="false">+SUM($T117:$U117)</f>
        <v>14883.5779284771</v>
      </c>
      <c r="G117" s="152" t="n">
        <f aca="false">-SUM($AA117,$AG117,$AM117,$AQ117,$AV117:$AX117)</f>
        <v>-16487.9898421059</v>
      </c>
      <c r="H117" s="152" t="n">
        <f aca="false">+SUM(F117:G117)</f>
        <v>-1604.41191362874</v>
      </c>
      <c r="I117" s="124"/>
      <c r="J117" s="153" t="n">
        <f aca="false">+IF($B117=" ",0,IF(AND($B117&gt;=J$26,$B117&lt;J$28),J$33,0))</f>
        <v>0</v>
      </c>
      <c r="K117" s="153" t="n">
        <f aca="false">+IF($B117=" ",0,IF(AND($B117&gt;=K$26,$B117&lt;K$28),K$33,0))</f>
        <v>0</v>
      </c>
      <c r="L117" s="153" t="n">
        <f aca="false">+IF($B117=" ",0,IF(AND($B117&gt;=L$26,$B117&lt;L$28),L$33,0))</f>
        <v>0</v>
      </c>
      <c r="M117" s="153" t="n">
        <f aca="false">+IF($B117=" ",0,IF(AND($B117&gt;=M$26,$B117&lt;M$28),M$33,0))</f>
        <v>0</v>
      </c>
      <c r="N117" s="153" t="n">
        <f aca="false">+IF($B117=" ",0,IF(AND($B117&gt;=N$26,$B117&lt;N$28),N$33,0))</f>
        <v>0</v>
      </c>
      <c r="O117" s="154" t="n">
        <f aca="false">+IF($B117=" ",0,IF(AND($B117&gt;=O$26,$B117&lt;O$28),O$33,0))</f>
        <v>5016515.625</v>
      </c>
      <c r="Q117" s="83" t="n">
        <f aca="false">IF($B117=" ",0,IF($B117&lt;=DATE(2003,12,31),3.55,2.9))</f>
        <v>2.9</v>
      </c>
      <c r="R117" s="155" t="n">
        <f aca="false">IF($B117=" ",0,R$25)</f>
        <v>-0.07</v>
      </c>
      <c r="S117" s="156" t="n">
        <f aca="false">IF($B117=" ",0,S$25)</f>
        <v>0.1</v>
      </c>
      <c r="T117" s="157" t="n">
        <f aca="false">+SUM($Q117,$S117)/1000*(SUM($J117*$J$37,$K117*$K$37,$L117*$L$37,$M117*$M$37,$N117*$N$37,$O117*$O$37))</f>
        <v>14883.5779284771</v>
      </c>
      <c r="U117" s="157" t="n">
        <f aca="false">+SUM($Q117,$R117)/1000*(SUM(0))</f>
        <v>0</v>
      </c>
      <c r="W117" s="158" t="n">
        <f aca="false">IF($B117=" ",0,1)*(IF($B117&gt;=W$25,1,0)*IF($B117&lt;=W$29,W$27,IF($B117&lt;=W$33,W$31,0))*($D117-$D116)*365/1000)</f>
        <v>486.666666666665</v>
      </c>
      <c r="X117" s="158" t="n">
        <f aca="false">IF($B117=" ",0,IF($B117&gt;=X$25,IF($B117&lt;=X$29,X$27,IF($B117&lt;=X$33,X$31,X$31*(1+X$38)^(IF(X$36&gt;$B117,-1,1)*(YEARFRAC($B117,X$36)))))*($D117-$D116)*365/1000,0))</f>
        <v>389.572126937861</v>
      </c>
      <c r="Y117" s="159" t="n">
        <f aca="false">IF($B117=" ",0,Y$25*(1+Y$30)^(IF(Y$28&gt;$B117,-1,1)*(YEARFRAC($B117,Y$28))))</f>
        <v>0.489681407064348</v>
      </c>
      <c r="Z117" s="159" t="n">
        <f aca="false">IF($B117=" ",0,Z$25*(1+Z$30)^(IF(Z$28&gt;$B117,-1,1)*(YEARFRAC($B117,Z$28))))</f>
        <v>0.467464043798861</v>
      </c>
      <c r="AA117" s="162" t="n">
        <f aca="false">+W117+X117+Z117*SUM($J117*$J$37,$L117*$L$37,$N117*$N$37)/1000</f>
        <v>876.238793604526</v>
      </c>
      <c r="AB117" s="161"/>
      <c r="AC117" s="158" t="n">
        <f aca="false">IF($B117=" ",0,1)*(IF($B117&gt;=AC$25,1,0)*IF($B117&lt;=AC$29,AC$27,IF($B117&lt;=AC$33,AC$31,0))*($D117-$D116)*365/1000)</f>
        <v>1591.66666666666</v>
      </c>
      <c r="AD117" s="158" t="n">
        <f aca="false">IF($B117=" ",0,IF($B117&gt;=AD$25,IF($B117&lt;=AD$29,AD$27,IF($B117&lt;=AD$33,AD$31,AD$31*(1+AD$38)^(IF(AD$36&gt;$B117,-1,1)*(YEARFRAC($B117,AD$36)))))*($D117-$D116)*365/1000,0))</f>
        <v>346.804373783085</v>
      </c>
      <c r="AE117" s="159" t="n">
        <f aca="false">IF($B117=" ",0,AE$25*(1+AE$30)^(IF(AE$28&gt;$B117,-1,1)*(YEARFRAC($B117,AE$28))))</f>
        <v>0.405698456729718</v>
      </c>
      <c r="AF117" s="159" t="n">
        <f aca="false">IF($B117=" ",0,AF$25*(1+AF$30)^(IF(AF$28&gt;$B117,-1,1)*(YEARFRAC($B117,AF$28))))</f>
        <v>0.145563686221818</v>
      </c>
      <c r="AG117" s="162" t="n">
        <f aca="false">+AC117+AD117+AF117*SUM($K117*$K$37,$M117*$M$37,$O117*$O$37)/1000</f>
        <v>2660.64052959602</v>
      </c>
      <c r="AI117" s="158" t="n">
        <f aca="false">IF($B117=" ",0,1)*IF($B117&gt;=AI$33,AI$25*($D117-$D116),0)</f>
        <v>485.186570908332</v>
      </c>
      <c r="AJ117" s="158" t="n">
        <f aca="false">IF($B117=" ",0,IF($B117&gt;=AJ$33,AJ$25*(1+AJ$30)^(IF(AJ$28&gt;$B117,-1,1)*(YEARFRAC($B117,AJ$28)))*($D117-$D116),0))</f>
        <v>500.701143609007</v>
      </c>
      <c r="AK117" s="159" t="n">
        <f aca="false">IF($B117=" ",0,AK$25*(1+AK$30)^(IF(AK$28&gt;$B117,-1,1)*(YEARFRAC($B117,AK$28))))</f>
        <v>0.0286157583763231</v>
      </c>
      <c r="AL117" s="159" t="n">
        <f aca="false">IF($B117=" ",0,AL$25*AL$28)</f>
        <v>0.0575</v>
      </c>
      <c r="AM117" s="162" t="n">
        <f aca="false">+AI117+AJ117+SUM(AK117:AL117)*SUM($J117*$J$37,$K117*$K$37,$L117*$L$37,$M117*$M$37,$N117*$N$37,$O117*$O$37)/1000</f>
        <v>1413.12458140531</v>
      </c>
      <c r="AO117" s="163" t="n">
        <f aca="false">IF($B117=" ",0,$AO$25)</f>
        <v>0.25</v>
      </c>
      <c r="AP117" s="159" t="n">
        <f aca="false">IF($B117=" ",0,AP$25*AP$28)</f>
        <v>0.03105</v>
      </c>
      <c r="AQ117" s="162" t="n">
        <f aca="false">SUM(AO117:AP117)*SUM(0)/1000</f>
        <v>0</v>
      </c>
      <c r="AS117" s="155" t="n">
        <f aca="false">IF($B117=" ",0,AS$25)</f>
        <v>1</v>
      </c>
      <c r="AT117" s="156" t="n">
        <f aca="false">IF($B117=" ",0,AT$25)</f>
        <v>1</v>
      </c>
      <c r="AU117" s="156" t="n">
        <f aca="false">IF($B117=" ",0,AU$25)</f>
        <v>2.3</v>
      </c>
      <c r="AV117" s="157" t="n">
        <f aca="false">+AS117*SUM(J117:K117)/1000</f>
        <v>0</v>
      </c>
      <c r="AW117" s="157" t="n">
        <f aca="false">+AT117*SUM(L117:M117)/1000</f>
        <v>0</v>
      </c>
      <c r="AX117" s="157" t="n">
        <f aca="false">+AU117*SUM(N117:O117)/1000</f>
        <v>11537.9859375</v>
      </c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</row>
    <row r="118" customFormat="false" ht="12.75" hidden="true" customHeight="false" outlineLevel="1" collapsed="false">
      <c r="A118" s="164" t="n">
        <f aca="false">+IF(B118=" ",A117,B118)</f>
        <v>38869</v>
      </c>
      <c r="B118" s="148" t="n">
        <f aca="false">IF(B117=" "," ",IF(EDATE(B117,1)&gt;=EndDate," ",EDATE(B117,1)))</f>
        <v>38869</v>
      </c>
      <c r="C118" s="149" t="n">
        <f aca="false">IF($B118&lt;&gt;" ",C117+1,C117)</f>
        <v>68</v>
      </c>
      <c r="D118" s="150" t="n">
        <f aca="false">C118/12</f>
        <v>5.66666666666667</v>
      </c>
      <c r="F118" s="157" t="n">
        <f aca="false">+SUM($T118:$U118)</f>
        <v>14883.5779284771</v>
      </c>
      <c r="G118" s="152" t="n">
        <f aca="false">-SUM($AA118,$AG118,$AM118,$AQ118,$AV118:$AX118)</f>
        <v>-16490.6659309855</v>
      </c>
      <c r="H118" s="152" t="n">
        <f aca="false">+SUM(F118:G118)</f>
        <v>-1607.08800250842</v>
      </c>
      <c r="I118" s="124"/>
      <c r="J118" s="153" t="n">
        <f aca="false">+IF($B118=" ",0,IF(AND($B118&gt;=J$26,$B118&lt;J$28),J$33,0))</f>
        <v>0</v>
      </c>
      <c r="K118" s="153" t="n">
        <f aca="false">+IF($B118=" ",0,IF(AND($B118&gt;=K$26,$B118&lt;K$28),K$33,0))</f>
        <v>0</v>
      </c>
      <c r="L118" s="153" t="n">
        <f aca="false">+IF($B118=" ",0,IF(AND($B118&gt;=L$26,$B118&lt;L$28),L$33,0))</f>
        <v>0</v>
      </c>
      <c r="M118" s="153" t="n">
        <f aca="false">+IF($B118=" ",0,IF(AND($B118&gt;=M$26,$B118&lt;M$28),M$33,0))</f>
        <v>0</v>
      </c>
      <c r="N118" s="153" t="n">
        <f aca="false">+IF($B118=" ",0,IF(AND($B118&gt;=N$26,$B118&lt;N$28),N$33,0))</f>
        <v>0</v>
      </c>
      <c r="O118" s="154" t="n">
        <f aca="false">+IF($B118=" ",0,IF(AND($B118&gt;=O$26,$B118&lt;O$28),O$33,0))</f>
        <v>5016515.625</v>
      </c>
      <c r="Q118" s="83" t="n">
        <f aca="false">IF($B118=" ",0,IF($B118&lt;=DATE(2003,12,31),3.55,2.9))</f>
        <v>2.9</v>
      </c>
      <c r="R118" s="155" t="n">
        <f aca="false">IF($B118=" ",0,R$25)</f>
        <v>-0.07</v>
      </c>
      <c r="S118" s="156" t="n">
        <f aca="false">IF($B118=" ",0,S$25)</f>
        <v>0.1</v>
      </c>
      <c r="T118" s="157" t="n">
        <f aca="false">+SUM($Q118,$S118)/1000*(SUM($J118*$J$37,$K118*$K$37,$L118*$L$37,$M118*$M$37,$N118*$N$37,$O118*$O$37))</f>
        <v>14883.5779284771</v>
      </c>
      <c r="U118" s="157" t="n">
        <f aca="false">+SUM($Q118,$R118)/1000*(SUM(0))</f>
        <v>0</v>
      </c>
      <c r="W118" s="158" t="n">
        <f aca="false">IF($B118=" ",0,1)*(IF($B118&gt;=W$25,1,0)*IF($B118&lt;=W$29,W$27,IF($B118&lt;=W$33,W$31,0))*($D118-$D117)*365/1000)</f>
        <v>486.66666666667</v>
      </c>
      <c r="X118" s="158" t="n">
        <f aca="false">IF($B118=" ",0,IF($B118&gt;=X$25,IF($B118&lt;=X$29,X$27,IF($B118&lt;=X$33,X$31,X$31*(1+X$38)^(IF(X$36&gt;$B118,-1,1)*(YEARFRAC($B118,X$36)))))*($D118-$D117)*365/1000,0))</f>
        <v>390.109109627332</v>
      </c>
      <c r="Y118" s="159" t="n">
        <f aca="false">IF($B118=" ",0,Y$25*(1+Y$30)^(IF(Y$28&gt;$B118,-1,1)*(YEARFRAC($B118,Y$28))))</f>
        <v>0.49035637947835</v>
      </c>
      <c r="Z118" s="159" t="n">
        <f aca="false">IF($B118=" ",0,Z$25*(1+Z$30)^(IF(Z$28&gt;$B118,-1,1)*(YEARFRAC($B118,Z$28))))</f>
        <v>0.468108392000672</v>
      </c>
      <c r="AA118" s="162" t="n">
        <f aca="false">+W118+X118+Z118*SUM($J118*$J$37,$L118*$L$37,$N118*$N$37)/1000</f>
        <v>876.775776294002</v>
      </c>
      <c r="AB118" s="161"/>
      <c r="AC118" s="158" t="n">
        <f aca="false">IF($B118=" ",0,1)*(IF($B118&gt;=AC$25,1,0)*IF($B118&lt;=AC$29,AC$27,IF($B118&lt;=AC$33,AC$31,0))*($D118-$D117)*365/1000)</f>
        <v>1591.66666666668</v>
      </c>
      <c r="AD118" s="158" t="n">
        <f aca="false">IF($B118=" ",0,IF($B118&gt;=AD$25,IF($B118&lt;=AD$29,AD$27,IF($B118&lt;=AD$33,AD$31,AD$31*(1+AD$38)^(IF(AD$36&gt;$B118,-1,1)*(YEARFRAC($B118,AD$36)))))*($D118-$D117)*365/1000,0))</f>
        <v>347.282405789169</v>
      </c>
      <c r="AE118" s="159" t="n">
        <f aca="false">IF($B118=" ",0,AE$25*(1+AE$30)^(IF(AE$28&gt;$B118,-1,1)*(YEARFRAC($B118,AE$28))))</f>
        <v>0.406257667806033</v>
      </c>
      <c r="AF118" s="159" t="n">
        <f aca="false">IF($B118=" ",0,AF$25*(1+AF$30)^(IF(AF$28&gt;$B118,-1,1)*(YEARFRAC($B118,AF$28))))</f>
        <v>0.145764329887807</v>
      </c>
      <c r="AG118" s="162" t="n">
        <f aca="false">+AC118+AD118+AF118*SUM($K118*$K$37,$M118*$M$37,$O118*$O$37)/1000</f>
        <v>2662.11399348165</v>
      </c>
      <c r="AI118" s="158" t="n">
        <f aca="false">IF($B118=" ",0,1)*IF($B118&gt;=AI$33,AI$25*($D118-$D117),0)</f>
        <v>485.186570908337</v>
      </c>
      <c r="AJ118" s="158" t="n">
        <f aca="false">IF($B118=" ",0,IF($B118&gt;=AJ$33,AJ$25*(1+AJ$30)^(IF(AJ$28&gt;$B118,-1,1)*(YEARFRAC($B118,AJ$28)))*($D118-$D117),0))</f>
        <v>501.21974282306</v>
      </c>
      <c r="AK118" s="159" t="n">
        <f aca="false">IF($B118=" ",0,AK$25*(1+AK$30)^(IF(AK$28&gt;$B118,-1,1)*(YEARFRAC($B118,AK$28))))</f>
        <v>0.028645397034019</v>
      </c>
      <c r="AL118" s="159" t="n">
        <f aca="false">IF($B118=" ",0,AL$25*AL$28)</f>
        <v>0.0575</v>
      </c>
      <c r="AM118" s="162" t="n">
        <f aca="false">+AI118+AJ118+SUM(AK118:AL118)*SUM($J118*$J$37,$K118*$K$37,$L118*$L$37,$M118*$M$37,$N118*$N$37,$O118*$O$37)/1000</f>
        <v>1413.79022370987</v>
      </c>
      <c r="AO118" s="163" t="n">
        <f aca="false">IF($B118=" ",0,$AO$25)</f>
        <v>0.25</v>
      </c>
      <c r="AP118" s="159" t="n">
        <f aca="false">IF($B118=" ",0,AP$25*AP$28)</f>
        <v>0.03105</v>
      </c>
      <c r="AQ118" s="162" t="n">
        <f aca="false">SUM(AO118:AP118)*SUM(0)/1000</f>
        <v>0</v>
      </c>
      <c r="AS118" s="155" t="n">
        <f aca="false">IF($B118=" ",0,AS$25)</f>
        <v>1</v>
      </c>
      <c r="AT118" s="156" t="n">
        <f aca="false">IF($B118=" ",0,AT$25)</f>
        <v>1</v>
      </c>
      <c r="AU118" s="156" t="n">
        <f aca="false">IF($B118=" ",0,AU$25)</f>
        <v>2.3</v>
      </c>
      <c r="AV118" s="157" t="n">
        <f aca="false">+AS118*SUM(J118:K118)/1000</f>
        <v>0</v>
      </c>
      <c r="AW118" s="157" t="n">
        <f aca="false">+AT118*SUM(L118:M118)/1000</f>
        <v>0</v>
      </c>
      <c r="AX118" s="157" t="n">
        <f aca="false">+AU118*SUM(N118:O118)/1000</f>
        <v>11537.9859375</v>
      </c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</row>
    <row r="119" customFormat="false" ht="12.75" hidden="true" customHeight="false" outlineLevel="1" collapsed="false">
      <c r="A119" s="164" t="n">
        <f aca="false">+IF(B119=" ",A118,B119)</f>
        <v>38899</v>
      </c>
      <c r="B119" s="148" t="n">
        <f aca="false">IF(B118=" "," ",IF(EDATE(B118,1)&gt;=EndDate," ",EDATE(B118,1)))</f>
        <v>38899</v>
      </c>
      <c r="C119" s="149" t="n">
        <f aca="false">IF($B119&lt;&gt;" ",C118+1,C118)</f>
        <v>69</v>
      </c>
      <c r="D119" s="150" t="n">
        <f aca="false">C119/12</f>
        <v>5.75</v>
      </c>
      <c r="F119" s="157" t="n">
        <f aca="false">+SUM($T119:$U119)</f>
        <v>14883.5779284771</v>
      </c>
      <c r="G119" s="152" t="n">
        <f aca="false">-SUM($AA119,$AG119,$AM119,$AQ119,$AV119:$AX119)</f>
        <v>-16493.3454804828</v>
      </c>
      <c r="H119" s="152" t="n">
        <f aca="false">+SUM(F119:G119)</f>
        <v>-1609.76755200571</v>
      </c>
      <c r="I119" s="124"/>
      <c r="J119" s="153" t="n">
        <f aca="false">+IF($B119=" ",0,IF(AND($B119&gt;=J$26,$B119&lt;J$28),J$33,0))</f>
        <v>0</v>
      </c>
      <c r="K119" s="153" t="n">
        <f aca="false">+IF($B119=" ",0,IF(AND($B119&gt;=K$26,$B119&lt;K$28),K$33,0))</f>
        <v>0</v>
      </c>
      <c r="L119" s="153" t="n">
        <f aca="false">+IF($B119=" ",0,IF(AND($B119&gt;=L$26,$B119&lt;L$28),L$33,0))</f>
        <v>0</v>
      </c>
      <c r="M119" s="153" t="n">
        <f aca="false">+IF($B119=" ",0,IF(AND($B119&gt;=M$26,$B119&lt;M$28),M$33,0))</f>
        <v>0</v>
      </c>
      <c r="N119" s="153" t="n">
        <f aca="false">+IF($B119=" ",0,IF(AND($B119&gt;=N$26,$B119&lt;N$28),N$33,0))</f>
        <v>0</v>
      </c>
      <c r="O119" s="154" t="n">
        <f aca="false">+IF($B119=" ",0,IF(AND($B119&gt;=O$26,$B119&lt;O$28),O$33,0))</f>
        <v>5016515.625</v>
      </c>
      <c r="Q119" s="83" t="n">
        <f aca="false">IF($B119=" ",0,IF($B119&lt;=DATE(2003,12,31),3.55,2.9))</f>
        <v>2.9</v>
      </c>
      <c r="R119" s="155" t="n">
        <f aca="false">IF($B119=" ",0,R$25)</f>
        <v>-0.07</v>
      </c>
      <c r="S119" s="156" t="n">
        <f aca="false">IF($B119=" ",0,S$25)</f>
        <v>0.1</v>
      </c>
      <c r="T119" s="157" t="n">
        <f aca="false">+SUM($Q119,$S119)/1000*(SUM($J119*$J$37,$K119*$K$37,$L119*$L$37,$M119*$M$37,$N119*$N$37,$O119*$O$37))</f>
        <v>14883.5779284771</v>
      </c>
      <c r="U119" s="157" t="n">
        <f aca="false">+SUM($Q119,$R119)/1000*(SUM(0))</f>
        <v>0</v>
      </c>
      <c r="W119" s="158" t="n">
        <f aca="false">IF($B119=" ",0,1)*(IF($B119&gt;=W$25,1,0)*IF($B119&lt;=W$29,W$27,IF($B119&lt;=W$33,W$31,0))*($D119-$D118)*365/1000)</f>
        <v>486.666666666665</v>
      </c>
      <c r="X119" s="158" t="n">
        <f aca="false">IF($B119=" ",0,IF($B119&gt;=X$25,IF($B119&lt;=X$29,X$27,IF($B119&lt;=X$33,X$31,X$31*(1+X$38)^(IF(X$36&gt;$B119,-1,1)*(YEARFRAC($B119,X$36)))))*($D119-$D118)*365/1000,0))</f>
        <v>390.646832488867</v>
      </c>
      <c r="Y119" s="159" t="n">
        <f aca="false">IF($B119=" ",0,Y$25*(1+Y$30)^(IF(Y$28&gt;$B119,-1,1)*(YEARFRAC($B119,Y$28))))</f>
        <v>0.491032282268211</v>
      </c>
      <c r="Z119" s="159" t="n">
        <f aca="false">IF($B119=" ",0,Z$25*(1+Z$30)^(IF(Z$28&gt;$B119,-1,1)*(YEARFRAC($B119,Z$28))))</f>
        <v>0.468753628366205</v>
      </c>
      <c r="AA119" s="162" t="n">
        <f aca="false">+W119+X119+Z119*SUM($J119*$J$37,$L119*$L$37,$N119*$N$37)/1000</f>
        <v>877.313499155532</v>
      </c>
      <c r="AB119" s="161"/>
      <c r="AC119" s="158" t="n">
        <f aca="false">IF($B119=" ",0,1)*(IF($B119&gt;=AC$25,1,0)*IF($B119&lt;=AC$29,AC$27,IF($B119&lt;=AC$33,AC$31,0))*($D119-$D118)*365/1000)</f>
        <v>1591.66666666666</v>
      </c>
      <c r="AD119" s="158" t="n">
        <f aca="false">IF($B119=" ",0,IF($B119&gt;=AD$25,IF($B119&lt;=AD$29,AD$27,IF($B119&lt;=AD$33,AD$31,AD$31*(1+AD$38)^(IF(AD$36&gt;$B119,-1,1)*(YEARFRAC($B119,AD$36)))))*($D119-$D118)*365/1000,0))</f>
        <v>347.76109671023</v>
      </c>
      <c r="AE119" s="159" t="n">
        <f aca="false">IF($B119=" ",0,AE$25*(1+AE$30)^(IF(AE$28&gt;$B119,-1,1)*(YEARFRAC($B119,AE$28))))</f>
        <v>0.406817649693828</v>
      </c>
      <c r="AF119" s="159" t="n">
        <f aca="false">IF($B119=" ",0,AF$25*(1+AF$30)^(IF(AF$28&gt;$B119,-1,1)*(YEARFRAC($B119,AF$28))))</f>
        <v>0.145965250119207</v>
      </c>
      <c r="AG119" s="162" t="n">
        <f aca="false">+AC119+AD119+AF119*SUM($K119*$K$37,$M119*$M$37,$O119*$O$37)/1000</f>
        <v>2663.58948837652</v>
      </c>
      <c r="AI119" s="158" t="n">
        <f aca="false">IF($B119=" ",0,1)*IF($B119&gt;=AI$33,AI$25*($D119-$D118),0)</f>
        <v>485.186570908332</v>
      </c>
      <c r="AJ119" s="158" t="n">
        <f aca="false">IF($B119=" ",0,IF($B119&gt;=AJ$33,AJ$25*(1+AJ$30)^(IF(AJ$28&gt;$B119,-1,1)*(YEARFRAC($B119,AJ$28)))*($D119-$D118),0))</f>
        <v>501.738879174172</v>
      </c>
      <c r="AK119" s="159" t="n">
        <f aca="false">IF($B119=" ",0,AK$25*(1+AK$30)^(IF(AK$28&gt;$B119,-1,1)*(YEARFRAC($B119,AK$28))))</f>
        <v>0.0286750663898364</v>
      </c>
      <c r="AL119" s="159" t="n">
        <f aca="false">IF($B119=" ",0,AL$25*AL$28)</f>
        <v>0.0575</v>
      </c>
      <c r="AM119" s="162" t="n">
        <f aca="false">+AI119+AJ119+SUM(AK119:AL119)*SUM($J119*$J$37,$K119*$K$37,$L119*$L$37,$M119*$M$37,$N119*$N$37,$O119*$O$37)/1000</f>
        <v>1414.45655545078</v>
      </c>
      <c r="AO119" s="163" t="n">
        <f aca="false">IF($B119=" ",0,$AO$25)</f>
        <v>0.25</v>
      </c>
      <c r="AP119" s="159" t="n">
        <f aca="false">IF($B119=" ",0,AP$25*AP$28)</f>
        <v>0.03105</v>
      </c>
      <c r="AQ119" s="162" t="n">
        <f aca="false">SUM(AO119:AP119)*SUM(0)/1000</f>
        <v>0</v>
      </c>
      <c r="AS119" s="155" t="n">
        <f aca="false">IF($B119=" ",0,AS$25)</f>
        <v>1</v>
      </c>
      <c r="AT119" s="156" t="n">
        <f aca="false">IF($B119=" ",0,AT$25)</f>
        <v>1</v>
      </c>
      <c r="AU119" s="156" t="n">
        <f aca="false">IF($B119=" ",0,AU$25)</f>
        <v>2.3</v>
      </c>
      <c r="AV119" s="157" t="n">
        <f aca="false">+AS119*SUM(J119:K119)/1000</f>
        <v>0</v>
      </c>
      <c r="AW119" s="157" t="n">
        <f aca="false">+AT119*SUM(L119:M119)/1000</f>
        <v>0</v>
      </c>
      <c r="AX119" s="157" t="n">
        <f aca="false">+AU119*SUM(N119:O119)/1000</f>
        <v>11537.9859375</v>
      </c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</row>
    <row r="120" customFormat="false" ht="12.75" hidden="true" customHeight="false" outlineLevel="1" collapsed="false">
      <c r="A120" s="164" t="n">
        <f aca="false">+IF(B120=" ",A119,B120)</f>
        <v>38930</v>
      </c>
      <c r="B120" s="148" t="n">
        <f aca="false">IF(B119=" "," ",IF(EDATE(B119,1)&gt;=EndDate," ",EDATE(B119,1)))</f>
        <v>38930</v>
      </c>
      <c r="C120" s="149" t="n">
        <f aca="false">IF($B120&lt;&gt;" ",C119+1,C119)</f>
        <v>70</v>
      </c>
      <c r="D120" s="150" t="n">
        <f aca="false">C120/12</f>
        <v>5.83333333333333</v>
      </c>
      <c r="F120" s="157" t="n">
        <f aca="false">+SUM($T120:$U120)</f>
        <v>14883.5779284771</v>
      </c>
      <c r="G120" s="152" t="n">
        <f aca="false">-SUM($AA120,$AG120,$AM120,$AQ120,$AV120:$AX120)</f>
        <v>-16496.0284951317</v>
      </c>
      <c r="H120" s="152" t="n">
        <f aca="false">+SUM(F120:G120)</f>
        <v>-1612.45056665461</v>
      </c>
      <c r="I120" s="124"/>
      <c r="J120" s="153" t="n">
        <f aca="false">+IF($B120=" ",0,IF(AND($B120&gt;=J$26,$B120&lt;J$28),J$33,0))</f>
        <v>0</v>
      </c>
      <c r="K120" s="153" t="n">
        <f aca="false">+IF($B120=" ",0,IF(AND($B120&gt;=K$26,$B120&lt;K$28),K$33,0))</f>
        <v>0</v>
      </c>
      <c r="L120" s="153" t="n">
        <f aca="false">+IF($B120=" ",0,IF(AND($B120&gt;=L$26,$B120&lt;L$28),L$33,0))</f>
        <v>0</v>
      </c>
      <c r="M120" s="153" t="n">
        <f aca="false">+IF($B120=" ",0,IF(AND($B120&gt;=M$26,$B120&lt;M$28),M$33,0))</f>
        <v>0</v>
      </c>
      <c r="N120" s="153" t="n">
        <f aca="false">+IF($B120=" ",0,IF(AND($B120&gt;=N$26,$B120&lt;N$28),N$33,0))</f>
        <v>0</v>
      </c>
      <c r="O120" s="154" t="n">
        <f aca="false">+IF($B120=" ",0,IF(AND($B120&gt;=O$26,$B120&lt;O$28),O$33,0))</f>
        <v>5016515.625</v>
      </c>
      <c r="Q120" s="83" t="n">
        <f aca="false">IF($B120=" ",0,IF($B120&lt;=DATE(2003,12,31),3.55,2.9))</f>
        <v>2.9</v>
      </c>
      <c r="R120" s="155" t="n">
        <f aca="false">IF($B120=" ",0,R$25)</f>
        <v>-0.07</v>
      </c>
      <c r="S120" s="156" t="n">
        <f aca="false">IF($B120=" ",0,S$25)</f>
        <v>0.1</v>
      </c>
      <c r="T120" s="157" t="n">
        <f aca="false">+SUM($Q120,$S120)/1000*(SUM($J120*$J$37,$K120*$K$37,$L120*$L$37,$M120*$M$37,$N120*$N$37,$O120*$O$37))</f>
        <v>14883.5779284771</v>
      </c>
      <c r="U120" s="157" t="n">
        <f aca="false">+SUM($Q120,$R120)/1000*(SUM(0))</f>
        <v>0</v>
      </c>
      <c r="W120" s="158" t="n">
        <f aca="false">IF($B120=" ",0,1)*(IF($B120&gt;=W$25,1,0)*IF($B120&lt;=W$29,W$27,IF($B120&lt;=W$33,W$31,0))*($D120-$D119)*365/1000)</f>
        <v>486.666666666665</v>
      </c>
      <c r="X120" s="158" t="n">
        <f aca="false">IF($B120=" ",0,IF($B120&gt;=X$25,IF($B120&lt;=X$29,X$27,IF($B120&lt;=X$33,X$31,X$31*(1+X$38)^(IF(X$36&gt;$B120,-1,1)*(YEARFRAC($B120,X$36)))))*($D120-$D119)*365/1000,0))</f>
        <v>391.185296542726</v>
      </c>
      <c r="Y120" s="159" t="n">
        <f aca="false">IF($B120=" ",0,Y$25*(1+Y$30)^(IF(Y$28&gt;$B120,-1,1)*(YEARFRAC($B120,Y$28))))</f>
        <v>0.491709116716352</v>
      </c>
      <c r="Z120" s="159" t="n">
        <f aca="false">IF($B120=" ",0,Z$25*(1+Z$30)^(IF(Z$28&gt;$B120,-1,1)*(YEARFRAC($B120,Z$28))))</f>
        <v>0.469399754119697</v>
      </c>
      <c r="AA120" s="162" t="n">
        <f aca="false">+W120+X120+Z120*SUM($J120*$J$37,$L120*$L$37,$N120*$N$37)/1000</f>
        <v>877.851963209391</v>
      </c>
      <c r="AB120" s="161"/>
      <c r="AC120" s="158" t="n">
        <f aca="false">IF($B120=" ",0,1)*(IF($B120&gt;=AC$25,1,0)*IF($B120&lt;=AC$29,AC$27,IF($B120&lt;=AC$33,AC$31,0))*($D120-$D119)*365/1000)</f>
        <v>1591.66666666666</v>
      </c>
      <c r="AD120" s="158" t="n">
        <f aca="false">IF($B120=" ",0,IF($B120&gt;=AD$25,IF($B120&lt;=AD$29,AD$27,IF($B120&lt;=AD$33,AD$31,AD$31*(1+AD$38)^(IF(AD$36&gt;$B120,-1,1)*(YEARFRAC($B120,AD$36)))))*($D120-$D119)*365/1000,0))</f>
        <v>348.240447454522</v>
      </c>
      <c r="AE120" s="159" t="n">
        <f aca="false">IF($B120=" ",0,AE$25*(1+AE$30)^(IF(AE$28&gt;$B120,-1,1)*(YEARFRAC($B120,AE$28))))</f>
        <v>0.407378403455582</v>
      </c>
      <c r="AF120" s="159" t="n">
        <f aca="false">IF($B120=" ",0,AF$25*(1+AF$30)^(IF(AF$28&gt;$B120,-1,1)*(YEARFRAC($B120,AF$28))))</f>
        <v>0.146166447297234</v>
      </c>
      <c r="AG120" s="162" t="n">
        <f aca="false">+AC120+AD120+AF120*SUM($K120*$K$37,$M120*$M$37,$O120*$O$37)/1000</f>
        <v>2665.06701708019</v>
      </c>
      <c r="AI120" s="158" t="n">
        <f aca="false">IF($B120=" ",0,1)*IF($B120&gt;=AI$33,AI$25*($D120-$D119),0)</f>
        <v>485.186570908332</v>
      </c>
      <c r="AJ120" s="158" t="n">
        <f aca="false">IF($B120=" ",0,IF($B120&gt;=AJ$33,AJ$25*(1+AJ$30)^(IF(AJ$28&gt;$B120,-1,1)*(YEARFRAC($B120,AJ$28)))*($D120-$D119),0))</f>
        <v>502.258553218696</v>
      </c>
      <c r="AK120" s="159" t="n">
        <f aca="false">IF($B120=" ",0,AK$25*(1+AK$30)^(IF(AK$28&gt;$B120,-1,1)*(YEARFRAC($B120,AK$28))))</f>
        <v>0.0287047664755709</v>
      </c>
      <c r="AL120" s="159" t="n">
        <f aca="false">IF($B120=" ",0,AL$25*AL$28)</f>
        <v>0.0575</v>
      </c>
      <c r="AM120" s="162" t="n">
        <f aca="false">+AI120+AJ120+SUM(AK120:AL120)*SUM($J120*$J$37,$K120*$K$37,$L120*$L$37,$M120*$M$37,$N120*$N$37,$O120*$O$37)/1000</f>
        <v>1415.12357734214</v>
      </c>
      <c r="AO120" s="163" t="n">
        <f aca="false">IF($B120=" ",0,$AO$25)</f>
        <v>0.25</v>
      </c>
      <c r="AP120" s="159" t="n">
        <f aca="false">IF($B120=" ",0,AP$25*AP$28)</f>
        <v>0.03105</v>
      </c>
      <c r="AQ120" s="162" t="n">
        <f aca="false">SUM(AO120:AP120)*SUM(0)/1000</f>
        <v>0</v>
      </c>
      <c r="AS120" s="155" t="n">
        <f aca="false">IF($B120=" ",0,AS$25)</f>
        <v>1</v>
      </c>
      <c r="AT120" s="156" t="n">
        <f aca="false">IF($B120=" ",0,AT$25)</f>
        <v>1</v>
      </c>
      <c r="AU120" s="156" t="n">
        <f aca="false">IF($B120=" ",0,AU$25)</f>
        <v>2.3</v>
      </c>
      <c r="AV120" s="157" t="n">
        <f aca="false">+AS120*SUM(J120:K120)/1000</f>
        <v>0</v>
      </c>
      <c r="AW120" s="157" t="n">
        <f aca="false">+AT120*SUM(L120:M120)/1000</f>
        <v>0</v>
      </c>
      <c r="AX120" s="157" t="n">
        <f aca="false">+AU120*SUM(N120:O120)/1000</f>
        <v>11537.9859375</v>
      </c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</row>
    <row r="121" customFormat="false" ht="12.75" hidden="true" customHeight="false" outlineLevel="1" collapsed="false">
      <c r="A121" s="164" t="n">
        <f aca="false">+IF(B121=" ",A120,B121)</f>
        <v>38961</v>
      </c>
      <c r="B121" s="148" t="n">
        <f aca="false">IF(B120=" "," ",IF(EDATE(B120,1)&gt;=EndDate," ",EDATE(B120,1)))</f>
        <v>38961</v>
      </c>
      <c r="C121" s="149" t="n">
        <f aca="false">IF($B121&lt;&gt;" ",C120+1,C120)</f>
        <v>71</v>
      </c>
      <c r="D121" s="150" t="n">
        <f aca="false">C121/12</f>
        <v>5.91666666666667</v>
      </c>
      <c r="F121" s="157" t="n">
        <f aca="false">+SUM($T121:$U121)</f>
        <v>14883.5779284771</v>
      </c>
      <c r="G121" s="152" t="n">
        <f aca="false">-SUM($AA121,$AG121,$AM121,$AQ121,$AV121:$AX121)</f>
        <v>-16498.7149794721</v>
      </c>
      <c r="H121" s="152" t="n">
        <f aca="false">+SUM(F121:G121)</f>
        <v>-1615.13705099496</v>
      </c>
      <c r="I121" s="124"/>
      <c r="J121" s="153" t="n">
        <f aca="false">+IF($B121=" ",0,IF(AND($B121&gt;=J$26,$B121&lt;J$28),J$33,0))</f>
        <v>0</v>
      </c>
      <c r="K121" s="153" t="n">
        <f aca="false">+IF($B121=" ",0,IF(AND($B121&gt;=K$26,$B121&lt;K$28),K$33,0))</f>
        <v>0</v>
      </c>
      <c r="L121" s="153" t="n">
        <f aca="false">+IF($B121=" ",0,IF(AND($B121&gt;=L$26,$B121&lt;L$28),L$33,0))</f>
        <v>0</v>
      </c>
      <c r="M121" s="153" t="n">
        <f aca="false">+IF($B121=" ",0,IF(AND($B121&gt;=M$26,$B121&lt;M$28),M$33,0))</f>
        <v>0</v>
      </c>
      <c r="N121" s="153" t="n">
        <f aca="false">+IF($B121=" ",0,IF(AND($B121&gt;=N$26,$B121&lt;N$28),N$33,0))</f>
        <v>0</v>
      </c>
      <c r="O121" s="154" t="n">
        <f aca="false">+IF($B121=" ",0,IF(AND($B121&gt;=O$26,$B121&lt;O$28),O$33,0))</f>
        <v>5016515.625</v>
      </c>
      <c r="Q121" s="83" t="n">
        <f aca="false">IF($B121=" ",0,IF($B121&lt;=DATE(2003,12,31),3.55,2.9))</f>
        <v>2.9</v>
      </c>
      <c r="R121" s="155" t="n">
        <f aca="false">IF($B121=" ",0,R$25)</f>
        <v>-0.07</v>
      </c>
      <c r="S121" s="156" t="n">
        <f aca="false">IF($B121=" ",0,S$25)</f>
        <v>0.1</v>
      </c>
      <c r="T121" s="157" t="n">
        <f aca="false">+SUM($Q121,$S121)/1000*(SUM($J121*$J$37,$K121*$K$37,$L121*$L$37,$M121*$M$37,$N121*$N$37,$O121*$O$37))</f>
        <v>14883.5779284771</v>
      </c>
      <c r="U121" s="157" t="n">
        <f aca="false">+SUM($Q121,$R121)/1000*(SUM(0))</f>
        <v>0</v>
      </c>
      <c r="W121" s="158" t="n">
        <f aca="false">IF($B121=" ",0,1)*(IF($B121&gt;=W$25,1,0)*IF($B121&lt;=W$29,W$27,IF($B121&lt;=W$33,W$31,0))*($D121-$D120)*365/1000)</f>
        <v>486.66666666667</v>
      </c>
      <c r="X121" s="158" t="n">
        <f aca="false">IF($B121=" ",0,IF($B121&gt;=X$25,IF($B121&lt;=X$29,X$27,IF($B121&lt;=X$33,X$31,X$31*(1+X$38)^(IF(X$36&gt;$B121,-1,1)*(YEARFRAC($B121,X$36)))))*($D121-$D120)*365/1000,0))</f>
        <v>391.724502810561</v>
      </c>
      <c r="Y121" s="159" t="n">
        <f aca="false">IF($B121=" ",0,Y$25*(1+Y$30)^(IF(Y$28&gt;$B121,-1,1)*(YEARFRAC($B121,Y$28))))</f>
        <v>0.492386884106963</v>
      </c>
      <c r="Z121" s="159" t="n">
        <f aca="false">IF($B121=" ",0,Z$25*(1+Z$30)^(IF(Z$28&gt;$B121,-1,1)*(YEARFRAC($B121,Z$28))))</f>
        <v>0.470046770487073</v>
      </c>
      <c r="AA121" s="162" t="n">
        <f aca="false">+W121+X121+Z121*SUM($J121*$J$37,$L121*$L$37,$N121*$N$37)/1000</f>
        <v>878.391169477231</v>
      </c>
      <c r="AB121" s="161"/>
      <c r="AC121" s="158" t="n">
        <f aca="false">IF($B121=" ",0,1)*(IF($B121&gt;=AC$25,1,0)*IF($B121&lt;=AC$29,AC$27,IF($B121&lt;=AC$33,AC$31,0))*($D121-$D120)*365/1000)</f>
        <v>1591.66666666668</v>
      </c>
      <c r="AD121" s="158" t="n">
        <f aca="false">IF($B121=" ",0,IF($B121&gt;=AD$25,IF($B121&lt;=AD$29,AD$27,IF($B121&lt;=AD$33,AD$31,AD$31*(1+AD$38)^(IF(AD$36&gt;$B121,-1,1)*(YEARFRAC($B121,AD$36)))))*($D121-$D120)*365/1000,0))</f>
        <v>348.72045893154</v>
      </c>
      <c r="AE121" s="159" t="n">
        <f aca="false">IF($B121=" ",0,AE$25*(1+AE$30)^(IF(AE$28&gt;$B121,-1,1)*(YEARFRAC($B121,AE$28))))</f>
        <v>0.40793993015524</v>
      </c>
      <c r="AF121" s="159" t="n">
        <f aca="false">IF($B121=" ",0,AF$25*(1+AF$30)^(IF(AF$28&gt;$B121,-1,1)*(YEARFRAC($B121,AF$28))))</f>
        <v>0.146367921803627</v>
      </c>
      <c r="AG121" s="162" t="n">
        <f aca="false">+AC121+AD121+AF121*SUM($K121*$K$37,$M121*$M$37,$O121*$O$37)/1000</f>
        <v>2666.54658239606</v>
      </c>
      <c r="AI121" s="158" t="n">
        <f aca="false">IF($B121=" ",0,1)*IF($B121&gt;=AI$33,AI$25*($D121-$D120),0)</f>
        <v>485.186570908337</v>
      </c>
      <c r="AJ121" s="158" t="n">
        <f aca="false">IF($B121=" ",0,IF($B121&gt;=AJ$33,AJ$25*(1+AJ$30)^(IF(AJ$28&gt;$B121,-1,1)*(YEARFRAC($B121,AJ$28)))*($D121-$D120),0))</f>
        <v>502.778765513546</v>
      </c>
      <c r="AK121" s="159" t="n">
        <f aca="false">IF($B121=" ",0,AK$25*(1+AK$30)^(IF(AK$28&gt;$B121,-1,1)*(YEARFRAC($B121,AK$28))))</f>
        <v>0.0287344973230508</v>
      </c>
      <c r="AL121" s="159" t="n">
        <f aca="false">IF($B121=" ",0,AL$25*AL$28)</f>
        <v>0.0575</v>
      </c>
      <c r="AM121" s="162" t="n">
        <f aca="false">+AI121+AJ121+SUM(AK121:AL121)*SUM($J121*$J$37,$K121*$K$37,$L121*$L$37,$M121*$M$37,$N121*$N$37,$O121*$O$37)/1000</f>
        <v>1415.79129009878</v>
      </c>
      <c r="AO121" s="163" t="n">
        <f aca="false">IF($B121=" ",0,$AO$25)</f>
        <v>0.25</v>
      </c>
      <c r="AP121" s="159" t="n">
        <f aca="false">IF($B121=" ",0,AP$25*AP$28)</f>
        <v>0.03105</v>
      </c>
      <c r="AQ121" s="162" t="n">
        <f aca="false">SUM(AO121:AP121)*SUM(0)/1000</f>
        <v>0</v>
      </c>
      <c r="AS121" s="155" t="n">
        <f aca="false">IF($B121=" ",0,AS$25)</f>
        <v>1</v>
      </c>
      <c r="AT121" s="156" t="n">
        <f aca="false">IF($B121=" ",0,AT$25)</f>
        <v>1</v>
      </c>
      <c r="AU121" s="156" t="n">
        <f aca="false">IF($B121=" ",0,AU$25)</f>
        <v>2.3</v>
      </c>
      <c r="AV121" s="157" t="n">
        <f aca="false">+AS121*SUM(J121:K121)/1000</f>
        <v>0</v>
      </c>
      <c r="AW121" s="157" t="n">
        <f aca="false">+AT121*SUM(L121:M121)/1000</f>
        <v>0</v>
      </c>
      <c r="AX121" s="157" t="n">
        <f aca="false">+AU121*SUM(N121:O121)/1000</f>
        <v>11537.9859375</v>
      </c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</row>
    <row r="122" customFormat="false" ht="12.75" hidden="true" customHeight="false" outlineLevel="1" collapsed="false">
      <c r="A122" s="164" t="n">
        <f aca="false">+IF(B122=" ",A121,B122)</f>
        <v>38991</v>
      </c>
      <c r="B122" s="148" t="n">
        <f aca="false">IF(B121=" "," ",IF(EDATE(B121,1)&gt;=EndDate," ",EDATE(B121,1)))</f>
        <v>38991</v>
      </c>
      <c r="C122" s="149" t="n">
        <f aca="false">IF($B122&lt;&gt;" ",C121+1,C121)</f>
        <v>72</v>
      </c>
      <c r="D122" s="150" t="n">
        <f aca="false">C122/12</f>
        <v>6</v>
      </c>
      <c r="F122" s="157" t="n">
        <f aca="false">+SUM($T122:$U122)</f>
        <v>14883.5779284771</v>
      </c>
      <c r="G122" s="152" t="n">
        <f aca="false">-SUM($AA122,$AG122,$AM122,$AQ122,$AV122:$AX122)</f>
        <v>-16501.4049380496</v>
      </c>
      <c r="H122" s="152" t="n">
        <f aca="false">+SUM(F122:G122)</f>
        <v>-1617.82700957251</v>
      </c>
      <c r="I122" s="124"/>
      <c r="J122" s="153" t="n">
        <f aca="false">+IF($B122=" ",0,IF(AND($B122&gt;=J$26,$B122&lt;J$28),J$33,0))</f>
        <v>0</v>
      </c>
      <c r="K122" s="153" t="n">
        <f aca="false">+IF($B122=" ",0,IF(AND($B122&gt;=K$26,$B122&lt;K$28),K$33,0))</f>
        <v>0</v>
      </c>
      <c r="L122" s="153" t="n">
        <f aca="false">+IF($B122=" ",0,IF(AND($B122&gt;=L$26,$B122&lt;L$28),L$33,0))</f>
        <v>0</v>
      </c>
      <c r="M122" s="153" t="n">
        <f aca="false">+IF($B122=" ",0,IF(AND($B122&gt;=M$26,$B122&lt;M$28),M$33,0))</f>
        <v>0</v>
      </c>
      <c r="N122" s="153" t="n">
        <f aca="false">+IF($B122=" ",0,IF(AND($B122&gt;=N$26,$B122&lt;N$28),N$33,0))</f>
        <v>0</v>
      </c>
      <c r="O122" s="154" t="n">
        <f aca="false">+IF($B122=" ",0,IF(AND($B122&gt;=O$26,$B122&lt;O$28),O$33,0))</f>
        <v>5016515.625</v>
      </c>
      <c r="Q122" s="83" t="n">
        <f aca="false">IF($B122=" ",0,IF($B122&lt;=DATE(2003,12,31),3.55,2.9))</f>
        <v>2.9</v>
      </c>
      <c r="R122" s="155" t="n">
        <f aca="false">IF($B122=" ",0,R$25)</f>
        <v>-0.07</v>
      </c>
      <c r="S122" s="156" t="n">
        <f aca="false">IF($B122=" ",0,S$25)</f>
        <v>0.1</v>
      </c>
      <c r="T122" s="157" t="n">
        <f aca="false">+SUM($Q122,$S122)/1000*(SUM($J122*$J$37,$K122*$K$37,$L122*$L$37,$M122*$M$37,$N122*$N$37,$O122*$O$37))</f>
        <v>14883.5779284771</v>
      </c>
      <c r="U122" s="157" t="n">
        <f aca="false">+SUM($Q122,$R122)/1000*(SUM(0))</f>
        <v>0</v>
      </c>
      <c r="W122" s="158" t="n">
        <f aca="false">IF($B122=" ",0,1)*(IF($B122&gt;=W$25,1,0)*IF($B122&lt;=W$29,W$27,IF($B122&lt;=W$33,W$31,0))*($D122-$D121)*365/1000)</f>
        <v>486.666666666665</v>
      </c>
      <c r="X122" s="158" t="n">
        <f aca="false">IF($B122=" ",0,IF($B122&gt;=X$25,IF($B122&lt;=X$29,X$27,IF($B122&lt;=X$33,X$31,X$31*(1+X$38)^(IF(X$36&gt;$B122,-1,1)*(YEARFRAC($B122,X$36)))))*($D122-$D121)*365/1000,0))</f>
        <v>392.264452315422</v>
      </c>
      <c r="Y122" s="159" t="n">
        <f aca="false">IF($B122=" ",0,Y$25*(1+Y$30)^(IF(Y$28&gt;$B122,-1,1)*(YEARFRAC($B122,Y$28))))</f>
        <v>0.493065585726004</v>
      </c>
      <c r="Z122" s="159" t="n">
        <f aca="false">IF($B122=" ",0,Z$25*(1+Z$30)^(IF(Z$28&gt;$B122,-1,1)*(YEARFRAC($B122,Z$28))))</f>
        <v>0.470694678695946</v>
      </c>
      <c r="AA122" s="162" t="n">
        <f aca="false">+W122+X122+Z122*SUM($J122*$J$37,$L122*$L$37,$N122*$N$37)/1000</f>
        <v>878.931118982087</v>
      </c>
      <c r="AB122" s="161"/>
      <c r="AC122" s="158" t="n">
        <f aca="false">IF($B122=" ",0,1)*(IF($B122&gt;=AC$25,1,0)*IF($B122&lt;=AC$29,AC$27,IF($B122&lt;=AC$33,AC$31,0))*($D122-$D121)*365/1000)</f>
        <v>1591.66666666666</v>
      </c>
      <c r="AD122" s="158" t="n">
        <f aca="false">IF($B122=" ",0,IF($B122&gt;=AD$25,IF($B122&lt;=AD$29,AD$27,IF($B122&lt;=AD$33,AD$31,AD$31*(1+AD$38)^(IF(AD$36&gt;$B122,-1,1)*(YEARFRAC($B122,AD$36)))))*($D122-$D121)*365/1000,0))</f>
        <v>349.201132052021</v>
      </c>
      <c r="AE122" s="159" t="n">
        <f aca="false">IF($B122=" ",0,AE$25*(1+AE$30)^(IF(AE$28&gt;$B122,-1,1)*(YEARFRAC($B122,AE$28))))</f>
        <v>0.408502230858212</v>
      </c>
      <c r="AF122" s="159" t="n">
        <f aca="false">IF($B122=" ",0,AF$25*(1+AF$30)^(IF(AF$28&gt;$B122,-1,1)*(YEARFRAC($B122,AF$28))))</f>
        <v>0.146569674020654</v>
      </c>
      <c r="AG122" s="162" t="n">
        <f aca="false">+AC122+AD122+AF122*SUM($K122*$K$37,$M122*$M$37,$O122*$O$37)/1000</f>
        <v>2668.02818713131</v>
      </c>
      <c r="AI122" s="158" t="n">
        <f aca="false">IF($B122=" ",0,1)*IF($B122&gt;=AI$33,AI$25*($D122-$D121),0)</f>
        <v>485.186570908332</v>
      </c>
      <c r="AJ122" s="158" t="n">
        <f aca="false">IF($B122=" ",0,IF($B122&gt;=AJ$33,AJ$25*(1+AJ$30)^(IF(AJ$28&gt;$B122,-1,1)*(YEARFRAC($B122,AJ$28)))*($D122-$D121),0))</f>
        <v>503.299516616196</v>
      </c>
      <c r="AK122" s="159" t="n">
        <f aca="false">IF($B122=" ",0,AK$25*(1+AK$30)^(IF(AK$28&gt;$B122,-1,1)*(YEARFRAC($B122,AK$28))))</f>
        <v>0.0287642589641375</v>
      </c>
      <c r="AL122" s="159" t="n">
        <f aca="false">IF($B122=" ",0,AL$25*AL$28)</f>
        <v>0.0575</v>
      </c>
      <c r="AM122" s="162" t="n">
        <f aca="false">+AI122+AJ122+SUM(AK122:AL122)*SUM($J122*$J$37,$K122*$K$37,$L122*$L$37,$M122*$M$37,$N122*$N$37,$O122*$O$37)/1000</f>
        <v>1416.45969443622</v>
      </c>
      <c r="AO122" s="163" t="n">
        <f aca="false">IF($B122=" ",0,$AO$25)</f>
        <v>0.25</v>
      </c>
      <c r="AP122" s="159" t="n">
        <f aca="false">IF($B122=" ",0,AP$25*AP$28)</f>
        <v>0.03105</v>
      </c>
      <c r="AQ122" s="162" t="n">
        <f aca="false">SUM(AO122:AP122)*SUM(0)/1000</f>
        <v>0</v>
      </c>
      <c r="AS122" s="155" t="n">
        <f aca="false">IF($B122=" ",0,AS$25)</f>
        <v>1</v>
      </c>
      <c r="AT122" s="156" t="n">
        <f aca="false">IF($B122=" ",0,AT$25)</f>
        <v>1</v>
      </c>
      <c r="AU122" s="156" t="n">
        <f aca="false">IF($B122=" ",0,AU$25)</f>
        <v>2.3</v>
      </c>
      <c r="AV122" s="157" t="n">
        <f aca="false">+AS122*SUM(J122:K122)/1000</f>
        <v>0</v>
      </c>
      <c r="AW122" s="157" t="n">
        <f aca="false">+AT122*SUM(L122:M122)/1000</f>
        <v>0</v>
      </c>
      <c r="AX122" s="157" t="n">
        <f aca="false">+AU122*SUM(N122:O122)/1000</f>
        <v>11537.9859375</v>
      </c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</row>
    <row r="123" customFormat="false" ht="12.75" hidden="true" customHeight="false" outlineLevel="1" collapsed="false">
      <c r="A123" s="164" t="n">
        <f aca="false">+IF(B123=" ",A122,B123)</f>
        <v>39022</v>
      </c>
      <c r="B123" s="148" t="n">
        <f aca="false">IF(B122=" "," ",IF(EDATE(B122,1)&gt;=EndDate," ",EDATE(B122,1)))</f>
        <v>39022</v>
      </c>
      <c r="C123" s="149" t="n">
        <f aca="false">IF($B123&lt;&gt;" ",C122+1,C122)</f>
        <v>73</v>
      </c>
      <c r="D123" s="150" t="n">
        <f aca="false">C123/12</f>
        <v>6.08333333333333</v>
      </c>
      <c r="F123" s="157" t="n">
        <f aca="false">+SUM($T123:$U123)</f>
        <v>14883.5779284771</v>
      </c>
      <c r="G123" s="152" t="n">
        <f aca="false">-SUM($AA123,$AG123,$AM123,$AQ123,$AV123:$AX123)</f>
        <v>-16504.0983754164</v>
      </c>
      <c r="H123" s="152" t="n">
        <f aca="false">+SUM(F123:G123)</f>
        <v>-1620.52044693927</v>
      </c>
      <c r="I123" s="124"/>
      <c r="J123" s="153" t="n">
        <f aca="false">+IF($B123=" ",0,IF(AND($B123&gt;=J$26,$B123&lt;J$28),J$33,0))</f>
        <v>0</v>
      </c>
      <c r="K123" s="153" t="n">
        <f aca="false">+IF($B123=" ",0,IF(AND($B123&gt;=K$26,$B123&lt;K$28),K$33,0))</f>
        <v>0</v>
      </c>
      <c r="L123" s="153" t="n">
        <f aca="false">+IF($B123=" ",0,IF(AND($B123&gt;=L$26,$B123&lt;L$28),L$33,0))</f>
        <v>0</v>
      </c>
      <c r="M123" s="153" t="n">
        <f aca="false">+IF($B123=" ",0,IF(AND($B123&gt;=M$26,$B123&lt;M$28),M$33,0))</f>
        <v>0</v>
      </c>
      <c r="N123" s="153" t="n">
        <f aca="false">+IF($B123=" ",0,IF(AND($B123&gt;=N$26,$B123&lt;N$28),N$33,0))</f>
        <v>0</v>
      </c>
      <c r="O123" s="154" t="n">
        <f aca="false">+IF($B123=" ",0,IF(AND($B123&gt;=O$26,$B123&lt;O$28),O$33,0))</f>
        <v>5016515.625</v>
      </c>
      <c r="Q123" s="83" t="n">
        <f aca="false">IF($B123=" ",0,IF($B123&lt;=DATE(2003,12,31),3.55,2.9))</f>
        <v>2.9</v>
      </c>
      <c r="R123" s="155" t="n">
        <f aca="false">IF($B123=" ",0,R$25)</f>
        <v>-0.07</v>
      </c>
      <c r="S123" s="156" t="n">
        <f aca="false">IF($B123=" ",0,S$25)</f>
        <v>0.1</v>
      </c>
      <c r="T123" s="157" t="n">
        <f aca="false">+SUM($Q123,$S123)/1000*(SUM($J123*$J$37,$K123*$K$37,$L123*$L$37,$M123*$M$37,$N123*$N$37,$O123*$O$37))</f>
        <v>14883.5779284771</v>
      </c>
      <c r="U123" s="157" t="n">
        <f aca="false">+SUM($Q123,$R123)/1000*(SUM(0))</f>
        <v>0</v>
      </c>
      <c r="W123" s="158" t="n">
        <f aca="false">IF($B123=" ",0,1)*(IF($B123&gt;=W$25,1,0)*IF($B123&lt;=W$29,W$27,IF($B123&lt;=W$33,W$31,0))*($D123-$D122)*365/1000)</f>
        <v>486.666666666665</v>
      </c>
      <c r="X123" s="158" t="n">
        <f aca="false">IF($B123=" ",0,IF($B123&gt;=X$25,IF($B123&lt;=X$29,X$27,IF($B123&lt;=X$33,X$31,X$31*(1+X$38)^(IF(X$36&gt;$B123,-1,1)*(YEARFRAC($B123,X$36)))))*($D123-$D122)*365/1000,0))</f>
        <v>392.805146081791</v>
      </c>
      <c r="Y123" s="159" t="n">
        <f aca="false">IF($B123=" ",0,Y$25*(1+Y$30)^(IF(Y$28&gt;$B123,-1,1)*(YEARFRAC($B123,Y$28))))</f>
        <v>0.493745222861206</v>
      </c>
      <c r="Z123" s="159" t="n">
        <f aca="false">IF($B123=" ",0,Z$25*(1+Z$30)^(IF(Z$28&gt;$B123,-1,1)*(YEARFRAC($B123,Z$28))))</f>
        <v>0.471343479975623</v>
      </c>
      <c r="AA123" s="162" t="n">
        <f aca="false">+W123+X123+Z123*SUM($J123*$J$37,$L123*$L$37,$N123*$N$37)/1000</f>
        <v>879.471812748456</v>
      </c>
      <c r="AB123" s="161"/>
      <c r="AC123" s="158" t="n">
        <f aca="false">IF($B123=" ",0,1)*(IF($B123&gt;=AC$25,1,0)*IF($B123&lt;=AC$29,AC$27,IF($B123&lt;=AC$33,AC$31,0))*($D123-$D122)*365/1000)</f>
        <v>1591.66666666666</v>
      </c>
      <c r="AD123" s="158" t="n">
        <f aca="false">IF($B123=" ",0,IF($B123&gt;=AD$25,IF($B123&lt;=AD$29,AD$27,IF($B123&lt;=AD$33,AD$31,AD$31*(1+AD$38)^(IF(AD$36&gt;$B123,-1,1)*(YEARFRAC($B123,AD$36)))))*($D123-$D122)*365/1000,0))</f>
        <v>349.682467727979</v>
      </c>
      <c r="AE123" s="159" t="n">
        <f aca="false">IF($B123=" ",0,AE$25*(1+AE$30)^(IF(AE$28&gt;$B123,-1,1)*(YEARFRAC($B123,AE$28))))</f>
        <v>0.409065306631378</v>
      </c>
      <c r="AF123" s="159" t="n">
        <f aca="false">IF($B123=" ",0,AF$25*(1+AF$30)^(IF(AF$28&gt;$B123,-1,1)*(YEARFRAC($B123,AF$28))))</f>
        <v>0.146771704331109</v>
      </c>
      <c r="AG123" s="162" t="n">
        <f aca="false">+AC123+AD123+AF123*SUM($K123*$K$37,$M123*$M$37,$O123*$O$37)/1000</f>
        <v>2669.51183409713</v>
      </c>
      <c r="AI123" s="158" t="n">
        <f aca="false">IF($B123=" ",0,1)*IF($B123&gt;=AI$33,AI$25*($D123-$D122),0)</f>
        <v>485.186570908332</v>
      </c>
      <c r="AJ123" s="158" t="n">
        <f aca="false">IF($B123=" ",0,IF($B123&gt;=AJ$33,AJ$25*(1+AJ$30)^(IF(AJ$28&gt;$B123,-1,1)*(YEARFRAC($B123,AJ$28)))*($D123-$D122),0))</f>
        <v>503.820807084731</v>
      </c>
      <c r="AK123" s="159" t="n">
        <f aca="false">IF($B123=" ",0,AK$25*(1+AK$30)^(IF(AK$28&gt;$B123,-1,1)*(YEARFRAC($B123,AK$28))))</f>
        <v>0.0287940514307254</v>
      </c>
      <c r="AL123" s="159" t="n">
        <f aca="false">IF($B123=" ",0,AL$25*AL$28)</f>
        <v>0.0575</v>
      </c>
      <c r="AM123" s="162" t="n">
        <f aca="false">+AI123+AJ123+SUM(AK123:AL123)*SUM($J123*$J$37,$K123*$K$37,$L123*$L$37,$M123*$M$37,$N123*$N$37,$O123*$O$37)/1000</f>
        <v>1417.1287910708</v>
      </c>
      <c r="AO123" s="163" t="n">
        <f aca="false">IF($B123=" ",0,$AO$25)</f>
        <v>0.25</v>
      </c>
      <c r="AP123" s="159" t="n">
        <f aca="false">IF($B123=" ",0,AP$25*AP$28)</f>
        <v>0.03105</v>
      </c>
      <c r="AQ123" s="162" t="n">
        <f aca="false">SUM(AO123:AP123)*SUM(0)/1000</f>
        <v>0</v>
      </c>
      <c r="AS123" s="155" t="n">
        <f aca="false">IF($B123=" ",0,AS$25)</f>
        <v>1</v>
      </c>
      <c r="AT123" s="156" t="n">
        <f aca="false">IF($B123=" ",0,AT$25)</f>
        <v>1</v>
      </c>
      <c r="AU123" s="156" t="n">
        <f aca="false">IF($B123=" ",0,AU$25)</f>
        <v>2.3</v>
      </c>
      <c r="AV123" s="157" t="n">
        <f aca="false">+AS123*SUM(J123:K123)/1000</f>
        <v>0</v>
      </c>
      <c r="AW123" s="157" t="n">
        <f aca="false">+AT123*SUM(L123:M123)/1000</f>
        <v>0</v>
      </c>
      <c r="AX123" s="157" t="n">
        <f aca="false">+AU123*SUM(N123:O123)/1000</f>
        <v>11537.9859375</v>
      </c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</row>
    <row r="124" customFormat="false" ht="12.75" hidden="true" customHeight="false" outlineLevel="1" collapsed="false">
      <c r="A124" s="164" t="n">
        <f aca="false">+IF(B124=" ",A123,B124)</f>
        <v>39052</v>
      </c>
      <c r="B124" s="148" t="n">
        <f aca="false">IF(B123=" "," ",IF(EDATE(B123,1)&gt;=EndDate," ",EDATE(B123,1)))</f>
        <v>39052</v>
      </c>
      <c r="C124" s="149" t="n">
        <f aca="false">IF($B124&lt;&gt;" ",C123+1,C123)</f>
        <v>74</v>
      </c>
      <c r="D124" s="150" t="n">
        <f aca="false">C124/12</f>
        <v>6.16666666666667</v>
      </c>
      <c r="F124" s="157" t="n">
        <f aca="false">+SUM($T124:$U124)</f>
        <v>14883.5779284771</v>
      </c>
      <c r="G124" s="152" t="n">
        <f aca="false">-SUM($AA124,$AG124,$AM124,$AQ124,$AV124:$AX124)</f>
        <v>-16506.7952961303</v>
      </c>
      <c r="H124" s="152" t="n">
        <f aca="false">+SUM(F124:G124)</f>
        <v>-1623.21736765317</v>
      </c>
      <c r="I124" s="124"/>
      <c r="J124" s="153" t="n">
        <f aca="false">+IF($B124=" ",0,IF(AND($B124&gt;=J$26,$B124&lt;J$28),J$33,0))</f>
        <v>0</v>
      </c>
      <c r="K124" s="153" t="n">
        <f aca="false">+IF($B124=" ",0,IF(AND($B124&gt;=K$26,$B124&lt;K$28),K$33,0))</f>
        <v>0</v>
      </c>
      <c r="L124" s="153" t="n">
        <f aca="false">+IF($B124=" ",0,IF(AND($B124&gt;=L$26,$B124&lt;L$28),L$33,0))</f>
        <v>0</v>
      </c>
      <c r="M124" s="153" t="n">
        <f aca="false">+IF($B124=" ",0,IF(AND($B124&gt;=M$26,$B124&lt;M$28),M$33,0))</f>
        <v>0</v>
      </c>
      <c r="N124" s="153" t="n">
        <f aca="false">+IF($B124=" ",0,IF(AND($B124&gt;=N$26,$B124&lt;N$28),N$33,0))</f>
        <v>0</v>
      </c>
      <c r="O124" s="154" t="n">
        <f aca="false">+IF($B124=" ",0,IF(AND($B124&gt;=O$26,$B124&lt;O$28),O$33,0))</f>
        <v>5016515.625</v>
      </c>
      <c r="Q124" s="83" t="n">
        <f aca="false">IF($B124=" ",0,IF($B124&lt;=DATE(2003,12,31),3.55,2.9))</f>
        <v>2.9</v>
      </c>
      <c r="R124" s="155" t="n">
        <f aca="false">IF($B124=" ",0,R$25)</f>
        <v>-0.07</v>
      </c>
      <c r="S124" s="156" t="n">
        <f aca="false">IF($B124=" ",0,S$25)</f>
        <v>0.1</v>
      </c>
      <c r="T124" s="157" t="n">
        <f aca="false">+SUM($Q124,$S124)/1000*(SUM($J124*$J$37,$K124*$K$37,$L124*$L$37,$M124*$M$37,$N124*$N$37,$O124*$O$37))</f>
        <v>14883.5779284771</v>
      </c>
      <c r="U124" s="157" t="n">
        <f aca="false">+SUM($Q124,$R124)/1000*(SUM(0))</f>
        <v>0</v>
      </c>
      <c r="W124" s="158" t="n">
        <f aca="false">IF($B124=" ",0,1)*(IF($B124&gt;=W$25,1,0)*IF($B124&lt;=W$29,W$27,IF($B124&lt;=W$33,W$31,0))*($D124-$D123)*365/1000)</f>
        <v>486.66666666667</v>
      </c>
      <c r="X124" s="158" t="n">
        <f aca="false">IF($B124=" ",0,IF($B124&gt;=X$25,IF($B124&lt;=X$29,X$27,IF($B124&lt;=X$33,X$31,X$31*(1+X$38)^(IF(X$36&gt;$B124,-1,1)*(YEARFRAC($B124,X$36)))))*($D124-$D123)*365/1000,0))</f>
        <v>393.346585135552</v>
      </c>
      <c r="Y124" s="159" t="n">
        <f aca="false">IF($B124=" ",0,Y$25*(1+Y$30)^(IF(Y$28&gt;$B124,-1,1)*(YEARFRAC($B124,Y$28))))</f>
        <v>0.494425796802076</v>
      </c>
      <c r="Z124" s="159" t="n">
        <f aca="false">IF($B124=" ",0,Z$25*(1+Z$30)^(IF(Z$28&gt;$B124,-1,1)*(YEARFRAC($B124,Z$28))))</f>
        <v>0.471993175557104</v>
      </c>
      <c r="AA124" s="162" t="n">
        <f aca="false">+W124+X124+Z124*SUM($J124*$J$37,$L124*$L$37,$N124*$N$37)/1000</f>
        <v>880.013251802222</v>
      </c>
      <c r="AB124" s="161"/>
      <c r="AC124" s="158" t="n">
        <f aca="false">IF($B124=" ",0,1)*(IF($B124&gt;=AC$25,1,0)*IF($B124&lt;=AC$29,AC$27,IF($B124&lt;=AC$33,AC$31,0))*($D124-$D123)*365/1000)</f>
        <v>1591.66666666668</v>
      </c>
      <c r="AD124" s="158" t="n">
        <f aca="false">IF($B124=" ",0,IF($B124&gt;=AD$25,IF($B124&lt;=AD$29,AD$27,IF($B124&lt;=AD$33,AD$31,AD$31*(1+AD$38)^(IF(AD$36&gt;$B124,-1,1)*(YEARFRAC($B124,AD$36)))))*($D124-$D123)*365/1000,0))</f>
        <v>350.164466872675</v>
      </c>
      <c r="AE124" s="159" t="n">
        <f aca="false">IF($B124=" ",0,AE$25*(1+AE$30)^(IF(AE$28&gt;$B124,-1,1)*(YEARFRAC($B124,AE$28))))</f>
        <v>0.409629158543086</v>
      </c>
      <c r="AF124" s="159" t="n">
        <f aca="false">IF($B124=" ",0,AF$25*(1+AF$30)^(IF(AF$28&gt;$B124,-1,1)*(YEARFRAC($B124,AF$28))))</f>
        <v>0.146974013118313</v>
      </c>
      <c r="AG124" s="162" t="n">
        <f aca="false">+AC124+AD124+AF124*SUM($K124*$K$37,$M124*$M$37,$O124*$O$37)/1000</f>
        <v>2670.9975261085</v>
      </c>
      <c r="AI124" s="158" t="n">
        <f aca="false">IF($B124=" ",0,1)*IF($B124&gt;=AI$33,AI$25*($D124-$D123),0)</f>
        <v>485.186570908337</v>
      </c>
      <c r="AJ124" s="158" t="n">
        <f aca="false">IF($B124=" ",0,IF($B124&gt;=AJ$33,AJ$25*(1+AJ$30)^(IF(AJ$28&gt;$B124,-1,1)*(YEARFRAC($B124,AJ$28)))*($D124-$D123),0))</f>
        <v>504.342637477796</v>
      </c>
      <c r="AK124" s="159" t="n">
        <f aca="false">IF($B124=" ",0,AK$25*(1+AK$30)^(IF(AK$28&gt;$B124,-1,1)*(YEARFRAC($B124,AK$28))))</f>
        <v>0.0288238747547418</v>
      </c>
      <c r="AL124" s="159" t="n">
        <f aca="false">IF($B124=" ",0,AL$25*AL$28)</f>
        <v>0.0575</v>
      </c>
      <c r="AM124" s="162" t="n">
        <f aca="false">+AI124+AJ124+SUM(AK124:AL124)*SUM($J124*$J$37,$K124*$K$37,$L124*$L$37,$M124*$M$37,$N124*$N$37,$O124*$O$37)/1000</f>
        <v>1417.79858071957</v>
      </c>
      <c r="AO124" s="163" t="n">
        <f aca="false">IF($B124=" ",0,$AO$25)</f>
        <v>0.25</v>
      </c>
      <c r="AP124" s="159" t="n">
        <f aca="false">IF($B124=" ",0,AP$25*AP$28)</f>
        <v>0.03105</v>
      </c>
      <c r="AQ124" s="162" t="n">
        <f aca="false">SUM(AO124:AP124)*SUM(0)/1000</f>
        <v>0</v>
      </c>
      <c r="AS124" s="155" t="n">
        <f aca="false">IF($B124=" ",0,AS$25)</f>
        <v>1</v>
      </c>
      <c r="AT124" s="156" t="n">
        <f aca="false">IF($B124=" ",0,AT$25)</f>
        <v>1</v>
      </c>
      <c r="AU124" s="156" t="n">
        <f aca="false">IF($B124=" ",0,AU$25)</f>
        <v>2.3</v>
      </c>
      <c r="AV124" s="157" t="n">
        <f aca="false">+AS124*SUM(J124:K124)/1000</f>
        <v>0</v>
      </c>
      <c r="AW124" s="157" t="n">
        <f aca="false">+AT124*SUM(L124:M124)/1000</f>
        <v>0</v>
      </c>
      <c r="AX124" s="157" t="n">
        <f aca="false">+AU124*SUM(N124:O124)/1000</f>
        <v>11537.9859375</v>
      </c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</row>
    <row r="125" customFormat="false" ht="12.75" hidden="true" customHeight="false" outlineLevel="1" collapsed="false">
      <c r="A125" s="164" t="n">
        <f aca="false">+IF(B125=" ",A124,B125)</f>
        <v>39083</v>
      </c>
      <c r="B125" s="148" t="n">
        <f aca="false">IF(B124=" "," ",IF(EDATE(B124,1)&gt;=EndDate," ",EDATE(B124,1)))</f>
        <v>39083</v>
      </c>
      <c r="C125" s="149" t="n">
        <f aca="false">IF($B125&lt;&gt;" ",C124+1,C124)</f>
        <v>75</v>
      </c>
      <c r="D125" s="150" t="n">
        <f aca="false">C125/12</f>
        <v>6.25</v>
      </c>
      <c r="F125" s="157" t="n">
        <f aca="false">+SUM($T125:$U125)</f>
        <v>14883.5779284771</v>
      </c>
      <c r="G125" s="152" t="n">
        <f aca="false">-SUM($AA125,$AG125,$AM125,$AQ125,$AV125:$AX125)</f>
        <v>-16509.4957047552</v>
      </c>
      <c r="H125" s="152" t="n">
        <f aca="false">+SUM(F125:G125)</f>
        <v>-1625.91777627804</v>
      </c>
      <c r="I125" s="124"/>
      <c r="J125" s="153" t="n">
        <f aca="false">+IF($B125=" ",0,IF(AND($B125&gt;=J$26,$B125&lt;J$28),J$33,0))</f>
        <v>0</v>
      </c>
      <c r="K125" s="153" t="n">
        <f aca="false">+IF($B125=" ",0,IF(AND($B125&gt;=K$26,$B125&lt;K$28),K$33,0))</f>
        <v>0</v>
      </c>
      <c r="L125" s="153" t="n">
        <f aca="false">+IF($B125=" ",0,IF(AND($B125&gt;=L$26,$B125&lt;L$28),L$33,0))</f>
        <v>0</v>
      </c>
      <c r="M125" s="153" t="n">
        <f aca="false">+IF($B125=" ",0,IF(AND($B125&gt;=M$26,$B125&lt;M$28),M$33,0))</f>
        <v>0</v>
      </c>
      <c r="N125" s="153" t="n">
        <f aca="false">+IF($B125=" ",0,IF(AND($B125&gt;=N$26,$B125&lt;N$28),N$33,0))</f>
        <v>0</v>
      </c>
      <c r="O125" s="154" t="n">
        <f aca="false">+IF($B125=" ",0,IF(AND($B125&gt;=O$26,$B125&lt;O$28),O$33,0))</f>
        <v>5016515.625</v>
      </c>
      <c r="Q125" s="83" t="n">
        <f aca="false">IF($B125=" ",0,IF($B125&lt;=DATE(2003,12,31),3.55,2.9))</f>
        <v>2.9</v>
      </c>
      <c r="R125" s="155" t="n">
        <f aca="false">IF($B125=" ",0,R$25)</f>
        <v>-0.07</v>
      </c>
      <c r="S125" s="156" t="n">
        <f aca="false">IF($B125=" ",0,S$25)</f>
        <v>0.1</v>
      </c>
      <c r="T125" s="157" t="n">
        <f aca="false">+SUM($Q125,$S125)/1000*(SUM($J125*$J$37,$K125*$K$37,$L125*$L$37,$M125*$M$37,$N125*$N$37,$O125*$O$37))</f>
        <v>14883.5779284771</v>
      </c>
      <c r="U125" s="157" t="n">
        <f aca="false">+SUM($Q125,$R125)/1000*(SUM(0))</f>
        <v>0</v>
      </c>
      <c r="W125" s="158" t="n">
        <f aca="false">IF($B125=" ",0,1)*(IF($B125&gt;=W$25,1,0)*IF($B125&lt;=W$29,W$27,IF($B125&lt;=W$33,W$31,0))*($D125-$D124)*365/1000)</f>
        <v>486.666666666665</v>
      </c>
      <c r="X125" s="158" t="n">
        <f aca="false">IF($B125=" ",0,IF($B125&gt;=X$25,IF($B125&lt;=X$29,X$27,IF($B125&lt;=X$33,X$31,X$31*(1+X$38)^(IF(X$36&gt;$B125,-1,1)*(YEARFRAC($B125,X$36)))))*($D125-$D124)*365/1000,0))</f>
        <v>393.88877050399</v>
      </c>
      <c r="Y125" s="159" t="n">
        <f aca="false">IF($B125=" ",0,Y$25*(1+Y$30)^(IF(Y$28&gt;$B125,-1,1)*(YEARFRAC($B125,Y$28))))</f>
        <v>0.495107308839898</v>
      </c>
      <c r="Z125" s="159" t="n">
        <f aca="false">IF($B125=" ",0,Z$25*(1+Z$30)^(IF(Z$28&gt;$B125,-1,1)*(YEARFRAC($B125,Z$28))))</f>
        <v>0.472643766673087</v>
      </c>
      <c r="AA125" s="162" t="n">
        <f aca="false">+W125+X125+Z125*SUM($J125*$J$37,$L125*$L$37,$N125*$N$37)/1000</f>
        <v>880.555437170655</v>
      </c>
      <c r="AB125" s="161"/>
      <c r="AC125" s="158" t="n">
        <f aca="false">IF($B125=" ",0,1)*(IF($B125&gt;=AC$25,1,0)*IF($B125&lt;=AC$29,AC$27,IF($B125&lt;=AC$33,AC$31,0))*($D125-$D124)*365/1000)</f>
        <v>1591.66666666666</v>
      </c>
      <c r="AD125" s="158" t="n">
        <f aca="false">IF($B125=" ",0,IF($B125&gt;=AD$25,IF($B125&lt;=AD$29,AD$27,IF($B125&lt;=AD$33,AD$31,AD$31*(1+AD$38)^(IF(AD$36&gt;$B125,-1,1)*(YEARFRAC($B125,AD$36)))))*($D125-$D124)*365/1000,0))</f>
        <v>350.647130400616</v>
      </c>
      <c r="AE125" s="159" t="n">
        <f aca="false">IF($B125=" ",0,AE$25*(1+AE$30)^(IF(AE$28&gt;$B125,-1,1)*(YEARFRAC($B125,AE$28))))</f>
        <v>0.410193787663161</v>
      </c>
      <c r="AF125" s="159" t="n">
        <f aca="false">IF($B125=" ",0,AF$25*(1+AF$30)^(IF(AF$28&gt;$B125,-1,1)*(YEARFRAC($B125,AF$28))))</f>
        <v>0.147176600766116</v>
      </c>
      <c r="AG125" s="162" t="n">
        <f aca="false">+AC125+AD125+AF125*SUM($K125*$K$37,$M125*$M$37,$O125*$O$37)/1000</f>
        <v>2672.48526598423</v>
      </c>
      <c r="AI125" s="158" t="n">
        <f aca="false">IF($B125=" ",0,1)*IF($B125&gt;=AI$33,AI$25*($D125-$D124),0)</f>
        <v>485.186570908332</v>
      </c>
      <c r="AJ125" s="158" t="n">
        <f aca="false">IF($B125=" ",0,IF($B125&gt;=AJ$33,AJ$25*(1+AJ$30)^(IF(AJ$28&gt;$B125,-1,1)*(YEARFRAC($B125,AJ$28)))*($D125-$D124),0))</f>
        <v>504.865008354601</v>
      </c>
      <c r="AK125" s="159" t="n">
        <f aca="false">IF($B125=" ",0,AK$25*(1+AK$30)^(IF(AK$28&gt;$B125,-1,1)*(YEARFRAC($B125,AK$28))))</f>
        <v>0.0288537289681472</v>
      </c>
      <c r="AL125" s="159" t="n">
        <f aca="false">IF($B125=" ",0,AL$25*AL$28)</f>
        <v>0.0575</v>
      </c>
      <c r="AM125" s="162" t="n">
        <f aca="false">+AI125+AJ125+SUM(AK125:AL125)*SUM($J125*$J$37,$K125*$K$37,$L125*$L$37,$M125*$M$37,$N125*$N$37,$O125*$O$37)/1000</f>
        <v>1418.46906410027</v>
      </c>
      <c r="AO125" s="163" t="n">
        <f aca="false">IF($B125=" ",0,$AO$25)</f>
        <v>0.25</v>
      </c>
      <c r="AP125" s="159" t="n">
        <f aca="false">IF($B125=" ",0,AP$25*AP$28)</f>
        <v>0.03105</v>
      </c>
      <c r="AQ125" s="162" t="n">
        <f aca="false">SUM(AO125:AP125)*SUM(0)/1000</f>
        <v>0</v>
      </c>
      <c r="AS125" s="155" t="n">
        <f aca="false">IF($B125=" ",0,AS$25)</f>
        <v>1</v>
      </c>
      <c r="AT125" s="156" t="n">
        <f aca="false">IF($B125=" ",0,AT$25)</f>
        <v>1</v>
      </c>
      <c r="AU125" s="156" t="n">
        <f aca="false">IF($B125=" ",0,AU$25)</f>
        <v>2.3</v>
      </c>
      <c r="AV125" s="157" t="n">
        <f aca="false">+AS125*SUM(J125:K125)/1000</f>
        <v>0</v>
      </c>
      <c r="AW125" s="157" t="n">
        <f aca="false">+AT125*SUM(L125:M125)/1000</f>
        <v>0</v>
      </c>
      <c r="AX125" s="157" t="n">
        <f aca="false">+AU125*SUM(N125:O125)/1000</f>
        <v>11537.9859375</v>
      </c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</row>
    <row r="126" customFormat="false" ht="12.75" hidden="true" customHeight="false" outlineLevel="1" collapsed="false">
      <c r="A126" s="164" t="n">
        <f aca="false">+IF(B126=" ",A125,B126)</f>
        <v>39114</v>
      </c>
      <c r="B126" s="148" t="n">
        <f aca="false">IF(B125=" "," ",IF(EDATE(B125,1)&gt;=EndDate," ",EDATE(B125,1)))</f>
        <v>39114</v>
      </c>
      <c r="C126" s="149" t="n">
        <f aca="false">IF($B126&lt;&gt;" ",C125+1,C125)</f>
        <v>76</v>
      </c>
      <c r="D126" s="150" t="n">
        <f aca="false">C126/12</f>
        <v>6.33333333333333</v>
      </c>
      <c r="F126" s="157" t="n">
        <f aca="false">+SUM($T126:$U126)</f>
        <v>14883.5779284771</v>
      </c>
      <c r="G126" s="152" t="n">
        <f aca="false">-SUM($AA126,$AG126,$AM126,$AQ126,$AV126:$AX126)</f>
        <v>-16512.1996058611</v>
      </c>
      <c r="H126" s="152" t="n">
        <f aca="false">+SUM(F126:G126)</f>
        <v>-1628.621677384</v>
      </c>
      <c r="I126" s="124"/>
      <c r="J126" s="153" t="n">
        <f aca="false">+IF($B126=" ",0,IF(AND($B126&gt;=J$26,$B126&lt;J$28),J$33,0))</f>
        <v>0</v>
      </c>
      <c r="K126" s="153" t="n">
        <f aca="false">+IF($B126=" ",0,IF(AND($B126&gt;=K$26,$B126&lt;K$28),K$33,0))</f>
        <v>0</v>
      </c>
      <c r="L126" s="153" t="n">
        <f aca="false">+IF($B126=" ",0,IF(AND($B126&gt;=L$26,$B126&lt;L$28),L$33,0))</f>
        <v>0</v>
      </c>
      <c r="M126" s="153" t="n">
        <f aca="false">+IF($B126=" ",0,IF(AND($B126&gt;=M$26,$B126&lt;M$28),M$33,0))</f>
        <v>0</v>
      </c>
      <c r="N126" s="153" t="n">
        <f aca="false">+IF($B126=" ",0,IF(AND($B126&gt;=N$26,$B126&lt;N$28),N$33,0))</f>
        <v>0</v>
      </c>
      <c r="O126" s="154" t="n">
        <f aca="false">+IF($B126=" ",0,IF(AND($B126&gt;=O$26,$B126&lt;O$28),O$33,0))</f>
        <v>5016515.625</v>
      </c>
      <c r="Q126" s="83" t="n">
        <f aca="false">IF($B126=" ",0,IF($B126&lt;=DATE(2003,12,31),3.55,2.9))</f>
        <v>2.9</v>
      </c>
      <c r="R126" s="155" t="n">
        <f aca="false">IF($B126=" ",0,R$25)</f>
        <v>-0.07</v>
      </c>
      <c r="S126" s="156" t="n">
        <f aca="false">IF($B126=" ",0,S$25)</f>
        <v>0.1</v>
      </c>
      <c r="T126" s="157" t="n">
        <f aca="false">+SUM($Q126,$S126)/1000*(SUM($J126*$J$37,$K126*$K$37,$L126*$L$37,$M126*$M$37,$N126*$N$37,$O126*$O$37))</f>
        <v>14883.5779284771</v>
      </c>
      <c r="U126" s="157" t="n">
        <f aca="false">+SUM($Q126,$R126)/1000*(SUM(0))</f>
        <v>0</v>
      </c>
      <c r="W126" s="158" t="n">
        <f aca="false">IF($B126=" ",0,1)*(IF($B126&gt;=W$25,1,0)*IF($B126&lt;=W$29,W$27,IF($B126&lt;=W$33,W$31,0))*($D126-$D125)*365/1000)</f>
        <v>486.666666666665</v>
      </c>
      <c r="X126" s="158" t="n">
        <f aca="false">IF($B126=" ",0,IF($B126&gt;=X$25,IF($B126&lt;=X$29,X$27,IF($B126&lt;=X$33,X$31,X$31*(1+X$38)^(IF(X$36&gt;$B126,-1,1)*(YEARFRAC($B126,X$36)))))*($D126-$D125)*365/1000,0))</f>
        <v>394.43170321583</v>
      </c>
      <c r="Y126" s="159" t="n">
        <f aca="false">IF($B126=" ",0,Y$25*(1+Y$30)^(IF(Y$28&gt;$B126,-1,1)*(YEARFRAC($B126,Y$28))))</f>
        <v>0.495789760267738</v>
      </c>
      <c r="Z126" s="159" t="n">
        <f aca="false">IF($B126=" ",0,Z$25*(1+Z$30)^(IF(Z$28&gt;$B126,-1,1)*(YEARFRAC($B126,Z$28))))</f>
        <v>0.473295254557969</v>
      </c>
      <c r="AA126" s="162" t="n">
        <f aca="false">+W126+X126+Z126*SUM($J126*$J$37,$L126*$L$37,$N126*$N$37)/1000</f>
        <v>881.098369882495</v>
      </c>
      <c r="AB126" s="161"/>
      <c r="AC126" s="158" t="n">
        <f aca="false">IF($B126=" ",0,1)*(IF($B126&gt;=AC$25,1,0)*IF($B126&lt;=AC$29,AC$27,IF($B126&lt;=AC$33,AC$31,0))*($D126-$D125)*365/1000)</f>
        <v>1591.66666666666</v>
      </c>
      <c r="AD126" s="158" t="n">
        <f aca="false">IF($B126=" ",0,IF($B126&gt;=AD$25,IF($B126&lt;=AD$29,AD$27,IF($B126&lt;=AD$33,AD$31,AD$31*(1+AD$38)^(IF(AD$36&gt;$B126,-1,1)*(YEARFRAC($B126,AD$36)))))*($D126-$D125)*365/1000,0))</f>
        <v>351.130459227594</v>
      </c>
      <c r="AE126" s="159" t="n">
        <f aca="false">IF($B126=" ",0,AE$25*(1+AE$30)^(IF(AE$28&gt;$B126,-1,1)*(YEARFRAC($B126,AE$28))))</f>
        <v>0.410759195062897</v>
      </c>
      <c r="AF126" s="159" t="n">
        <f aca="false">IF($B126=" ",0,AF$25*(1+AF$30)^(IF(AF$28&gt;$B126,-1,1)*(YEARFRAC($B126,AF$28))))</f>
        <v>0.147379467658897</v>
      </c>
      <c r="AG126" s="162" t="n">
        <f aca="false">+AC126+AD126+AF126*SUM($K126*$K$37,$M126*$M$37,$O126*$O$37)/1000</f>
        <v>2673.97505654715</v>
      </c>
      <c r="AI126" s="158" t="n">
        <f aca="false">IF($B126=" ",0,1)*IF($B126&gt;=AI$33,AI$25*($D126-$D125),0)</f>
        <v>485.186570908332</v>
      </c>
      <c r="AJ126" s="158" t="n">
        <f aca="false">IF($B126=" ",0,IF($B126&gt;=AJ$33,AJ$25*(1+AJ$30)^(IF(AJ$28&gt;$B126,-1,1)*(YEARFRAC($B126,AJ$28)))*($D126-$D125),0))</f>
        <v>505.387920274965</v>
      </c>
      <c r="AK126" s="159" t="n">
        <f aca="false">IF($B126=" ",0,AK$25*(1+AK$30)^(IF(AK$28&gt;$B126,-1,1)*(YEARFRAC($B126,AK$28))))</f>
        <v>0.0288836141029351</v>
      </c>
      <c r="AL126" s="159" t="n">
        <f aca="false">IF($B126=" ",0,AL$25*AL$28)</f>
        <v>0.0575</v>
      </c>
      <c r="AM126" s="162" t="n">
        <f aca="false">+AI126+AJ126+SUM(AK126:AL126)*SUM($J126*$J$37,$K126*$K$37,$L126*$L$37,$M126*$M$37,$N126*$N$37,$O126*$O$37)/1000</f>
        <v>1419.14024193147</v>
      </c>
      <c r="AO126" s="163" t="n">
        <f aca="false">IF($B126=" ",0,$AO$25)</f>
        <v>0.25</v>
      </c>
      <c r="AP126" s="159" t="n">
        <f aca="false">IF($B126=" ",0,AP$25*AP$28)</f>
        <v>0.03105</v>
      </c>
      <c r="AQ126" s="162" t="n">
        <f aca="false">SUM(AO126:AP126)*SUM(0)/1000</f>
        <v>0</v>
      </c>
      <c r="AS126" s="155" t="n">
        <f aca="false">IF($B126=" ",0,AS$25)</f>
        <v>1</v>
      </c>
      <c r="AT126" s="156" t="n">
        <f aca="false">IF($B126=" ",0,AT$25)</f>
        <v>1</v>
      </c>
      <c r="AU126" s="156" t="n">
        <f aca="false">IF($B126=" ",0,AU$25)</f>
        <v>2.3</v>
      </c>
      <c r="AV126" s="157" t="n">
        <f aca="false">+AS126*SUM(J126:K126)/1000</f>
        <v>0</v>
      </c>
      <c r="AW126" s="157" t="n">
        <f aca="false">+AT126*SUM(L126:M126)/1000</f>
        <v>0</v>
      </c>
      <c r="AX126" s="157" t="n">
        <f aca="false">+AU126*SUM(N126:O126)/1000</f>
        <v>11537.9859375</v>
      </c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</row>
    <row r="127" customFormat="false" ht="12.75" hidden="true" customHeight="false" outlineLevel="1" collapsed="false">
      <c r="A127" s="164" t="n">
        <f aca="false">+IF(B127=" ",A126,B127)</f>
        <v>39142</v>
      </c>
      <c r="B127" s="148" t="n">
        <f aca="false">IF(B126=" "," ",IF(EDATE(B126,1)&gt;=EndDate," ",EDATE(B126,1)))</f>
        <v>39142</v>
      </c>
      <c r="C127" s="149" t="n">
        <f aca="false">IF($B127&lt;&gt;" ",C126+1,C126)</f>
        <v>77</v>
      </c>
      <c r="D127" s="150" t="n">
        <f aca="false">C127/12</f>
        <v>6.41666666666667</v>
      </c>
      <c r="F127" s="157" t="n">
        <f aca="false">+SUM($T127:$U127)</f>
        <v>14883.5779284771</v>
      </c>
      <c r="G127" s="152" t="n">
        <f aca="false">-SUM($AA127,$AG127,$AM127,$AQ127,$AV127:$AX127)</f>
        <v>-16514.9070040242</v>
      </c>
      <c r="H127" s="152" t="n">
        <f aca="false">+SUM(F127:G127)</f>
        <v>-1631.32907554711</v>
      </c>
      <c r="I127" s="124"/>
      <c r="J127" s="153" t="n">
        <f aca="false">+IF($B127=" ",0,IF(AND($B127&gt;=J$26,$B127&lt;J$28),J$33,0))</f>
        <v>0</v>
      </c>
      <c r="K127" s="153" t="n">
        <f aca="false">+IF($B127=" ",0,IF(AND($B127&gt;=K$26,$B127&lt;K$28),K$33,0))</f>
        <v>0</v>
      </c>
      <c r="L127" s="153" t="n">
        <f aca="false">+IF($B127=" ",0,IF(AND($B127&gt;=L$26,$B127&lt;L$28),L$33,0))</f>
        <v>0</v>
      </c>
      <c r="M127" s="153" t="n">
        <f aca="false">+IF($B127=" ",0,IF(AND($B127&gt;=M$26,$B127&lt;M$28),M$33,0))</f>
        <v>0</v>
      </c>
      <c r="N127" s="153" t="n">
        <f aca="false">+IF($B127=" ",0,IF(AND($B127&gt;=N$26,$B127&lt;N$28),N$33,0))</f>
        <v>0</v>
      </c>
      <c r="O127" s="154" t="n">
        <f aca="false">+IF($B127=" ",0,IF(AND($B127&gt;=O$26,$B127&lt;O$28),O$33,0))</f>
        <v>5016515.625</v>
      </c>
      <c r="Q127" s="83" t="n">
        <f aca="false">IF($B127=" ",0,IF($B127&lt;=DATE(2003,12,31),3.55,2.9))</f>
        <v>2.9</v>
      </c>
      <c r="R127" s="155" t="n">
        <f aca="false">IF($B127=" ",0,R$25)</f>
        <v>-0.07</v>
      </c>
      <c r="S127" s="156" t="n">
        <f aca="false">IF($B127=" ",0,S$25)</f>
        <v>0.1</v>
      </c>
      <c r="T127" s="157" t="n">
        <f aca="false">+SUM($Q127,$S127)/1000*(SUM($J127*$J$37,$K127*$K$37,$L127*$L$37,$M127*$M$37,$N127*$N$37,$O127*$O$37))</f>
        <v>14883.5779284771</v>
      </c>
      <c r="U127" s="157" t="n">
        <f aca="false">+SUM($Q127,$R127)/1000*(SUM(0))</f>
        <v>0</v>
      </c>
      <c r="W127" s="158" t="n">
        <f aca="false">IF($B127=" ",0,1)*(IF($B127&gt;=W$25,1,0)*IF($B127&lt;=W$29,W$27,IF($B127&lt;=W$33,W$31,0))*($D127-$D126)*365/1000)</f>
        <v>486.66666666667</v>
      </c>
      <c r="X127" s="158" t="n">
        <f aca="false">IF($B127=" ",0,IF($B127&gt;=X$25,IF($B127&lt;=X$29,X$27,IF($B127&lt;=X$33,X$31,X$31*(1+X$38)^(IF(X$36&gt;$B127,-1,1)*(YEARFRAC($B127,X$36)))))*($D127-$D126)*365/1000,0))</f>
        <v>394.975384301205</v>
      </c>
      <c r="Y127" s="159" t="n">
        <f aca="false">IF($B127=" ",0,Y$25*(1+Y$30)^(IF(Y$28&gt;$B127,-1,1)*(YEARFRAC($B127,Y$28))))</f>
        <v>0.496473152380442</v>
      </c>
      <c r="Z127" s="159" t="n">
        <f aca="false">IF($B127=" ",0,Z$25*(1+Z$30)^(IF(Z$28&gt;$B127,-1,1)*(YEARFRAC($B127,Z$28))))</f>
        <v>0.473947640447848</v>
      </c>
      <c r="AA127" s="162" t="n">
        <f aca="false">+W127+X127+Z127*SUM($J127*$J$37,$L127*$L$37,$N127*$N$37)/1000</f>
        <v>881.642050967875</v>
      </c>
      <c r="AB127" s="161"/>
      <c r="AC127" s="158" t="n">
        <f aca="false">IF($B127=" ",0,1)*(IF($B127&gt;=AC$25,1,0)*IF($B127&lt;=AC$29,AC$27,IF($B127&lt;=AC$33,AC$31,0))*($D127-$D126)*365/1000)</f>
        <v>1591.66666666668</v>
      </c>
      <c r="AD127" s="158" t="n">
        <f aca="false">IF($B127=" ",0,IF($B127&gt;=AD$25,IF($B127&lt;=AD$29,AD$27,IF($B127&lt;=AD$33,AD$31,AD$31*(1+AD$38)^(IF(AD$36&gt;$B127,-1,1)*(YEARFRAC($B127,AD$36)))))*($D127-$D126)*365/1000,0))</f>
        <v>351.614454270651</v>
      </c>
      <c r="AE127" s="159" t="n">
        <f aca="false">IF($B127=" ",0,AE$25*(1+AE$30)^(IF(AE$28&gt;$B127,-1,1)*(YEARFRAC($B127,AE$28))))</f>
        <v>0.41132538181507</v>
      </c>
      <c r="AF127" s="159" t="n">
        <f aca="false">IF($B127=" ",0,AF$25*(1+AF$30)^(IF(AF$28&gt;$B127,-1,1)*(YEARFRAC($B127,AF$28))))</f>
        <v>0.147582614181565</v>
      </c>
      <c r="AG127" s="162" t="n">
        <f aca="false">+AC127+AD127+AF127*SUM($K127*$K$37,$M127*$M$37,$O127*$O$37)/1000</f>
        <v>2675.46690062389</v>
      </c>
      <c r="AI127" s="158" t="n">
        <f aca="false">IF($B127=" ",0,1)*IF($B127&gt;=AI$33,AI$25*($D127-$D126),0)</f>
        <v>485.186570908337</v>
      </c>
      <c r="AJ127" s="158" t="n">
        <f aca="false">IF($B127=" ",0,IF($B127&gt;=AJ$33,AJ$25*(1+AJ$30)^(IF(AJ$28&gt;$B127,-1,1)*(YEARFRAC($B127,AJ$28)))*($D127-$D126),0))</f>
        <v>505.911373799272</v>
      </c>
      <c r="AK127" s="159" t="n">
        <f aca="false">IF($B127=" ",0,AK$25*(1+AK$30)^(IF(AK$28&gt;$B127,-1,1)*(YEARFRAC($B127,AK$28))))</f>
        <v>0.0289135301911323</v>
      </c>
      <c r="AL127" s="159" t="n">
        <f aca="false">IF($B127=" ",0,AL$25*AL$28)</f>
        <v>0.0575</v>
      </c>
      <c r="AM127" s="162" t="n">
        <f aca="false">+AI127+AJ127+SUM(AK127:AL127)*SUM($J127*$J$37,$K127*$K$37,$L127*$L$37,$M127*$M$37,$N127*$N$37,$O127*$O$37)/1000</f>
        <v>1419.81211493245</v>
      </c>
      <c r="AO127" s="163" t="n">
        <f aca="false">IF($B127=" ",0,$AO$25)</f>
        <v>0.25</v>
      </c>
      <c r="AP127" s="159" t="n">
        <f aca="false">IF($B127=" ",0,AP$25*AP$28)</f>
        <v>0.03105</v>
      </c>
      <c r="AQ127" s="162" t="n">
        <f aca="false">SUM(AO127:AP127)*SUM(0)/1000</f>
        <v>0</v>
      </c>
      <c r="AS127" s="155" t="n">
        <f aca="false">IF($B127=" ",0,AS$25)</f>
        <v>1</v>
      </c>
      <c r="AT127" s="156" t="n">
        <f aca="false">IF($B127=" ",0,AT$25)</f>
        <v>1</v>
      </c>
      <c r="AU127" s="156" t="n">
        <f aca="false">IF($B127=" ",0,AU$25)</f>
        <v>2.3</v>
      </c>
      <c r="AV127" s="157" t="n">
        <f aca="false">+AS127*SUM(J127:K127)/1000</f>
        <v>0</v>
      </c>
      <c r="AW127" s="157" t="n">
        <f aca="false">+AT127*SUM(L127:M127)/1000</f>
        <v>0</v>
      </c>
      <c r="AX127" s="157" t="n">
        <f aca="false">+AU127*SUM(N127:O127)/1000</f>
        <v>11537.9859375</v>
      </c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</row>
    <row r="128" customFormat="false" ht="12.75" hidden="true" customHeight="false" outlineLevel="1" collapsed="false">
      <c r="A128" s="164" t="n">
        <f aca="false">+IF(B128=" ",A127,B128)</f>
        <v>39173</v>
      </c>
      <c r="B128" s="148" t="n">
        <f aca="false">IF(B127=" "," ",IF(EDATE(B127,1)&gt;=EndDate," ",EDATE(B127,1)))</f>
        <v>39173</v>
      </c>
      <c r="C128" s="149" t="n">
        <f aca="false">IF($B128&lt;&gt;" ",C127+1,C127)</f>
        <v>78</v>
      </c>
      <c r="D128" s="150" t="n">
        <f aca="false">C128/12</f>
        <v>6.5</v>
      </c>
      <c r="F128" s="157" t="n">
        <f aca="false">+SUM($T128:$U128)</f>
        <v>14883.5779284771</v>
      </c>
      <c r="G128" s="152" t="n">
        <f aca="false">-SUM($AA128,$AG128,$AM128,$AQ128,$AV128:$AX128)</f>
        <v>-16517.6179038265</v>
      </c>
      <c r="H128" s="152" t="n">
        <f aca="false">+SUM(F128:G128)</f>
        <v>-1634.03997534935</v>
      </c>
      <c r="I128" s="124"/>
      <c r="J128" s="153" t="n">
        <f aca="false">+IF($B128=" ",0,IF(AND($B128&gt;=J$26,$B128&lt;J$28),J$33,0))</f>
        <v>0</v>
      </c>
      <c r="K128" s="153" t="n">
        <f aca="false">+IF($B128=" ",0,IF(AND($B128&gt;=K$26,$B128&lt;K$28),K$33,0))</f>
        <v>0</v>
      </c>
      <c r="L128" s="153" t="n">
        <f aca="false">+IF($B128=" ",0,IF(AND($B128&gt;=L$26,$B128&lt;L$28),L$33,0))</f>
        <v>0</v>
      </c>
      <c r="M128" s="153" t="n">
        <f aca="false">+IF($B128=" ",0,IF(AND($B128&gt;=M$26,$B128&lt;M$28),M$33,0))</f>
        <v>0</v>
      </c>
      <c r="N128" s="153" t="n">
        <f aca="false">+IF($B128=" ",0,IF(AND($B128&gt;=N$26,$B128&lt;N$28),N$33,0))</f>
        <v>0</v>
      </c>
      <c r="O128" s="154" t="n">
        <f aca="false">+IF($B128=" ",0,IF(AND($B128&gt;=O$26,$B128&lt;O$28),O$33,0))</f>
        <v>5016515.625</v>
      </c>
      <c r="Q128" s="83" t="n">
        <f aca="false">IF($B128=" ",0,IF($B128&lt;=DATE(2003,12,31),3.55,2.9))</f>
        <v>2.9</v>
      </c>
      <c r="R128" s="155" t="n">
        <f aca="false">IF($B128=" ",0,R$25)</f>
        <v>-0.07</v>
      </c>
      <c r="S128" s="156" t="n">
        <f aca="false">IF($B128=" ",0,S$25)</f>
        <v>0.1</v>
      </c>
      <c r="T128" s="157" t="n">
        <f aca="false">+SUM($Q128,$S128)/1000*(SUM($J128*$J$37,$K128*$K$37,$L128*$L$37,$M128*$M$37,$N128*$N$37,$O128*$O$37))</f>
        <v>14883.5779284771</v>
      </c>
      <c r="U128" s="157" t="n">
        <f aca="false">+SUM($Q128,$R128)/1000*(SUM(0))</f>
        <v>0</v>
      </c>
      <c r="W128" s="158" t="n">
        <f aca="false">IF($B128=" ",0,1)*(IF($B128&gt;=W$25,1,0)*IF($B128&lt;=W$29,W$27,IF($B128&lt;=W$33,W$31,0))*($D128-$D127)*365/1000)</f>
        <v>486.666666666665</v>
      </c>
      <c r="X128" s="158" t="n">
        <f aca="false">IF($B128=" ",0,IF($B128&gt;=X$25,IF($B128&lt;=X$29,X$27,IF($B128&lt;=X$33,X$31,X$31*(1+X$38)^(IF(X$36&gt;$B128,-1,1)*(YEARFRAC($B128,X$36)))))*($D128-$D127)*365/1000,0))</f>
        <v>395.519814791653</v>
      </c>
      <c r="Y128" s="159" t="n">
        <f aca="false">IF($B128=" ",0,Y$25*(1+Y$30)^(IF(Y$28&gt;$B128,-1,1)*(YEARFRAC($B128,Y$28))))</f>
        <v>0.497157486474641</v>
      </c>
      <c r="Z128" s="159" t="n">
        <f aca="false">IF($B128=" ",0,Z$25*(1+Z$30)^(IF(Z$28&gt;$B128,-1,1)*(YEARFRAC($B128,Z$28))))</f>
        <v>0.474600925580525</v>
      </c>
      <c r="AA128" s="162" t="n">
        <f aca="false">+W128+X128+Z128*SUM($J128*$J$37,$L128*$L$37,$N128*$N$37)/1000</f>
        <v>882.186481458317</v>
      </c>
      <c r="AB128" s="161"/>
      <c r="AC128" s="158" t="n">
        <f aca="false">IF($B128=" ",0,1)*(IF($B128&gt;=AC$25,1,0)*IF($B128&lt;=AC$29,AC$27,IF($B128&lt;=AC$33,AC$31,0))*($D128-$D127)*365/1000)</f>
        <v>1591.66666666666</v>
      </c>
      <c r="AD128" s="158" t="n">
        <f aca="false">IF($B128=" ",0,IF($B128&gt;=AD$25,IF($B128&lt;=AD$29,AD$27,IF($B128&lt;=AD$33,AD$31,AD$31*(1+AD$38)^(IF(AD$36&gt;$B128,-1,1)*(YEARFRAC($B128,AD$36)))))*($D128-$D127)*365/1000,0))</f>
        <v>352.099116448082</v>
      </c>
      <c r="AE128" s="159" t="n">
        <f aca="false">IF($B128=" ",0,AE$25*(1+AE$30)^(IF(AE$28&gt;$B128,-1,1)*(YEARFRAC($B128,AE$28))))</f>
        <v>0.411892348993931</v>
      </c>
      <c r="AF128" s="159" t="n">
        <f aca="false">IF($B128=" ",0,AF$25*(1+AF$30)^(IF(AF$28&gt;$B128,-1,1)*(YEARFRAC($B128,AF$28))))</f>
        <v>0.147786040719558</v>
      </c>
      <c r="AG128" s="162" t="n">
        <f aca="false">+AC128+AD128+AF128*SUM($K128*$K$37,$M128*$M$37,$O128*$O$37)/1000</f>
        <v>2676.96080104496</v>
      </c>
      <c r="AI128" s="158" t="n">
        <f aca="false">IF($B128=" ",0,1)*IF($B128&gt;=AI$33,AI$25*($D128-$D127),0)</f>
        <v>485.186570908332</v>
      </c>
      <c r="AJ128" s="158" t="n">
        <f aca="false">IF($B128=" ",0,IF($B128&gt;=AJ$33,AJ$25*(1+AJ$30)^(IF(AJ$28&gt;$B128,-1,1)*(YEARFRAC($B128,AJ$28)))*($D128-$D127),0))</f>
        <v>506.43536948847</v>
      </c>
      <c r="AK128" s="159" t="n">
        <f aca="false">IF($B128=" ",0,AK$25*(1+AK$30)^(IF(AK$28&gt;$B128,-1,1)*(YEARFRAC($B128,AK$28))))</f>
        <v>0.0289434772647987</v>
      </c>
      <c r="AL128" s="159" t="n">
        <f aca="false">IF($B128=" ",0,AL$25*AL$28)</f>
        <v>0.0575</v>
      </c>
      <c r="AM128" s="162" t="n">
        <f aca="false">+AI128+AJ128+SUM(AK128:AL128)*SUM($J128*$J$37,$K128*$K$37,$L128*$L$37,$M128*$M$37,$N128*$N$37,$O128*$O$37)/1000</f>
        <v>1420.48468382319</v>
      </c>
      <c r="AO128" s="163" t="n">
        <f aca="false">IF($B128=" ",0,$AO$25)</f>
        <v>0.25</v>
      </c>
      <c r="AP128" s="159" t="n">
        <f aca="false">IF($B128=" ",0,AP$25*AP$28)</f>
        <v>0.03105</v>
      </c>
      <c r="AQ128" s="162" t="n">
        <f aca="false">SUM(AO128:AP128)*SUM(0)/1000</f>
        <v>0</v>
      </c>
      <c r="AS128" s="155" t="n">
        <f aca="false">IF($B128=" ",0,AS$25)</f>
        <v>1</v>
      </c>
      <c r="AT128" s="156" t="n">
        <f aca="false">IF($B128=" ",0,AT$25)</f>
        <v>1</v>
      </c>
      <c r="AU128" s="156" t="n">
        <f aca="false">IF($B128=" ",0,AU$25)</f>
        <v>2.3</v>
      </c>
      <c r="AV128" s="157" t="n">
        <f aca="false">+AS128*SUM(J128:K128)/1000</f>
        <v>0</v>
      </c>
      <c r="AW128" s="157" t="n">
        <f aca="false">+AT128*SUM(L128:M128)/1000</f>
        <v>0</v>
      </c>
      <c r="AX128" s="157" t="n">
        <f aca="false">+AU128*SUM(N128:O128)/1000</f>
        <v>11537.9859375</v>
      </c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</row>
    <row r="129" customFormat="false" ht="12.75" hidden="true" customHeight="false" outlineLevel="1" collapsed="false">
      <c r="A129" s="164" t="n">
        <f aca="false">+IF(B129=" ",A128,B129)</f>
        <v>39203</v>
      </c>
      <c r="B129" s="148" t="n">
        <f aca="false">IF(B128=" "," ",IF(EDATE(B128,1)&gt;=EndDate," ",EDATE(B128,1)))</f>
        <v>39203</v>
      </c>
      <c r="C129" s="149" t="n">
        <f aca="false">IF($B129&lt;&gt;" ",C128+1,C128)</f>
        <v>79</v>
      </c>
      <c r="D129" s="150" t="n">
        <f aca="false">C129/12</f>
        <v>6.58333333333333</v>
      </c>
      <c r="F129" s="157" t="n">
        <f aca="false">+SUM($T129:$U129)</f>
        <v>14883.5779284771</v>
      </c>
      <c r="G129" s="152" t="n">
        <f aca="false">-SUM($AA129,$AG129,$AM129,$AQ129,$AV129:$AX129)</f>
        <v>-16520.3323098562</v>
      </c>
      <c r="H129" s="152" t="n">
        <f aca="false">+SUM(F129:G129)</f>
        <v>-1636.75438137904</v>
      </c>
      <c r="I129" s="124"/>
      <c r="J129" s="153" t="n">
        <f aca="false">+IF($B129=" ",0,IF(AND($B129&gt;=J$26,$B129&lt;J$28),J$33,0))</f>
        <v>0</v>
      </c>
      <c r="K129" s="153" t="n">
        <f aca="false">+IF($B129=" ",0,IF(AND($B129&gt;=K$26,$B129&lt;K$28),K$33,0))</f>
        <v>0</v>
      </c>
      <c r="L129" s="153" t="n">
        <f aca="false">+IF($B129=" ",0,IF(AND($B129&gt;=L$26,$B129&lt;L$28),L$33,0))</f>
        <v>0</v>
      </c>
      <c r="M129" s="153" t="n">
        <f aca="false">+IF($B129=" ",0,IF(AND($B129&gt;=M$26,$B129&lt;M$28),M$33,0))</f>
        <v>0</v>
      </c>
      <c r="N129" s="153" t="n">
        <f aca="false">+IF($B129=" ",0,IF(AND($B129&gt;=N$26,$B129&lt;N$28),N$33,0))</f>
        <v>0</v>
      </c>
      <c r="O129" s="154" t="n">
        <f aca="false">+IF($B129=" ",0,IF(AND($B129&gt;=O$26,$B129&lt;O$28),O$33,0))</f>
        <v>5016515.625</v>
      </c>
      <c r="Q129" s="83" t="n">
        <f aca="false">IF($B129=" ",0,IF($B129&lt;=DATE(2003,12,31),3.55,2.9))</f>
        <v>2.9</v>
      </c>
      <c r="R129" s="155" t="n">
        <f aca="false">IF($B129=" ",0,R$25)</f>
        <v>-0.07</v>
      </c>
      <c r="S129" s="156" t="n">
        <f aca="false">IF($B129=" ",0,S$25)</f>
        <v>0.1</v>
      </c>
      <c r="T129" s="157" t="n">
        <f aca="false">+SUM($Q129,$S129)/1000*(SUM($J129*$J$37,$K129*$K$37,$L129*$L$37,$M129*$M$37,$N129*$N$37,$O129*$O$37))</f>
        <v>14883.5779284771</v>
      </c>
      <c r="U129" s="157" t="n">
        <f aca="false">+SUM($Q129,$R129)/1000*(SUM(0))</f>
        <v>0</v>
      </c>
      <c r="W129" s="158" t="n">
        <f aca="false">IF($B129=" ",0,1)*(IF($B129&gt;=W$25,1,0)*IF($B129&lt;=W$29,W$27,IF($B129&lt;=W$33,W$31,0))*($D129-$D128)*365/1000)</f>
        <v>486.666666666665</v>
      </c>
      <c r="X129" s="158" t="n">
        <f aca="false">IF($B129=" ",0,IF($B129&gt;=X$25,IF($B129&lt;=X$29,X$27,IF($B129&lt;=X$33,X$31,X$31*(1+X$38)^(IF(X$36&gt;$B129,-1,1)*(YEARFRAC($B129,X$36)))))*($D129-$D128)*365/1000,0))</f>
        <v>396.064995720159</v>
      </c>
      <c r="Y129" s="159" t="n">
        <f aca="false">IF($B129=" ",0,Y$25*(1+Y$30)^(IF(Y$28&gt;$B129,-1,1)*(YEARFRAC($B129,Y$28))))</f>
        <v>0.497842763848754</v>
      </c>
      <c r="Z129" s="159" t="n">
        <f aca="false">IF($B129=" ",0,Z$25*(1+Z$30)^(IF(Z$28&gt;$B129,-1,1)*(YEARFRAC($B129,Z$28))))</f>
        <v>0.475255111195509</v>
      </c>
      <c r="AA129" s="162" t="n">
        <f aca="false">+W129+X129+Z129*SUM($J129*$J$37,$L129*$L$37,$N129*$N$37)/1000</f>
        <v>882.731662386824</v>
      </c>
      <c r="AB129" s="161"/>
      <c r="AC129" s="158" t="n">
        <f aca="false">IF($B129=" ",0,1)*(IF($B129&gt;=AC$25,1,0)*IF($B129&lt;=AC$29,AC$27,IF($B129&lt;=AC$33,AC$31,0))*($D129-$D128)*365/1000)</f>
        <v>1591.66666666666</v>
      </c>
      <c r="AD129" s="158" t="n">
        <f aca="false">IF($B129=" ",0,IF($B129&gt;=AD$25,IF($B129&lt;=AD$29,AD$27,IF($B129&lt;=AD$33,AD$31,AD$31*(1+AD$38)^(IF(AD$36&gt;$B129,-1,1)*(YEARFRAC($B129,AD$36)))))*($D129-$D128)*365/1000,0))</f>
        <v>352.58444667947</v>
      </c>
      <c r="AE129" s="159" t="n">
        <f aca="false">IF($B129=" ",0,AE$25*(1+AE$30)^(IF(AE$28&gt;$B129,-1,1)*(YEARFRAC($B129,AE$28))))</f>
        <v>0.412460097675214</v>
      </c>
      <c r="AF129" s="159" t="n">
        <f aca="false">IF($B129=" ",0,AF$25*(1+AF$30)^(IF(AF$28&gt;$B129,-1,1)*(YEARFRAC($B129,AF$28))))</f>
        <v>0.147989747658848</v>
      </c>
      <c r="AG129" s="162" t="n">
        <f aca="false">+AC129+AD129+AF129*SUM($K129*$K$37,$M129*$M$37,$O129*$O$37)/1000</f>
        <v>2678.45676064484</v>
      </c>
      <c r="AI129" s="158" t="n">
        <f aca="false">IF($B129=" ",0,1)*IF($B129&gt;=AI$33,AI$25*($D129-$D128),0)</f>
        <v>485.186570908332</v>
      </c>
      <c r="AJ129" s="158" t="n">
        <f aca="false">IF($B129=" ",0,IF($B129&gt;=AJ$33,AJ$25*(1+AJ$30)^(IF(AJ$28&gt;$B129,-1,1)*(YEARFRAC($B129,AJ$28)))*($D129-$D128),0))</f>
        <v>506.95990790412</v>
      </c>
      <c r="AK129" s="159" t="n">
        <f aca="false">IF($B129=" ",0,AK$25*(1+AK$30)^(IF(AK$28&gt;$B129,-1,1)*(YEARFRAC($B129,AK$28))))</f>
        <v>0.0289734553560272</v>
      </c>
      <c r="AL129" s="159" t="n">
        <f aca="false">IF($B129=" ",0,AL$25*AL$28)</f>
        <v>0.0575</v>
      </c>
      <c r="AM129" s="162" t="n">
        <f aca="false">+AI129+AJ129+SUM(AK129:AL129)*SUM($J129*$J$37,$K129*$K$37,$L129*$L$37,$M129*$M$37,$N129*$N$37,$O129*$O$37)/1000</f>
        <v>1421.15794932449</v>
      </c>
      <c r="AO129" s="163" t="n">
        <f aca="false">IF($B129=" ",0,$AO$25)</f>
        <v>0.25</v>
      </c>
      <c r="AP129" s="159" t="n">
        <f aca="false">IF($B129=" ",0,AP$25*AP$28)</f>
        <v>0.03105</v>
      </c>
      <c r="AQ129" s="162" t="n">
        <f aca="false">SUM(AO129:AP129)*SUM(0)/1000</f>
        <v>0</v>
      </c>
      <c r="AS129" s="155" t="n">
        <f aca="false">IF($B129=" ",0,AS$25)</f>
        <v>1</v>
      </c>
      <c r="AT129" s="156" t="n">
        <f aca="false">IF($B129=" ",0,AT$25)</f>
        <v>1</v>
      </c>
      <c r="AU129" s="156" t="n">
        <f aca="false">IF($B129=" ",0,AU$25)</f>
        <v>2.3</v>
      </c>
      <c r="AV129" s="157" t="n">
        <f aca="false">+AS129*SUM(J129:K129)/1000</f>
        <v>0</v>
      </c>
      <c r="AW129" s="157" t="n">
        <f aca="false">+AT129*SUM(L129:M129)/1000</f>
        <v>0</v>
      </c>
      <c r="AX129" s="157" t="n">
        <f aca="false">+AU129*SUM(N129:O129)/1000</f>
        <v>11537.9859375</v>
      </c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</row>
    <row r="130" customFormat="false" ht="12.75" hidden="true" customHeight="false" outlineLevel="1" collapsed="false">
      <c r="A130" s="164" t="n">
        <f aca="false">+IF(B130=" ",A129,B130)</f>
        <v>39234</v>
      </c>
      <c r="B130" s="148" t="n">
        <f aca="false">IF(B129=" "," ",IF(EDATE(B129,1)&gt;=EndDate," ",EDATE(B129,1)))</f>
        <v>39234</v>
      </c>
      <c r="C130" s="149" t="n">
        <f aca="false">IF($B130&lt;&gt;" ",C129+1,C129)</f>
        <v>80</v>
      </c>
      <c r="D130" s="150" t="n">
        <f aca="false">C130/12</f>
        <v>6.66666666666667</v>
      </c>
      <c r="F130" s="157" t="n">
        <f aca="false">+SUM($T130:$U130)</f>
        <v>14883.5779284771</v>
      </c>
      <c r="G130" s="152" t="n">
        <f aca="false">-SUM($AA130,$AG130,$AM130,$AQ130,$AV130:$AX130)</f>
        <v>-16523.0502267076</v>
      </c>
      <c r="H130" s="152" t="n">
        <f aca="false">+SUM(F130:G130)</f>
        <v>-1639.47229823044</v>
      </c>
      <c r="I130" s="124"/>
      <c r="J130" s="153" t="n">
        <f aca="false">+IF($B130=" ",0,IF(AND($B130&gt;=J$26,$B130&lt;J$28),J$33,0))</f>
        <v>0</v>
      </c>
      <c r="K130" s="153" t="n">
        <f aca="false">+IF($B130=" ",0,IF(AND($B130&gt;=K$26,$B130&lt;K$28),K$33,0))</f>
        <v>0</v>
      </c>
      <c r="L130" s="153" t="n">
        <f aca="false">+IF($B130=" ",0,IF(AND($B130&gt;=L$26,$B130&lt;L$28),L$33,0))</f>
        <v>0</v>
      </c>
      <c r="M130" s="153" t="n">
        <f aca="false">+IF($B130=" ",0,IF(AND($B130&gt;=M$26,$B130&lt;M$28),M$33,0))</f>
        <v>0</v>
      </c>
      <c r="N130" s="153" t="n">
        <f aca="false">+IF($B130=" ",0,IF(AND($B130&gt;=N$26,$B130&lt;N$28),N$33,0))</f>
        <v>0</v>
      </c>
      <c r="O130" s="154" t="n">
        <f aca="false">+IF($B130=" ",0,IF(AND($B130&gt;=O$26,$B130&lt;O$28),O$33,0))</f>
        <v>5016515.625</v>
      </c>
      <c r="Q130" s="83" t="n">
        <f aca="false">IF($B130=" ",0,IF($B130&lt;=DATE(2003,12,31),3.55,2.9))</f>
        <v>2.9</v>
      </c>
      <c r="R130" s="155" t="n">
        <f aca="false">IF($B130=" ",0,R$25)</f>
        <v>-0.07</v>
      </c>
      <c r="S130" s="156" t="n">
        <f aca="false">IF($B130=" ",0,S$25)</f>
        <v>0.1</v>
      </c>
      <c r="T130" s="157" t="n">
        <f aca="false">+SUM($Q130,$S130)/1000*(SUM($J130*$J$37,$K130*$K$37,$L130*$L$37,$M130*$M$37,$N130*$N$37,$O130*$O$37))</f>
        <v>14883.5779284771</v>
      </c>
      <c r="U130" s="157" t="n">
        <f aca="false">+SUM($Q130,$R130)/1000*(SUM(0))</f>
        <v>0</v>
      </c>
      <c r="W130" s="158" t="n">
        <f aca="false">IF($B130=" ",0,1)*(IF($B130&gt;=W$25,1,0)*IF($B130&lt;=W$29,W$27,IF($B130&lt;=W$33,W$31,0))*($D130-$D129)*365/1000)</f>
        <v>486.66666666667</v>
      </c>
      <c r="X130" s="158" t="n">
        <f aca="false">IF($B130=" ",0,IF($B130&gt;=X$25,IF($B130&lt;=X$29,X$27,IF($B130&lt;=X$33,X$31,X$31*(1+X$38)^(IF(X$36&gt;$B130,-1,1)*(YEARFRAC($B130,X$36)))))*($D130-$D129)*365/1000,0))</f>
        <v>396.61092812112</v>
      </c>
      <c r="Y130" s="159" t="n">
        <f aca="false">IF($B130=" ",0,Y$25*(1+Y$30)^(IF(Y$28&gt;$B130,-1,1)*(YEARFRAC($B130,Y$28))))</f>
        <v>0.498528985802989</v>
      </c>
      <c r="Z130" s="159" t="n">
        <f aca="false">IF($B130=" ",0,Z$25*(1+Z$30)^(IF(Z$28&gt;$B130,-1,1)*(YEARFRAC($B130,Z$28))))</f>
        <v>0.475910198534016</v>
      </c>
      <c r="AA130" s="162" t="n">
        <f aca="false">+W130+X130+Z130*SUM($J130*$J$37,$L130*$L$37,$N130*$N$37)/1000</f>
        <v>883.277594787791</v>
      </c>
      <c r="AB130" s="161"/>
      <c r="AC130" s="158" t="n">
        <f aca="false">IF($B130=" ",0,1)*(IF($B130&gt;=AC$25,1,0)*IF($B130&lt;=AC$29,AC$27,IF($B130&lt;=AC$33,AC$31,0))*($D130-$D129)*365/1000)</f>
        <v>1591.66666666668</v>
      </c>
      <c r="AD130" s="158" t="n">
        <f aca="false">IF($B130=" ",0,IF($B130&gt;=AD$25,IF($B130&lt;=AD$29,AD$27,IF($B130&lt;=AD$33,AD$31,AD$31*(1+AD$38)^(IF(AD$36&gt;$B130,-1,1)*(YEARFRAC($B130,AD$36)))))*($D130-$D129)*365/1000,0))</f>
        <v>353.070445885655</v>
      </c>
      <c r="AE130" s="159" t="n">
        <f aca="false">IF($B130=" ",0,AE$25*(1+AE$30)^(IF(AE$28&gt;$B130,-1,1)*(YEARFRAC($B130,AE$28))))</f>
        <v>0.413028628936134</v>
      </c>
      <c r="AF130" s="159" t="n">
        <f aca="false">IF($B130=" ",0,AF$25*(1+AF$30)^(IF(AF$28&gt;$B130,-1,1)*(YEARFRAC($B130,AF$28))))</f>
        <v>0.148193735385937</v>
      </c>
      <c r="AG130" s="162" t="n">
        <f aca="false">+AC130+AD130+AF130*SUM($K130*$K$37,$M130*$M$37,$O130*$O$37)/1000</f>
        <v>2679.9547822619</v>
      </c>
      <c r="AI130" s="158" t="n">
        <f aca="false">IF($B130=" ",0,1)*IF($B130&gt;=AI$33,AI$25*($D130-$D129),0)</f>
        <v>485.186570908337</v>
      </c>
      <c r="AJ130" s="158" t="n">
        <f aca="false">IF($B130=" ",0,IF($B130&gt;=AJ$33,AJ$25*(1+AJ$30)^(IF(AJ$28&gt;$B130,-1,1)*(YEARFRAC($B130,AJ$28)))*($D130-$D129),0))</f>
        <v>507.484989608349</v>
      </c>
      <c r="AK130" s="159" t="n">
        <f aca="false">IF($B130=" ",0,AK$25*(1+AK$30)^(IF(AK$28&gt;$B130,-1,1)*(YEARFRAC($B130,AK$28))))</f>
        <v>0.0290034644969442</v>
      </c>
      <c r="AL130" s="159" t="n">
        <f aca="false">IF($B130=" ",0,AL$25*AL$28)</f>
        <v>0.0575</v>
      </c>
      <c r="AM130" s="162" t="n">
        <f aca="false">+AI130+AJ130+SUM(AK130:AL130)*SUM($J130*$J$37,$K130*$K$37,$L130*$L$37,$M130*$M$37,$N130*$N$37,$O130*$O$37)/1000</f>
        <v>1421.83191215786</v>
      </c>
      <c r="AO130" s="163" t="n">
        <f aca="false">IF($B130=" ",0,$AO$25)</f>
        <v>0.25</v>
      </c>
      <c r="AP130" s="159" t="n">
        <f aca="false">IF($B130=" ",0,AP$25*AP$28)</f>
        <v>0.03105</v>
      </c>
      <c r="AQ130" s="162" t="n">
        <f aca="false">SUM(AO130:AP130)*SUM(0)/1000</f>
        <v>0</v>
      </c>
      <c r="AS130" s="155" t="n">
        <f aca="false">IF($B130=" ",0,AS$25)</f>
        <v>1</v>
      </c>
      <c r="AT130" s="156" t="n">
        <f aca="false">IF($B130=" ",0,AT$25)</f>
        <v>1</v>
      </c>
      <c r="AU130" s="156" t="n">
        <f aca="false">IF($B130=" ",0,AU$25)</f>
        <v>2.3</v>
      </c>
      <c r="AV130" s="157" t="n">
        <f aca="false">+AS130*SUM(J130:K130)/1000</f>
        <v>0</v>
      </c>
      <c r="AW130" s="157" t="n">
        <f aca="false">+AT130*SUM(L130:M130)/1000</f>
        <v>0</v>
      </c>
      <c r="AX130" s="157" t="n">
        <f aca="false">+AU130*SUM(N130:O130)/1000</f>
        <v>11537.9859375</v>
      </c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</row>
    <row r="131" customFormat="false" ht="12.75" hidden="true" customHeight="false" outlineLevel="1" collapsed="false">
      <c r="A131" s="164" t="n">
        <f aca="false">+IF(B131=" ",A130,B131)</f>
        <v>39264</v>
      </c>
      <c r="B131" s="148" t="n">
        <f aca="false">IF(B130=" "," ",IF(EDATE(B130,1)&gt;=EndDate," ",EDATE(B130,1)))</f>
        <v>39264</v>
      </c>
      <c r="C131" s="149" t="n">
        <f aca="false">IF($B131&lt;&gt;" ",C130+1,C130)</f>
        <v>81</v>
      </c>
      <c r="D131" s="150" t="n">
        <f aca="false">C131/12</f>
        <v>6.75</v>
      </c>
      <c r="F131" s="157" t="n">
        <f aca="false">+SUM($T131:$U131)</f>
        <v>14883.5779284771</v>
      </c>
      <c r="G131" s="152" t="n">
        <f aca="false">-SUM($AA131,$AG131,$AM131,$AQ131,$AV131:$AX131)</f>
        <v>-16525.7716589809</v>
      </c>
      <c r="H131" s="152" t="n">
        <f aca="false">+SUM(F131:G131)</f>
        <v>-1642.19373050377</v>
      </c>
      <c r="I131" s="124"/>
      <c r="J131" s="153" t="n">
        <f aca="false">+IF($B131=" ",0,IF(AND($B131&gt;=J$26,$B131&lt;J$28),J$33,0))</f>
        <v>0</v>
      </c>
      <c r="K131" s="153" t="n">
        <f aca="false">+IF($B131=" ",0,IF(AND($B131&gt;=K$26,$B131&lt;K$28),K$33,0))</f>
        <v>0</v>
      </c>
      <c r="L131" s="153" t="n">
        <f aca="false">+IF($B131=" ",0,IF(AND($B131&gt;=L$26,$B131&lt;L$28),L$33,0))</f>
        <v>0</v>
      </c>
      <c r="M131" s="153" t="n">
        <f aca="false">+IF($B131=" ",0,IF(AND($B131&gt;=M$26,$B131&lt;M$28),M$33,0))</f>
        <v>0</v>
      </c>
      <c r="N131" s="153" t="n">
        <f aca="false">+IF($B131=" ",0,IF(AND($B131&gt;=N$26,$B131&lt;N$28),N$33,0))</f>
        <v>0</v>
      </c>
      <c r="O131" s="154" t="n">
        <f aca="false">+IF($B131=" ",0,IF(AND($B131&gt;=O$26,$B131&lt;O$28),O$33,0))</f>
        <v>5016515.625</v>
      </c>
      <c r="Q131" s="83" t="n">
        <f aca="false">IF($B131=" ",0,IF($B131&lt;=DATE(2003,12,31),3.55,2.9))</f>
        <v>2.9</v>
      </c>
      <c r="R131" s="155" t="n">
        <f aca="false">IF($B131=" ",0,R$25)</f>
        <v>-0.07</v>
      </c>
      <c r="S131" s="156" t="n">
        <f aca="false">IF($B131=" ",0,S$25)</f>
        <v>0.1</v>
      </c>
      <c r="T131" s="157" t="n">
        <f aca="false">+SUM($Q131,$S131)/1000*(SUM($J131*$J$37,$K131*$K$37,$L131*$L$37,$M131*$M$37,$N131*$N$37,$O131*$O$37))</f>
        <v>14883.5779284771</v>
      </c>
      <c r="U131" s="157" t="n">
        <f aca="false">+SUM($Q131,$R131)/1000*(SUM(0))</f>
        <v>0</v>
      </c>
      <c r="W131" s="158" t="n">
        <f aca="false">IF($B131=" ",0,1)*(IF($B131&gt;=W$25,1,0)*IF($B131&lt;=W$29,W$27,IF($B131&lt;=W$33,W$31,0))*($D131-$D130)*365/1000)</f>
        <v>486.666666666665</v>
      </c>
      <c r="X131" s="158" t="n">
        <f aca="false">IF($B131=" ",0,IF($B131&gt;=X$25,IF($B131&lt;=X$29,X$27,IF($B131&lt;=X$33,X$31,X$31*(1+X$38)^(IF(X$36&gt;$B131,-1,1)*(YEARFRAC($B131,X$36)))))*($D131-$D130)*365/1000,0))</f>
        <v>397.157613030348</v>
      </c>
      <c r="Y131" s="159" t="n">
        <f aca="false">IF($B131=" ",0,Y$25*(1+Y$30)^(IF(Y$28&gt;$B131,-1,1)*(YEARFRAC($B131,Y$28))))</f>
        <v>0.499216153639348</v>
      </c>
      <c r="Z131" s="159" t="n">
        <f aca="false">IF($B131=" ",0,Z$25*(1+Z$30)^(IF(Z$28&gt;$B131,-1,1)*(YEARFRAC($B131,Z$28))))</f>
        <v>0.476566188838975</v>
      </c>
      <c r="AA131" s="162" t="n">
        <f aca="false">+W131+X131+Z131*SUM($J131*$J$37,$L131*$L$37,$N131*$N$37)/1000</f>
        <v>883.824279697013</v>
      </c>
      <c r="AB131" s="161"/>
      <c r="AC131" s="158" t="n">
        <f aca="false">IF($B131=" ",0,1)*(IF($B131&gt;=AC$25,1,0)*IF($B131&lt;=AC$29,AC$27,IF($B131&lt;=AC$33,AC$31,0))*($D131-$D130)*365/1000)</f>
        <v>1591.66666666666</v>
      </c>
      <c r="AD131" s="158" t="n">
        <f aca="false">IF($B131=" ",0,IF($B131&gt;=AD$25,IF($B131&lt;=AD$29,AD$27,IF($B131&lt;=AD$33,AD$31,AD$31*(1+AD$38)^(IF(AD$36&gt;$B131,-1,1)*(YEARFRAC($B131,AD$36)))))*($D131-$D130)*365/1000,0))</f>
        <v>353.557114988734</v>
      </c>
      <c r="AE131" s="159" t="n">
        <f aca="false">IF($B131=" ",0,AE$25*(1+AE$30)^(IF(AE$28&gt;$B131,-1,1)*(YEARFRAC($B131,AE$28))))</f>
        <v>0.413597943855392</v>
      </c>
      <c r="AF131" s="159" t="n">
        <f aca="false">IF($B131=" ",0,AF$25*(1+AF$30)^(IF(AF$28&gt;$B131,-1,1)*(YEARFRAC($B131,AF$28))))</f>
        <v>0.148398004287861</v>
      </c>
      <c r="AG131" s="162" t="n">
        <f aca="false">+AC131+AD131+AF131*SUM($K131*$K$37,$M131*$M$37,$O131*$O$37)/1000</f>
        <v>2681.45486873835</v>
      </c>
      <c r="AI131" s="158" t="n">
        <f aca="false">IF($B131=" ",0,1)*IF($B131&gt;=AI$33,AI$25*($D131-$D130),0)</f>
        <v>485.186570908332</v>
      </c>
      <c r="AJ131" s="158" t="n">
        <f aca="false">IF($B131=" ",0,IF($B131&gt;=AJ$33,AJ$25*(1+AJ$30)^(IF(AJ$28&gt;$B131,-1,1)*(YEARFRAC($B131,AJ$28)))*($D131-$D130),0))</f>
        <v>508.010615163849</v>
      </c>
      <c r="AK131" s="159" t="n">
        <f aca="false">IF($B131=" ",0,AK$25*(1+AK$30)^(IF(AK$28&gt;$B131,-1,1)*(YEARFRAC($B131,AK$28))))</f>
        <v>0.0290335047197094</v>
      </c>
      <c r="AL131" s="159" t="n">
        <f aca="false">IF($B131=" ",0,AL$25*AL$28)</f>
        <v>0.0575</v>
      </c>
      <c r="AM131" s="162" t="n">
        <f aca="false">+AI131+AJ131+SUM(AK131:AL131)*SUM($J131*$J$37,$K131*$K$37,$L131*$L$37,$M131*$M$37,$N131*$N$37,$O131*$O$37)/1000</f>
        <v>1422.50657304553</v>
      </c>
      <c r="AO131" s="163" t="n">
        <f aca="false">IF($B131=" ",0,$AO$25)</f>
        <v>0.25</v>
      </c>
      <c r="AP131" s="159" t="n">
        <f aca="false">IF($B131=" ",0,AP$25*AP$28)</f>
        <v>0.03105</v>
      </c>
      <c r="AQ131" s="162" t="n">
        <f aca="false">SUM(AO131:AP131)*SUM(0)/1000</f>
        <v>0</v>
      </c>
      <c r="AS131" s="155" t="n">
        <f aca="false">IF($B131=" ",0,AS$25)</f>
        <v>1</v>
      </c>
      <c r="AT131" s="156" t="n">
        <f aca="false">IF($B131=" ",0,AT$25)</f>
        <v>1</v>
      </c>
      <c r="AU131" s="156" t="n">
        <f aca="false">IF($B131=" ",0,AU$25)</f>
        <v>2.3</v>
      </c>
      <c r="AV131" s="157" t="n">
        <f aca="false">+AS131*SUM(J131:K131)/1000</f>
        <v>0</v>
      </c>
      <c r="AW131" s="157" t="n">
        <f aca="false">+AT131*SUM(L131:M131)/1000</f>
        <v>0</v>
      </c>
      <c r="AX131" s="157" t="n">
        <f aca="false">+AU131*SUM(N131:O131)/1000</f>
        <v>11537.9859375</v>
      </c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</row>
    <row r="132" customFormat="false" ht="12.75" hidden="true" customHeight="false" outlineLevel="1" collapsed="false">
      <c r="A132" s="164" t="n">
        <f aca="false">+IF(B132=" ",A131,B132)</f>
        <v>39295</v>
      </c>
      <c r="B132" s="148" t="n">
        <f aca="false">IF(B131=" "," ",IF(EDATE(B131,1)&gt;=EndDate," ",EDATE(B131,1)))</f>
        <v>39295</v>
      </c>
      <c r="C132" s="149" t="n">
        <f aca="false">IF($B132&lt;&gt;" ",C131+1,C131)</f>
        <v>82</v>
      </c>
      <c r="D132" s="150" t="n">
        <f aca="false">C132/12</f>
        <v>6.83333333333333</v>
      </c>
      <c r="F132" s="157" t="n">
        <f aca="false">+SUM($T132:$U132)</f>
        <v>14883.5779284771</v>
      </c>
      <c r="G132" s="152" t="n">
        <f aca="false">-SUM($AA132,$AG132,$AM132,$AQ132,$AV132:$AX132)</f>
        <v>-16528.4966112827</v>
      </c>
      <c r="H132" s="152" t="n">
        <f aca="false">+SUM(F132:G132)</f>
        <v>-1644.9186828056</v>
      </c>
      <c r="I132" s="124"/>
      <c r="J132" s="153" t="n">
        <f aca="false">+IF($B132=" ",0,IF(AND($B132&gt;=J$26,$B132&lt;J$28),J$33,0))</f>
        <v>0</v>
      </c>
      <c r="K132" s="153" t="n">
        <f aca="false">+IF($B132=" ",0,IF(AND($B132&gt;=K$26,$B132&lt;K$28),K$33,0))</f>
        <v>0</v>
      </c>
      <c r="L132" s="153" t="n">
        <f aca="false">+IF($B132=" ",0,IF(AND($B132&gt;=L$26,$B132&lt;L$28),L$33,0))</f>
        <v>0</v>
      </c>
      <c r="M132" s="153" t="n">
        <f aca="false">+IF($B132=" ",0,IF(AND($B132&gt;=M$26,$B132&lt;M$28),M$33,0))</f>
        <v>0</v>
      </c>
      <c r="N132" s="153" t="n">
        <f aca="false">+IF($B132=" ",0,IF(AND($B132&gt;=N$26,$B132&lt;N$28),N$33,0))</f>
        <v>0</v>
      </c>
      <c r="O132" s="154" t="n">
        <f aca="false">+IF($B132=" ",0,IF(AND($B132&gt;=O$26,$B132&lt;O$28),O$33,0))</f>
        <v>5016515.625</v>
      </c>
      <c r="Q132" s="83" t="n">
        <f aca="false">IF($B132=" ",0,IF($B132&lt;=DATE(2003,12,31),3.55,2.9))</f>
        <v>2.9</v>
      </c>
      <c r="R132" s="155" t="n">
        <f aca="false">IF($B132=" ",0,R$25)</f>
        <v>-0.07</v>
      </c>
      <c r="S132" s="156" t="n">
        <f aca="false">IF($B132=" ",0,S$25)</f>
        <v>0.1</v>
      </c>
      <c r="T132" s="157" t="n">
        <f aca="false">+SUM($Q132,$S132)/1000*(SUM($J132*$J$37,$K132*$K$37,$L132*$L$37,$M132*$M$37,$N132*$N$37,$O132*$O$37))</f>
        <v>14883.5779284771</v>
      </c>
      <c r="U132" s="157" t="n">
        <f aca="false">+SUM($Q132,$R132)/1000*(SUM(0))</f>
        <v>0</v>
      </c>
      <c r="W132" s="158" t="n">
        <f aca="false">IF($B132=" ",0,1)*(IF($B132&gt;=W$25,1,0)*IF($B132&lt;=W$29,W$27,IF($B132&lt;=W$33,W$31,0))*($D132-$D131)*365/1000)</f>
        <v>486.666666666665</v>
      </c>
      <c r="X132" s="158" t="n">
        <f aca="false">IF($B132=" ",0,IF($B132&gt;=X$25,IF($B132&lt;=X$29,X$27,IF($B132&lt;=X$33,X$31,X$31*(1+X$38)^(IF(X$36&gt;$B132,-1,1)*(YEARFRAC($B132,X$36)))))*($D132-$D131)*365/1000,0))</f>
        <v>397.705051485105</v>
      </c>
      <c r="Y132" s="159" t="n">
        <f aca="false">IF($B132=" ",0,Y$25*(1+Y$30)^(IF(Y$28&gt;$B132,-1,1)*(YEARFRAC($B132,Y$28))))</f>
        <v>0.499904268661625</v>
      </c>
      <c r="Z132" s="159" t="n">
        <f aca="false">IF($B132=" ",0,Z$25*(1+Z$30)^(IF(Z$28&gt;$B132,-1,1)*(YEARFRAC($B132,Z$28))))</f>
        <v>0.477223083355025</v>
      </c>
      <c r="AA132" s="162" t="n">
        <f aca="false">+W132+X132+Z132*SUM($J132*$J$37,$L132*$L$37,$N132*$N$37)/1000</f>
        <v>884.37171815177</v>
      </c>
      <c r="AB132" s="161"/>
      <c r="AC132" s="158" t="n">
        <f aca="false">IF($B132=" ",0,1)*(IF($B132&gt;=AC$25,1,0)*IF($B132&lt;=AC$29,AC$27,IF($B132&lt;=AC$33,AC$31,0))*($D132-$D131)*365/1000)</f>
        <v>1591.66666666666</v>
      </c>
      <c r="AD132" s="158" t="n">
        <f aca="false">IF($B132=" ",0,IF($B132&gt;=AD$25,IF($B132&lt;=AD$29,AD$27,IF($B132&lt;=AD$33,AD$31,AD$31*(1+AD$38)^(IF(AD$36&gt;$B132,-1,1)*(YEARFRAC($B132,AD$36)))))*($D132-$D131)*365/1000,0))</f>
        <v>354.044454912098</v>
      </c>
      <c r="AE132" s="159" t="n">
        <f aca="false">IF($B132=" ",0,AE$25*(1+AE$30)^(IF(AE$28&gt;$B132,-1,1)*(YEARFRAC($B132,AE$28))))</f>
        <v>0.414168043513175</v>
      </c>
      <c r="AF132" s="159" t="n">
        <f aca="false">IF($B132=" ",0,AF$25*(1+AF$30)^(IF(AF$28&gt;$B132,-1,1)*(YEARFRAC($B132,AF$28))))</f>
        <v>0.148602554752188</v>
      </c>
      <c r="AG132" s="162" t="n">
        <f aca="false">+AC132+AD132+AF132*SUM($K132*$K$37,$M132*$M$37,$O132*$O$37)/1000</f>
        <v>2682.95702292042</v>
      </c>
      <c r="AI132" s="158" t="n">
        <f aca="false">IF($B132=" ",0,1)*IF($B132&gt;=AI$33,AI$25*($D132-$D131),0)</f>
        <v>485.186570908332</v>
      </c>
      <c r="AJ132" s="158" t="n">
        <f aca="false">IF($B132=" ",0,IF($B132&gt;=AJ$33,AJ$25*(1+AJ$30)^(IF(AJ$28&gt;$B132,-1,1)*(YEARFRAC($B132,AJ$28)))*($D132-$D131),0))</f>
        <v>508.53678513393</v>
      </c>
      <c r="AK132" s="159" t="n">
        <f aca="false">IF($B132=" ",0,AK$25*(1+AK$30)^(IF(AK$28&gt;$B132,-1,1)*(YEARFRAC($B132,AK$28))))</f>
        <v>0.0290635760565155</v>
      </c>
      <c r="AL132" s="159" t="n">
        <f aca="false">IF($B132=" ",0,AL$25*AL$28)</f>
        <v>0.0575</v>
      </c>
      <c r="AM132" s="162" t="n">
        <f aca="false">+AI132+AJ132+SUM(AK132:AL132)*SUM($J132*$J$37,$K132*$K$37,$L132*$L$37,$M132*$M$37,$N132*$N$37,$O132*$O$37)/1000</f>
        <v>1423.18193271053</v>
      </c>
      <c r="AO132" s="163" t="n">
        <f aca="false">IF($B132=" ",0,$AO$25)</f>
        <v>0.25</v>
      </c>
      <c r="AP132" s="159" t="n">
        <f aca="false">IF($B132=" ",0,AP$25*AP$28)</f>
        <v>0.03105</v>
      </c>
      <c r="AQ132" s="162" t="n">
        <f aca="false">SUM(AO132:AP132)*SUM(0)/1000</f>
        <v>0</v>
      </c>
      <c r="AS132" s="155" t="n">
        <f aca="false">IF($B132=" ",0,AS$25)</f>
        <v>1</v>
      </c>
      <c r="AT132" s="156" t="n">
        <f aca="false">IF($B132=" ",0,AT$25)</f>
        <v>1</v>
      </c>
      <c r="AU132" s="156" t="n">
        <f aca="false">IF($B132=" ",0,AU$25)</f>
        <v>2.3</v>
      </c>
      <c r="AV132" s="157" t="n">
        <f aca="false">+AS132*SUM(J132:K132)/1000</f>
        <v>0</v>
      </c>
      <c r="AW132" s="157" t="n">
        <f aca="false">+AT132*SUM(L132:M132)/1000</f>
        <v>0</v>
      </c>
      <c r="AX132" s="157" t="n">
        <f aca="false">+AU132*SUM(N132:O132)/1000</f>
        <v>11537.9859375</v>
      </c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</row>
    <row r="133" customFormat="false" ht="12.75" hidden="true" customHeight="false" outlineLevel="1" collapsed="false">
      <c r="A133" s="164" t="n">
        <f aca="false">+IF(B133=" ",A132,B133)</f>
        <v>39326</v>
      </c>
      <c r="B133" s="148" t="n">
        <f aca="false">IF(B132=" "," ",IF(EDATE(B132,1)&gt;=EndDate," ",EDATE(B132,1)))</f>
        <v>39326</v>
      </c>
      <c r="C133" s="149" t="n">
        <f aca="false">IF($B133&lt;&gt;" ",C132+1,C132)</f>
        <v>83</v>
      </c>
      <c r="D133" s="150" t="n">
        <f aca="false">C133/12</f>
        <v>6.91666666666667</v>
      </c>
      <c r="F133" s="157" t="n">
        <f aca="false">+SUM($T133:$U133)</f>
        <v>14883.5779284771</v>
      </c>
      <c r="G133" s="152" t="n">
        <f aca="false">-SUM($AA133,$AG133,$AM133,$AQ133,$AV133:$AX133)</f>
        <v>-16531.2250882256</v>
      </c>
      <c r="H133" s="152" t="n">
        <f aca="false">+SUM(F133:G133)</f>
        <v>-1647.64715974847</v>
      </c>
      <c r="I133" s="124"/>
      <c r="J133" s="153" t="n">
        <f aca="false">+IF($B133=" ",0,IF(AND($B133&gt;=J$26,$B133&lt;J$28),J$33,0))</f>
        <v>0</v>
      </c>
      <c r="K133" s="153" t="n">
        <f aca="false">+IF($B133=" ",0,IF(AND($B133&gt;=K$26,$B133&lt;K$28),K$33,0))</f>
        <v>0</v>
      </c>
      <c r="L133" s="153" t="n">
        <f aca="false">+IF($B133=" ",0,IF(AND($B133&gt;=L$26,$B133&lt;L$28),L$33,0))</f>
        <v>0</v>
      </c>
      <c r="M133" s="153" t="n">
        <f aca="false">+IF($B133=" ",0,IF(AND($B133&gt;=M$26,$B133&lt;M$28),M$33,0))</f>
        <v>0</v>
      </c>
      <c r="N133" s="153" t="n">
        <f aca="false">+IF($B133=" ",0,IF(AND($B133&gt;=N$26,$B133&lt;N$28),N$33,0))</f>
        <v>0</v>
      </c>
      <c r="O133" s="154" t="n">
        <f aca="false">+IF($B133=" ",0,IF(AND($B133&gt;=O$26,$B133&lt;O$28),O$33,0))</f>
        <v>5016515.625</v>
      </c>
      <c r="Q133" s="83" t="n">
        <f aca="false">IF($B133=" ",0,IF($B133&lt;=DATE(2003,12,31),3.55,2.9))</f>
        <v>2.9</v>
      </c>
      <c r="R133" s="155" t="n">
        <f aca="false">IF($B133=" ",0,R$25)</f>
        <v>-0.07</v>
      </c>
      <c r="S133" s="156" t="n">
        <f aca="false">IF($B133=" ",0,S$25)</f>
        <v>0.1</v>
      </c>
      <c r="T133" s="157" t="n">
        <f aca="false">+SUM($Q133,$S133)/1000*(SUM($J133*$J$37,$K133*$K$37,$L133*$L$37,$M133*$M$37,$N133*$N$37,$O133*$O$37))</f>
        <v>14883.5779284771</v>
      </c>
      <c r="U133" s="157" t="n">
        <f aca="false">+SUM($Q133,$R133)/1000*(SUM(0))</f>
        <v>0</v>
      </c>
      <c r="W133" s="158" t="n">
        <f aca="false">IF($B133=" ",0,1)*(IF($B133&gt;=W$25,1,0)*IF($B133&lt;=W$29,W$27,IF($B133&lt;=W$33,W$31,0))*($D133-$D132)*365/1000)</f>
        <v>486.66666666667</v>
      </c>
      <c r="X133" s="158" t="n">
        <f aca="false">IF($B133=" ",0,IF($B133&gt;=X$25,IF($B133&lt;=X$29,X$27,IF($B133&lt;=X$33,X$31,X$31*(1+X$38)^(IF(X$36&gt;$B133,-1,1)*(YEARFRAC($B133,X$36)))))*($D133-$D132)*365/1000,0))</f>
        <v>398.253244524071</v>
      </c>
      <c r="Y133" s="159" t="n">
        <f aca="false">IF($B133=" ",0,Y$25*(1+Y$30)^(IF(Y$28&gt;$B133,-1,1)*(YEARFRAC($B133,Y$28))))</f>
        <v>0.500593332175413</v>
      </c>
      <c r="Z133" s="159" t="n">
        <f aca="false">IF($B133=" ",0,Z$25*(1+Z$30)^(IF(Z$28&gt;$B133,-1,1)*(YEARFRAC($B133,Z$28))))</f>
        <v>0.477880883328524</v>
      </c>
      <c r="AA133" s="162" t="n">
        <f aca="false">+W133+X133+Z133*SUM($J133*$J$37,$L133*$L$37,$N133*$N$37)/1000</f>
        <v>884.919911190741</v>
      </c>
      <c r="AB133" s="161"/>
      <c r="AC133" s="158" t="n">
        <f aca="false">IF($B133=" ",0,1)*(IF($B133&gt;=AC$25,1,0)*IF($B133&lt;=AC$29,AC$27,IF($B133&lt;=AC$33,AC$31,0))*($D133-$D132)*365/1000)</f>
        <v>1591.66666666668</v>
      </c>
      <c r="AD133" s="158" t="n">
        <f aca="false">IF($B133=" ",0,IF($B133&gt;=AD$25,IF($B133&lt;=AD$29,AD$27,IF($B133&lt;=AD$33,AD$31,AD$31*(1+AD$38)^(IF(AD$36&gt;$B133,-1,1)*(YEARFRAC($B133,AD$36)))))*($D133-$D132)*365/1000,0))</f>
        <v>354.532466580399</v>
      </c>
      <c r="AE133" s="159" t="n">
        <f aca="false">IF($B133=" ",0,AE$25*(1+AE$30)^(IF(AE$28&gt;$B133,-1,1)*(YEARFRAC($B133,AE$28))))</f>
        <v>0.414738928991161</v>
      </c>
      <c r="AF133" s="159" t="n">
        <f aca="false">IF($B133=" ",0,AF$25*(1+AF$30)^(IF(AF$28&gt;$B133,-1,1)*(YEARFRAC($B133,AF$28))))</f>
        <v>0.148807387167021</v>
      </c>
      <c r="AG133" s="162" t="n">
        <f aca="false">+AC133+AD133+AF133*SUM($K133*$K$37,$M133*$M$37,$O133*$O$37)/1000</f>
        <v>2684.46124765822</v>
      </c>
      <c r="AI133" s="158" t="n">
        <f aca="false">IF($B133=" ",0,1)*IF($B133&gt;=AI$33,AI$25*($D133-$D132),0)</f>
        <v>485.186570908337</v>
      </c>
      <c r="AJ133" s="158" t="n">
        <f aca="false">IF($B133=" ",0,IF($B133&gt;=AJ$33,AJ$25*(1+AJ$30)^(IF(AJ$28&gt;$B133,-1,1)*(YEARFRAC($B133,AJ$28)))*($D133-$D132),0))</f>
        <v>509.063500082465</v>
      </c>
      <c r="AK133" s="159" t="n">
        <f aca="false">IF($B133=" ",0,AK$25*(1+AK$30)^(IF(AK$28&gt;$B133,-1,1)*(YEARFRAC($B133,AK$28))))</f>
        <v>0.029093678539589</v>
      </c>
      <c r="AL133" s="159" t="n">
        <f aca="false">IF($B133=" ",0,AL$25*AL$28)</f>
        <v>0.0575</v>
      </c>
      <c r="AM133" s="162" t="n">
        <f aca="false">+AI133+AJ133+SUM(AK133:AL133)*SUM($J133*$J$37,$K133*$K$37,$L133*$L$37,$M133*$M$37,$N133*$N$37,$O133*$O$37)/1000</f>
        <v>1423.85799187663</v>
      </c>
      <c r="AO133" s="163" t="n">
        <f aca="false">IF($B133=" ",0,$AO$25)</f>
        <v>0.25</v>
      </c>
      <c r="AP133" s="159" t="n">
        <f aca="false">IF($B133=" ",0,AP$25*AP$28)</f>
        <v>0.03105</v>
      </c>
      <c r="AQ133" s="162" t="n">
        <f aca="false">SUM(AO133:AP133)*SUM(0)/1000</f>
        <v>0</v>
      </c>
      <c r="AS133" s="155" t="n">
        <f aca="false">IF($B133=" ",0,AS$25)</f>
        <v>1</v>
      </c>
      <c r="AT133" s="156" t="n">
        <f aca="false">IF($B133=" ",0,AT$25)</f>
        <v>1</v>
      </c>
      <c r="AU133" s="156" t="n">
        <f aca="false">IF($B133=" ",0,AU$25)</f>
        <v>2.3</v>
      </c>
      <c r="AV133" s="157" t="n">
        <f aca="false">+AS133*SUM(J133:K133)/1000</f>
        <v>0</v>
      </c>
      <c r="AW133" s="157" t="n">
        <f aca="false">+AT133*SUM(L133:M133)/1000</f>
        <v>0</v>
      </c>
      <c r="AX133" s="157" t="n">
        <f aca="false">+AU133*SUM(N133:O133)/1000</f>
        <v>11537.9859375</v>
      </c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</row>
    <row r="134" customFormat="false" ht="12.75" hidden="true" customHeight="false" outlineLevel="1" collapsed="false">
      <c r="A134" s="164" t="n">
        <f aca="false">+IF(B134=" ",A133,B134)</f>
        <v>39356</v>
      </c>
      <c r="B134" s="148" t="n">
        <f aca="false">IF(B133=" "," ",IF(EDATE(B133,1)&gt;=EndDate," ",EDATE(B133,1)))</f>
        <v>39356</v>
      </c>
      <c r="C134" s="149" t="n">
        <f aca="false">IF($B134&lt;&gt;" ",C133+1,C133)</f>
        <v>84</v>
      </c>
      <c r="D134" s="150" t="n">
        <f aca="false">C134/12</f>
        <v>7</v>
      </c>
      <c r="F134" s="157" t="n">
        <f aca="false">+SUM($T134:$U134)</f>
        <v>14883.5779284771</v>
      </c>
      <c r="G134" s="152" t="n">
        <f aca="false">-SUM($AA134,$AG134,$AM134,$AQ134,$AV134:$AX134)</f>
        <v>-16533.957094428</v>
      </c>
      <c r="H134" s="152" t="n">
        <f aca="false">+SUM(F134:G134)</f>
        <v>-1650.37916595091</v>
      </c>
      <c r="I134" s="124"/>
      <c r="J134" s="153" t="n">
        <f aca="false">+IF($B134=" ",0,IF(AND($B134&gt;=J$26,$B134&lt;J$28),J$33,0))</f>
        <v>0</v>
      </c>
      <c r="K134" s="153" t="n">
        <f aca="false">+IF($B134=" ",0,IF(AND($B134&gt;=K$26,$B134&lt;K$28),K$33,0))</f>
        <v>0</v>
      </c>
      <c r="L134" s="153" t="n">
        <f aca="false">+IF($B134=" ",0,IF(AND($B134&gt;=L$26,$B134&lt;L$28),L$33,0))</f>
        <v>0</v>
      </c>
      <c r="M134" s="153" t="n">
        <f aca="false">+IF($B134=" ",0,IF(AND($B134&gt;=M$26,$B134&lt;M$28),M$33,0))</f>
        <v>0</v>
      </c>
      <c r="N134" s="153" t="n">
        <f aca="false">+IF($B134=" ",0,IF(AND($B134&gt;=N$26,$B134&lt;N$28),N$33,0))</f>
        <v>0</v>
      </c>
      <c r="O134" s="154" t="n">
        <f aca="false">+IF($B134=" ",0,IF(AND($B134&gt;=O$26,$B134&lt;O$28),O$33,0))</f>
        <v>5016515.625</v>
      </c>
      <c r="Q134" s="83" t="n">
        <f aca="false">IF($B134=" ",0,IF($B134&lt;=DATE(2003,12,31),3.55,2.9))</f>
        <v>2.9</v>
      </c>
      <c r="R134" s="155" t="n">
        <f aca="false">IF($B134=" ",0,R$25)</f>
        <v>-0.07</v>
      </c>
      <c r="S134" s="156" t="n">
        <f aca="false">IF($B134=" ",0,S$25)</f>
        <v>0.1</v>
      </c>
      <c r="T134" s="157" t="n">
        <f aca="false">+SUM($Q134,$S134)/1000*(SUM($J134*$J$37,$K134*$K$37,$L134*$L$37,$M134*$M$37,$N134*$N$37,$O134*$O$37))</f>
        <v>14883.5779284771</v>
      </c>
      <c r="U134" s="157" t="n">
        <f aca="false">+SUM($Q134,$R134)/1000*(SUM(0))</f>
        <v>0</v>
      </c>
      <c r="W134" s="158" t="n">
        <f aca="false">IF($B134=" ",0,1)*(IF($B134&gt;=W$25,1,0)*IF($B134&lt;=W$29,W$27,IF($B134&lt;=W$33,W$31,0))*($D134-$D133)*365/1000)</f>
        <v>486.666666666665</v>
      </c>
      <c r="X134" s="158" t="n">
        <f aca="false">IF($B134=" ",0,IF($B134&gt;=X$25,IF($B134&lt;=X$29,X$27,IF($B134&lt;=X$33,X$31,X$31*(1+X$38)^(IF(X$36&gt;$B134,-1,1)*(YEARFRAC($B134,X$36)))))*($D134-$D133)*365/1000,0))</f>
        <v>398.802193187345</v>
      </c>
      <c r="Y134" s="159" t="n">
        <f aca="false">IF($B134=" ",0,Y$25*(1+Y$30)^(IF(Y$28&gt;$B134,-1,1)*(YEARFRAC($B134,Y$28))))</f>
        <v>0.501283345488104</v>
      </c>
      <c r="Z134" s="159" t="n">
        <f aca="false">IF($B134=" ",0,Z$25*(1+Z$30)^(IF(Z$28&gt;$B134,-1,1)*(YEARFRAC($B134,Z$28))))</f>
        <v>0.478539590007545</v>
      </c>
      <c r="AA134" s="162" t="n">
        <f aca="false">+W134+X134+Z134*SUM($J134*$J$37,$L134*$L$37,$N134*$N$37)/1000</f>
        <v>885.46885985401</v>
      </c>
      <c r="AB134" s="161"/>
      <c r="AC134" s="158" t="n">
        <f aca="false">IF($B134=" ",0,1)*(IF($B134&gt;=AC$25,1,0)*IF($B134&lt;=AC$29,AC$27,IF($B134&lt;=AC$33,AC$31,0))*($D134-$D133)*365/1000)</f>
        <v>1591.66666666666</v>
      </c>
      <c r="AD134" s="158" t="n">
        <f aca="false">IF($B134=" ",0,IF($B134&gt;=AD$25,IF($B134&lt;=AD$29,AD$27,IF($B134&lt;=AD$33,AD$31,AD$31*(1+AD$38)^(IF(AD$36&gt;$B134,-1,1)*(YEARFRAC($B134,AD$36)))))*($D134-$D133)*365/1000,0))</f>
        <v>355.021150919555</v>
      </c>
      <c r="AE134" s="159" t="n">
        <f aca="false">IF($B134=" ",0,AE$25*(1+AE$30)^(IF(AE$28&gt;$B134,-1,1)*(YEARFRAC($B134,AE$28))))</f>
        <v>0.415310601372516</v>
      </c>
      <c r="AF134" s="159" t="n">
        <f aca="false">IF($B134=" ",0,AF$25*(1+AF$30)^(IF(AF$28&gt;$B134,-1,1)*(YEARFRAC($B134,AF$28))))</f>
        <v>0.149012501920999</v>
      </c>
      <c r="AG134" s="162" t="n">
        <f aca="false">+AC134+AD134+AF134*SUM($K134*$K$37,$M134*$M$37,$O134*$O$37)/1000</f>
        <v>2685.96754580573</v>
      </c>
      <c r="AI134" s="158" t="n">
        <f aca="false">IF($B134=" ",0,1)*IF($B134&gt;=AI$33,AI$25*($D134-$D133),0)</f>
        <v>485.186570908332</v>
      </c>
      <c r="AJ134" s="158" t="n">
        <f aca="false">IF($B134=" ",0,IF($B134&gt;=AJ$33,AJ$25*(1+AJ$30)^(IF(AJ$28&gt;$B134,-1,1)*(YEARFRAC($B134,AJ$28)))*($D134-$D133),0))</f>
        <v>509.590760573899</v>
      </c>
      <c r="AK134" s="159" t="n">
        <f aca="false">IF($B134=" ",0,AK$25*(1+AK$30)^(IF(AK$28&gt;$B134,-1,1)*(YEARFRAC($B134,AK$28))))</f>
        <v>0.0291238122011893</v>
      </c>
      <c r="AL134" s="159" t="n">
        <f aca="false">IF($B134=" ",0,AL$25*AL$28)</f>
        <v>0.0575</v>
      </c>
      <c r="AM134" s="162" t="n">
        <f aca="false">+AI134+AJ134+SUM(AK134:AL134)*SUM($J134*$J$37,$K134*$K$37,$L134*$L$37,$M134*$M$37,$N134*$N$37,$O134*$O$37)/1000</f>
        <v>1424.53475126829</v>
      </c>
      <c r="AO134" s="163" t="n">
        <f aca="false">IF($B134=" ",0,$AO$25)</f>
        <v>0.25</v>
      </c>
      <c r="AP134" s="159" t="n">
        <f aca="false">IF($B134=" ",0,AP$25*AP$28)</f>
        <v>0.03105</v>
      </c>
      <c r="AQ134" s="162" t="n">
        <f aca="false">SUM(AO134:AP134)*SUM(0)/1000</f>
        <v>0</v>
      </c>
      <c r="AS134" s="155" t="n">
        <f aca="false">IF($B134=" ",0,AS$25)</f>
        <v>1</v>
      </c>
      <c r="AT134" s="156" t="n">
        <f aca="false">IF($B134=" ",0,AT$25)</f>
        <v>1</v>
      </c>
      <c r="AU134" s="156" t="n">
        <f aca="false">IF($B134=" ",0,AU$25)</f>
        <v>2.3</v>
      </c>
      <c r="AV134" s="157" t="n">
        <f aca="false">+AS134*SUM(J134:K134)/1000</f>
        <v>0</v>
      </c>
      <c r="AW134" s="157" t="n">
        <f aca="false">+AT134*SUM(L134:M134)/1000</f>
        <v>0</v>
      </c>
      <c r="AX134" s="157" t="n">
        <f aca="false">+AU134*SUM(N134:O134)/1000</f>
        <v>11537.9859375</v>
      </c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</row>
    <row r="135" customFormat="false" ht="12.75" hidden="true" customHeight="false" outlineLevel="1" collapsed="false">
      <c r="A135" s="164" t="n">
        <f aca="false">+IF(B135=" ",A134,B135)</f>
        <v>39387</v>
      </c>
      <c r="B135" s="148" t="n">
        <f aca="false">IF(B134=" "," ",IF(EDATE(B134,1)&gt;=EndDate," ",EDATE(B134,1)))</f>
        <v>39387</v>
      </c>
      <c r="C135" s="149" t="n">
        <f aca="false">IF($B135&lt;&gt;" ",C134+1,C134)</f>
        <v>85</v>
      </c>
      <c r="D135" s="150" t="n">
        <f aca="false">C135/12</f>
        <v>7.08333333333333</v>
      </c>
      <c r="F135" s="157" t="n">
        <f aca="false">+SUM($T135:$U135)</f>
        <v>14883.5779284771</v>
      </c>
      <c r="G135" s="152" t="n">
        <f aca="false">-SUM($AA135,$AG135,$AM135,$AQ135,$AV135:$AX135)</f>
        <v>-16536.6926345149</v>
      </c>
      <c r="H135" s="152" t="n">
        <f aca="false">+SUM(F135:G135)</f>
        <v>-1653.11470603781</v>
      </c>
      <c r="I135" s="124"/>
      <c r="J135" s="153" t="n">
        <f aca="false">+IF($B135=" ",0,IF(AND($B135&gt;=J$26,$B135&lt;J$28),J$33,0))</f>
        <v>0</v>
      </c>
      <c r="K135" s="153" t="n">
        <f aca="false">+IF($B135=" ",0,IF(AND($B135&gt;=K$26,$B135&lt;K$28),K$33,0))</f>
        <v>0</v>
      </c>
      <c r="L135" s="153" t="n">
        <f aca="false">+IF($B135=" ",0,IF(AND($B135&gt;=L$26,$B135&lt;L$28),L$33,0))</f>
        <v>0</v>
      </c>
      <c r="M135" s="153" t="n">
        <f aca="false">+IF($B135=" ",0,IF(AND($B135&gt;=M$26,$B135&lt;M$28),M$33,0))</f>
        <v>0</v>
      </c>
      <c r="N135" s="153" t="n">
        <f aca="false">+IF($B135=" ",0,IF(AND($B135&gt;=N$26,$B135&lt;N$28),N$33,0))</f>
        <v>0</v>
      </c>
      <c r="O135" s="154" t="n">
        <f aca="false">+IF($B135=" ",0,IF(AND($B135&gt;=O$26,$B135&lt;O$28),O$33,0))</f>
        <v>5016515.625</v>
      </c>
      <c r="Q135" s="83" t="n">
        <f aca="false">IF($B135=" ",0,IF($B135&lt;=DATE(2003,12,31),3.55,2.9))</f>
        <v>2.9</v>
      </c>
      <c r="R135" s="155" t="n">
        <f aca="false">IF($B135=" ",0,R$25)</f>
        <v>-0.07</v>
      </c>
      <c r="S135" s="156" t="n">
        <f aca="false">IF($B135=" ",0,S$25)</f>
        <v>0.1</v>
      </c>
      <c r="T135" s="157" t="n">
        <f aca="false">+SUM($Q135,$S135)/1000*(SUM($J135*$J$37,$K135*$K$37,$L135*$L$37,$M135*$M$37,$N135*$N$37,$O135*$O$37))</f>
        <v>14883.5779284771</v>
      </c>
      <c r="U135" s="157" t="n">
        <f aca="false">+SUM($Q135,$R135)/1000*(SUM(0))</f>
        <v>0</v>
      </c>
      <c r="W135" s="158" t="n">
        <f aca="false">IF($B135=" ",0,1)*(IF($B135&gt;=W$25,1,0)*IF($B135&lt;=W$29,W$27,IF($B135&lt;=W$33,W$31,0))*($D135-$D134)*365/1000)</f>
        <v>486.666666666665</v>
      </c>
      <c r="X135" s="158" t="n">
        <f aca="false">IF($B135=" ",0,IF($B135&gt;=X$25,IF($B135&lt;=X$29,X$27,IF($B135&lt;=X$33,X$31,X$31*(1+X$38)^(IF(X$36&gt;$B135,-1,1)*(YEARFRAC($B135,X$36)))))*($D135-$D134)*365/1000,0))</f>
        <v>399.351898516487</v>
      </c>
      <c r="Y135" s="159" t="n">
        <f aca="false">IF($B135=" ",0,Y$25*(1+Y$30)^(IF(Y$28&gt;$B135,-1,1)*(YEARFRAC($B135,Y$28))))</f>
        <v>0.501974309908892</v>
      </c>
      <c r="Z135" s="159" t="n">
        <f aca="false">IF($B135=" ",0,Z$25*(1+Z$30)^(IF(Z$28&gt;$B135,-1,1)*(YEARFRAC($B135,Z$28))))</f>
        <v>0.479199204641883</v>
      </c>
      <c r="AA135" s="162" t="n">
        <f aca="false">+W135+X135+Z135*SUM($J135*$J$37,$L135*$L$37,$N135*$N$37)/1000</f>
        <v>886.018565183152</v>
      </c>
      <c r="AB135" s="161"/>
      <c r="AC135" s="158" t="n">
        <f aca="false">IF($B135=" ",0,1)*(IF($B135&gt;=AC$25,1,0)*IF($B135&lt;=AC$29,AC$27,IF($B135&lt;=AC$33,AC$31,0))*($D135-$D134)*365/1000)</f>
        <v>1591.66666666666</v>
      </c>
      <c r="AD135" s="158" t="n">
        <f aca="false">IF($B135=" ",0,IF($B135&gt;=AD$25,IF($B135&lt;=AD$29,AD$27,IF($B135&lt;=AD$33,AD$31,AD$31*(1+AD$38)^(IF(AD$36&gt;$B135,-1,1)*(YEARFRAC($B135,AD$36)))))*($D135-$D134)*365/1000,0))</f>
        <v>355.510508856779</v>
      </c>
      <c r="AE135" s="159" t="n">
        <f aca="false">IF($B135=" ",0,AE$25*(1+AE$30)^(IF(AE$28&gt;$B135,-1,1)*(YEARFRAC($B135,AE$28))))</f>
        <v>0.415883061741901</v>
      </c>
      <c r="AF135" s="159" t="n">
        <f aca="false">IF($B135=" ",0,AF$25*(1+AF$30)^(IF(AF$28&gt;$B135,-1,1)*(YEARFRAC($B135,AF$28))))</f>
        <v>0.149217899403294</v>
      </c>
      <c r="AG135" s="162" t="n">
        <f aca="false">+AC135+AD135+AF135*SUM($K135*$K$37,$M135*$M$37,$O135*$O$37)/1000</f>
        <v>2687.47592022097</v>
      </c>
      <c r="AI135" s="158" t="n">
        <f aca="false">IF($B135=" ",0,1)*IF($B135&gt;=AI$33,AI$25*($D135-$D134),0)</f>
        <v>485.186570908332</v>
      </c>
      <c r="AJ135" s="158" t="n">
        <f aca="false">IF($B135=" ",0,IF($B135&gt;=AJ$33,AJ$25*(1+AJ$30)^(IF(AJ$28&gt;$B135,-1,1)*(YEARFRAC($B135,AJ$28)))*($D135-$D134),0))</f>
        <v>510.11856717329</v>
      </c>
      <c r="AK135" s="159" t="n">
        <f aca="false">IF($B135=" ",0,AK$25*(1+AK$30)^(IF(AK$28&gt;$B135,-1,1)*(YEARFRAC($B135,AK$28))))</f>
        <v>0.0291539770736095</v>
      </c>
      <c r="AL135" s="159" t="n">
        <f aca="false">IF($B135=" ",0,AL$25*AL$28)</f>
        <v>0.0575</v>
      </c>
      <c r="AM135" s="162" t="n">
        <f aca="false">+AI135+AJ135+SUM(AK135:AL135)*SUM($J135*$J$37,$K135*$K$37,$L135*$L$37,$M135*$M$37,$N135*$N$37,$O135*$O$37)/1000</f>
        <v>1425.2122116108</v>
      </c>
      <c r="AO135" s="163" t="n">
        <f aca="false">IF($B135=" ",0,$AO$25)</f>
        <v>0.25</v>
      </c>
      <c r="AP135" s="159" t="n">
        <f aca="false">IF($B135=" ",0,AP$25*AP$28)</f>
        <v>0.03105</v>
      </c>
      <c r="AQ135" s="162" t="n">
        <f aca="false">SUM(AO135:AP135)*SUM(0)/1000</f>
        <v>0</v>
      </c>
      <c r="AS135" s="155" t="n">
        <f aca="false">IF($B135=" ",0,AS$25)</f>
        <v>1</v>
      </c>
      <c r="AT135" s="156" t="n">
        <f aca="false">IF($B135=" ",0,AT$25)</f>
        <v>1</v>
      </c>
      <c r="AU135" s="156" t="n">
        <f aca="false">IF($B135=" ",0,AU$25)</f>
        <v>2.3</v>
      </c>
      <c r="AV135" s="157" t="n">
        <f aca="false">+AS135*SUM(J135:K135)/1000</f>
        <v>0</v>
      </c>
      <c r="AW135" s="157" t="n">
        <f aca="false">+AT135*SUM(L135:M135)/1000</f>
        <v>0</v>
      </c>
      <c r="AX135" s="157" t="n">
        <f aca="false">+AU135*SUM(N135:O135)/1000</f>
        <v>11537.9859375</v>
      </c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</row>
    <row r="136" customFormat="false" ht="12.75" hidden="true" customHeight="false" outlineLevel="1" collapsed="false">
      <c r="A136" s="164" t="n">
        <f aca="false">+IF(B136=" ",A135,B136)</f>
        <v>39417</v>
      </c>
      <c r="B136" s="148" t="n">
        <f aca="false">IF(B135=" "," ",IF(EDATE(B135,1)&gt;=EndDate," ",EDATE(B135,1)))</f>
        <v>39417</v>
      </c>
      <c r="C136" s="149" t="n">
        <f aca="false">IF($B136&lt;&gt;" ",C135+1,C135)</f>
        <v>86</v>
      </c>
      <c r="D136" s="150" t="n">
        <f aca="false">C136/12</f>
        <v>7.16666666666667</v>
      </c>
      <c r="F136" s="157" t="n">
        <f aca="false">+SUM($T136:$U136)</f>
        <v>14883.5779284771</v>
      </c>
      <c r="G136" s="152" t="n">
        <f aca="false">-SUM($AA136,$AG136,$AM136,$AQ136,$AV136:$AX136)</f>
        <v>-16539.4317131172</v>
      </c>
      <c r="H136" s="152" t="n">
        <f aca="false">+SUM(F136:G136)</f>
        <v>-1655.85378464007</v>
      </c>
      <c r="I136" s="124"/>
      <c r="J136" s="153" t="n">
        <f aca="false">+IF($B136=" ",0,IF(AND($B136&gt;=J$26,$B136&lt;J$28),J$33,0))</f>
        <v>0</v>
      </c>
      <c r="K136" s="153" t="n">
        <f aca="false">+IF($B136=" ",0,IF(AND($B136&gt;=K$26,$B136&lt;K$28),K$33,0))</f>
        <v>0</v>
      </c>
      <c r="L136" s="153" t="n">
        <f aca="false">+IF($B136=" ",0,IF(AND($B136&gt;=L$26,$B136&lt;L$28),L$33,0))</f>
        <v>0</v>
      </c>
      <c r="M136" s="153" t="n">
        <f aca="false">+IF($B136=" ",0,IF(AND($B136&gt;=M$26,$B136&lt;M$28),M$33,0))</f>
        <v>0</v>
      </c>
      <c r="N136" s="153" t="n">
        <f aca="false">+IF($B136=" ",0,IF(AND($B136&gt;=N$26,$B136&lt;N$28),N$33,0))</f>
        <v>0</v>
      </c>
      <c r="O136" s="154" t="n">
        <f aca="false">+IF($B136=" ",0,IF(AND($B136&gt;=O$26,$B136&lt;O$28),O$33,0))</f>
        <v>5016515.625</v>
      </c>
      <c r="Q136" s="83" t="n">
        <f aca="false">IF($B136=" ",0,IF($B136&lt;=DATE(2003,12,31),3.55,2.9))</f>
        <v>2.9</v>
      </c>
      <c r="R136" s="155" t="n">
        <f aca="false">IF($B136=" ",0,R$25)</f>
        <v>-0.07</v>
      </c>
      <c r="S136" s="156" t="n">
        <f aca="false">IF($B136=" ",0,S$25)</f>
        <v>0.1</v>
      </c>
      <c r="T136" s="157" t="n">
        <f aca="false">+SUM($Q136,$S136)/1000*(SUM($J136*$J$37,$K136*$K$37,$L136*$L$37,$M136*$M$37,$N136*$N$37,$O136*$O$37))</f>
        <v>14883.5779284771</v>
      </c>
      <c r="U136" s="157" t="n">
        <f aca="false">+SUM($Q136,$R136)/1000*(SUM(0))</f>
        <v>0</v>
      </c>
      <c r="W136" s="158" t="n">
        <f aca="false">IF($B136=" ",0,1)*(IF($B136&gt;=W$25,1,0)*IF($B136&lt;=W$29,W$27,IF($B136&lt;=W$33,W$31,0))*($D136-$D135)*365/1000)</f>
        <v>486.66666666667</v>
      </c>
      <c r="X136" s="158" t="n">
        <f aca="false">IF($B136=" ",0,IF($B136&gt;=X$25,IF($B136&lt;=X$29,X$27,IF($B136&lt;=X$33,X$31,X$31*(1+X$38)^(IF(X$36&gt;$B136,-1,1)*(YEARFRAC($B136,X$36)))))*($D136-$D135)*365/1000,0))</f>
        <v>399.902361554478</v>
      </c>
      <c r="Y136" s="159" t="n">
        <f aca="false">IF($B136=" ",0,Y$25*(1+Y$30)^(IF(Y$28&gt;$B136,-1,1)*(YEARFRAC($B136,Y$28))))</f>
        <v>0.502666226748777</v>
      </c>
      <c r="Z136" s="159" t="n">
        <f aca="false">IF($B136=" ",0,Z$25*(1+Z$30)^(IF(Z$28&gt;$B136,-1,1)*(YEARFRAC($B136,Z$28))))</f>
        <v>0.479859728483055</v>
      </c>
      <c r="AA136" s="162" t="n">
        <f aca="false">+W136+X136+Z136*SUM($J136*$J$37,$L136*$L$37,$N136*$N$37)/1000</f>
        <v>886.569028221148</v>
      </c>
      <c r="AB136" s="161"/>
      <c r="AC136" s="158" t="n">
        <f aca="false">IF($B136=" ",0,1)*(IF($B136&gt;=AC$25,1,0)*IF($B136&lt;=AC$29,AC$27,IF($B136&lt;=AC$33,AC$31,0))*($D136-$D135)*365/1000)</f>
        <v>1591.66666666668</v>
      </c>
      <c r="AD136" s="158" t="n">
        <f aca="false">IF($B136=" ",0,IF($B136&gt;=AD$25,IF($B136&lt;=AD$29,AD$27,IF($B136&lt;=AD$33,AD$31,AD$31*(1+AD$38)^(IF(AD$36&gt;$B136,-1,1)*(YEARFRAC($B136,AD$36)))))*($D136-$D135)*365/1000,0))</f>
        <v>356.000541320553</v>
      </c>
      <c r="AE136" s="159" t="n">
        <f aca="false">IF($B136=" ",0,AE$25*(1+AE$30)^(IF(AE$28&gt;$B136,-1,1)*(YEARFRAC($B136,AE$28))))</f>
        <v>0.416456311185471</v>
      </c>
      <c r="AF136" s="159" t="n">
        <f aca="false">IF($B136=" ",0,AF$25*(1+AF$30)^(IF(AF$28&gt;$B136,-1,1)*(YEARFRAC($B136,AF$28))))</f>
        <v>0.149423580003619</v>
      </c>
      <c r="AG136" s="162" t="n">
        <f aca="false">+AC136+AD136+AF136*SUM($K136*$K$37,$M136*$M$37,$O136*$O$37)/1000</f>
        <v>2688.98637376586</v>
      </c>
      <c r="AI136" s="158" t="n">
        <f aca="false">IF($B136=" ",0,1)*IF($B136&gt;=AI$33,AI$25*($D136-$D135),0)</f>
        <v>485.186570908337</v>
      </c>
      <c r="AJ136" s="158" t="n">
        <f aca="false">IF($B136=" ",0,IF($B136&gt;=AJ$33,AJ$25*(1+AJ$30)^(IF(AJ$28&gt;$B136,-1,1)*(YEARFRAC($B136,AJ$28)))*($D136-$D135),0))</f>
        <v>510.646920446269</v>
      </c>
      <c r="AK136" s="159" t="n">
        <f aca="false">IF($B136=" ",0,AK$25*(1+AK$30)^(IF(AK$28&gt;$B136,-1,1)*(YEARFRAC($B136,AK$28))))</f>
        <v>0.0291841731891761</v>
      </c>
      <c r="AL136" s="159" t="n">
        <f aca="false">IF($B136=" ",0,AL$25*AL$28)</f>
        <v>0.0575</v>
      </c>
      <c r="AM136" s="162" t="n">
        <f aca="false">+AI136+AJ136+SUM(AK136:AL136)*SUM($J136*$J$37,$K136*$K$37,$L136*$L$37,$M136*$M$37,$N136*$N$37,$O136*$O$37)/1000</f>
        <v>1425.89037363018</v>
      </c>
      <c r="AO136" s="163" t="n">
        <f aca="false">IF($B136=" ",0,$AO$25)</f>
        <v>0.25</v>
      </c>
      <c r="AP136" s="159" t="n">
        <f aca="false">IF($B136=" ",0,AP$25*AP$28)</f>
        <v>0.03105</v>
      </c>
      <c r="AQ136" s="162" t="n">
        <f aca="false">SUM(AO136:AP136)*SUM(0)/1000</f>
        <v>0</v>
      </c>
      <c r="AS136" s="155" t="n">
        <f aca="false">IF($B136=" ",0,AS$25)</f>
        <v>1</v>
      </c>
      <c r="AT136" s="156" t="n">
        <f aca="false">IF($B136=" ",0,AT$25)</f>
        <v>1</v>
      </c>
      <c r="AU136" s="156" t="n">
        <f aca="false">IF($B136=" ",0,AU$25)</f>
        <v>2.3</v>
      </c>
      <c r="AV136" s="157" t="n">
        <f aca="false">+AS136*SUM(J136:K136)/1000</f>
        <v>0</v>
      </c>
      <c r="AW136" s="157" t="n">
        <f aca="false">+AT136*SUM(L136:M136)/1000</f>
        <v>0</v>
      </c>
      <c r="AX136" s="157" t="n">
        <f aca="false">+AU136*SUM(N136:O136)/1000</f>
        <v>11537.9859375</v>
      </c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</row>
    <row r="137" customFormat="false" ht="12.75" hidden="true" customHeight="false" outlineLevel="1" collapsed="false">
      <c r="A137" s="164" t="n">
        <f aca="false">+IF(B137=" ",A136,B137)</f>
        <v>39448</v>
      </c>
      <c r="B137" s="148" t="n">
        <f aca="false">IF(B136=" "," ",IF(EDATE(B136,1)&gt;=EndDate," ",EDATE(B136,1)))</f>
        <v>39448</v>
      </c>
      <c r="C137" s="149" t="n">
        <f aca="false">IF($B137&lt;&gt;" ",C136+1,C136)</f>
        <v>87</v>
      </c>
      <c r="D137" s="150" t="n">
        <f aca="false">C137/12</f>
        <v>7.25</v>
      </c>
      <c r="F137" s="157" t="n">
        <f aca="false">+SUM($T137:$U137)</f>
        <v>14883.5779284771</v>
      </c>
      <c r="G137" s="152" t="n">
        <f aca="false">-SUM($AA137,$AG137,$AM137,$AQ137,$AV137:$AX137)</f>
        <v>-16542.1743348717</v>
      </c>
      <c r="H137" s="152" t="n">
        <f aca="false">+SUM(F137:G137)</f>
        <v>-1658.5964063946</v>
      </c>
      <c r="I137" s="124"/>
      <c r="J137" s="153" t="n">
        <f aca="false">+IF($B137=" ",0,IF(AND($B137&gt;=J$26,$B137&lt;J$28),J$33,0))</f>
        <v>0</v>
      </c>
      <c r="K137" s="153" t="n">
        <f aca="false">+IF($B137=" ",0,IF(AND($B137&gt;=K$26,$B137&lt;K$28),K$33,0))</f>
        <v>0</v>
      </c>
      <c r="L137" s="153" t="n">
        <f aca="false">+IF($B137=" ",0,IF(AND($B137&gt;=L$26,$B137&lt;L$28),L$33,0))</f>
        <v>0</v>
      </c>
      <c r="M137" s="153" t="n">
        <f aca="false">+IF($B137=" ",0,IF(AND($B137&gt;=M$26,$B137&lt;M$28),M$33,0))</f>
        <v>0</v>
      </c>
      <c r="N137" s="153" t="n">
        <f aca="false">+IF($B137=" ",0,IF(AND($B137&gt;=N$26,$B137&lt;N$28),N$33,0))</f>
        <v>0</v>
      </c>
      <c r="O137" s="154" t="n">
        <f aca="false">+IF($B137=" ",0,IF(AND($B137&gt;=O$26,$B137&lt;O$28),O$33,0))</f>
        <v>5016515.625</v>
      </c>
      <c r="Q137" s="83" t="n">
        <f aca="false">IF($B137=" ",0,IF($B137&lt;=DATE(2003,12,31),3.55,2.9))</f>
        <v>2.9</v>
      </c>
      <c r="R137" s="155" t="n">
        <f aca="false">IF($B137=" ",0,R$25)</f>
        <v>-0.07</v>
      </c>
      <c r="S137" s="156" t="n">
        <f aca="false">IF($B137=" ",0,S$25)</f>
        <v>0.1</v>
      </c>
      <c r="T137" s="157" t="n">
        <f aca="false">+SUM($Q137,$S137)/1000*(SUM($J137*$J$37,$K137*$K$37,$L137*$L$37,$M137*$M$37,$N137*$N$37,$O137*$O$37))</f>
        <v>14883.5779284771</v>
      </c>
      <c r="U137" s="157" t="n">
        <f aca="false">+SUM($Q137,$R137)/1000*(SUM(0))</f>
        <v>0</v>
      </c>
      <c r="W137" s="158" t="n">
        <f aca="false">IF($B137=" ",0,1)*(IF($B137&gt;=W$25,1,0)*IF($B137&lt;=W$29,W$27,IF($B137&lt;=W$33,W$31,0))*($D137-$D136)*365/1000)</f>
        <v>486.666666666665</v>
      </c>
      <c r="X137" s="158" t="n">
        <f aca="false">IF($B137=" ",0,IF($B137&gt;=X$25,IF($B137&lt;=X$29,X$27,IF($B137&lt;=X$33,X$31,X$31*(1+X$38)^(IF(X$36&gt;$B137,-1,1)*(YEARFRAC($B137,X$36)))))*($D137-$D136)*365/1000,0))</f>
        <v>400.453583345723</v>
      </c>
      <c r="Y137" s="159" t="n">
        <f aca="false">IF($B137=" ",0,Y$25*(1+Y$30)^(IF(Y$28&gt;$B137,-1,1)*(YEARFRAC($B137,Y$28))))</f>
        <v>0.503359097320563</v>
      </c>
      <c r="Z137" s="159" t="n">
        <f aca="false">IF($B137=" ",0,Z$25*(1+Z$30)^(IF(Z$28&gt;$B137,-1,1)*(YEARFRAC($B137,Z$28))))</f>
        <v>0.480521162784305</v>
      </c>
      <c r="AA137" s="162" t="n">
        <f aca="false">+W137+X137+Z137*SUM($J137*$J$37,$L137*$L$37,$N137*$N$37)/1000</f>
        <v>887.120250012388</v>
      </c>
      <c r="AB137" s="161"/>
      <c r="AC137" s="158" t="n">
        <f aca="false">IF($B137=" ",0,1)*(IF($B137&gt;=AC$25,1,0)*IF($B137&lt;=AC$29,AC$27,IF($B137&lt;=AC$33,AC$31,0))*($D137-$D136)*365/1000)</f>
        <v>1591.66666666666</v>
      </c>
      <c r="AD137" s="158" t="n">
        <f aca="false">IF($B137=" ",0,IF($B137&gt;=AD$25,IF($B137&lt;=AD$29,AD$27,IF($B137&lt;=AD$33,AD$31,AD$31*(1+AD$38)^(IF(AD$36&gt;$B137,-1,1)*(YEARFRAC($B137,AD$36)))))*($D137-$D136)*365/1000,0))</f>
        <v>356.491249240627</v>
      </c>
      <c r="AE137" s="159" t="n">
        <f aca="false">IF($B137=" ",0,AE$25*(1+AE$30)^(IF(AE$28&gt;$B137,-1,1)*(YEARFRAC($B137,AE$28))))</f>
        <v>0.41703035079088</v>
      </c>
      <c r="AF137" s="159" t="n">
        <f aca="false">IF($B137=" ",0,AF$25*(1+AF$30)^(IF(AF$28&gt;$B137,-1,1)*(YEARFRAC($B137,AF$28))))</f>
        <v>0.149629544112218</v>
      </c>
      <c r="AG137" s="162" t="n">
        <f aca="false">+AC137+AD137+AF137*SUM($K137*$K$37,$M137*$M$37,$O137*$O$37)/1000</f>
        <v>2690.49890930619</v>
      </c>
      <c r="AI137" s="158" t="n">
        <f aca="false">IF($B137=" ",0,1)*IF($B137&gt;=AI$33,AI$25*($D137-$D136),0)</f>
        <v>485.186570908332</v>
      </c>
      <c r="AJ137" s="158" t="n">
        <f aca="false">IF($B137=" ",0,IF($B137&gt;=AJ$33,AJ$25*(1+AJ$30)^(IF(AJ$28&gt;$B137,-1,1)*(YEARFRAC($B137,AJ$28)))*($D137-$D136),0))</f>
        <v>511.175820959034</v>
      </c>
      <c r="AK137" s="159" t="n">
        <f aca="false">IF($B137=" ",0,AK$25*(1+AK$30)^(IF(AK$28&gt;$B137,-1,1)*(YEARFRAC($B137,AK$28))))</f>
        <v>0.029214400580249</v>
      </c>
      <c r="AL137" s="159" t="n">
        <f aca="false">IF($B137=" ",0,AL$25*AL$28)</f>
        <v>0.0575</v>
      </c>
      <c r="AM137" s="162" t="n">
        <f aca="false">+AI137+AJ137+SUM(AK137:AL137)*SUM($J137*$J$37,$K137*$K$37,$L137*$L$37,$M137*$M$37,$N137*$N$37,$O137*$O$37)/1000</f>
        <v>1426.56923805314</v>
      </c>
      <c r="AO137" s="163" t="n">
        <f aca="false">IF($B137=" ",0,$AO$25)</f>
        <v>0.25</v>
      </c>
      <c r="AP137" s="159" t="n">
        <f aca="false">IF($B137=" ",0,AP$25*AP$28)</f>
        <v>0.03105</v>
      </c>
      <c r="AQ137" s="162" t="n">
        <f aca="false">SUM(AO137:AP137)*SUM(0)/1000</f>
        <v>0</v>
      </c>
      <c r="AS137" s="155" t="n">
        <f aca="false">IF($B137=" ",0,AS$25)</f>
        <v>1</v>
      </c>
      <c r="AT137" s="156" t="n">
        <f aca="false">IF($B137=" ",0,AT$25)</f>
        <v>1</v>
      </c>
      <c r="AU137" s="156" t="n">
        <f aca="false">IF($B137=" ",0,AU$25)</f>
        <v>2.3</v>
      </c>
      <c r="AV137" s="157" t="n">
        <f aca="false">+AS137*SUM(J137:K137)/1000</f>
        <v>0</v>
      </c>
      <c r="AW137" s="157" t="n">
        <f aca="false">+AT137*SUM(L137:M137)/1000</f>
        <v>0</v>
      </c>
      <c r="AX137" s="157" t="n">
        <f aca="false">+AU137*SUM(N137:O137)/1000</f>
        <v>11537.9859375</v>
      </c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</row>
    <row r="138" customFormat="false" ht="12.75" hidden="true" customHeight="false" outlineLevel="1" collapsed="false">
      <c r="A138" s="164" t="n">
        <f aca="false">+IF(B138=" ",A137,B138)</f>
        <v>39479</v>
      </c>
      <c r="B138" s="148" t="n">
        <f aca="false">IF(B137=" "," ",IF(EDATE(B137,1)&gt;=EndDate," ",EDATE(B137,1)))</f>
        <v>39479</v>
      </c>
      <c r="C138" s="149" t="n">
        <f aca="false">IF($B138&lt;&gt;" ",C137+1,C137)</f>
        <v>88</v>
      </c>
      <c r="D138" s="150" t="n">
        <f aca="false">C138/12</f>
        <v>7.33333333333333</v>
      </c>
      <c r="F138" s="157" t="n">
        <f aca="false">+SUM($T138:$U138)</f>
        <v>14883.5779284771</v>
      </c>
      <c r="G138" s="152" t="n">
        <f aca="false">-SUM($AA138,$AG138,$AM138,$AQ138,$AV138:$AX138)</f>
        <v>-16544.9205044218</v>
      </c>
      <c r="H138" s="152" t="n">
        <f aca="false">+SUM(F138:G138)</f>
        <v>-1661.3425759447</v>
      </c>
      <c r="I138" s="124"/>
      <c r="J138" s="153" t="n">
        <f aca="false">+IF($B138=" ",0,IF(AND($B138&gt;=J$26,$B138&lt;J$28),J$33,0))</f>
        <v>0</v>
      </c>
      <c r="K138" s="153" t="n">
        <f aca="false">+IF($B138=" ",0,IF(AND($B138&gt;=K$26,$B138&lt;K$28),K$33,0))</f>
        <v>0</v>
      </c>
      <c r="L138" s="153" t="n">
        <f aca="false">+IF($B138=" ",0,IF(AND($B138&gt;=L$26,$B138&lt;L$28),L$33,0))</f>
        <v>0</v>
      </c>
      <c r="M138" s="153" t="n">
        <f aca="false">+IF($B138=" ",0,IF(AND($B138&gt;=M$26,$B138&lt;M$28),M$33,0))</f>
        <v>0</v>
      </c>
      <c r="N138" s="153" t="n">
        <f aca="false">+IF($B138=" ",0,IF(AND($B138&gt;=N$26,$B138&lt;N$28),N$33,0))</f>
        <v>0</v>
      </c>
      <c r="O138" s="154" t="n">
        <f aca="false">+IF($B138=" ",0,IF(AND($B138&gt;=O$26,$B138&lt;O$28),O$33,0))</f>
        <v>5016515.625</v>
      </c>
      <c r="Q138" s="83" t="n">
        <f aca="false">IF($B138=" ",0,IF($B138&lt;=DATE(2003,12,31),3.55,2.9))</f>
        <v>2.9</v>
      </c>
      <c r="R138" s="155" t="n">
        <f aca="false">IF($B138=" ",0,R$25)</f>
        <v>-0.07</v>
      </c>
      <c r="S138" s="156" t="n">
        <f aca="false">IF($B138=" ",0,S$25)</f>
        <v>0.1</v>
      </c>
      <c r="T138" s="157" t="n">
        <f aca="false">+SUM($Q138,$S138)/1000*(SUM($J138*$J$37,$K138*$K$37,$L138*$L$37,$M138*$M$37,$N138*$N$37,$O138*$O$37))</f>
        <v>14883.5779284771</v>
      </c>
      <c r="U138" s="157" t="n">
        <f aca="false">+SUM($Q138,$R138)/1000*(SUM(0))</f>
        <v>0</v>
      </c>
      <c r="W138" s="158" t="n">
        <f aca="false">IF($B138=" ",0,1)*(IF($B138&gt;=W$25,1,0)*IF($B138&lt;=W$29,W$27,IF($B138&lt;=W$33,W$31,0))*($D138-$D137)*365/1000)</f>
        <v>486.666666666665</v>
      </c>
      <c r="X138" s="158" t="n">
        <f aca="false">IF($B138=" ",0,IF($B138&gt;=X$25,IF($B138&lt;=X$29,X$27,IF($B138&lt;=X$33,X$31,X$31*(1+X$38)^(IF(X$36&gt;$B138,-1,1)*(YEARFRAC($B138,X$36)))))*($D138-$D137)*365/1000,0))</f>
        <v>401.005564936094</v>
      </c>
      <c r="Y138" s="159" t="n">
        <f aca="false">IF($B138=" ",0,Y$25*(1+Y$30)^(IF(Y$28&gt;$B138,-1,1)*(YEARFRAC($B138,Y$28))))</f>
        <v>0.504052922938867</v>
      </c>
      <c r="Z138" s="159" t="n">
        <f aca="false">IF($B138=" ",0,Z$25*(1+Z$30)^(IF(Z$28&gt;$B138,-1,1)*(YEARFRAC($B138,Z$28))))</f>
        <v>0.481183508800602</v>
      </c>
      <c r="AA138" s="162" t="n">
        <f aca="false">+W138+X138+Z138*SUM($J138*$J$37,$L138*$L$37,$N138*$N$37)/1000</f>
        <v>887.672231602759</v>
      </c>
      <c r="AB138" s="161"/>
      <c r="AC138" s="158" t="n">
        <f aca="false">IF($B138=" ",0,1)*(IF($B138&gt;=AC$25,1,0)*IF($B138&lt;=AC$29,AC$27,IF($B138&lt;=AC$33,AC$31,0))*($D138-$D137)*365/1000)</f>
        <v>1591.66666666666</v>
      </c>
      <c r="AD138" s="158" t="n">
        <f aca="false">IF($B138=" ",0,IF($B138&gt;=AD$25,IF($B138&lt;=AD$29,AD$27,IF($B138&lt;=AD$33,AD$31,AD$31*(1+AD$38)^(IF(AD$36&gt;$B138,-1,1)*(YEARFRAC($B138,AD$36)))))*($D138-$D137)*365/1000,0))</f>
        <v>356.982633548054</v>
      </c>
      <c r="AE138" s="159" t="n">
        <f aca="false">IF($B138=" ",0,AE$25*(1+AE$30)^(IF(AE$28&gt;$B138,-1,1)*(YEARFRAC($B138,AE$28))))</f>
        <v>0.417605181647279</v>
      </c>
      <c r="AF138" s="159" t="n">
        <f aca="false">IF($B138=" ",0,AF$25*(1+AF$30)^(IF(AF$28&gt;$B138,-1,1)*(YEARFRAC($B138,AF$28))))</f>
        <v>0.149835792119879</v>
      </c>
      <c r="AG138" s="162" t="n">
        <f aca="false">+AC138+AD138+AF138*SUM($K138*$K$37,$M138*$M$37,$O138*$O$37)/1000</f>
        <v>2692.01352971182</v>
      </c>
      <c r="AI138" s="158" t="n">
        <f aca="false">IF($B138=" ",0,1)*IF($B138&gt;=AI$33,AI$25*($D138-$D137),0)</f>
        <v>485.186570908332</v>
      </c>
      <c r="AJ138" s="158" t="n">
        <f aca="false">IF($B138=" ",0,IF($B138&gt;=AJ$33,AJ$25*(1+AJ$30)^(IF(AJ$28&gt;$B138,-1,1)*(YEARFRAC($B138,AJ$28)))*($D138-$D137),0))</f>
        <v>511.705269278402</v>
      </c>
      <c r="AK138" s="159" t="n">
        <f aca="false">IF($B138=" ",0,AK$25*(1+AK$30)^(IF(AK$28&gt;$B138,-1,1)*(YEARFRAC($B138,AK$28))))</f>
        <v>0.0292446592792218</v>
      </c>
      <c r="AL138" s="159" t="n">
        <f aca="false">IF($B138=" ",0,AL$25*AL$28)</f>
        <v>0.0575</v>
      </c>
      <c r="AM138" s="162" t="n">
        <f aca="false">+AI138+AJ138+SUM(AK138:AL138)*SUM($J138*$J$37,$K138*$K$37,$L138*$L$37,$M138*$M$37,$N138*$N$37,$O138*$O$37)/1000</f>
        <v>1427.24880560723</v>
      </c>
      <c r="AO138" s="163" t="n">
        <f aca="false">IF($B138=" ",0,$AO$25)</f>
        <v>0.25</v>
      </c>
      <c r="AP138" s="159" t="n">
        <f aca="false">IF($B138=" ",0,AP$25*AP$28)</f>
        <v>0.03105</v>
      </c>
      <c r="AQ138" s="162" t="n">
        <f aca="false">SUM(AO138:AP138)*SUM(0)/1000</f>
        <v>0</v>
      </c>
      <c r="AS138" s="155" t="n">
        <f aca="false">IF($B138=" ",0,AS$25)</f>
        <v>1</v>
      </c>
      <c r="AT138" s="156" t="n">
        <f aca="false">IF($B138=" ",0,AT$25)</f>
        <v>1</v>
      </c>
      <c r="AU138" s="156" t="n">
        <f aca="false">IF($B138=" ",0,AU$25)</f>
        <v>2.3</v>
      </c>
      <c r="AV138" s="157" t="n">
        <f aca="false">+AS138*SUM(J138:K138)/1000</f>
        <v>0</v>
      </c>
      <c r="AW138" s="157" t="n">
        <f aca="false">+AT138*SUM(L138:M138)/1000</f>
        <v>0</v>
      </c>
      <c r="AX138" s="157" t="n">
        <f aca="false">+AU138*SUM(N138:O138)/1000</f>
        <v>11537.9859375</v>
      </c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</row>
    <row r="139" customFormat="false" ht="12.75" hidden="true" customHeight="false" outlineLevel="1" collapsed="false">
      <c r="A139" s="164" t="n">
        <f aca="false">+IF(B139=" ",A138,B139)</f>
        <v>39508</v>
      </c>
      <c r="B139" s="148" t="n">
        <f aca="false">IF(B138=" "," ",IF(EDATE(B138,1)&gt;=EndDate," ",EDATE(B138,1)))</f>
        <v>39508</v>
      </c>
      <c r="C139" s="149" t="n">
        <f aca="false">IF($B139&lt;&gt;" ",C138+1,C138)</f>
        <v>89</v>
      </c>
      <c r="D139" s="150" t="n">
        <f aca="false">C139/12</f>
        <v>7.41666666666667</v>
      </c>
      <c r="F139" s="157" t="n">
        <f aca="false">+SUM($T139:$U139)</f>
        <v>14883.5779284771</v>
      </c>
      <c r="G139" s="152" t="n">
        <f aca="false">-SUM($AA139,$AG139,$AM139,$AQ139,$AV139:$AX139)</f>
        <v>-16547.6702264168</v>
      </c>
      <c r="H139" s="152" t="n">
        <f aca="false">+SUM(F139:G139)</f>
        <v>-1664.09229793969</v>
      </c>
      <c r="I139" s="124"/>
      <c r="J139" s="153" t="n">
        <f aca="false">+IF($B139=" ",0,IF(AND($B139&gt;=J$26,$B139&lt;J$28),J$33,0))</f>
        <v>0</v>
      </c>
      <c r="K139" s="153" t="n">
        <f aca="false">+IF($B139=" ",0,IF(AND($B139&gt;=K$26,$B139&lt;K$28),K$33,0))</f>
        <v>0</v>
      </c>
      <c r="L139" s="153" t="n">
        <f aca="false">+IF($B139=" ",0,IF(AND($B139&gt;=L$26,$B139&lt;L$28),L$33,0))</f>
        <v>0</v>
      </c>
      <c r="M139" s="153" t="n">
        <f aca="false">+IF($B139=" ",0,IF(AND($B139&gt;=M$26,$B139&lt;M$28),M$33,0))</f>
        <v>0</v>
      </c>
      <c r="N139" s="153" t="n">
        <f aca="false">+IF($B139=" ",0,IF(AND($B139&gt;=N$26,$B139&lt;N$28),N$33,0))</f>
        <v>0</v>
      </c>
      <c r="O139" s="154" t="n">
        <f aca="false">+IF($B139=" ",0,IF(AND($B139&gt;=O$26,$B139&lt;O$28),O$33,0))</f>
        <v>5016515.625</v>
      </c>
      <c r="Q139" s="83" t="n">
        <f aca="false">IF($B139=" ",0,IF($B139&lt;=DATE(2003,12,31),3.55,2.9))</f>
        <v>2.9</v>
      </c>
      <c r="R139" s="155" t="n">
        <f aca="false">IF($B139=" ",0,R$25)</f>
        <v>-0.07</v>
      </c>
      <c r="S139" s="156" t="n">
        <f aca="false">IF($B139=" ",0,S$25)</f>
        <v>0.1</v>
      </c>
      <c r="T139" s="157" t="n">
        <f aca="false">+SUM($Q139,$S139)/1000*(SUM($J139*$J$37,$K139*$K$37,$L139*$L$37,$M139*$M$37,$N139*$N$37,$O139*$O$37))</f>
        <v>14883.5779284771</v>
      </c>
      <c r="U139" s="157" t="n">
        <f aca="false">+SUM($Q139,$R139)/1000*(SUM(0))</f>
        <v>0</v>
      </c>
      <c r="W139" s="158" t="n">
        <f aca="false">IF($B139=" ",0,1)*(IF($B139&gt;=W$25,1,0)*IF($B139&lt;=W$29,W$27,IF($B139&lt;=W$33,W$31,0))*($D139-$D138)*365/1000)</f>
        <v>486.66666666667</v>
      </c>
      <c r="X139" s="158" t="n">
        <f aca="false">IF($B139=" ",0,IF($B139&gt;=X$25,IF($B139&lt;=X$29,X$27,IF($B139&lt;=X$33,X$31,X$31*(1+X$38)^(IF(X$36&gt;$B139,-1,1)*(YEARFRAC($B139,X$36)))))*($D139-$D138)*365/1000,0))</f>
        <v>401.558307372892</v>
      </c>
      <c r="Y139" s="159" t="n">
        <f aca="false">IF($B139=" ",0,Y$25*(1+Y$30)^(IF(Y$28&gt;$B139,-1,1)*(YEARFRAC($B139,Y$28))))</f>
        <v>0.504747704920116</v>
      </c>
      <c r="Z139" s="159" t="n">
        <f aca="false">IF($B139=" ",0,Z$25*(1+Z$30)^(IF(Z$28&gt;$B139,-1,1)*(YEARFRAC($B139,Z$28))))</f>
        <v>0.481846767788645</v>
      </c>
      <c r="AA139" s="162" t="n">
        <f aca="false">+W139+X139+Z139*SUM($J139*$J$37,$L139*$L$37,$N139*$N$37)/1000</f>
        <v>888.224974039562</v>
      </c>
      <c r="AB139" s="161"/>
      <c r="AC139" s="158" t="n">
        <f aca="false">IF($B139=" ",0,1)*(IF($B139&gt;=AC$25,1,0)*IF($B139&lt;=AC$29,AC$27,IF($B139&lt;=AC$33,AC$31,0))*($D139-$D138)*365/1000)</f>
        <v>1591.66666666668</v>
      </c>
      <c r="AD139" s="158" t="n">
        <f aca="false">IF($B139=" ",0,IF($B139&gt;=AD$25,IF($B139&lt;=AD$29,AD$27,IF($B139&lt;=AD$33,AD$31,AD$31*(1+AD$38)^(IF(AD$36&gt;$B139,-1,1)*(YEARFRAC($B139,AD$36)))))*($D139-$D138)*365/1000,0))</f>
        <v>357.474695175162</v>
      </c>
      <c r="AE139" s="159" t="n">
        <f aca="false">IF($B139=" ",0,AE$25*(1+AE$30)^(IF(AE$28&gt;$B139,-1,1)*(YEARFRAC($B139,AE$28))))</f>
        <v>0.418180804845321</v>
      </c>
      <c r="AF139" s="159" t="n">
        <f aca="false">IF($B139=" ",0,AF$25*(1+AF$30)^(IF(AF$28&gt;$B139,-1,1)*(YEARFRAC($B139,AF$28))))</f>
        <v>0.150042324417924</v>
      </c>
      <c r="AG139" s="162" t="n">
        <f aca="false">+AC139+AD139+AF139*SUM($K139*$K$37,$M139*$M$37,$O139*$O$37)/1000</f>
        <v>2693.53023785651</v>
      </c>
      <c r="AI139" s="158" t="n">
        <f aca="false">IF($B139=" ",0,1)*IF($B139&gt;=AI$33,AI$25*($D139-$D138),0)</f>
        <v>485.186570908337</v>
      </c>
      <c r="AJ139" s="158" t="n">
        <f aca="false">IF($B139=" ",0,IF($B139&gt;=AJ$33,AJ$25*(1+AJ$30)^(IF(AJ$28&gt;$B139,-1,1)*(YEARFRAC($B139,AJ$28)))*($D139-$D138),0))</f>
        <v>512.235265971763</v>
      </c>
      <c r="AK139" s="159" t="n">
        <f aca="false">IF($B139=" ",0,AK$25*(1+AK$30)^(IF(AK$28&gt;$B139,-1,1)*(YEARFRAC($B139,AK$28))))</f>
        <v>0.0292749493185215</v>
      </c>
      <c r="AL139" s="159" t="n">
        <f aca="false">IF($B139=" ",0,AL$25*AL$28)</f>
        <v>0.0575</v>
      </c>
      <c r="AM139" s="162" t="n">
        <f aca="false">+AI139+AJ139+SUM(AK139:AL139)*SUM($J139*$J$37,$K139*$K$37,$L139*$L$37,$M139*$M$37,$N139*$N$37,$O139*$O$37)/1000</f>
        <v>1427.92907702072</v>
      </c>
      <c r="AO139" s="163" t="n">
        <f aca="false">IF($B139=" ",0,$AO$25)</f>
        <v>0.25</v>
      </c>
      <c r="AP139" s="159" t="n">
        <f aca="false">IF($B139=" ",0,AP$25*AP$28)</f>
        <v>0.03105</v>
      </c>
      <c r="AQ139" s="162" t="n">
        <f aca="false">SUM(AO139:AP139)*SUM(0)/1000</f>
        <v>0</v>
      </c>
      <c r="AS139" s="155" t="n">
        <f aca="false">IF($B139=" ",0,AS$25)</f>
        <v>1</v>
      </c>
      <c r="AT139" s="156" t="n">
        <f aca="false">IF($B139=" ",0,AT$25)</f>
        <v>1</v>
      </c>
      <c r="AU139" s="156" t="n">
        <f aca="false">IF($B139=" ",0,AU$25)</f>
        <v>2.3</v>
      </c>
      <c r="AV139" s="157" t="n">
        <f aca="false">+AS139*SUM(J139:K139)/1000</f>
        <v>0</v>
      </c>
      <c r="AW139" s="157" t="n">
        <f aca="false">+AT139*SUM(L139:M139)/1000</f>
        <v>0</v>
      </c>
      <c r="AX139" s="157" t="n">
        <f aca="false">+AU139*SUM(N139:O139)/1000</f>
        <v>11537.9859375</v>
      </c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</row>
    <row r="140" customFormat="false" ht="12.75" hidden="true" customHeight="false" outlineLevel="1" collapsed="false">
      <c r="A140" s="164" t="n">
        <f aca="false">+IF(B140=" ",A139,B140)</f>
        <v>39539</v>
      </c>
      <c r="B140" s="148" t="n">
        <f aca="false">IF(B139=" "," ",IF(EDATE(B139,1)&gt;=EndDate," ",EDATE(B139,1)))</f>
        <v>39539</v>
      </c>
      <c r="C140" s="149" t="n">
        <f aca="false">IF($B140&lt;&gt;" ",C139+1,C139)</f>
        <v>90</v>
      </c>
      <c r="D140" s="150" t="n">
        <f aca="false">C140/12</f>
        <v>7.5</v>
      </c>
      <c r="F140" s="157" t="n">
        <f aca="false">+SUM($T140:$U140)</f>
        <v>14883.5779284771</v>
      </c>
      <c r="G140" s="152" t="n">
        <f aca="false">-SUM($AA140,$AG140,$AM140,$AQ140,$AV140:$AX140)</f>
        <v>-16550.423505512</v>
      </c>
      <c r="H140" s="152" t="n">
        <f aca="false">+SUM(F140:G140)</f>
        <v>-1666.84557703492</v>
      </c>
      <c r="I140" s="124"/>
      <c r="J140" s="153" t="n">
        <f aca="false">+IF($B140=" ",0,IF(AND($B140&gt;=J$26,$B140&lt;J$28),J$33,0))</f>
        <v>0</v>
      </c>
      <c r="K140" s="153" t="n">
        <f aca="false">+IF($B140=" ",0,IF(AND($B140&gt;=K$26,$B140&lt;K$28),K$33,0))</f>
        <v>0</v>
      </c>
      <c r="L140" s="153" t="n">
        <f aca="false">+IF($B140=" ",0,IF(AND($B140&gt;=L$26,$B140&lt;L$28),L$33,0))</f>
        <v>0</v>
      </c>
      <c r="M140" s="153" t="n">
        <f aca="false">+IF($B140=" ",0,IF(AND($B140&gt;=M$26,$B140&lt;M$28),M$33,0))</f>
        <v>0</v>
      </c>
      <c r="N140" s="153" t="n">
        <f aca="false">+IF($B140=" ",0,IF(AND($B140&gt;=N$26,$B140&lt;N$28),N$33,0))</f>
        <v>0</v>
      </c>
      <c r="O140" s="154" t="n">
        <f aca="false">+IF($B140=" ",0,IF(AND($B140&gt;=O$26,$B140&lt;O$28),O$33,0))</f>
        <v>5016515.625</v>
      </c>
      <c r="Q140" s="83" t="n">
        <f aca="false">IF($B140=" ",0,IF($B140&lt;=DATE(2003,12,31),3.55,2.9))</f>
        <v>2.9</v>
      </c>
      <c r="R140" s="155" t="n">
        <f aca="false">IF($B140=" ",0,R$25)</f>
        <v>-0.07</v>
      </c>
      <c r="S140" s="156" t="n">
        <f aca="false">IF($B140=" ",0,S$25)</f>
        <v>0.1</v>
      </c>
      <c r="T140" s="157" t="n">
        <f aca="false">+SUM($Q140,$S140)/1000*(SUM($J140*$J$37,$K140*$K$37,$L140*$L$37,$M140*$M$37,$N140*$N$37,$O140*$O$37))</f>
        <v>14883.5779284771</v>
      </c>
      <c r="U140" s="157" t="n">
        <f aca="false">+SUM($Q140,$R140)/1000*(SUM(0))</f>
        <v>0</v>
      </c>
      <c r="W140" s="158" t="n">
        <f aca="false">IF($B140=" ",0,1)*(IF($B140&gt;=W$25,1,0)*IF($B140&lt;=W$29,W$27,IF($B140&lt;=W$33,W$31,0))*($D140-$D139)*365/1000)</f>
        <v>486.666666666665</v>
      </c>
      <c r="X140" s="158" t="n">
        <f aca="false">IF($B140=" ",0,IF($B140&gt;=X$25,IF($B140&lt;=X$29,X$27,IF($B140&lt;=X$33,X$31,X$31*(1+X$38)^(IF(X$36&gt;$B140,-1,1)*(YEARFRAC($B140,X$36)))))*($D140-$D139)*365/1000,0))</f>
        <v>402.111811704847</v>
      </c>
      <c r="Y140" s="159" t="n">
        <f aca="false">IF($B140=" ",0,Y$25*(1+Y$30)^(IF(Y$28&gt;$B140,-1,1)*(YEARFRAC($B140,Y$28))))</f>
        <v>0.505443444582551</v>
      </c>
      <c r="Z140" s="159" t="n">
        <f aca="false">IF($B140=" ",0,Z$25*(1+Z$30)^(IF(Z$28&gt;$B140,-1,1)*(YEARFRAC($B140,Z$28))))</f>
        <v>0.482510941006867</v>
      </c>
      <c r="AA140" s="162" t="n">
        <f aca="false">+W140+X140+Z140*SUM($J140*$J$37,$L140*$L$37,$N140*$N$37)/1000</f>
        <v>888.778478371512</v>
      </c>
      <c r="AB140" s="161"/>
      <c r="AC140" s="158" t="n">
        <f aca="false">IF($B140=" ",0,1)*(IF($B140&gt;=AC$25,1,0)*IF($B140&lt;=AC$29,AC$27,IF($B140&lt;=AC$33,AC$31,0))*($D140-$D139)*365/1000)</f>
        <v>1591.66666666666</v>
      </c>
      <c r="AD140" s="158" t="n">
        <f aca="false">IF($B140=" ",0,IF($B140&gt;=AD$25,IF($B140&lt;=AD$29,AD$27,IF($B140&lt;=AD$33,AD$31,AD$31*(1+AD$38)^(IF(AD$36&gt;$B140,-1,1)*(YEARFRAC($B140,AD$36)))))*($D140-$D139)*365/1000,0))</f>
        <v>357.96743505555</v>
      </c>
      <c r="AE140" s="159" t="n">
        <f aca="false">IF($B140=" ",0,AE$25*(1+AE$30)^(IF(AE$28&gt;$B140,-1,1)*(YEARFRAC($B140,AE$28))))</f>
        <v>0.418757221477163</v>
      </c>
      <c r="AF140" s="159" t="n">
        <f aca="false">IF($B140=" ",0,AF$25*(1+AF$30)^(IF(AF$28&gt;$B140,-1,1)*(YEARFRAC($B140,AF$28))))</f>
        <v>0.150249141398217</v>
      </c>
      <c r="AG140" s="162" t="n">
        <f aca="false">+AC140+AD140+AF140*SUM($K140*$K$37,$M140*$M$37,$O140*$O$37)/1000</f>
        <v>2695.04903661793</v>
      </c>
      <c r="AI140" s="158" t="n">
        <f aca="false">IF($B140=" ",0,1)*IF($B140&gt;=AI$33,AI$25*($D140-$D139),0)</f>
        <v>485.186570908332</v>
      </c>
      <c r="AJ140" s="158" t="n">
        <f aca="false">IF($B140=" ",0,IF($B140&gt;=AJ$33,AJ$25*(1+AJ$30)^(IF(AJ$28&gt;$B140,-1,1)*(YEARFRAC($B140,AJ$28)))*($D140-$D139),0))</f>
        <v>512.765811607076</v>
      </c>
      <c r="AK140" s="159" t="n">
        <f aca="false">IF($B140=" ",0,AK$25*(1+AK$30)^(IF(AK$28&gt;$B140,-1,1)*(YEARFRAC($B140,AK$28))))</f>
        <v>0.0293052707306086</v>
      </c>
      <c r="AL140" s="159" t="n">
        <f aca="false">IF($B140=" ",0,AL$25*AL$28)</f>
        <v>0.0575</v>
      </c>
      <c r="AM140" s="162" t="n">
        <f aca="false">+AI140+AJ140+SUM(AK140:AL140)*SUM($J140*$J$37,$K140*$K$37,$L140*$L$37,$M140*$M$37,$N140*$N$37,$O140*$O$37)/1000</f>
        <v>1428.6100530226</v>
      </c>
      <c r="AO140" s="163" t="n">
        <f aca="false">IF($B140=" ",0,$AO$25)</f>
        <v>0.25</v>
      </c>
      <c r="AP140" s="159" t="n">
        <f aca="false">IF($B140=" ",0,AP$25*AP$28)</f>
        <v>0.03105</v>
      </c>
      <c r="AQ140" s="162" t="n">
        <f aca="false">SUM(AO140:AP140)*SUM(0)/1000</f>
        <v>0</v>
      </c>
      <c r="AS140" s="155" t="n">
        <f aca="false">IF($B140=" ",0,AS$25)</f>
        <v>1</v>
      </c>
      <c r="AT140" s="156" t="n">
        <f aca="false">IF($B140=" ",0,AT$25)</f>
        <v>1</v>
      </c>
      <c r="AU140" s="156" t="n">
        <f aca="false">IF($B140=" ",0,AU$25)</f>
        <v>2.3</v>
      </c>
      <c r="AV140" s="157" t="n">
        <f aca="false">+AS140*SUM(J140:K140)/1000</f>
        <v>0</v>
      </c>
      <c r="AW140" s="157" t="n">
        <f aca="false">+AT140*SUM(L140:M140)/1000</f>
        <v>0</v>
      </c>
      <c r="AX140" s="157" t="n">
        <f aca="false">+AU140*SUM(N140:O140)/1000</f>
        <v>11537.9859375</v>
      </c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</row>
    <row r="141" customFormat="false" ht="12.75" hidden="true" customHeight="false" outlineLevel="1" collapsed="false">
      <c r="A141" s="164" t="n">
        <f aca="false">+IF(B141=" ",A140,B141)</f>
        <v>39569</v>
      </c>
      <c r="B141" s="148" t="n">
        <f aca="false">IF(B140=" "," ",IF(EDATE(B140,1)&gt;=EndDate," ",EDATE(B140,1)))</f>
        <v>39569</v>
      </c>
      <c r="C141" s="149" t="n">
        <f aca="false">IF($B141&lt;&gt;" ",C140+1,C140)</f>
        <v>91</v>
      </c>
      <c r="D141" s="150" t="n">
        <f aca="false">C141/12</f>
        <v>7.58333333333333</v>
      </c>
      <c r="F141" s="157" t="n">
        <f aca="false">+SUM($T141:$U141)</f>
        <v>14883.5779284771</v>
      </c>
      <c r="G141" s="152" t="n">
        <f aca="false">-SUM($AA141,$AG141,$AM141,$AQ141,$AV141:$AX141)</f>
        <v>-16553.1803463693</v>
      </c>
      <c r="H141" s="152" t="n">
        <f aca="false">+SUM(F141:G141)</f>
        <v>-1669.60241789218</v>
      </c>
      <c r="I141" s="124"/>
      <c r="J141" s="153" t="n">
        <f aca="false">+IF($B141=" ",0,IF(AND($B141&gt;=J$26,$B141&lt;J$28),J$33,0))</f>
        <v>0</v>
      </c>
      <c r="K141" s="153" t="n">
        <f aca="false">+IF($B141=" ",0,IF(AND($B141&gt;=K$26,$B141&lt;K$28),K$33,0))</f>
        <v>0</v>
      </c>
      <c r="L141" s="153" t="n">
        <f aca="false">+IF($B141=" ",0,IF(AND($B141&gt;=L$26,$B141&lt;L$28),L$33,0))</f>
        <v>0</v>
      </c>
      <c r="M141" s="153" t="n">
        <f aca="false">+IF($B141=" ",0,IF(AND($B141&gt;=M$26,$B141&lt;M$28),M$33,0))</f>
        <v>0</v>
      </c>
      <c r="N141" s="153" t="n">
        <f aca="false">+IF($B141=" ",0,IF(AND($B141&gt;=N$26,$B141&lt;N$28),N$33,0))</f>
        <v>0</v>
      </c>
      <c r="O141" s="154" t="n">
        <f aca="false">+IF($B141=" ",0,IF(AND($B141&gt;=O$26,$B141&lt;O$28),O$33,0))</f>
        <v>5016515.625</v>
      </c>
      <c r="Q141" s="83" t="n">
        <f aca="false">IF($B141=" ",0,IF($B141&lt;=DATE(2003,12,31),3.55,2.9))</f>
        <v>2.9</v>
      </c>
      <c r="R141" s="155" t="n">
        <f aca="false">IF($B141=" ",0,R$25)</f>
        <v>-0.07</v>
      </c>
      <c r="S141" s="156" t="n">
        <f aca="false">IF($B141=" ",0,S$25)</f>
        <v>0.1</v>
      </c>
      <c r="T141" s="157" t="n">
        <f aca="false">+SUM($Q141,$S141)/1000*(SUM($J141*$J$37,$K141*$K$37,$L141*$L$37,$M141*$M$37,$N141*$N$37,$O141*$O$37))</f>
        <v>14883.5779284771</v>
      </c>
      <c r="U141" s="157" t="n">
        <f aca="false">+SUM($Q141,$R141)/1000*(SUM(0))</f>
        <v>0</v>
      </c>
      <c r="W141" s="158" t="n">
        <f aca="false">IF($B141=" ",0,1)*(IF($B141&gt;=W$25,1,0)*IF($B141&lt;=W$29,W$27,IF($B141&lt;=W$33,W$31,0))*($D141-$D140)*365/1000)</f>
        <v>486.666666666665</v>
      </c>
      <c r="X141" s="158" t="n">
        <f aca="false">IF($B141=" ",0,IF($B141&gt;=X$25,IF($B141&lt;=X$29,X$27,IF($B141&lt;=X$33,X$31,X$31*(1+X$38)^(IF(X$36&gt;$B141,-1,1)*(YEARFRAC($B141,X$36)))))*($D141-$D140)*365/1000,0))</f>
        <v>402.666078982161</v>
      </c>
      <c r="Y141" s="159" t="n">
        <f aca="false">IF($B141=" ",0,Y$25*(1+Y$30)^(IF(Y$28&gt;$B141,-1,1)*(YEARFRAC($B141,Y$28))))</f>
        <v>0.506140143246233</v>
      </c>
      <c r="Z141" s="159" t="n">
        <f aca="false">IF($B141=" ",0,Z$25*(1+Z$30)^(IF(Z$28&gt;$B141,-1,1)*(YEARFRAC($B141,Z$28))))</f>
        <v>0.483176029715434</v>
      </c>
      <c r="AA141" s="162" t="n">
        <f aca="false">+W141+X141+Z141*SUM($J141*$J$37,$L141*$L$37,$N141*$N$37)/1000</f>
        <v>889.332745648826</v>
      </c>
      <c r="AB141" s="161"/>
      <c r="AC141" s="158" t="n">
        <f aca="false">IF($B141=" ",0,1)*(IF($B141&gt;=AC$25,1,0)*IF($B141&lt;=AC$29,AC$27,IF($B141&lt;=AC$33,AC$31,0))*($D141-$D140)*365/1000)</f>
        <v>1591.66666666666</v>
      </c>
      <c r="AD141" s="158" t="n">
        <f aca="false">IF($B141=" ",0,IF($B141&gt;=AD$25,IF($B141&lt;=AD$29,AD$27,IF($B141&lt;=AD$33,AD$31,AD$31*(1+AD$38)^(IF(AD$36&gt;$B141,-1,1)*(YEARFRAC($B141,AD$36)))))*($D141-$D140)*365/1000,0))</f>
        <v>358.460854124128</v>
      </c>
      <c r="AE141" s="159" t="n">
        <f aca="false">IF($B141=" ",0,AE$25*(1+AE$30)^(IF(AE$28&gt;$B141,-1,1)*(YEARFRAC($B141,AE$28))))</f>
        <v>0.419334432636467</v>
      </c>
      <c r="AF141" s="159" t="n">
        <f aca="false">IF($B141=" ",0,AF$25*(1+AF$30)^(IF(AF$28&gt;$B141,-1,1)*(YEARFRAC($B141,AF$28))))</f>
        <v>0.150456243453162</v>
      </c>
      <c r="AG141" s="162" t="n">
        <f aca="false">+AC141+AD141+AF141*SUM($K141*$K$37,$M141*$M$37,$O141*$O$37)/1000</f>
        <v>2696.56992887781</v>
      </c>
      <c r="AI141" s="158" t="n">
        <f aca="false">IF($B141=" ",0,1)*IF($B141&gt;=AI$33,AI$25*($D141-$D140),0)</f>
        <v>485.186570908332</v>
      </c>
      <c r="AJ141" s="158" t="n">
        <f aca="false">IF($B141=" ",0,IF($B141&gt;=AJ$33,AJ$25*(1+AJ$30)^(IF(AJ$28&gt;$B141,-1,1)*(YEARFRAC($B141,AJ$28)))*($D141-$D140),0))</f>
        <v>513.296906752921</v>
      </c>
      <c r="AK141" s="159" t="n">
        <f aca="false">IF($B141=" ",0,AK$25*(1+AK$30)^(IF(AK$28&gt;$B141,-1,1)*(YEARFRAC($B141,AK$28))))</f>
        <v>0.0293356235479775</v>
      </c>
      <c r="AL141" s="159" t="n">
        <f aca="false">IF($B141=" ",0,AL$25*AL$28)</f>
        <v>0.0575</v>
      </c>
      <c r="AM141" s="162" t="n">
        <f aca="false">+AI141+AJ141+SUM(AK141:AL141)*SUM($J141*$J$37,$K141*$K$37,$L141*$L$37,$M141*$M$37,$N141*$N$37,$O141*$O$37)/1000</f>
        <v>1429.29173434266</v>
      </c>
      <c r="AO141" s="163" t="n">
        <f aca="false">IF($B141=" ",0,$AO$25)</f>
        <v>0.25</v>
      </c>
      <c r="AP141" s="159" t="n">
        <f aca="false">IF($B141=" ",0,AP$25*AP$28)</f>
        <v>0.03105</v>
      </c>
      <c r="AQ141" s="162" t="n">
        <f aca="false">SUM(AO141:AP141)*SUM(0)/1000</f>
        <v>0</v>
      </c>
      <c r="AS141" s="155" t="n">
        <f aca="false">IF($B141=" ",0,AS$25)</f>
        <v>1</v>
      </c>
      <c r="AT141" s="156" t="n">
        <f aca="false">IF($B141=" ",0,AT$25)</f>
        <v>1</v>
      </c>
      <c r="AU141" s="156" t="n">
        <f aca="false">IF($B141=" ",0,AU$25)</f>
        <v>2.3</v>
      </c>
      <c r="AV141" s="157" t="n">
        <f aca="false">+AS141*SUM(J141:K141)/1000</f>
        <v>0</v>
      </c>
      <c r="AW141" s="157" t="n">
        <f aca="false">+AT141*SUM(L141:M141)/1000</f>
        <v>0</v>
      </c>
      <c r="AX141" s="157" t="n">
        <f aca="false">+AU141*SUM(N141:O141)/1000</f>
        <v>11537.9859375</v>
      </c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</row>
    <row r="142" customFormat="false" ht="12.75" hidden="true" customHeight="false" outlineLevel="1" collapsed="false">
      <c r="A142" s="164" t="n">
        <f aca="false">+IF(B142=" ",A141,B142)</f>
        <v>39600</v>
      </c>
      <c r="B142" s="148" t="n">
        <f aca="false">IF(B141=" "," ",IF(EDATE(B141,1)&gt;=EndDate," ",EDATE(B141,1)))</f>
        <v>39600</v>
      </c>
      <c r="C142" s="149" t="n">
        <f aca="false">IF($B142&lt;&gt;" ",C141+1,C141)</f>
        <v>92</v>
      </c>
      <c r="D142" s="150" t="n">
        <f aca="false">C142/12</f>
        <v>7.66666666666667</v>
      </c>
      <c r="F142" s="157" t="n">
        <f aca="false">+SUM($T142:$U142)</f>
        <v>14883.5779284771</v>
      </c>
      <c r="G142" s="152" t="n">
        <f aca="false">-SUM($AA142,$AG142,$AM142,$AQ142,$AV142:$AX142)</f>
        <v>-16555.9407536564</v>
      </c>
      <c r="H142" s="152" t="n">
        <f aca="false">+SUM(F142:G142)</f>
        <v>-1672.3628251793</v>
      </c>
      <c r="I142" s="124"/>
      <c r="J142" s="153" t="n">
        <f aca="false">+IF($B142=" ",0,IF(AND($B142&gt;=J$26,$B142&lt;J$28),J$33,0))</f>
        <v>0</v>
      </c>
      <c r="K142" s="153" t="n">
        <f aca="false">+IF($B142=" ",0,IF(AND($B142&gt;=K$26,$B142&lt;K$28),K$33,0))</f>
        <v>0</v>
      </c>
      <c r="L142" s="153" t="n">
        <f aca="false">+IF($B142=" ",0,IF(AND($B142&gt;=L$26,$B142&lt;L$28),L$33,0))</f>
        <v>0</v>
      </c>
      <c r="M142" s="153" t="n">
        <f aca="false">+IF($B142=" ",0,IF(AND($B142&gt;=M$26,$B142&lt;M$28),M$33,0))</f>
        <v>0</v>
      </c>
      <c r="N142" s="153" t="n">
        <f aca="false">+IF($B142=" ",0,IF(AND($B142&gt;=N$26,$B142&lt;N$28),N$33,0))</f>
        <v>0</v>
      </c>
      <c r="O142" s="154" t="n">
        <f aca="false">+IF($B142=" ",0,IF(AND($B142&gt;=O$26,$B142&lt;O$28),O$33,0))</f>
        <v>5016515.625</v>
      </c>
      <c r="Q142" s="83" t="n">
        <f aca="false">IF($B142=" ",0,IF($B142&lt;=DATE(2003,12,31),3.55,2.9))</f>
        <v>2.9</v>
      </c>
      <c r="R142" s="155" t="n">
        <f aca="false">IF($B142=" ",0,R$25)</f>
        <v>-0.07</v>
      </c>
      <c r="S142" s="156" t="n">
        <f aca="false">IF($B142=" ",0,S$25)</f>
        <v>0.1</v>
      </c>
      <c r="T142" s="157" t="n">
        <f aca="false">+SUM($Q142,$S142)/1000*(SUM($J142*$J$37,$K142*$K$37,$L142*$L$37,$M142*$M$37,$N142*$N$37,$O142*$O$37))</f>
        <v>14883.5779284771</v>
      </c>
      <c r="U142" s="157" t="n">
        <f aca="false">+SUM($Q142,$R142)/1000*(SUM(0))</f>
        <v>0</v>
      </c>
      <c r="W142" s="158" t="n">
        <f aca="false">IF($B142=" ",0,1)*(IF($B142&gt;=W$25,1,0)*IF($B142&lt;=W$29,W$27,IF($B142&lt;=W$33,W$31,0))*($D142-$D141)*365/1000)</f>
        <v>486.66666666667</v>
      </c>
      <c r="X142" s="158" t="n">
        <f aca="false">IF($B142=" ",0,IF($B142&gt;=X$25,IF($B142&lt;=X$29,X$27,IF($B142&lt;=X$33,X$31,X$31*(1+X$38)^(IF(X$36&gt;$B142,-1,1)*(YEARFRAC($B142,X$36)))))*($D142-$D141)*365/1000,0))</f>
        <v>403.221110256472</v>
      </c>
      <c r="Y142" s="159" t="n">
        <f aca="false">IF($B142=" ",0,Y$25*(1+Y$30)^(IF(Y$28&gt;$B142,-1,1)*(YEARFRAC($B142,Y$28))))</f>
        <v>0.506837802233039</v>
      </c>
      <c r="Z142" s="159" t="n">
        <f aca="false">IF($B142=" ",0,Z$25*(1+Z$30)^(IF(Z$28&gt;$B142,-1,1)*(YEARFRAC($B142,Z$28))))</f>
        <v>0.48384203517625</v>
      </c>
      <c r="AA142" s="162" t="n">
        <f aca="false">+W142+X142+Z142*SUM($J142*$J$37,$L142*$L$37,$N142*$N$37)/1000</f>
        <v>889.887776923143</v>
      </c>
      <c r="AB142" s="161"/>
      <c r="AC142" s="158" t="n">
        <f aca="false">IF($B142=" ",0,1)*(IF($B142&gt;=AC$25,1,0)*IF($B142&lt;=AC$29,AC$27,IF($B142&lt;=AC$33,AC$31,0))*($D142-$D141)*365/1000)</f>
        <v>1591.66666666668</v>
      </c>
      <c r="AD142" s="158" t="n">
        <f aca="false">IF($B142=" ",0,IF($B142&gt;=AD$25,IF($B142&lt;=AD$29,AD$27,IF($B142&lt;=AD$33,AD$31,AD$31*(1+AD$38)^(IF(AD$36&gt;$B142,-1,1)*(YEARFRAC($B142,AD$36)))))*($D142-$D141)*365/1000,0))</f>
        <v>358.954953317082</v>
      </c>
      <c r="AE142" s="159" t="n">
        <f aca="false">IF($B142=" ",0,AE$25*(1+AE$30)^(IF(AE$28&gt;$B142,-1,1)*(YEARFRAC($B142,AE$28))))</f>
        <v>0.419912439418402</v>
      </c>
      <c r="AF142" s="159" t="n">
        <f aca="false">IF($B142=" ",0,AF$25*(1+AF$30)^(IF(AF$28&gt;$B142,-1,1)*(YEARFRAC($B142,AF$28))))</f>
        <v>0.150663630975703</v>
      </c>
      <c r="AG142" s="162" t="n">
        <f aca="false">+AC142+AD142+AF142*SUM($K142*$K$37,$M142*$M$37,$O142*$O$37)/1000</f>
        <v>2698.09291752182</v>
      </c>
      <c r="AI142" s="158" t="n">
        <f aca="false">IF($B142=" ",0,1)*IF($B142&gt;=AI$33,AI$25*($D142-$D141),0)</f>
        <v>485.186570908337</v>
      </c>
      <c r="AJ142" s="158" t="n">
        <f aca="false">IF($B142=" ",0,IF($B142&gt;=AJ$33,AJ$25*(1+AJ$30)^(IF(AJ$28&gt;$B142,-1,1)*(YEARFRAC($B142,AJ$28)))*($D142-$D141),0))</f>
        <v>513.828551978453</v>
      </c>
      <c r="AK142" s="159" t="n">
        <f aca="false">IF($B142=" ",0,AK$25*(1+AK$30)^(IF(AK$28&gt;$B142,-1,1)*(YEARFRAC($B142,AK$28))))</f>
        <v>0.029366007803156</v>
      </c>
      <c r="AL142" s="159" t="n">
        <f aca="false">IF($B142=" ",0,AL$25*AL$28)</f>
        <v>0.0575</v>
      </c>
      <c r="AM142" s="162" t="n">
        <f aca="false">+AI142+AJ142+SUM(AK142:AL142)*SUM($J142*$J$37,$K142*$K$37,$L142*$L$37,$M142*$M$37,$N142*$N$37,$O142*$O$37)/1000</f>
        <v>1429.97412171145</v>
      </c>
      <c r="AO142" s="163" t="n">
        <f aca="false">IF($B142=" ",0,$AO$25)</f>
        <v>0.25</v>
      </c>
      <c r="AP142" s="159" t="n">
        <f aca="false">IF($B142=" ",0,AP$25*AP$28)</f>
        <v>0.03105</v>
      </c>
      <c r="AQ142" s="162" t="n">
        <f aca="false">SUM(AO142:AP142)*SUM(0)/1000</f>
        <v>0</v>
      </c>
      <c r="AS142" s="155" t="n">
        <f aca="false">IF($B142=" ",0,AS$25)</f>
        <v>1</v>
      </c>
      <c r="AT142" s="156" t="n">
        <f aca="false">IF($B142=" ",0,AT$25)</f>
        <v>1</v>
      </c>
      <c r="AU142" s="156" t="n">
        <f aca="false">IF($B142=" ",0,AU$25)</f>
        <v>2.3</v>
      </c>
      <c r="AV142" s="157" t="n">
        <f aca="false">+AS142*SUM(J142:K142)/1000</f>
        <v>0</v>
      </c>
      <c r="AW142" s="157" t="n">
        <f aca="false">+AT142*SUM(L142:M142)/1000</f>
        <v>0</v>
      </c>
      <c r="AX142" s="157" t="n">
        <f aca="false">+AU142*SUM(N142:O142)/1000</f>
        <v>11537.9859375</v>
      </c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</row>
    <row r="143" customFormat="false" ht="12.75" hidden="true" customHeight="false" outlineLevel="1" collapsed="false">
      <c r="A143" s="164" t="n">
        <f aca="false">+IF(B143=" ",A142,B143)</f>
        <v>39630</v>
      </c>
      <c r="B143" s="148" t="n">
        <f aca="false">IF(B142=" "," ",IF(EDATE(B142,1)&gt;=EndDate," ",EDATE(B142,1)))</f>
        <v>39630</v>
      </c>
      <c r="C143" s="149" t="n">
        <f aca="false">IF($B143&lt;&gt;" ",C142+1,C142)</f>
        <v>93</v>
      </c>
      <c r="D143" s="150" t="n">
        <f aca="false">C143/12</f>
        <v>7.75</v>
      </c>
      <c r="F143" s="157" t="n">
        <f aca="false">+SUM($T143:$U143)</f>
        <v>14883.5779284771</v>
      </c>
      <c r="G143" s="152" t="n">
        <f aca="false">-SUM($AA143,$AG143,$AM143,$AQ143,$AV143:$AX143)</f>
        <v>-16558.7047320473</v>
      </c>
      <c r="H143" s="152" t="n">
        <f aca="false">+SUM(F143:G143)</f>
        <v>-1675.12680357016</v>
      </c>
      <c r="I143" s="124"/>
      <c r="J143" s="153" t="n">
        <f aca="false">+IF($B143=" ",0,IF(AND($B143&gt;=J$26,$B143&lt;J$28),J$33,0))</f>
        <v>0</v>
      </c>
      <c r="K143" s="153" t="n">
        <f aca="false">+IF($B143=" ",0,IF(AND($B143&gt;=K$26,$B143&lt;K$28),K$33,0))</f>
        <v>0</v>
      </c>
      <c r="L143" s="153" t="n">
        <f aca="false">+IF($B143=" ",0,IF(AND($B143&gt;=L$26,$B143&lt;L$28),L$33,0))</f>
        <v>0</v>
      </c>
      <c r="M143" s="153" t="n">
        <f aca="false">+IF($B143=" ",0,IF(AND($B143&gt;=M$26,$B143&lt;M$28),M$33,0))</f>
        <v>0</v>
      </c>
      <c r="N143" s="153" t="n">
        <f aca="false">+IF($B143=" ",0,IF(AND($B143&gt;=N$26,$B143&lt;N$28),N$33,0))</f>
        <v>0</v>
      </c>
      <c r="O143" s="154" t="n">
        <f aca="false">+IF($B143=" ",0,IF(AND($B143&gt;=O$26,$B143&lt;O$28),O$33,0))</f>
        <v>5016515.625</v>
      </c>
      <c r="Q143" s="83" t="n">
        <f aca="false">IF($B143=" ",0,IF($B143&lt;=DATE(2003,12,31),3.55,2.9))</f>
        <v>2.9</v>
      </c>
      <c r="R143" s="155" t="n">
        <f aca="false">IF($B143=" ",0,R$25)</f>
        <v>-0.07</v>
      </c>
      <c r="S143" s="156" t="n">
        <f aca="false">IF($B143=" ",0,S$25)</f>
        <v>0.1</v>
      </c>
      <c r="T143" s="157" t="n">
        <f aca="false">+SUM($Q143,$S143)/1000*(SUM($J143*$J$37,$K143*$K$37,$L143*$L$37,$M143*$M$37,$N143*$N$37,$O143*$O$37))</f>
        <v>14883.5779284771</v>
      </c>
      <c r="U143" s="157" t="n">
        <f aca="false">+SUM($Q143,$R143)/1000*(SUM(0))</f>
        <v>0</v>
      </c>
      <c r="W143" s="158" t="n">
        <f aca="false">IF($B143=" ",0,1)*(IF($B143&gt;=W$25,1,0)*IF($B143&lt;=W$29,W$27,IF($B143&lt;=W$33,W$31,0))*($D143-$D142)*365/1000)</f>
        <v>486.666666666665</v>
      </c>
      <c r="X143" s="158" t="n">
        <f aca="false">IF($B143=" ",0,IF($B143&gt;=X$25,IF($B143&lt;=X$29,X$27,IF($B143&lt;=X$33,X$31,X$31*(1+X$38)^(IF(X$36&gt;$B143,-1,1)*(YEARFRAC($B143,X$36)))))*($D143-$D142)*365/1000,0))</f>
        <v>403.776906580854</v>
      </c>
      <c r="Y143" s="159" t="n">
        <f aca="false">IF($B143=" ",0,Y$25*(1+Y$30)^(IF(Y$28&gt;$B143,-1,1)*(YEARFRAC($B143,Y$28))))</f>
        <v>0.50753642286667</v>
      </c>
      <c r="Z143" s="159" t="n">
        <f aca="false">IF($B143=" ",0,Z$25*(1+Z$30)^(IF(Z$28&gt;$B143,-1,1)*(YEARFRAC($B143,Z$28))))</f>
        <v>0.484508958652958</v>
      </c>
      <c r="AA143" s="162" t="n">
        <f aca="false">+W143+X143+Z143*SUM($J143*$J$37,$L143*$L$37,$N143*$N$37)/1000</f>
        <v>890.443573247519</v>
      </c>
      <c r="AB143" s="161"/>
      <c r="AC143" s="158" t="n">
        <f aca="false">IF($B143=" ",0,1)*(IF($B143&gt;=AC$25,1,0)*IF($B143&lt;=AC$29,AC$27,IF($B143&lt;=AC$33,AC$31,0))*($D143-$D142)*365/1000)</f>
        <v>1591.66666666666</v>
      </c>
      <c r="AD143" s="158" t="n">
        <f aca="false">IF($B143=" ",0,IF($B143&gt;=AD$25,IF($B143&lt;=AD$29,AD$27,IF($B143&lt;=AD$33,AD$31,AD$31*(1+AD$38)^(IF(AD$36&gt;$B143,-1,1)*(YEARFRAC($B143,AD$36)))))*($D143-$D142)*365/1000,0))</f>
        <v>359.449733571879</v>
      </c>
      <c r="AE143" s="159" t="n">
        <f aca="false">IF($B143=" ",0,AE$25*(1+AE$30)^(IF(AE$28&gt;$B143,-1,1)*(YEARFRAC($B143,AE$28))))</f>
        <v>0.420491242919648</v>
      </c>
      <c r="AF143" s="159" t="n">
        <f aca="false">IF($B143=" ",0,AF$25*(1+AF$30)^(IF(AF$28&gt;$B143,-1,1)*(YEARFRAC($B143,AF$28))))</f>
        <v>0.150871304359325</v>
      </c>
      <c r="AG143" s="162" t="n">
        <f aca="false">+AC143+AD143+AF143*SUM($K143*$K$37,$M143*$M$37,$O143*$O$37)/1000</f>
        <v>2699.61800543954</v>
      </c>
      <c r="AI143" s="158" t="n">
        <f aca="false">IF($B143=" ",0,1)*IF($B143&gt;=AI$33,AI$25*($D143-$D142),0)</f>
        <v>485.186570908332</v>
      </c>
      <c r="AJ143" s="158" t="n">
        <f aca="false">IF($B143=" ",0,IF($B143&gt;=AJ$33,AJ$25*(1+AJ$30)^(IF(AJ$28&gt;$B143,-1,1)*(YEARFRAC($B143,AJ$28)))*($D143-$D142),0))</f>
        <v>514.360747853397</v>
      </c>
      <c r="AK143" s="159" t="n">
        <f aca="false">IF($B143=" ",0,AK$25*(1+AK$30)^(IF(AK$28&gt;$B143,-1,1)*(YEARFRAC($B143,AK$28))))</f>
        <v>0.0293964235287057</v>
      </c>
      <c r="AL143" s="159" t="n">
        <f aca="false">IF($B143=" ",0,AL$25*AL$28)</f>
        <v>0.0575</v>
      </c>
      <c r="AM143" s="162" t="n">
        <f aca="false">+AI143+AJ143+SUM(AK143:AL143)*SUM($J143*$J$37,$K143*$K$37,$L143*$L$37,$M143*$M$37,$N143*$N$37,$O143*$O$37)/1000</f>
        <v>1430.65721586021</v>
      </c>
      <c r="AO143" s="163" t="n">
        <f aca="false">IF($B143=" ",0,$AO$25)</f>
        <v>0.25</v>
      </c>
      <c r="AP143" s="159" t="n">
        <f aca="false">IF($B143=" ",0,AP$25*AP$28)</f>
        <v>0.03105</v>
      </c>
      <c r="AQ143" s="162" t="n">
        <f aca="false">SUM(AO143:AP143)*SUM(0)/1000</f>
        <v>0</v>
      </c>
      <c r="AS143" s="155" t="n">
        <f aca="false">IF($B143=" ",0,AS$25)</f>
        <v>1</v>
      </c>
      <c r="AT143" s="156" t="n">
        <f aca="false">IF($B143=" ",0,AT$25)</f>
        <v>1</v>
      </c>
      <c r="AU143" s="156" t="n">
        <f aca="false">IF($B143=" ",0,AU$25)</f>
        <v>2.3</v>
      </c>
      <c r="AV143" s="157" t="n">
        <f aca="false">+AS143*SUM(J143:K143)/1000</f>
        <v>0</v>
      </c>
      <c r="AW143" s="157" t="n">
        <f aca="false">+AT143*SUM(L143:M143)/1000</f>
        <v>0</v>
      </c>
      <c r="AX143" s="157" t="n">
        <f aca="false">+AU143*SUM(N143:O143)/1000</f>
        <v>11537.9859375</v>
      </c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</row>
    <row r="144" customFormat="false" ht="12.75" hidden="true" customHeight="false" outlineLevel="1" collapsed="false">
      <c r="A144" s="164" t="n">
        <f aca="false">+IF(B144=" ",A143,B144)</f>
        <v>39661</v>
      </c>
      <c r="B144" s="148" t="n">
        <f aca="false">IF(B143=" "," ",IF(EDATE(B143,1)&gt;=EndDate," ",EDATE(B143,1)))</f>
        <v>39661</v>
      </c>
      <c r="C144" s="149" t="n">
        <f aca="false">IF($B144&lt;&gt;" ",C143+1,C143)</f>
        <v>94</v>
      </c>
      <c r="D144" s="150" t="n">
        <f aca="false">C144/12</f>
        <v>7.83333333333333</v>
      </c>
      <c r="F144" s="157" t="n">
        <f aca="false">+SUM($T144:$U144)</f>
        <v>14883.5779284771</v>
      </c>
      <c r="G144" s="152" t="n">
        <f aca="false">-SUM($AA144,$AG144,$AM144,$AQ144,$AV144:$AX144)</f>
        <v>-16561.4722862222</v>
      </c>
      <c r="H144" s="152" t="n">
        <f aca="false">+SUM(F144:G144)</f>
        <v>-1677.89435774508</v>
      </c>
      <c r="I144" s="124"/>
      <c r="J144" s="153" t="n">
        <f aca="false">+IF($B144=" ",0,IF(AND($B144&gt;=J$26,$B144&lt;J$28),J$33,0))</f>
        <v>0</v>
      </c>
      <c r="K144" s="153" t="n">
        <f aca="false">+IF($B144=" ",0,IF(AND($B144&gt;=K$26,$B144&lt;K$28),K$33,0))</f>
        <v>0</v>
      </c>
      <c r="L144" s="153" t="n">
        <f aca="false">+IF($B144=" ",0,IF(AND($B144&gt;=L$26,$B144&lt;L$28),L$33,0))</f>
        <v>0</v>
      </c>
      <c r="M144" s="153" t="n">
        <f aca="false">+IF($B144=" ",0,IF(AND($B144&gt;=M$26,$B144&lt;M$28),M$33,0))</f>
        <v>0</v>
      </c>
      <c r="N144" s="153" t="n">
        <f aca="false">+IF($B144=" ",0,IF(AND($B144&gt;=N$26,$B144&lt;N$28),N$33,0))</f>
        <v>0</v>
      </c>
      <c r="O144" s="154" t="n">
        <f aca="false">+IF($B144=" ",0,IF(AND($B144&gt;=O$26,$B144&lt;O$28),O$33,0))</f>
        <v>5016515.625</v>
      </c>
      <c r="Q144" s="83" t="n">
        <f aca="false">IF($B144=" ",0,IF($B144&lt;=DATE(2003,12,31),3.55,2.9))</f>
        <v>2.9</v>
      </c>
      <c r="R144" s="155" t="n">
        <f aca="false">IF($B144=" ",0,R$25)</f>
        <v>-0.07</v>
      </c>
      <c r="S144" s="156" t="n">
        <f aca="false">IF($B144=" ",0,S$25)</f>
        <v>0.1</v>
      </c>
      <c r="T144" s="157" t="n">
        <f aca="false">+SUM($Q144,$S144)/1000*(SUM($J144*$J$37,$K144*$K$37,$L144*$L$37,$M144*$M$37,$N144*$N$37,$O144*$O$37))</f>
        <v>14883.5779284771</v>
      </c>
      <c r="U144" s="157" t="n">
        <f aca="false">+SUM($Q144,$R144)/1000*(SUM(0))</f>
        <v>0</v>
      </c>
      <c r="W144" s="158" t="n">
        <f aca="false">IF($B144=" ",0,1)*(IF($B144&gt;=W$25,1,0)*IF($B144&lt;=W$29,W$27,IF($B144&lt;=W$33,W$31,0))*($D144-$D143)*365/1000)</f>
        <v>486.666666666665</v>
      </c>
      <c r="X144" s="158" t="n">
        <f aca="false">IF($B144=" ",0,IF($B144&gt;=X$25,IF($B144&lt;=X$29,X$27,IF($B144&lt;=X$33,X$31,X$31*(1+X$38)^(IF(X$36&gt;$B144,-1,1)*(YEARFRAC($B144,X$36)))))*($D144-$D143)*365/1000,0))</f>
        <v>404.333469009856</v>
      </c>
      <c r="Y144" s="159" t="n">
        <f aca="false">IF($B144=" ",0,Y$25*(1+Y$30)^(IF(Y$28&gt;$B144,-1,1)*(YEARFRAC($B144,Y$28))))</f>
        <v>0.508236006472652</v>
      </c>
      <c r="Z144" s="159" t="n">
        <f aca="false">IF($B144=" ",0,Z$25*(1+Z$30)^(IF(Z$28&gt;$B144,-1,1)*(YEARFRAC($B144,Z$28))))</f>
        <v>0.485176801410942</v>
      </c>
      <c r="AA144" s="162" t="n">
        <f aca="false">+W144+X144+Z144*SUM($J144*$J$37,$L144*$L$37,$N144*$N$37)/1000</f>
        <v>891.000135676521</v>
      </c>
      <c r="AB144" s="161"/>
      <c r="AC144" s="158" t="n">
        <f aca="false">IF($B144=" ",0,1)*(IF($B144&gt;=AC$25,1,0)*IF($B144&lt;=AC$29,AC$27,IF($B144&lt;=AC$33,AC$31,0))*($D144-$D143)*365/1000)</f>
        <v>1591.66666666666</v>
      </c>
      <c r="AD144" s="158" t="n">
        <f aca="false">IF($B144=" ",0,IF($B144&gt;=AD$25,IF($B144&lt;=AD$29,AD$27,IF($B144&lt;=AD$33,AD$31,AD$31*(1+AD$38)^(IF(AD$36&gt;$B144,-1,1)*(YEARFRAC($B144,AD$36)))))*($D144-$D143)*365/1000,0))</f>
        <v>359.945195827299</v>
      </c>
      <c r="AE144" s="159" t="n">
        <f aca="false">IF($B144=" ",0,AE$25*(1+AE$30)^(IF(AE$28&gt;$B144,-1,1)*(YEARFRAC($B144,AE$28))))</f>
        <v>0.421070844238395</v>
      </c>
      <c r="AF144" s="159" t="n">
        <f aca="false">IF($B144=" ",0,AF$25*(1+AF$30)^(IF(AF$28&gt;$B144,-1,1)*(YEARFRAC($B144,AF$28))))</f>
        <v>0.151079263998057</v>
      </c>
      <c r="AG144" s="162" t="n">
        <f aca="false">+AC144+AD144+AF144*SUM($K144*$K$37,$M144*$M$37,$O144*$O$37)/1000</f>
        <v>2701.14519552465</v>
      </c>
      <c r="AI144" s="158" t="n">
        <f aca="false">IF($B144=" ",0,1)*IF($B144&gt;=AI$33,AI$25*($D144-$D143),0)</f>
        <v>485.186570908332</v>
      </c>
      <c r="AJ144" s="158" t="n">
        <f aca="false">IF($B144=" ",0,IF($B144&gt;=AJ$33,AJ$25*(1+AJ$30)^(IF(AJ$28&gt;$B144,-1,1)*(YEARFRAC($B144,AJ$28)))*($D144-$D143),0))</f>
        <v>514.893494948104</v>
      </c>
      <c r="AK144" s="159" t="n">
        <f aca="false">IF($B144=" ",0,AK$25*(1+AK$30)^(IF(AK$28&gt;$B144,-1,1)*(YEARFRAC($B144,AK$28))))</f>
        <v>0.029426870757222</v>
      </c>
      <c r="AL144" s="159" t="n">
        <f aca="false">IF($B144=" ",0,AL$25*AL$28)</f>
        <v>0.0575</v>
      </c>
      <c r="AM144" s="162" t="n">
        <f aca="false">+AI144+AJ144+SUM(AK144:AL144)*SUM($J144*$J$37,$K144*$K$37,$L144*$L$37,$M144*$M$37,$N144*$N$37,$O144*$O$37)/1000</f>
        <v>1431.34101752103</v>
      </c>
      <c r="AO144" s="163" t="n">
        <f aca="false">IF($B144=" ",0,$AO$25)</f>
        <v>0.25</v>
      </c>
      <c r="AP144" s="159" t="n">
        <f aca="false">IF($B144=" ",0,AP$25*AP$28)</f>
        <v>0.03105</v>
      </c>
      <c r="AQ144" s="162" t="n">
        <f aca="false">SUM(AO144:AP144)*SUM(0)/1000</f>
        <v>0</v>
      </c>
      <c r="AS144" s="155" t="n">
        <f aca="false">IF($B144=" ",0,AS$25)</f>
        <v>1</v>
      </c>
      <c r="AT144" s="156" t="n">
        <f aca="false">IF($B144=" ",0,AT$25)</f>
        <v>1</v>
      </c>
      <c r="AU144" s="156" t="n">
        <f aca="false">IF($B144=" ",0,AU$25)</f>
        <v>2.3</v>
      </c>
      <c r="AV144" s="157" t="n">
        <f aca="false">+AS144*SUM(J144:K144)/1000</f>
        <v>0</v>
      </c>
      <c r="AW144" s="157" t="n">
        <f aca="false">+AT144*SUM(L144:M144)/1000</f>
        <v>0</v>
      </c>
      <c r="AX144" s="157" t="n">
        <f aca="false">+AU144*SUM(N144:O144)/1000</f>
        <v>11537.9859375</v>
      </c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</row>
    <row r="145" customFormat="false" ht="12.75" hidden="true" customHeight="false" outlineLevel="1" collapsed="false">
      <c r="A145" s="164" t="n">
        <f aca="false">+IF(B145=" ",A144,B145)</f>
        <v>39692</v>
      </c>
      <c r="B145" s="148" t="n">
        <f aca="false">IF(B144=" "," ",IF(EDATE(B144,1)&gt;=EndDate," ",EDATE(B144,1)))</f>
        <v>39692</v>
      </c>
      <c r="C145" s="149" t="n">
        <f aca="false">IF($B145&lt;&gt;" ",C144+1,C144)</f>
        <v>95</v>
      </c>
      <c r="D145" s="150" t="n">
        <f aca="false">C145/12</f>
        <v>7.91666666666667</v>
      </c>
      <c r="F145" s="157" t="n">
        <f aca="false">+SUM($T145:$U145)</f>
        <v>14883.5779284771</v>
      </c>
      <c r="G145" s="152" t="n">
        <f aca="false">-SUM($AA145,$AG145,$AM145,$AQ145,$AV145:$AX145)</f>
        <v>-16564.2434208676</v>
      </c>
      <c r="H145" s="152" t="n">
        <f aca="false">+SUM(F145:G145)</f>
        <v>-1680.66549239047</v>
      </c>
      <c r="I145" s="124"/>
      <c r="J145" s="153" t="n">
        <f aca="false">+IF($B145=" ",0,IF(AND($B145&gt;=J$26,$B145&lt;J$28),J$33,0))</f>
        <v>0</v>
      </c>
      <c r="K145" s="153" t="n">
        <f aca="false">+IF($B145=" ",0,IF(AND($B145&gt;=K$26,$B145&lt;K$28),K$33,0))</f>
        <v>0</v>
      </c>
      <c r="L145" s="153" t="n">
        <f aca="false">+IF($B145=" ",0,IF(AND($B145&gt;=L$26,$B145&lt;L$28),L$33,0))</f>
        <v>0</v>
      </c>
      <c r="M145" s="153" t="n">
        <f aca="false">+IF($B145=" ",0,IF(AND($B145&gt;=M$26,$B145&lt;M$28),M$33,0))</f>
        <v>0</v>
      </c>
      <c r="N145" s="153" t="n">
        <f aca="false">+IF($B145=" ",0,IF(AND($B145&gt;=N$26,$B145&lt;N$28),N$33,0))</f>
        <v>0</v>
      </c>
      <c r="O145" s="154" t="n">
        <f aca="false">+IF($B145=" ",0,IF(AND($B145&gt;=O$26,$B145&lt;O$28),O$33,0))</f>
        <v>5016515.625</v>
      </c>
      <c r="Q145" s="83" t="n">
        <f aca="false">IF($B145=" ",0,IF($B145&lt;=DATE(2003,12,31),3.55,2.9))</f>
        <v>2.9</v>
      </c>
      <c r="R145" s="155" t="n">
        <f aca="false">IF($B145=" ",0,R$25)</f>
        <v>-0.07</v>
      </c>
      <c r="S145" s="156" t="n">
        <f aca="false">IF($B145=" ",0,S$25)</f>
        <v>0.1</v>
      </c>
      <c r="T145" s="157" t="n">
        <f aca="false">+SUM($Q145,$S145)/1000*(SUM($J145*$J$37,$K145*$K$37,$L145*$L$37,$M145*$M$37,$N145*$N$37,$O145*$O$37))</f>
        <v>14883.5779284771</v>
      </c>
      <c r="U145" s="157" t="n">
        <f aca="false">+SUM($Q145,$R145)/1000*(SUM(0))</f>
        <v>0</v>
      </c>
      <c r="W145" s="158" t="n">
        <f aca="false">IF($B145=" ",0,1)*(IF($B145&gt;=W$25,1,0)*IF($B145&lt;=W$29,W$27,IF($B145&lt;=W$33,W$31,0))*($D145-$D144)*365/1000)</f>
        <v>486.66666666667</v>
      </c>
      <c r="X145" s="158" t="n">
        <f aca="false">IF($B145=" ",0,IF($B145&gt;=X$25,IF($B145&lt;=X$29,X$27,IF($B145&lt;=X$33,X$31,X$31*(1+X$38)^(IF(X$36&gt;$B145,-1,1)*(YEARFRAC($B145,X$36)))))*($D145-$D144)*365/1000,0))</f>
        <v>404.890798599472</v>
      </c>
      <c r="Y145" s="159" t="n">
        <f aca="false">IF($B145=" ",0,Y$25*(1+Y$30)^(IF(Y$28&gt;$B145,-1,1)*(YEARFRAC($B145,Y$28))))</f>
        <v>0.508936554378336</v>
      </c>
      <c r="Z145" s="159" t="n">
        <f aca="false">IF($B145=" ",0,Z$25*(1+Z$30)^(IF(Z$28&gt;$B145,-1,1)*(YEARFRAC($B145,Z$28))))</f>
        <v>0.485845564717333</v>
      </c>
      <c r="AA145" s="162" t="n">
        <f aca="false">+W145+X145+Z145*SUM($J145*$J$37,$L145*$L$37,$N145*$N$37)/1000</f>
        <v>891.557465266142</v>
      </c>
      <c r="AB145" s="161"/>
      <c r="AC145" s="158" t="n">
        <f aca="false">IF($B145=" ",0,1)*(IF($B145&gt;=AC$25,1,0)*IF($B145&lt;=AC$29,AC$27,IF($B145&lt;=AC$33,AC$31,0))*($D145-$D144)*365/1000)</f>
        <v>1591.66666666668</v>
      </c>
      <c r="AD145" s="158" t="n">
        <f aca="false">IF($B145=" ",0,IF($B145&gt;=AD$25,IF($B145&lt;=AD$29,AD$27,IF($B145&lt;=AD$33,AD$31,AD$31*(1+AD$38)^(IF(AD$36&gt;$B145,-1,1)*(YEARFRAC($B145,AD$36)))))*($D145-$D144)*365/1000,0))</f>
        <v>360.441341023406</v>
      </c>
      <c r="AE145" s="159" t="n">
        <f aca="false">IF($B145=" ",0,AE$25*(1+AE$30)^(IF(AE$28&gt;$B145,-1,1)*(YEARFRAC($B145,AE$28))))</f>
        <v>0.421651244474347</v>
      </c>
      <c r="AF145" s="159" t="n">
        <f aca="false">IF($B145=" ",0,AF$25*(1+AF$30)^(IF(AF$28&gt;$B145,-1,1)*(YEARFRAC($B145,AF$28))))</f>
        <v>0.151287510286471</v>
      </c>
      <c r="AG145" s="162" t="n">
        <f aca="false">+AC145+AD145+AF145*SUM($K145*$K$37,$M145*$M$37,$O145*$O$37)/1000</f>
        <v>2702.67449067474</v>
      </c>
      <c r="AI145" s="158" t="n">
        <f aca="false">IF($B145=" ",0,1)*IF($B145&gt;=AI$33,AI$25*($D145-$D144),0)</f>
        <v>485.186570908337</v>
      </c>
      <c r="AJ145" s="158" t="n">
        <f aca="false">IF($B145=" ",0,IF($B145&gt;=AJ$33,AJ$25*(1+AJ$30)^(IF(AJ$28&gt;$B145,-1,1)*(YEARFRAC($B145,AJ$28)))*($D145-$D144),0))</f>
        <v>515.426793833496</v>
      </c>
      <c r="AK145" s="159" t="n">
        <f aca="false">IF($B145=" ",0,AK$25*(1+AK$30)^(IF(AK$28&gt;$B145,-1,1)*(YEARFRAC($B145,AK$28))))</f>
        <v>0.0294573495213338</v>
      </c>
      <c r="AL145" s="159" t="n">
        <f aca="false">IF($B145=" ",0,AL$25*AL$28)</f>
        <v>0.0575</v>
      </c>
      <c r="AM145" s="162" t="n">
        <f aca="false">+AI145+AJ145+SUM(AK145:AL145)*SUM($J145*$J$37,$K145*$K$37,$L145*$L$37,$M145*$M$37,$N145*$N$37,$O145*$O$37)/1000</f>
        <v>1432.0255274267</v>
      </c>
      <c r="AO145" s="163" t="n">
        <f aca="false">IF($B145=" ",0,$AO$25)</f>
        <v>0.25</v>
      </c>
      <c r="AP145" s="159" t="n">
        <f aca="false">IF($B145=" ",0,AP$25*AP$28)</f>
        <v>0.03105</v>
      </c>
      <c r="AQ145" s="162" t="n">
        <f aca="false">SUM(AO145:AP145)*SUM(0)/1000</f>
        <v>0</v>
      </c>
      <c r="AS145" s="155" t="n">
        <f aca="false">IF($B145=" ",0,AS$25)</f>
        <v>1</v>
      </c>
      <c r="AT145" s="156" t="n">
        <f aca="false">IF($B145=" ",0,AT$25)</f>
        <v>1</v>
      </c>
      <c r="AU145" s="156" t="n">
        <f aca="false">IF($B145=" ",0,AU$25)</f>
        <v>2.3</v>
      </c>
      <c r="AV145" s="157" t="n">
        <f aca="false">+AS145*SUM(J145:K145)/1000</f>
        <v>0</v>
      </c>
      <c r="AW145" s="157" t="n">
        <f aca="false">+AT145*SUM(L145:M145)/1000</f>
        <v>0</v>
      </c>
      <c r="AX145" s="157" t="n">
        <f aca="false">+AU145*SUM(N145:O145)/1000</f>
        <v>11537.9859375</v>
      </c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</row>
    <row r="146" customFormat="false" ht="12.75" hidden="true" customHeight="false" outlineLevel="1" collapsed="false">
      <c r="A146" s="164" t="n">
        <f aca="false">+IF(B146=" ",A145,B146)</f>
        <v>39722</v>
      </c>
      <c r="B146" s="148" t="n">
        <f aca="false">IF(B145=" "," ",IF(EDATE(B145,1)&gt;=EndDate," ",EDATE(B145,1)))</f>
        <v>39722</v>
      </c>
      <c r="C146" s="149" t="n">
        <f aca="false">IF($B146&lt;&gt;" ",C145+1,C145)</f>
        <v>96</v>
      </c>
      <c r="D146" s="150" t="n">
        <f aca="false">C146/12</f>
        <v>8</v>
      </c>
      <c r="F146" s="157" t="n">
        <f aca="false">+SUM($T146:$U146)</f>
        <v>14883.5779284771</v>
      </c>
      <c r="G146" s="152" t="n">
        <f aca="false">-SUM($AA146,$AG146,$AM146,$AQ146,$AV146:$AX146)</f>
        <v>-16567.0181406759</v>
      </c>
      <c r="H146" s="152" t="n">
        <f aca="false">+SUM(F146:G146)</f>
        <v>-1683.44021219882</v>
      </c>
      <c r="I146" s="124"/>
      <c r="J146" s="153" t="n">
        <f aca="false">+IF($B146=" ",0,IF(AND($B146&gt;=J$26,$B146&lt;J$28),J$33,0))</f>
        <v>0</v>
      </c>
      <c r="K146" s="153" t="n">
        <f aca="false">+IF($B146=" ",0,IF(AND($B146&gt;=K$26,$B146&lt;K$28),K$33,0))</f>
        <v>0</v>
      </c>
      <c r="L146" s="153" t="n">
        <f aca="false">+IF($B146=" ",0,IF(AND($B146&gt;=L$26,$B146&lt;L$28),L$33,0))</f>
        <v>0</v>
      </c>
      <c r="M146" s="153" t="n">
        <f aca="false">+IF($B146=" ",0,IF(AND($B146&gt;=M$26,$B146&lt;M$28),M$33,0))</f>
        <v>0</v>
      </c>
      <c r="N146" s="153" t="n">
        <f aca="false">+IF($B146=" ",0,IF(AND($B146&gt;=N$26,$B146&lt;N$28),N$33,0))</f>
        <v>0</v>
      </c>
      <c r="O146" s="154" t="n">
        <f aca="false">+IF($B146=" ",0,IF(AND($B146&gt;=O$26,$B146&lt;O$28),O$33,0))</f>
        <v>5016515.625</v>
      </c>
      <c r="Q146" s="83" t="n">
        <f aca="false">IF($B146=" ",0,IF($B146&lt;=DATE(2003,12,31),3.55,2.9))</f>
        <v>2.9</v>
      </c>
      <c r="R146" s="155" t="n">
        <f aca="false">IF($B146=" ",0,R$25)</f>
        <v>-0.07</v>
      </c>
      <c r="S146" s="156" t="n">
        <f aca="false">IF($B146=" ",0,S$25)</f>
        <v>0.1</v>
      </c>
      <c r="T146" s="157" t="n">
        <f aca="false">+SUM($Q146,$S146)/1000*(SUM($J146*$J$37,$K146*$K$37,$L146*$L$37,$M146*$M$37,$N146*$N$37,$O146*$O$37))</f>
        <v>14883.5779284771</v>
      </c>
      <c r="U146" s="157" t="n">
        <f aca="false">+SUM($Q146,$R146)/1000*(SUM(0))</f>
        <v>0</v>
      </c>
      <c r="W146" s="158" t="n">
        <f aca="false">IF($B146=" ",0,1)*(IF($B146&gt;=W$25,1,0)*IF($B146&lt;=W$29,W$27,IF($B146&lt;=W$33,W$31,0))*($D146-$D145)*365/1000)</f>
        <v>486.666666666665</v>
      </c>
      <c r="X146" s="158" t="n">
        <f aca="false">IF($B146=" ",0,IF($B146&gt;=X$25,IF($B146&lt;=X$29,X$27,IF($B146&lt;=X$33,X$31,X$31*(1+X$38)^(IF(X$36&gt;$B146,-1,1)*(YEARFRAC($B146,X$36)))))*($D146-$D145)*365/1000,0))</f>
        <v>405.448896407135</v>
      </c>
      <c r="Y146" s="159" t="n">
        <f aca="false">IF($B146=" ",0,Y$25*(1+Y$30)^(IF(Y$28&gt;$B146,-1,1)*(YEARFRAC($B146,Y$28))))</f>
        <v>0.509638067912905</v>
      </c>
      <c r="Z146" s="159" t="n">
        <f aca="false">IF($B146=" ",0,Z$25*(1+Z$30)^(IF(Z$28&gt;$B146,-1,1)*(YEARFRAC($B146,Z$28))))</f>
        <v>0.486515249841004</v>
      </c>
      <c r="AA146" s="162" t="n">
        <f aca="false">+W146+X146+Z146*SUM($J146*$J$37,$L146*$L$37,$N146*$N$37)/1000</f>
        <v>892.115563073799</v>
      </c>
      <c r="AB146" s="161"/>
      <c r="AC146" s="158" t="n">
        <f aca="false">IF($B146=" ",0,1)*(IF($B146&gt;=AC$25,1,0)*IF($B146&lt;=AC$29,AC$27,IF($B146&lt;=AC$33,AC$31,0))*($D146-$D145)*365/1000)</f>
        <v>1591.66666666666</v>
      </c>
      <c r="AD146" s="158" t="n">
        <f aca="false">IF($B146=" ",0,IF($B146&gt;=AD$25,IF($B146&lt;=AD$29,AD$27,IF($B146&lt;=AD$33,AD$31,AD$31*(1+AD$38)^(IF(AD$36&gt;$B146,-1,1)*(YEARFRAC($B146,AD$36)))))*($D146-$D145)*365/1000,0))</f>
        <v>360.938170101548</v>
      </c>
      <c r="AE146" s="159" t="n">
        <f aca="false">IF($B146=" ",0,AE$25*(1+AE$30)^(IF(AE$28&gt;$B146,-1,1)*(YEARFRAC($B146,AE$28))))</f>
        <v>0.422232444728724</v>
      </c>
      <c r="AF146" s="159" t="n">
        <f aca="false">IF($B146=" ",0,AF$25*(1+AF$30)^(IF(AF$28&gt;$B146,-1,1)*(YEARFRAC($B146,AF$28))))</f>
        <v>0.151496043619682</v>
      </c>
      <c r="AG146" s="162" t="n">
        <f aca="false">+AC146+AD146+AF146*SUM($K146*$K$37,$M146*$M$37,$O146*$O$37)/1000</f>
        <v>2704.20589379138</v>
      </c>
      <c r="AI146" s="158" t="n">
        <f aca="false">IF($B146=" ",0,1)*IF($B146&gt;=AI$33,AI$25*($D146-$D145),0)</f>
        <v>485.186570908332</v>
      </c>
      <c r="AJ146" s="158" t="n">
        <f aca="false">IF($B146=" ",0,IF($B146&gt;=AJ$33,AJ$25*(1+AJ$30)^(IF(AJ$28&gt;$B146,-1,1)*(YEARFRAC($B146,AJ$28)))*($D146-$D145),0))</f>
        <v>515.960645081072</v>
      </c>
      <c r="AK146" s="159" t="n">
        <f aca="false">IF($B146=" ",0,AK$25*(1+AK$30)^(IF(AK$28&gt;$B146,-1,1)*(YEARFRAC($B146,AK$28))))</f>
        <v>0.0294878598537041</v>
      </c>
      <c r="AL146" s="159" t="n">
        <f aca="false">IF($B146=" ",0,AL$25*AL$28)</f>
        <v>0.0575</v>
      </c>
      <c r="AM146" s="162" t="n">
        <f aca="false">+AI146+AJ146+SUM(AK146:AL146)*SUM($J146*$J$37,$K146*$K$37,$L146*$L$37,$M146*$M$37,$N146*$N$37,$O146*$O$37)/1000</f>
        <v>1432.71074631075</v>
      </c>
      <c r="AO146" s="163" t="n">
        <f aca="false">IF($B146=" ",0,$AO$25)</f>
        <v>0.25</v>
      </c>
      <c r="AP146" s="159" t="n">
        <f aca="false">IF($B146=" ",0,AP$25*AP$28)</f>
        <v>0.03105</v>
      </c>
      <c r="AQ146" s="162" t="n">
        <f aca="false">SUM(AO146:AP146)*SUM(0)/1000</f>
        <v>0</v>
      </c>
      <c r="AS146" s="155" t="n">
        <f aca="false">IF($B146=" ",0,AS$25)</f>
        <v>1</v>
      </c>
      <c r="AT146" s="156" t="n">
        <f aca="false">IF($B146=" ",0,AT$25)</f>
        <v>1</v>
      </c>
      <c r="AU146" s="156" t="n">
        <f aca="false">IF($B146=" ",0,AU$25)</f>
        <v>2.3</v>
      </c>
      <c r="AV146" s="157" t="n">
        <f aca="false">+AS146*SUM(J146:K146)/1000</f>
        <v>0</v>
      </c>
      <c r="AW146" s="157" t="n">
        <f aca="false">+AT146*SUM(L146:M146)/1000</f>
        <v>0</v>
      </c>
      <c r="AX146" s="157" t="n">
        <f aca="false">+AU146*SUM(N146:O146)/1000</f>
        <v>11537.9859375</v>
      </c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</row>
    <row r="147" customFormat="false" ht="12.75" hidden="true" customHeight="false" outlineLevel="1" collapsed="false">
      <c r="A147" s="164" t="n">
        <f aca="false">+IF(B147=" ",A146,B147)</f>
        <v>39753</v>
      </c>
      <c r="B147" s="148" t="n">
        <f aca="false">IF(B146=" "," ",IF(EDATE(B146,1)&gt;=EndDate," ",EDATE(B146,1)))</f>
        <v>39753</v>
      </c>
      <c r="C147" s="149" t="n">
        <f aca="false">IF($B147&lt;&gt;" ",C146+1,C146)</f>
        <v>97</v>
      </c>
      <c r="D147" s="150" t="n">
        <f aca="false">C147/12</f>
        <v>8.08333333333333</v>
      </c>
      <c r="F147" s="157" t="n">
        <f aca="false">+SUM($T147:$U147)</f>
        <v>14883.5779284771</v>
      </c>
      <c r="G147" s="152" t="n">
        <f aca="false">-SUM($AA147,$AG147,$AM147,$AQ147,$AV147:$AX147)</f>
        <v>-16569.7964503462</v>
      </c>
      <c r="H147" s="152" t="n">
        <f aca="false">+SUM(F147:G147)</f>
        <v>-1686.21852186912</v>
      </c>
      <c r="I147" s="124"/>
      <c r="J147" s="153" t="n">
        <f aca="false">+IF($B147=" ",0,IF(AND($B147&gt;=J$26,$B147&lt;J$28),J$33,0))</f>
        <v>0</v>
      </c>
      <c r="K147" s="153" t="n">
        <f aca="false">+IF($B147=" ",0,IF(AND($B147&gt;=K$26,$B147&lt;K$28),K$33,0))</f>
        <v>0</v>
      </c>
      <c r="L147" s="153" t="n">
        <f aca="false">+IF($B147=" ",0,IF(AND($B147&gt;=L$26,$B147&lt;L$28),L$33,0))</f>
        <v>0</v>
      </c>
      <c r="M147" s="153" t="n">
        <f aca="false">+IF($B147=" ",0,IF(AND($B147&gt;=M$26,$B147&lt;M$28),M$33,0))</f>
        <v>0</v>
      </c>
      <c r="N147" s="153" t="n">
        <f aca="false">+IF($B147=" ",0,IF(AND($B147&gt;=N$26,$B147&lt;N$28),N$33,0))</f>
        <v>0</v>
      </c>
      <c r="O147" s="154" t="n">
        <f aca="false">+IF($B147=" ",0,IF(AND($B147&gt;=O$26,$B147&lt;O$28),O$33,0))</f>
        <v>5016515.625</v>
      </c>
      <c r="Q147" s="83" t="n">
        <f aca="false">IF($B147=" ",0,IF($B147&lt;=DATE(2003,12,31),3.55,2.9))</f>
        <v>2.9</v>
      </c>
      <c r="R147" s="155" t="n">
        <f aca="false">IF($B147=" ",0,R$25)</f>
        <v>-0.07</v>
      </c>
      <c r="S147" s="156" t="n">
        <f aca="false">IF($B147=" ",0,S$25)</f>
        <v>0.1</v>
      </c>
      <c r="T147" s="157" t="n">
        <f aca="false">+SUM($Q147,$S147)/1000*(SUM($J147*$J$37,$K147*$K$37,$L147*$L$37,$M147*$M$37,$N147*$N$37,$O147*$O$37))</f>
        <v>14883.5779284771</v>
      </c>
      <c r="U147" s="157" t="n">
        <f aca="false">+SUM($Q147,$R147)/1000*(SUM(0))</f>
        <v>0</v>
      </c>
      <c r="W147" s="158" t="n">
        <f aca="false">IF($B147=" ",0,1)*(IF($B147&gt;=W$25,1,0)*IF($B147&lt;=W$29,W$27,IF($B147&lt;=W$33,W$31,0))*($D147-$D146)*365/1000)</f>
        <v>486.66666666667</v>
      </c>
      <c r="X147" s="158" t="n">
        <f aca="false">IF($B147=" ",0,IF($B147&gt;=X$25,IF($B147&lt;=X$29,X$27,IF($B147&lt;=X$33,X$31,X$31*(1+X$38)^(IF(X$36&gt;$B147,-1,1)*(YEARFRAC($B147,X$36)))))*($D147-$D146)*365/1000,0))</f>
        <v>406.007763491766</v>
      </c>
      <c r="Y147" s="159" t="n">
        <f aca="false">IF($B147=" ",0,Y$25*(1+Y$30)^(IF(Y$28&gt;$B147,-1,1)*(YEARFRAC($B147,Y$28))))</f>
        <v>0.510340548407374</v>
      </c>
      <c r="Z147" s="159" t="n">
        <f aca="false">IF($B147=" ",0,Z$25*(1+Z$30)^(IF(Z$28&gt;$B147,-1,1)*(YEARFRAC($B147,Z$28))))</f>
        <v>0.487185858052581</v>
      </c>
      <c r="AA147" s="162" t="n">
        <f aca="false">+W147+X147+Z147*SUM($J147*$J$37,$L147*$L$37,$N147*$N$37)/1000</f>
        <v>892.674430158437</v>
      </c>
      <c r="AB147" s="161"/>
      <c r="AC147" s="158" t="n">
        <f aca="false">IF($B147=" ",0,1)*(IF($B147&gt;=AC$25,1,0)*IF($B147&lt;=AC$29,AC$27,IF($B147&lt;=AC$33,AC$31,0))*($D147-$D146)*365/1000)</f>
        <v>1591.66666666668</v>
      </c>
      <c r="AD147" s="158" t="n">
        <f aca="false">IF($B147=" ",0,IF($B147&gt;=AD$25,IF($B147&lt;=AD$29,AD$27,IF($B147&lt;=AD$33,AD$31,AD$31*(1+AD$38)^(IF(AD$36&gt;$B147,-1,1)*(YEARFRAC($B147,AD$36)))))*($D147-$D146)*365/1000,0))</f>
        <v>361.435684004396</v>
      </c>
      <c r="AE147" s="159" t="n">
        <f aca="false">IF($B147=" ",0,AE$25*(1+AE$30)^(IF(AE$28&gt;$B147,-1,1)*(YEARFRAC($B147,AE$28))))</f>
        <v>0.422814446104266</v>
      </c>
      <c r="AF147" s="159" t="n">
        <f aca="false">IF($B147=" ",0,AF$25*(1+AF$30)^(IF(AF$28&gt;$B147,-1,1)*(YEARFRAC($B147,AF$28))))</f>
        <v>0.151704864393349</v>
      </c>
      <c r="AG147" s="162" t="n">
        <f aca="false">+AC147+AD147+AF147*SUM($K147*$K$37,$M147*$M$37,$O147*$O$37)/1000</f>
        <v>2705.73940778023</v>
      </c>
      <c r="AI147" s="158" t="n">
        <f aca="false">IF($B147=" ",0,1)*IF($B147&gt;=AI$33,AI$25*($D147-$D146),0)</f>
        <v>485.186570908337</v>
      </c>
      <c r="AJ147" s="158" t="n">
        <f aca="false">IF($B147=" ",0,IF($B147&gt;=AJ$33,AJ$25*(1+AJ$30)^(IF(AJ$28&gt;$B147,-1,1)*(YEARFRAC($B147,AJ$28)))*($D147-$D146),0))</f>
        <v>516.495049262962</v>
      </c>
      <c r="AK147" s="159" t="n">
        <f aca="false">IF($B147=" ",0,AK$25*(1+AK$30)^(IF(AK$28&gt;$B147,-1,1)*(YEARFRAC($B147,AK$28))))</f>
        <v>0.0295184017870296</v>
      </c>
      <c r="AL147" s="159" t="n">
        <f aca="false">IF($B147=" ",0,AL$25*AL$28)</f>
        <v>0.0575</v>
      </c>
      <c r="AM147" s="162" t="n">
        <f aca="false">+AI147+AJ147+SUM(AK147:AL147)*SUM($J147*$J$37,$K147*$K$37,$L147*$L$37,$M147*$M$37,$N147*$N$37,$O147*$O$37)/1000</f>
        <v>1433.39667490756</v>
      </c>
      <c r="AO147" s="163" t="n">
        <f aca="false">IF($B147=" ",0,$AO$25)</f>
        <v>0.25</v>
      </c>
      <c r="AP147" s="159" t="n">
        <f aca="false">IF($B147=" ",0,AP$25*AP$28)</f>
        <v>0.03105</v>
      </c>
      <c r="AQ147" s="162" t="n">
        <f aca="false">SUM(AO147:AP147)*SUM(0)/1000</f>
        <v>0</v>
      </c>
      <c r="AS147" s="155" t="n">
        <f aca="false">IF($B147=" ",0,AS$25)</f>
        <v>1</v>
      </c>
      <c r="AT147" s="156" t="n">
        <f aca="false">IF($B147=" ",0,AT$25)</f>
        <v>1</v>
      </c>
      <c r="AU147" s="156" t="n">
        <f aca="false">IF($B147=" ",0,AU$25)</f>
        <v>2.3</v>
      </c>
      <c r="AV147" s="157" t="n">
        <f aca="false">+AS147*SUM(J147:K147)/1000</f>
        <v>0</v>
      </c>
      <c r="AW147" s="157" t="n">
        <f aca="false">+AT147*SUM(L147:M147)/1000</f>
        <v>0</v>
      </c>
      <c r="AX147" s="157" t="n">
        <f aca="false">+AU147*SUM(N147:O147)/1000</f>
        <v>11537.9859375</v>
      </c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</row>
    <row r="148" customFormat="false" ht="12.75" hidden="true" customHeight="false" outlineLevel="1" collapsed="false">
      <c r="A148" s="164" t="n">
        <f aca="false">+IF(B148=" ",A147,B148)</f>
        <v>39783</v>
      </c>
      <c r="B148" s="148" t="n">
        <f aca="false">IF(B147=" "," ",IF(EDATE(B147,1)&gt;=EndDate," ",EDATE(B147,1)))</f>
        <v>39783</v>
      </c>
      <c r="C148" s="149" t="n">
        <f aca="false">IF($B148&lt;&gt;" ",C147+1,C147)</f>
        <v>98</v>
      </c>
      <c r="D148" s="150" t="n">
        <f aca="false">C148/12</f>
        <v>8.16666666666667</v>
      </c>
      <c r="F148" s="157" t="n">
        <f aca="false">+SUM($T148:$U148)</f>
        <v>14883.5779284771</v>
      </c>
      <c r="G148" s="152" t="n">
        <f aca="false">-SUM($AA148,$AG148,$AM148,$AQ148,$AV148:$AX148)</f>
        <v>-16572.5783545833</v>
      </c>
      <c r="H148" s="152" t="n">
        <f aca="false">+SUM(F148:G148)</f>
        <v>-1689.00042610621</v>
      </c>
      <c r="I148" s="124"/>
      <c r="J148" s="153" t="n">
        <f aca="false">+IF($B148=" ",0,IF(AND($B148&gt;=J$26,$B148&lt;J$28),J$33,0))</f>
        <v>0</v>
      </c>
      <c r="K148" s="153" t="n">
        <f aca="false">+IF($B148=" ",0,IF(AND($B148&gt;=K$26,$B148&lt;K$28),K$33,0))</f>
        <v>0</v>
      </c>
      <c r="L148" s="153" t="n">
        <f aca="false">+IF($B148=" ",0,IF(AND($B148&gt;=L$26,$B148&lt;L$28),L$33,0))</f>
        <v>0</v>
      </c>
      <c r="M148" s="153" t="n">
        <f aca="false">+IF($B148=" ",0,IF(AND($B148&gt;=M$26,$B148&lt;M$28),M$33,0))</f>
        <v>0</v>
      </c>
      <c r="N148" s="153" t="n">
        <f aca="false">+IF($B148=" ",0,IF(AND($B148&gt;=N$26,$B148&lt;N$28),N$33,0))</f>
        <v>0</v>
      </c>
      <c r="O148" s="154" t="n">
        <f aca="false">+IF($B148=" ",0,IF(AND($B148&gt;=O$26,$B148&lt;O$28),O$33,0))</f>
        <v>5016515.625</v>
      </c>
      <c r="Q148" s="83" t="n">
        <f aca="false">IF($B148=" ",0,IF($B148&lt;=DATE(2003,12,31),3.55,2.9))</f>
        <v>2.9</v>
      </c>
      <c r="R148" s="155" t="n">
        <f aca="false">IF($B148=" ",0,R$25)</f>
        <v>-0.07</v>
      </c>
      <c r="S148" s="156" t="n">
        <f aca="false">IF($B148=" ",0,S$25)</f>
        <v>0.1</v>
      </c>
      <c r="T148" s="157" t="n">
        <f aca="false">+SUM($Q148,$S148)/1000*(SUM($J148*$J$37,$K148*$K$37,$L148*$L$37,$M148*$M$37,$N148*$N$37,$O148*$O$37))</f>
        <v>14883.5779284771</v>
      </c>
      <c r="U148" s="157" t="n">
        <f aca="false">+SUM($Q148,$R148)/1000*(SUM(0))</f>
        <v>0</v>
      </c>
      <c r="W148" s="158" t="n">
        <f aca="false">IF($B148=" ",0,1)*(IF($B148&gt;=W$25,1,0)*IF($B148&lt;=W$29,W$27,IF($B148&lt;=W$33,W$31,0))*($D148-$D147)*365/1000)</f>
        <v>486.66666666666</v>
      </c>
      <c r="X148" s="158" t="n">
        <f aca="false">IF($B148=" ",0,IF($B148&gt;=X$25,IF($B148&lt;=X$29,X$27,IF($B148&lt;=X$33,X$31,X$31*(1+X$38)^(IF(X$36&gt;$B148,-1,1)*(YEARFRAC($B148,X$36)))))*($D148-$D147)*365/1000,0))</f>
        <v>406.56740091371</v>
      </c>
      <c r="Y148" s="159" t="n">
        <f aca="false">IF($B148=" ",0,Y$25*(1+Y$30)^(IF(Y$28&gt;$B148,-1,1)*(YEARFRAC($B148,Y$28))))</f>
        <v>0.51104399719459</v>
      </c>
      <c r="Z148" s="159" t="n">
        <f aca="false">IF($B148=" ",0,Z$25*(1+Z$30)^(IF(Z$28&gt;$B148,-1,1)*(YEARFRAC($B148,Z$28))))</f>
        <v>0.48785739062444</v>
      </c>
      <c r="AA148" s="162" t="n">
        <f aca="false">+W148+X148+Z148*SUM($J148*$J$37,$L148*$L$37,$N148*$N$37)/1000</f>
        <v>893.23406758037</v>
      </c>
      <c r="AB148" s="161"/>
      <c r="AC148" s="158" t="n">
        <f aca="false">IF($B148=" ",0,1)*(IF($B148&gt;=AC$25,1,0)*IF($B148&lt;=AC$29,AC$27,IF($B148&lt;=AC$33,AC$31,0))*($D148-$D147)*365/1000)</f>
        <v>1591.66666666664</v>
      </c>
      <c r="AD148" s="158" t="n">
        <f aca="false">IF($B148=" ",0,IF($B148&gt;=AD$25,IF($B148&lt;=AD$29,AD$27,IF($B148&lt;=AD$33,AD$31,AD$31*(1+AD$38)^(IF(AD$36&gt;$B148,-1,1)*(YEARFRAC($B148,AD$36)))))*($D148-$D147)*365/1000,0))</f>
        <v>361.933883675888</v>
      </c>
      <c r="AE148" s="159" t="n">
        <f aca="false">IF($B148=" ",0,AE$25*(1+AE$30)^(IF(AE$28&gt;$B148,-1,1)*(YEARFRAC($B148,AE$28))))</f>
        <v>0.423397249705229</v>
      </c>
      <c r="AF148" s="159" t="n">
        <f aca="false">IF($B148=" ",0,AF$25*(1+AF$30)^(IF(AF$28&gt;$B148,-1,1)*(YEARFRAC($B148,AF$28))))</f>
        <v>0.151913973003679</v>
      </c>
      <c r="AG148" s="162" t="n">
        <f aca="false">+AC148+AD148+AF148*SUM($K148*$K$37,$M148*$M$37,$O148*$O$37)/1000</f>
        <v>2707.27503555081</v>
      </c>
      <c r="AI148" s="158" t="n">
        <f aca="false">IF($B148=" ",0,1)*IF($B148&gt;=AI$33,AI$25*($D148-$D147),0)</f>
        <v>485.186570908327</v>
      </c>
      <c r="AJ148" s="158" t="n">
        <f aca="false">IF($B148=" ",0,IF($B148&gt;=AJ$33,AJ$25*(1+AJ$30)^(IF(AJ$28&gt;$B148,-1,1)*(YEARFRAC($B148,AJ$28)))*($D148-$D147),0))</f>
        <v>517.030006951836</v>
      </c>
      <c r="AK148" s="159" t="n">
        <f aca="false">IF($B148=" ",0,AK$25*(1+AK$30)^(IF(AK$28&gt;$B148,-1,1)*(YEARFRAC($B148,AK$28))))</f>
        <v>0.0295489753540408</v>
      </c>
      <c r="AL148" s="159" t="n">
        <f aca="false">IF($B148=" ",0,AL$25*AL$28)</f>
        <v>0.0575</v>
      </c>
      <c r="AM148" s="162" t="n">
        <f aca="false">+AI148+AJ148+SUM(AK148:AL148)*SUM($J148*$J$37,$K148*$K$37,$L148*$L$37,$M148*$M$37,$N148*$N$37,$O148*$O$37)/1000</f>
        <v>1434.08331395215</v>
      </c>
      <c r="AO148" s="163" t="n">
        <f aca="false">IF($B148=" ",0,$AO$25)</f>
        <v>0.25</v>
      </c>
      <c r="AP148" s="159" t="n">
        <f aca="false">IF($B148=" ",0,AP$25*AP$28)</f>
        <v>0.03105</v>
      </c>
      <c r="AQ148" s="162" t="n">
        <f aca="false">SUM(AO148:AP148)*SUM(0)/1000</f>
        <v>0</v>
      </c>
      <c r="AS148" s="155" t="n">
        <f aca="false">IF($B148=" ",0,AS$25)</f>
        <v>1</v>
      </c>
      <c r="AT148" s="156" t="n">
        <f aca="false">IF($B148=" ",0,AT$25)</f>
        <v>1</v>
      </c>
      <c r="AU148" s="156" t="n">
        <f aca="false">IF($B148=" ",0,AU$25)</f>
        <v>2.3</v>
      </c>
      <c r="AV148" s="157" t="n">
        <f aca="false">+AS148*SUM(J148:K148)/1000</f>
        <v>0</v>
      </c>
      <c r="AW148" s="157" t="n">
        <f aca="false">+AT148*SUM(L148:M148)/1000</f>
        <v>0</v>
      </c>
      <c r="AX148" s="157" t="n">
        <f aca="false">+AU148*SUM(N148:O148)/1000</f>
        <v>11537.9859375</v>
      </c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</row>
    <row r="149" customFormat="false" ht="12.75" hidden="true" customHeight="false" outlineLevel="1" collapsed="false">
      <c r="A149" s="164" t="n">
        <f aca="false">+IF(B149=" ",A148,B149)</f>
        <v>39814</v>
      </c>
      <c r="B149" s="148" t="n">
        <f aca="false">IF(B148=" "," ",IF(EDATE(B148,1)&gt;=EndDate," ",EDATE(B148,1)))</f>
        <v>39814</v>
      </c>
      <c r="C149" s="149" t="n">
        <f aca="false">IF($B149&lt;&gt;" ",C148+1,C148)</f>
        <v>99</v>
      </c>
      <c r="D149" s="150" t="n">
        <f aca="false">C149/12</f>
        <v>8.25</v>
      </c>
      <c r="F149" s="157" t="n">
        <f aca="false">+SUM($T149:$U149)</f>
        <v>14883.5779284771</v>
      </c>
      <c r="G149" s="152" t="n">
        <f aca="false">-SUM($AA149,$AG149,$AM149,$AQ149,$AV149:$AX149)</f>
        <v>-16575.3638580988</v>
      </c>
      <c r="H149" s="152" t="n">
        <f aca="false">+SUM(F149:G149)</f>
        <v>-1691.78592962168</v>
      </c>
      <c r="I149" s="124"/>
      <c r="J149" s="153" t="n">
        <f aca="false">+IF($B149=" ",0,IF(AND($B149&gt;=J$26,$B149&lt;J$28),J$33,0))</f>
        <v>0</v>
      </c>
      <c r="K149" s="153" t="n">
        <f aca="false">+IF($B149=" ",0,IF(AND($B149&gt;=K$26,$B149&lt;K$28),K$33,0))</f>
        <v>0</v>
      </c>
      <c r="L149" s="153" t="n">
        <f aca="false">+IF($B149=" ",0,IF(AND($B149&gt;=L$26,$B149&lt;L$28),L$33,0))</f>
        <v>0</v>
      </c>
      <c r="M149" s="153" t="n">
        <f aca="false">+IF($B149=" ",0,IF(AND($B149&gt;=M$26,$B149&lt;M$28),M$33,0))</f>
        <v>0</v>
      </c>
      <c r="N149" s="153" t="n">
        <f aca="false">+IF($B149=" ",0,IF(AND($B149&gt;=N$26,$B149&lt;N$28),N$33,0))</f>
        <v>0</v>
      </c>
      <c r="O149" s="154" t="n">
        <f aca="false">+IF($B149=" ",0,IF(AND($B149&gt;=O$26,$B149&lt;O$28),O$33,0))</f>
        <v>5016515.625</v>
      </c>
      <c r="Q149" s="83" t="n">
        <f aca="false">IF($B149=" ",0,IF($B149&lt;=DATE(2003,12,31),3.55,2.9))</f>
        <v>2.9</v>
      </c>
      <c r="R149" s="155" t="n">
        <f aca="false">IF($B149=" ",0,R$25)</f>
        <v>-0.07</v>
      </c>
      <c r="S149" s="156" t="n">
        <f aca="false">IF($B149=" ",0,S$25)</f>
        <v>0.1</v>
      </c>
      <c r="T149" s="157" t="n">
        <f aca="false">+SUM($Q149,$S149)/1000*(SUM($J149*$J$37,$K149*$K$37,$L149*$L$37,$M149*$M$37,$N149*$N$37,$O149*$O$37))</f>
        <v>14883.5779284771</v>
      </c>
      <c r="U149" s="157" t="n">
        <f aca="false">+SUM($Q149,$R149)/1000*(SUM(0))</f>
        <v>0</v>
      </c>
      <c r="W149" s="158" t="n">
        <f aca="false">IF($B149=" ",0,1)*(IF($B149&gt;=W$25,1,0)*IF($B149&lt;=W$29,W$27,IF($B149&lt;=W$33,W$31,0))*($D149-$D148)*365/1000)</f>
        <v>486.66666666667</v>
      </c>
      <c r="X149" s="158" t="n">
        <f aca="false">IF($B149=" ",0,IF($B149&gt;=X$25,IF($B149&lt;=X$29,X$27,IF($B149&lt;=X$33,X$31,X$31*(1+X$38)^(IF(X$36&gt;$B149,-1,1)*(YEARFRAC($B149,X$36)))))*($D149-$D148)*365/1000,0))</f>
        <v>407.127809734823</v>
      </c>
      <c r="Y149" s="159" t="n">
        <f aca="false">IF($B149=" ",0,Y$25*(1+Y$30)^(IF(Y$28&gt;$B149,-1,1)*(YEARFRAC($B149,Y$28))))</f>
        <v>0.511748415609239</v>
      </c>
      <c r="Z149" s="159" t="n">
        <f aca="false">IF($B149=" ",0,Z$25*(1+Z$30)^(IF(Z$28&gt;$B149,-1,1)*(YEARFRAC($B149,Z$28))))</f>
        <v>0.48852984883071</v>
      </c>
      <c r="AA149" s="162" t="n">
        <f aca="false">+W149+X149+Z149*SUM($J149*$J$37,$L149*$L$37,$N149*$N$37)/1000</f>
        <v>893.794476401493</v>
      </c>
      <c r="AB149" s="161"/>
      <c r="AC149" s="158" t="n">
        <f aca="false">IF($B149=" ",0,1)*(IF($B149&gt;=AC$25,1,0)*IF($B149&lt;=AC$29,AC$27,IF($B149&lt;=AC$33,AC$31,0))*($D149-$D148)*365/1000)</f>
        <v>1591.66666666668</v>
      </c>
      <c r="AD149" s="158" t="n">
        <f aca="false">IF($B149=" ",0,IF($B149&gt;=AD$25,IF($B149&lt;=AD$29,AD$27,IF($B149&lt;=AD$33,AD$31,AD$31*(1+AD$38)^(IF(AD$36&gt;$B149,-1,1)*(YEARFRAC($B149,AD$36)))))*($D149-$D148)*365/1000,0))</f>
        <v>362.432770061307</v>
      </c>
      <c r="AE149" s="159" t="n">
        <f aca="false">IF($B149=" ",0,AE$25*(1+AE$30)^(IF(AE$28&gt;$B149,-1,1)*(YEARFRAC($B149,AE$28))))</f>
        <v>0.423980856637395</v>
      </c>
      <c r="AF149" s="159" t="n">
        <f aca="false">IF($B149=" ",0,AF$25*(1+AF$30)^(IF(AF$28&gt;$B149,-1,1)*(YEARFRAC($B149,AF$28))))</f>
        <v>0.152123369847422</v>
      </c>
      <c r="AG149" s="162" t="n">
        <f aca="false">+AC149+AD149+AF149*SUM($K149*$K$37,$M149*$M$37,$O149*$O$37)/1000</f>
        <v>2708.81278001687</v>
      </c>
      <c r="AI149" s="158" t="n">
        <f aca="false">IF($B149=" ",0,1)*IF($B149&gt;=AI$33,AI$25*($D149-$D148),0)</f>
        <v>485.186570908337</v>
      </c>
      <c r="AJ149" s="158" t="n">
        <f aca="false">IF($B149=" ",0,IF($B149&gt;=AJ$33,AJ$25*(1+AJ$30)^(IF(AJ$28&gt;$B149,-1,1)*(YEARFRAC($B149,AJ$28)))*($D149-$D148),0))</f>
        <v>517.565518721027</v>
      </c>
      <c r="AK149" s="159" t="n">
        <f aca="false">IF($B149=" ",0,AK$25*(1+AK$30)^(IF(AK$28&gt;$B149,-1,1)*(YEARFRAC($B149,AK$28))))</f>
        <v>0.0295795805875021</v>
      </c>
      <c r="AL149" s="159" t="n">
        <f aca="false">IF($B149=" ",0,AL$25*AL$28)</f>
        <v>0.0575</v>
      </c>
      <c r="AM149" s="162" t="n">
        <f aca="false">+AI149+AJ149+SUM(AK149:AL149)*SUM($J149*$J$37,$K149*$K$37,$L149*$L$37,$M149*$M$37,$N149*$N$37,$O149*$O$37)/1000</f>
        <v>1434.77066418043</v>
      </c>
      <c r="AO149" s="163" t="n">
        <f aca="false">IF($B149=" ",0,$AO$25)</f>
        <v>0.25</v>
      </c>
      <c r="AP149" s="159" t="n">
        <f aca="false">IF($B149=" ",0,AP$25*AP$28)</f>
        <v>0.03105</v>
      </c>
      <c r="AQ149" s="162" t="n">
        <f aca="false">SUM(AO149:AP149)*SUM(0)/1000</f>
        <v>0</v>
      </c>
      <c r="AS149" s="155" t="n">
        <f aca="false">IF($B149=" ",0,AS$25)</f>
        <v>1</v>
      </c>
      <c r="AT149" s="156" t="n">
        <f aca="false">IF($B149=" ",0,AT$25)</f>
        <v>1</v>
      </c>
      <c r="AU149" s="156" t="n">
        <f aca="false">IF($B149=" ",0,AU$25)</f>
        <v>2.3</v>
      </c>
      <c r="AV149" s="157" t="n">
        <f aca="false">+AS149*SUM(J149:K149)/1000</f>
        <v>0</v>
      </c>
      <c r="AW149" s="157" t="n">
        <f aca="false">+AT149*SUM(L149:M149)/1000</f>
        <v>0</v>
      </c>
      <c r="AX149" s="157" t="n">
        <f aca="false">+AU149*SUM(N149:O149)/1000</f>
        <v>11537.9859375</v>
      </c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</row>
    <row r="150" customFormat="false" ht="12.75" hidden="true" customHeight="false" outlineLevel="1" collapsed="false">
      <c r="A150" s="164" t="n">
        <f aca="false">+IF(B150=" ",A149,B150)</f>
        <v>39845</v>
      </c>
      <c r="B150" s="148" t="n">
        <f aca="false">IF(B149=" "," ",IF(EDATE(B149,1)&gt;=EndDate," ",EDATE(B149,1)))</f>
        <v>39845</v>
      </c>
      <c r="C150" s="149" t="n">
        <f aca="false">IF($B150&lt;&gt;" ",C149+1,C149)</f>
        <v>100</v>
      </c>
      <c r="D150" s="150" t="n">
        <f aca="false">C150/12</f>
        <v>8.33333333333333</v>
      </c>
      <c r="F150" s="157" t="n">
        <f aca="false">+SUM($T150:$U150)</f>
        <v>14883.5779284771</v>
      </c>
      <c r="G150" s="152" t="n">
        <f aca="false">-SUM($AA150,$AG150,$AM150,$AQ150,$AV150:$AX150)</f>
        <v>-16578.1529656099</v>
      </c>
      <c r="H150" s="152" t="n">
        <f aca="false">+SUM(F150:G150)</f>
        <v>-1694.5750371328</v>
      </c>
      <c r="I150" s="124"/>
      <c r="J150" s="153" t="n">
        <f aca="false">+IF($B150=" ",0,IF(AND($B150&gt;=J$26,$B150&lt;J$28),J$33,0))</f>
        <v>0</v>
      </c>
      <c r="K150" s="153" t="n">
        <f aca="false">+IF($B150=" ",0,IF(AND($B150&gt;=K$26,$B150&lt;K$28),K$33,0))</f>
        <v>0</v>
      </c>
      <c r="L150" s="153" t="n">
        <f aca="false">+IF($B150=" ",0,IF(AND($B150&gt;=L$26,$B150&lt;L$28),L$33,0))</f>
        <v>0</v>
      </c>
      <c r="M150" s="153" t="n">
        <f aca="false">+IF($B150=" ",0,IF(AND($B150&gt;=M$26,$B150&lt;M$28),M$33,0))</f>
        <v>0</v>
      </c>
      <c r="N150" s="153" t="n">
        <f aca="false">+IF($B150=" ",0,IF(AND($B150&gt;=N$26,$B150&lt;N$28),N$33,0))</f>
        <v>0</v>
      </c>
      <c r="O150" s="154" t="n">
        <f aca="false">+IF($B150=" ",0,IF(AND($B150&gt;=O$26,$B150&lt;O$28),O$33,0))</f>
        <v>5016515.625</v>
      </c>
      <c r="Q150" s="83" t="n">
        <f aca="false">IF($B150=" ",0,IF($B150&lt;=DATE(2003,12,31),3.55,2.9))</f>
        <v>2.9</v>
      </c>
      <c r="R150" s="155" t="n">
        <f aca="false">IF($B150=" ",0,R$25)</f>
        <v>-0.07</v>
      </c>
      <c r="S150" s="156" t="n">
        <f aca="false">IF($B150=" ",0,S$25)</f>
        <v>0.1</v>
      </c>
      <c r="T150" s="157" t="n">
        <f aca="false">+SUM($Q150,$S150)/1000*(SUM($J150*$J$37,$K150*$K$37,$L150*$L$37,$M150*$M$37,$N150*$N$37,$O150*$O$37))</f>
        <v>14883.5779284771</v>
      </c>
      <c r="U150" s="157" t="n">
        <f aca="false">+SUM($Q150,$R150)/1000*(SUM(0))</f>
        <v>0</v>
      </c>
      <c r="W150" s="158" t="n">
        <f aca="false">IF($B150=" ",0,1)*(IF($B150&gt;=W$25,1,0)*IF($B150&lt;=W$29,W$27,IF($B150&lt;=W$33,W$31,0))*($D150-$D149)*365/1000)</f>
        <v>486.66666666667</v>
      </c>
      <c r="X150" s="158" t="n">
        <f aca="false">IF($B150=" ",0,IF($B150&gt;=X$25,IF($B150&lt;=X$29,X$27,IF($B150&lt;=X$33,X$31,X$31*(1+X$38)^(IF(X$36&gt;$B150,-1,1)*(YEARFRAC($B150,X$36)))))*($D150-$D149)*365/1000,0))</f>
        <v>407.688991018367</v>
      </c>
      <c r="Y150" s="159" t="n">
        <f aca="false">IF($B150=" ",0,Y$25*(1+Y$30)^(IF(Y$28&gt;$B150,-1,1)*(YEARFRAC($B150,Y$28))))</f>
        <v>0.512453804987848</v>
      </c>
      <c r="Z150" s="159" t="n">
        <f aca="false">IF($B150=" ",0,Z$25*(1+Z$30)^(IF(Z$28&gt;$B150,-1,1)*(YEARFRAC($B150,Z$28))))</f>
        <v>0.489203233947278</v>
      </c>
      <c r="AA150" s="162" t="n">
        <f aca="false">+W150+X150+Z150*SUM($J150*$J$37,$L150*$L$37,$N150*$N$37)/1000</f>
        <v>894.355657685037</v>
      </c>
      <c r="AB150" s="161"/>
      <c r="AC150" s="158" t="n">
        <f aca="false">IF($B150=" ",0,1)*(IF($B150&gt;=AC$25,1,0)*IF($B150&lt;=AC$29,AC$27,IF($B150&lt;=AC$33,AC$31,0))*($D150-$D149)*365/1000)</f>
        <v>1591.66666666668</v>
      </c>
      <c r="AD150" s="158" t="n">
        <f aca="false">IF($B150=" ",0,IF($B150&gt;=AD$25,IF($B150&lt;=AD$29,AD$27,IF($B150&lt;=AD$33,AD$31,AD$31*(1+AD$38)^(IF(AD$36&gt;$B150,-1,1)*(YEARFRAC($B150,AD$36)))))*($D150-$D149)*365/1000,0))</f>
        <v>362.932344107192</v>
      </c>
      <c r="AE150" s="159" t="n">
        <f aca="false">IF($B150=" ",0,AE$25*(1+AE$30)^(IF(AE$28&gt;$B150,-1,1)*(YEARFRAC($B150,AE$28))))</f>
        <v>0.424565268008067</v>
      </c>
      <c r="AF150" s="159" t="n">
        <f aca="false">IF($B150=" ",0,AF$25*(1+AF$30)^(IF(AF$28&gt;$B150,-1,1)*(YEARFRAC($B150,AF$28))))</f>
        <v>0.152333055321877</v>
      </c>
      <c r="AG150" s="162" t="n">
        <f aca="false">+AC150+AD150+AF150*SUM($K150*$K$37,$M150*$M$37,$O150*$O$37)/1000</f>
        <v>2710.35264409593</v>
      </c>
      <c r="AI150" s="158" t="n">
        <f aca="false">IF($B150=" ",0,1)*IF($B150&gt;=AI$33,AI$25*($D150-$D149),0)</f>
        <v>485.186570908337</v>
      </c>
      <c r="AJ150" s="158" t="n">
        <f aca="false">IF($B150=" ",0,IF($B150&gt;=AJ$33,AJ$25*(1+AJ$30)^(IF(AJ$28&gt;$B150,-1,1)*(YEARFRAC($B150,AJ$28)))*($D150-$D149),0))</f>
        <v>518.101585144388</v>
      </c>
      <c r="AK150" s="159" t="n">
        <f aca="false">IF($B150=" ",0,AK$25*(1+AK$30)^(IF(AK$28&gt;$B150,-1,1)*(YEARFRAC($B150,AK$28))))</f>
        <v>0.0296102175202121</v>
      </c>
      <c r="AL150" s="159" t="n">
        <f aca="false">IF($B150=" ",0,AL$25*AL$28)</f>
        <v>0.0575</v>
      </c>
      <c r="AM150" s="162" t="n">
        <f aca="false">+AI150+AJ150+SUM(AK150:AL150)*SUM($J150*$J$37,$K150*$K$37,$L150*$L$37,$M150*$M$37,$N150*$N$37,$O150*$O$37)/1000</f>
        <v>1435.45872632895</v>
      </c>
      <c r="AO150" s="163" t="n">
        <f aca="false">IF($B150=" ",0,$AO$25)</f>
        <v>0.25</v>
      </c>
      <c r="AP150" s="159" t="n">
        <f aca="false">IF($B150=" ",0,AP$25*AP$28)</f>
        <v>0.03105</v>
      </c>
      <c r="AQ150" s="162" t="n">
        <f aca="false">SUM(AO150:AP150)*SUM(0)/1000</f>
        <v>0</v>
      </c>
      <c r="AS150" s="155" t="n">
        <f aca="false">IF($B150=" ",0,AS$25)</f>
        <v>1</v>
      </c>
      <c r="AT150" s="156" t="n">
        <f aca="false">IF($B150=" ",0,AT$25)</f>
        <v>1</v>
      </c>
      <c r="AU150" s="156" t="n">
        <f aca="false">IF($B150=" ",0,AU$25)</f>
        <v>2.3</v>
      </c>
      <c r="AV150" s="157" t="n">
        <f aca="false">+AS150*SUM(J150:K150)/1000</f>
        <v>0</v>
      </c>
      <c r="AW150" s="157" t="n">
        <f aca="false">+AT150*SUM(L150:M150)/1000</f>
        <v>0</v>
      </c>
      <c r="AX150" s="157" t="n">
        <f aca="false">+AU150*SUM(N150:O150)/1000</f>
        <v>11537.9859375</v>
      </c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</row>
    <row r="151" customFormat="false" ht="12.75" hidden="true" customHeight="false" outlineLevel="1" collapsed="false">
      <c r="A151" s="164" t="n">
        <f aca="false">+IF(B151=" ",A150,B151)</f>
        <v>39873</v>
      </c>
      <c r="B151" s="148" t="n">
        <f aca="false">IF(B150=" "," ",IF(EDATE(B150,1)&gt;=EndDate," ",EDATE(B150,1)))</f>
        <v>39873</v>
      </c>
      <c r="C151" s="149" t="n">
        <f aca="false">IF($B151&lt;&gt;" ",C150+1,C150)</f>
        <v>101</v>
      </c>
      <c r="D151" s="150" t="n">
        <f aca="false">C151/12</f>
        <v>8.41666666666667</v>
      </c>
      <c r="F151" s="157" t="n">
        <f aca="false">+SUM($T151:$U151)</f>
        <v>14883.5779284771</v>
      </c>
      <c r="G151" s="152" t="n">
        <f aca="false">-SUM($AA151,$AG151,$AM151,$AQ151,$AV151:$AX151)</f>
        <v>-16580.9456818405</v>
      </c>
      <c r="H151" s="152" t="n">
        <f aca="false">+SUM(F151:G151)</f>
        <v>-1697.36775336335</v>
      </c>
      <c r="I151" s="124"/>
      <c r="J151" s="153" t="n">
        <f aca="false">+IF($B151=" ",0,IF(AND($B151&gt;=J$26,$B151&lt;J$28),J$33,0))</f>
        <v>0</v>
      </c>
      <c r="K151" s="153" t="n">
        <f aca="false">+IF($B151=" ",0,IF(AND($B151&gt;=K$26,$B151&lt;K$28),K$33,0))</f>
        <v>0</v>
      </c>
      <c r="L151" s="153" t="n">
        <f aca="false">+IF($B151=" ",0,IF(AND($B151&gt;=L$26,$B151&lt;L$28),L$33,0))</f>
        <v>0</v>
      </c>
      <c r="M151" s="153" t="n">
        <f aca="false">+IF($B151=" ",0,IF(AND($B151&gt;=M$26,$B151&lt;M$28),M$33,0))</f>
        <v>0</v>
      </c>
      <c r="N151" s="153" t="n">
        <f aca="false">+IF($B151=" ",0,IF(AND($B151&gt;=N$26,$B151&lt;N$28),N$33,0))</f>
        <v>0</v>
      </c>
      <c r="O151" s="154" t="n">
        <f aca="false">+IF($B151=" ",0,IF(AND($B151&gt;=O$26,$B151&lt;O$28),O$33,0))</f>
        <v>5016515.625</v>
      </c>
      <c r="Q151" s="83" t="n">
        <f aca="false">IF($B151=" ",0,IF($B151&lt;=DATE(2003,12,31),3.55,2.9))</f>
        <v>2.9</v>
      </c>
      <c r="R151" s="155" t="n">
        <f aca="false">IF($B151=" ",0,R$25)</f>
        <v>-0.07</v>
      </c>
      <c r="S151" s="156" t="n">
        <f aca="false">IF($B151=" ",0,S$25)</f>
        <v>0.1</v>
      </c>
      <c r="T151" s="157" t="n">
        <f aca="false">+SUM($Q151,$S151)/1000*(SUM($J151*$J$37,$K151*$K$37,$L151*$L$37,$M151*$M$37,$N151*$N$37,$O151*$O$37))</f>
        <v>14883.5779284771</v>
      </c>
      <c r="U151" s="157" t="n">
        <f aca="false">+SUM($Q151,$R151)/1000*(SUM(0))</f>
        <v>0</v>
      </c>
      <c r="W151" s="158" t="n">
        <f aca="false">IF($B151=" ",0,1)*(IF($B151&gt;=W$25,1,0)*IF($B151&lt;=W$29,W$27,IF($B151&lt;=W$33,W$31,0))*($D151-$D150)*365/1000)</f>
        <v>486.66666666666</v>
      </c>
      <c r="X151" s="158" t="n">
        <f aca="false">IF($B151=" ",0,IF($B151&gt;=X$25,IF($B151&lt;=X$29,X$27,IF($B151&lt;=X$33,X$31,X$31*(1+X$38)^(IF(X$36&gt;$B151,-1,1)*(YEARFRAC($B151,X$36)))))*($D151-$D150)*365/1000,0))</f>
        <v>408.250945829098</v>
      </c>
      <c r="Y151" s="159" t="n">
        <f aca="false">IF($B151=" ",0,Y$25*(1+Y$30)^(IF(Y$28&gt;$B151,-1,1)*(YEARFRAC($B151,Y$28))))</f>
        <v>0.513160166668785</v>
      </c>
      <c r="Z151" s="159" t="n">
        <f aca="false">IF($B151=" ",0,Z$25*(1+Z$30)^(IF(Z$28&gt;$B151,-1,1)*(YEARFRAC($B151,Z$28))))</f>
        <v>0.489877547251789</v>
      </c>
      <c r="AA151" s="162" t="n">
        <f aca="false">+W151+X151+Z151*SUM($J151*$J$37,$L151*$L$37,$N151*$N$37)/1000</f>
        <v>894.917612495758</v>
      </c>
      <c r="AB151" s="161"/>
      <c r="AC151" s="158" t="n">
        <f aca="false">IF($B151=" ",0,1)*(IF($B151&gt;=AC$25,1,0)*IF($B151&lt;=AC$29,AC$27,IF($B151&lt;=AC$33,AC$31,0))*($D151-$D150)*365/1000)</f>
        <v>1591.66666666664</v>
      </c>
      <c r="AD151" s="158" t="n">
        <f aca="false">IF($B151=" ",0,IF($B151&gt;=AD$25,IF($B151&lt;=AD$29,AD$27,IF($B151&lt;=AD$33,AD$31,AD$31*(1+AD$38)^(IF(AD$36&gt;$B151,-1,1)*(YEARFRAC($B151,AD$36)))))*($D151-$D150)*365/1000,0))</f>
        <v>363.432606761407</v>
      </c>
      <c r="AE151" s="159" t="n">
        <f aca="false">IF($B151=" ",0,AE$25*(1+AE$30)^(IF(AE$28&gt;$B151,-1,1)*(YEARFRAC($B151,AE$28))))</f>
        <v>0.425150484926076</v>
      </c>
      <c r="AF151" s="159" t="n">
        <f aca="false">IF($B151=" ",0,AF$25*(1+AF$30)^(IF(AF$28&gt;$B151,-1,1)*(YEARFRAC($B151,AF$28))))</f>
        <v>0.15254302982489</v>
      </c>
      <c r="AG151" s="162" t="n">
        <f aca="false">+AC151+AD151+AF151*SUM($K151*$K$37,$M151*$M$37,$O151*$O$37)/1000</f>
        <v>2711.89463070964</v>
      </c>
      <c r="AI151" s="158" t="n">
        <f aca="false">IF($B151=" ",0,1)*IF($B151&gt;=AI$33,AI$25*($D151-$D150),0)</f>
        <v>485.186570908327</v>
      </c>
      <c r="AJ151" s="158" t="n">
        <f aca="false">IF($B151=" ",0,IF($B151&gt;=AJ$33,AJ$25*(1+AJ$30)^(IF(AJ$28&gt;$B151,-1,1)*(YEARFRAC($B151,AJ$28)))*($D151-$D150),0))</f>
        <v>518.638206796399</v>
      </c>
      <c r="AK151" s="159" t="n">
        <f aca="false">IF($B151=" ",0,AK$25*(1+AK$30)^(IF(AK$28&gt;$B151,-1,1)*(YEARFRAC($B151,AK$28))))</f>
        <v>0.029640886185003</v>
      </c>
      <c r="AL151" s="159" t="n">
        <f aca="false">IF($B151=" ",0,AL$25*AL$28)</f>
        <v>0.0575</v>
      </c>
      <c r="AM151" s="162" t="n">
        <f aca="false">+AI151+AJ151+SUM(AK151:AL151)*SUM($J151*$J$37,$K151*$K$37,$L151*$L$37,$M151*$M$37,$N151*$N$37,$O151*$O$37)/1000</f>
        <v>1436.14750113507</v>
      </c>
      <c r="AO151" s="163" t="n">
        <f aca="false">IF($B151=" ",0,$AO$25)</f>
        <v>0.25</v>
      </c>
      <c r="AP151" s="159" t="n">
        <f aca="false">IF($B151=" ",0,AP$25*AP$28)</f>
        <v>0.03105</v>
      </c>
      <c r="AQ151" s="162" t="n">
        <f aca="false">SUM(AO151:AP151)*SUM(0)/1000</f>
        <v>0</v>
      </c>
      <c r="AS151" s="155" t="n">
        <f aca="false">IF($B151=" ",0,AS$25)</f>
        <v>1</v>
      </c>
      <c r="AT151" s="156" t="n">
        <f aca="false">IF($B151=" ",0,AT$25)</f>
        <v>1</v>
      </c>
      <c r="AU151" s="156" t="n">
        <f aca="false">IF($B151=" ",0,AU$25)</f>
        <v>2.3</v>
      </c>
      <c r="AV151" s="157" t="n">
        <f aca="false">+AS151*SUM(J151:K151)/1000</f>
        <v>0</v>
      </c>
      <c r="AW151" s="157" t="n">
        <f aca="false">+AT151*SUM(L151:M151)/1000</f>
        <v>0</v>
      </c>
      <c r="AX151" s="157" t="n">
        <f aca="false">+AU151*SUM(N151:O151)/1000</f>
        <v>11537.9859375</v>
      </c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</row>
    <row r="152" customFormat="false" ht="12.75" hidden="true" customHeight="false" outlineLevel="1" collapsed="false">
      <c r="A152" s="164" t="n">
        <f aca="false">+IF(B152=" ",A151,B152)</f>
        <v>39904</v>
      </c>
      <c r="B152" s="148" t="n">
        <f aca="false">IF(B151=" "," ",IF(EDATE(B151,1)&gt;=EndDate," ",EDATE(B151,1)))</f>
        <v>39904</v>
      </c>
      <c r="C152" s="149" t="n">
        <f aca="false">IF($B152&lt;&gt;" ",C151+1,C151)</f>
        <v>102</v>
      </c>
      <c r="D152" s="150" t="n">
        <f aca="false">C152/12</f>
        <v>8.5</v>
      </c>
      <c r="F152" s="157" t="n">
        <f aca="false">+SUM($T152:$U152)</f>
        <v>14883.5779284771</v>
      </c>
      <c r="G152" s="152" t="n">
        <f aca="false">-SUM($AA152,$AG152,$AM152,$AQ152,$AV152:$AX152)</f>
        <v>-16583.7420115207</v>
      </c>
      <c r="H152" s="152" t="n">
        <f aca="false">+SUM(F152:G152)</f>
        <v>-1700.16408304363</v>
      </c>
      <c r="I152" s="124"/>
      <c r="J152" s="153" t="n">
        <f aca="false">+IF($B152=" ",0,IF(AND($B152&gt;=J$26,$B152&lt;J$28),J$33,0))</f>
        <v>0</v>
      </c>
      <c r="K152" s="153" t="n">
        <f aca="false">+IF($B152=" ",0,IF(AND($B152&gt;=K$26,$B152&lt;K$28),K$33,0))</f>
        <v>0</v>
      </c>
      <c r="L152" s="153" t="n">
        <f aca="false">+IF($B152=" ",0,IF(AND($B152&gt;=L$26,$B152&lt;L$28),L$33,0))</f>
        <v>0</v>
      </c>
      <c r="M152" s="153" t="n">
        <f aca="false">+IF($B152=" ",0,IF(AND($B152&gt;=M$26,$B152&lt;M$28),M$33,0))</f>
        <v>0</v>
      </c>
      <c r="N152" s="153" t="n">
        <f aca="false">+IF($B152=" ",0,IF(AND($B152&gt;=N$26,$B152&lt;N$28),N$33,0))</f>
        <v>0</v>
      </c>
      <c r="O152" s="154" t="n">
        <f aca="false">+IF($B152=" ",0,IF(AND($B152&gt;=O$26,$B152&lt;O$28),O$33,0))</f>
        <v>5016515.625</v>
      </c>
      <c r="Q152" s="83" t="n">
        <f aca="false">IF($B152=" ",0,IF($B152&lt;=DATE(2003,12,31),3.55,2.9))</f>
        <v>2.9</v>
      </c>
      <c r="R152" s="155" t="n">
        <f aca="false">IF($B152=" ",0,R$25)</f>
        <v>-0.07</v>
      </c>
      <c r="S152" s="156" t="n">
        <f aca="false">IF($B152=" ",0,S$25)</f>
        <v>0.1</v>
      </c>
      <c r="T152" s="157" t="n">
        <f aca="false">+SUM($Q152,$S152)/1000*(SUM($J152*$J$37,$K152*$K$37,$L152*$L$37,$M152*$M$37,$N152*$N$37,$O152*$O$37))</f>
        <v>14883.5779284771</v>
      </c>
      <c r="U152" s="157" t="n">
        <f aca="false">+SUM($Q152,$R152)/1000*(SUM(0))</f>
        <v>0</v>
      </c>
      <c r="W152" s="158" t="n">
        <f aca="false">IF($B152=" ",0,1)*(IF($B152&gt;=W$25,1,0)*IF($B152&lt;=W$29,W$27,IF($B152&lt;=W$33,W$31,0))*($D152-$D151)*365/1000)</f>
        <v>486.66666666667</v>
      </c>
      <c r="X152" s="158" t="n">
        <f aca="false">IF($B152=" ",0,IF($B152&gt;=X$25,IF($B152&lt;=X$29,X$27,IF($B152&lt;=X$33,X$31,X$31*(1+X$38)^(IF(X$36&gt;$B152,-1,1)*(YEARFRAC($B152,X$36)))))*($D152-$D151)*365/1000,0))</f>
        <v>408.813675233265</v>
      </c>
      <c r="Y152" s="159" t="n">
        <f aca="false">IF($B152=" ",0,Y$25*(1+Y$30)^(IF(Y$28&gt;$B152,-1,1)*(YEARFRAC($B152,Y$28))))</f>
        <v>0.513867501992261</v>
      </c>
      <c r="Z152" s="159" t="n">
        <f aca="false">IF($B152=" ",0,Z$25*(1+Z$30)^(IF(Z$28&gt;$B152,-1,1)*(YEARFRAC($B152,Z$28))))</f>
        <v>0.490552790023648</v>
      </c>
      <c r="AA152" s="162" t="n">
        <f aca="false">+W152+X152+Z152*SUM($J152*$J$37,$L152*$L$37,$N152*$N$37)/1000</f>
        <v>895.480341899935</v>
      </c>
      <c r="AB152" s="161"/>
      <c r="AC152" s="158" t="n">
        <f aca="false">IF($B152=" ",0,1)*(IF($B152&gt;=AC$25,1,0)*IF($B152&lt;=AC$29,AC$27,IF($B152&lt;=AC$33,AC$31,0))*($D152-$D151)*365/1000)</f>
        <v>1591.66666666668</v>
      </c>
      <c r="AD152" s="158" t="n">
        <f aca="false">IF($B152=" ",0,IF($B152&gt;=AD$25,IF($B152&lt;=AD$29,AD$27,IF($B152&lt;=AD$33,AD$31,AD$31*(1+AD$38)^(IF(AD$36&gt;$B152,-1,1)*(YEARFRAC($B152,AD$36)))))*($D152-$D151)*365/1000,0))</f>
        <v>363.933558973147</v>
      </c>
      <c r="AE152" s="159" t="n">
        <f aca="false">IF($B152=" ",0,AE$25*(1+AE$30)^(IF(AE$28&gt;$B152,-1,1)*(YEARFRAC($B152,AE$28))))</f>
        <v>0.425736508501783</v>
      </c>
      <c r="AF152" s="159" t="n">
        <f aca="false">IF($B152=" ",0,AF$25*(1+AF$30)^(IF(AF$28&gt;$B152,-1,1)*(YEARFRAC($B152,AF$28))))</f>
        <v>0.152753293754854</v>
      </c>
      <c r="AG152" s="162" t="n">
        <f aca="false">+AC152+AD152+AF152*SUM($K152*$K$37,$M152*$M$37,$O152*$O$37)/1000</f>
        <v>2713.4387427838</v>
      </c>
      <c r="AI152" s="158" t="n">
        <f aca="false">IF($B152=" ",0,1)*IF($B152&gt;=AI$33,AI$25*($D152-$D151),0)</f>
        <v>485.186570908337</v>
      </c>
      <c r="AJ152" s="158" t="n">
        <f aca="false">IF($B152=" ",0,IF($B152&gt;=AJ$33,AJ$25*(1+AJ$30)^(IF(AJ$28&gt;$B152,-1,1)*(YEARFRAC($B152,AJ$28)))*($D152-$D151),0))</f>
        <v>519.17538425217</v>
      </c>
      <c r="AK152" s="159" t="n">
        <f aca="false">IF($B152=" ",0,AK$25*(1+AK$30)^(IF(AK$28&gt;$B152,-1,1)*(YEARFRAC($B152,AK$28))))</f>
        <v>0.0296715866147412</v>
      </c>
      <c r="AL152" s="159" t="n">
        <f aca="false">IF($B152=" ",0,AL$25*AL$28)</f>
        <v>0.0575</v>
      </c>
      <c r="AM152" s="162" t="n">
        <f aca="false">+AI152+AJ152+SUM(AK152:AL152)*SUM($J152*$J$37,$K152*$K$37,$L152*$L$37,$M152*$M$37,$N152*$N$37,$O152*$O$37)/1000</f>
        <v>1436.836989337</v>
      </c>
      <c r="AO152" s="163" t="n">
        <f aca="false">IF($B152=" ",0,$AO$25)</f>
        <v>0.25</v>
      </c>
      <c r="AP152" s="159" t="n">
        <f aca="false">IF($B152=" ",0,AP$25*AP$28)</f>
        <v>0.03105</v>
      </c>
      <c r="AQ152" s="162" t="n">
        <f aca="false">SUM(AO152:AP152)*SUM(0)/1000</f>
        <v>0</v>
      </c>
      <c r="AS152" s="155" t="n">
        <f aca="false">IF($B152=" ",0,AS$25)</f>
        <v>1</v>
      </c>
      <c r="AT152" s="156" t="n">
        <f aca="false">IF($B152=" ",0,AT$25)</f>
        <v>1</v>
      </c>
      <c r="AU152" s="156" t="n">
        <f aca="false">IF($B152=" ",0,AU$25)</f>
        <v>2.3</v>
      </c>
      <c r="AV152" s="157" t="n">
        <f aca="false">+AS152*SUM(J152:K152)/1000</f>
        <v>0</v>
      </c>
      <c r="AW152" s="157" t="n">
        <f aca="false">+AT152*SUM(L152:M152)/1000</f>
        <v>0</v>
      </c>
      <c r="AX152" s="157" t="n">
        <f aca="false">+AU152*SUM(N152:O152)/1000</f>
        <v>11537.9859375</v>
      </c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</row>
    <row r="153" customFormat="false" ht="12.75" hidden="true" customHeight="false" outlineLevel="1" collapsed="false">
      <c r="A153" s="164" t="n">
        <f aca="false">+IF(B153=" ",A152,B153)</f>
        <v>39934</v>
      </c>
      <c r="B153" s="148" t="n">
        <f aca="false">IF(B152=" "," ",IF(EDATE(B152,1)&gt;=EndDate," ",EDATE(B152,1)))</f>
        <v>39934</v>
      </c>
      <c r="C153" s="149" t="n">
        <f aca="false">IF($B153&lt;&gt;" ",C152+1,C152)</f>
        <v>103</v>
      </c>
      <c r="D153" s="150" t="n">
        <f aca="false">C153/12</f>
        <v>8.58333333333333</v>
      </c>
      <c r="F153" s="157" t="n">
        <f aca="false">+SUM($T153:$U153)</f>
        <v>14883.5779284771</v>
      </c>
      <c r="G153" s="152" t="n">
        <f aca="false">-SUM($AA153,$AG153,$AM153,$AQ153,$AV153:$AX153)</f>
        <v>-16586.5419593868</v>
      </c>
      <c r="H153" s="152" t="n">
        <f aca="false">+SUM(F153:G153)</f>
        <v>-1702.96403090968</v>
      </c>
      <c r="I153" s="124"/>
      <c r="J153" s="153" t="n">
        <f aca="false">+IF($B153=" ",0,IF(AND($B153&gt;=J$26,$B153&lt;J$28),J$33,0))</f>
        <v>0</v>
      </c>
      <c r="K153" s="153" t="n">
        <f aca="false">+IF($B153=" ",0,IF(AND($B153&gt;=K$26,$B153&lt;K$28),K$33,0))</f>
        <v>0</v>
      </c>
      <c r="L153" s="153" t="n">
        <f aca="false">+IF($B153=" ",0,IF(AND($B153&gt;=L$26,$B153&lt;L$28),L$33,0))</f>
        <v>0</v>
      </c>
      <c r="M153" s="153" t="n">
        <f aca="false">+IF($B153=" ",0,IF(AND($B153&gt;=M$26,$B153&lt;M$28),M$33,0))</f>
        <v>0</v>
      </c>
      <c r="N153" s="153" t="n">
        <f aca="false">+IF($B153=" ",0,IF(AND($B153&gt;=N$26,$B153&lt;N$28),N$33,0))</f>
        <v>0</v>
      </c>
      <c r="O153" s="154" t="n">
        <f aca="false">+IF($B153=" ",0,IF(AND($B153&gt;=O$26,$B153&lt;O$28),O$33,0))</f>
        <v>5016515.625</v>
      </c>
      <c r="Q153" s="83" t="n">
        <f aca="false">IF($B153=" ",0,IF($B153&lt;=DATE(2003,12,31),3.55,2.9))</f>
        <v>2.9</v>
      </c>
      <c r="R153" s="155" t="n">
        <f aca="false">IF($B153=" ",0,R$25)</f>
        <v>-0.07</v>
      </c>
      <c r="S153" s="156" t="n">
        <f aca="false">IF($B153=" ",0,S$25)</f>
        <v>0.1</v>
      </c>
      <c r="T153" s="157" t="n">
        <f aca="false">+SUM($Q153,$S153)/1000*(SUM($J153*$J$37,$K153*$K$37,$L153*$L$37,$M153*$M$37,$N153*$N$37,$O153*$O$37))</f>
        <v>14883.5779284771</v>
      </c>
      <c r="U153" s="157" t="n">
        <f aca="false">+SUM($Q153,$R153)/1000*(SUM(0))</f>
        <v>0</v>
      </c>
      <c r="W153" s="158" t="n">
        <f aca="false">IF($B153=" ",0,1)*(IF($B153&gt;=W$25,1,0)*IF($B153&lt;=W$29,W$27,IF($B153&lt;=W$33,W$31,0))*($D153-$D152)*365/1000)</f>
        <v>486.66666666667</v>
      </c>
      <c r="X153" s="158" t="n">
        <f aca="false">IF($B153=" ",0,IF($B153&gt;=X$25,IF($B153&lt;=X$29,X$27,IF($B153&lt;=X$33,X$31,X$31*(1+X$38)^(IF(X$36&gt;$B153,-1,1)*(YEARFRAC($B153,X$36)))))*($D153-$D152)*365/1000,0))</f>
        <v>409.377180298535</v>
      </c>
      <c r="Y153" s="159" t="n">
        <f aca="false">IF($B153=" ",0,Y$25*(1+Y$30)^(IF(Y$28&gt;$B153,-1,1)*(YEARFRAC($B153,Y$28))))</f>
        <v>0.514575812300337</v>
      </c>
      <c r="Z153" s="159" t="n">
        <f aca="false">IF($B153=" ",0,Z$25*(1+Z$30)^(IF(Z$28&gt;$B153,-1,1)*(YEARFRAC($B153,Z$28))))</f>
        <v>0.491228963544025</v>
      </c>
      <c r="AA153" s="162" t="n">
        <f aca="false">+W153+X153+Z153*SUM($J153*$J$37,$L153*$L$37,$N153*$N$37)/1000</f>
        <v>896.043846965205</v>
      </c>
      <c r="AB153" s="161"/>
      <c r="AC153" s="158" t="n">
        <f aca="false">IF($B153=" ",0,1)*(IF($B153&gt;=AC$25,1,0)*IF($B153&lt;=AC$29,AC$27,IF($B153&lt;=AC$33,AC$31,0))*($D153-$D152)*365/1000)</f>
        <v>1591.66666666668</v>
      </c>
      <c r="AD153" s="158" t="n">
        <f aca="false">IF($B153=" ",0,IF($B153&gt;=AD$25,IF($B153&lt;=AD$29,AD$27,IF($B153&lt;=AD$33,AD$31,AD$31*(1+AD$38)^(IF(AD$36&gt;$B153,-1,1)*(YEARFRAC($B153,AD$36)))))*($D153-$D152)*365/1000,0))</f>
        <v>364.435201692867</v>
      </c>
      <c r="AE153" s="159" t="n">
        <f aca="false">IF($B153=" ",0,AE$25*(1+AE$30)^(IF(AE$28&gt;$B153,-1,1)*(YEARFRAC($B153,AE$28))))</f>
        <v>0.426323339847075</v>
      </c>
      <c r="AF153" s="159" t="n">
        <f aca="false">IF($B153=" ",0,AF$25*(1+AF$30)^(IF(AF$28&gt;$B153,-1,1)*(YEARFRAC($B153,AF$28))))</f>
        <v>0.152963847510715</v>
      </c>
      <c r="AG153" s="162" t="n">
        <f aca="false">+AC153+AD153+AF153*SUM($K153*$K$37,$M153*$M$37,$O153*$O$37)/1000</f>
        <v>2714.98498324802</v>
      </c>
      <c r="AI153" s="158" t="n">
        <f aca="false">IF($B153=" ",0,1)*IF($B153&gt;=AI$33,AI$25*($D153-$D152),0)</f>
        <v>485.186570908337</v>
      </c>
      <c r="AJ153" s="158" t="n">
        <f aca="false">IF($B153=" ",0,IF($B153&gt;=AJ$33,AJ$25*(1+AJ$30)^(IF(AJ$28&gt;$B153,-1,1)*(YEARFRAC($B153,AJ$28)))*($D153-$D152),0))</f>
        <v>519.713118087338</v>
      </c>
      <c r="AK153" s="159" t="n">
        <f aca="false">IF($B153=" ",0,AK$25*(1+AK$30)^(IF(AK$28&gt;$B153,-1,1)*(YEARFRAC($B153,AK$28))))</f>
        <v>0.0297023188423272</v>
      </c>
      <c r="AL153" s="159" t="n">
        <f aca="false">IF($B153=" ",0,AL$25*AL$28)</f>
        <v>0.0575</v>
      </c>
      <c r="AM153" s="162" t="n">
        <f aca="false">+AI153+AJ153+SUM(AK153:AL153)*SUM($J153*$J$37,$K153*$K$37,$L153*$L$37,$M153*$M$37,$N153*$N$37,$O153*$O$37)/1000</f>
        <v>1437.52719167357</v>
      </c>
      <c r="AO153" s="163" t="n">
        <f aca="false">IF($B153=" ",0,$AO$25)</f>
        <v>0.25</v>
      </c>
      <c r="AP153" s="159" t="n">
        <f aca="false">IF($B153=" ",0,AP$25*AP$28)</f>
        <v>0.03105</v>
      </c>
      <c r="AQ153" s="162" t="n">
        <f aca="false">SUM(AO153:AP153)*SUM(0)/1000</f>
        <v>0</v>
      </c>
      <c r="AS153" s="155" t="n">
        <f aca="false">IF($B153=" ",0,AS$25)</f>
        <v>1</v>
      </c>
      <c r="AT153" s="156" t="n">
        <f aca="false">IF($B153=" ",0,AT$25)</f>
        <v>1</v>
      </c>
      <c r="AU153" s="156" t="n">
        <f aca="false">IF($B153=" ",0,AU$25)</f>
        <v>2.3</v>
      </c>
      <c r="AV153" s="157" t="n">
        <f aca="false">+AS153*SUM(J153:K153)/1000</f>
        <v>0</v>
      </c>
      <c r="AW153" s="157" t="n">
        <f aca="false">+AT153*SUM(L153:M153)/1000</f>
        <v>0</v>
      </c>
      <c r="AX153" s="157" t="n">
        <f aca="false">+AU153*SUM(N153:O153)/1000</f>
        <v>11537.9859375</v>
      </c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</row>
    <row r="154" customFormat="false" ht="12.75" hidden="true" customHeight="false" outlineLevel="1" collapsed="false">
      <c r="A154" s="164" t="n">
        <f aca="false">+IF(B154=" ",A153,B154)</f>
        <v>39965</v>
      </c>
      <c r="B154" s="148" t="n">
        <f aca="false">IF(B153=" "," ",IF(EDATE(B153,1)&gt;=EndDate," ",EDATE(B153,1)))</f>
        <v>39965</v>
      </c>
      <c r="C154" s="149" t="n">
        <f aca="false">IF($B154&lt;&gt;" ",C153+1,C153)</f>
        <v>104</v>
      </c>
      <c r="D154" s="150" t="n">
        <f aca="false">C154/12</f>
        <v>8.66666666666667</v>
      </c>
      <c r="F154" s="157" t="n">
        <f aca="false">+SUM($T154:$U154)</f>
        <v>14883.5779284771</v>
      </c>
      <c r="G154" s="152" t="n">
        <f aca="false">-SUM($AA154,$AG154,$AM154,$AQ154,$AV154:$AX154)</f>
        <v>-16589.3455301812</v>
      </c>
      <c r="H154" s="152" t="n">
        <f aca="false">+SUM(F154:G154)</f>
        <v>-1705.76760170409</v>
      </c>
      <c r="I154" s="124"/>
      <c r="J154" s="153" t="n">
        <f aca="false">+IF($B154=" ",0,IF(AND($B154&gt;=J$26,$B154&lt;J$28),J$33,0))</f>
        <v>0</v>
      </c>
      <c r="K154" s="153" t="n">
        <f aca="false">+IF($B154=" ",0,IF(AND($B154&gt;=K$26,$B154&lt;K$28),K$33,0))</f>
        <v>0</v>
      </c>
      <c r="L154" s="153" t="n">
        <f aca="false">+IF($B154=" ",0,IF(AND($B154&gt;=L$26,$B154&lt;L$28),L$33,0))</f>
        <v>0</v>
      </c>
      <c r="M154" s="153" t="n">
        <f aca="false">+IF($B154=" ",0,IF(AND($B154&gt;=M$26,$B154&lt;M$28),M$33,0))</f>
        <v>0</v>
      </c>
      <c r="N154" s="153" t="n">
        <f aca="false">+IF($B154=" ",0,IF(AND($B154&gt;=N$26,$B154&lt;N$28),N$33,0))</f>
        <v>0</v>
      </c>
      <c r="O154" s="154" t="n">
        <f aca="false">+IF($B154=" ",0,IF(AND($B154&gt;=O$26,$B154&lt;O$28),O$33,0))</f>
        <v>5016515.625</v>
      </c>
      <c r="Q154" s="83" t="n">
        <f aca="false">IF($B154=" ",0,IF($B154&lt;=DATE(2003,12,31),3.55,2.9))</f>
        <v>2.9</v>
      </c>
      <c r="R154" s="155" t="n">
        <f aca="false">IF($B154=" ",0,R$25)</f>
        <v>-0.07</v>
      </c>
      <c r="S154" s="156" t="n">
        <f aca="false">IF($B154=" ",0,S$25)</f>
        <v>0.1</v>
      </c>
      <c r="T154" s="157" t="n">
        <f aca="false">+SUM($Q154,$S154)/1000*(SUM($J154*$J$37,$K154*$K$37,$L154*$L$37,$M154*$M$37,$N154*$N$37,$O154*$O$37))</f>
        <v>14883.5779284771</v>
      </c>
      <c r="U154" s="157" t="n">
        <f aca="false">+SUM($Q154,$R154)/1000*(SUM(0))</f>
        <v>0</v>
      </c>
      <c r="W154" s="158" t="n">
        <f aca="false">IF($B154=" ",0,1)*(IF($B154&gt;=W$25,1,0)*IF($B154&lt;=W$29,W$27,IF($B154&lt;=W$33,W$31,0))*($D154-$D153)*365/1000)</f>
        <v>486.66666666666</v>
      </c>
      <c r="X154" s="158" t="n">
        <f aca="false">IF($B154=" ",0,IF($B154&gt;=X$25,IF($B154&lt;=X$29,X$27,IF($B154&lt;=X$33,X$31,X$31*(1+X$38)^(IF(X$36&gt;$B154,-1,1)*(YEARFRAC($B154,X$36)))))*($D154-$D153)*365/1000,0))</f>
        <v>409.941462094071</v>
      </c>
      <c r="Y154" s="159" t="n">
        <f aca="false">IF($B154=" ",0,Y$25*(1+Y$30)^(IF(Y$28&gt;$B154,-1,1)*(YEARFRAC($B154,Y$28))))</f>
        <v>0.515285098936923</v>
      </c>
      <c r="Z154" s="159" t="n">
        <f aca="false">IF($B154=" ",0,Z$25*(1+Z$30)^(IF(Z$28&gt;$B154,-1,1)*(YEARFRAC($B154,Z$28))))</f>
        <v>0.491906069095854</v>
      </c>
      <c r="AA154" s="162" t="n">
        <f aca="false">+W154+X154+Z154*SUM($J154*$J$37,$L154*$L$37,$N154*$N$37)/1000</f>
        <v>896.608128760731</v>
      </c>
      <c r="AB154" s="161"/>
      <c r="AC154" s="158" t="n">
        <f aca="false">IF($B154=" ",0,1)*(IF($B154&gt;=AC$25,1,0)*IF($B154&lt;=AC$29,AC$27,IF($B154&lt;=AC$33,AC$31,0))*($D154-$D153)*365/1000)</f>
        <v>1591.66666666664</v>
      </c>
      <c r="AD154" s="158" t="n">
        <f aca="false">IF($B154=" ",0,IF($B154&gt;=AD$25,IF($B154&lt;=AD$29,AD$27,IF($B154&lt;=AD$33,AD$31,AD$31*(1+AD$38)^(IF(AD$36&gt;$B154,-1,1)*(YEARFRAC($B154,AD$36)))))*($D154-$D153)*365/1000,0))</f>
        <v>364.937535872359</v>
      </c>
      <c r="AE154" s="159" t="n">
        <f aca="false">IF($B154=" ",0,AE$25*(1+AE$30)^(IF(AE$28&gt;$B154,-1,1)*(YEARFRAC($B154,AE$28))))</f>
        <v>0.426910980075376</v>
      </c>
      <c r="AF154" s="159" t="n">
        <f aca="false">IF($B154=" ",0,AF$25*(1+AF$30)^(IF(AF$28&gt;$B154,-1,1)*(YEARFRAC($B154,AF$28))))</f>
        <v>0.153174691491965</v>
      </c>
      <c r="AG154" s="162" t="n">
        <f aca="false">+AC154+AD154+AF154*SUM($K154*$K$37,$M154*$M$37,$O154*$O$37)/1000</f>
        <v>2716.53335503603</v>
      </c>
      <c r="AI154" s="158" t="n">
        <f aca="false">IF($B154=" ",0,1)*IF($B154&gt;=AI$33,AI$25*($D154-$D153),0)</f>
        <v>485.186570908327</v>
      </c>
      <c r="AJ154" s="158" t="n">
        <f aca="false">IF($B154=" ",0,IF($B154&gt;=AJ$33,AJ$25*(1+AJ$30)^(IF(AJ$28&gt;$B154,-1,1)*(YEARFRAC($B154,AJ$28)))*($D154-$D153),0))</f>
        <v>520.251408878173</v>
      </c>
      <c r="AK154" s="159" t="n">
        <f aca="false">IF($B154=" ",0,AK$25*(1+AK$30)^(IF(AK$28&gt;$B154,-1,1)*(YEARFRAC($B154,AK$28))))</f>
        <v>0.0297330829006955</v>
      </c>
      <c r="AL154" s="159" t="n">
        <f aca="false">IF($B154=" ",0,AL$25*AL$28)</f>
        <v>0.0575</v>
      </c>
      <c r="AM154" s="162" t="n">
        <f aca="false">+AI154+AJ154+SUM(AK154:AL154)*SUM($J154*$J$37,$K154*$K$37,$L154*$L$37,$M154*$M$37,$N154*$N$37,$O154*$O$37)/1000</f>
        <v>1438.21810888443</v>
      </c>
      <c r="AO154" s="163" t="n">
        <f aca="false">IF($B154=" ",0,$AO$25)</f>
        <v>0.25</v>
      </c>
      <c r="AP154" s="159" t="n">
        <f aca="false">IF($B154=" ",0,AP$25*AP$28)</f>
        <v>0.03105</v>
      </c>
      <c r="AQ154" s="162" t="n">
        <f aca="false">SUM(AO154:AP154)*SUM(0)/1000</f>
        <v>0</v>
      </c>
      <c r="AS154" s="155" t="n">
        <f aca="false">IF($B154=" ",0,AS$25)</f>
        <v>1</v>
      </c>
      <c r="AT154" s="156" t="n">
        <f aca="false">IF($B154=" ",0,AT$25)</f>
        <v>1</v>
      </c>
      <c r="AU154" s="156" t="n">
        <f aca="false">IF($B154=" ",0,AU$25)</f>
        <v>2.3</v>
      </c>
      <c r="AV154" s="157" t="n">
        <f aca="false">+AS154*SUM(J154:K154)/1000</f>
        <v>0</v>
      </c>
      <c r="AW154" s="157" t="n">
        <f aca="false">+AT154*SUM(L154:M154)/1000</f>
        <v>0</v>
      </c>
      <c r="AX154" s="157" t="n">
        <f aca="false">+AU154*SUM(N154:O154)/1000</f>
        <v>11537.9859375</v>
      </c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</row>
    <row r="155" customFormat="false" ht="12.75" hidden="true" customHeight="false" outlineLevel="1" collapsed="false">
      <c r="A155" s="164" t="n">
        <f aca="false">+IF(B155=" ",A154,B155)</f>
        <v>39995</v>
      </c>
      <c r="B155" s="148" t="n">
        <f aca="false">IF(B154=" "," ",IF(EDATE(B154,1)&gt;=EndDate," ",EDATE(B154,1)))</f>
        <v>39995</v>
      </c>
      <c r="C155" s="149" t="n">
        <f aca="false">IF($B155&lt;&gt;" ",C154+1,C154)</f>
        <v>105</v>
      </c>
      <c r="D155" s="150" t="n">
        <f aca="false">C155/12</f>
        <v>8.75</v>
      </c>
      <c r="F155" s="157" t="n">
        <f aca="false">+SUM($T155:$U155)</f>
        <v>14883.5779284771</v>
      </c>
      <c r="G155" s="152" t="n">
        <f aca="false">-SUM($AA155,$AG155,$AM155,$AQ155,$AV155:$AX155)</f>
        <v>-16592.1527286531</v>
      </c>
      <c r="H155" s="152" t="n">
        <f aca="false">+SUM(F155:G155)</f>
        <v>-1708.57480017596</v>
      </c>
      <c r="I155" s="124"/>
      <c r="J155" s="153" t="n">
        <f aca="false">+IF($B155=" ",0,IF(AND($B155&gt;=J$26,$B155&lt;J$28),J$33,0))</f>
        <v>0</v>
      </c>
      <c r="K155" s="153" t="n">
        <f aca="false">+IF($B155=" ",0,IF(AND($B155&gt;=K$26,$B155&lt;K$28),K$33,0))</f>
        <v>0</v>
      </c>
      <c r="L155" s="153" t="n">
        <f aca="false">+IF($B155=" ",0,IF(AND($B155&gt;=L$26,$B155&lt;L$28),L$33,0))</f>
        <v>0</v>
      </c>
      <c r="M155" s="153" t="n">
        <f aca="false">+IF($B155=" ",0,IF(AND($B155&gt;=M$26,$B155&lt;M$28),M$33,0))</f>
        <v>0</v>
      </c>
      <c r="N155" s="153" t="n">
        <f aca="false">+IF($B155=" ",0,IF(AND($B155&gt;=N$26,$B155&lt;N$28),N$33,0))</f>
        <v>0</v>
      </c>
      <c r="O155" s="154" t="n">
        <f aca="false">+IF($B155=" ",0,IF(AND($B155&gt;=O$26,$B155&lt;O$28),O$33,0))</f>
        <v>5016515.625</v>
      </c>
      <c r="Q155" s="83" t="n">
        <f aca="false">IF($B155=" ",0,IF($B155&lt;=DATE(2003,12,31),3.55,2.9))</f>
        <v>2.9</v>
      </c>
      <c r="R155" s="155" t="n">
        <f aca="false">IF($B155=" ",0,R$25)</f>
        <v>-0.07</v>
      </c>
      <c r="S155" s="156" t="n">
        <f aca="false">IF($B155=" ",0,S$25)</f>
        <v>0.1</v>
      </c>
      <c r="T155" s="157" t="n">
        <f aca="false">+SUM($Q155,$S155)/1000*(SUM($J155*$J$37,$K155*$K$37,$L155*$L$37,$M155*$M$37,$N155*$N$37,$O155*$O$37))</f>
        <v>14883.5779284771</v>
      </c>
      <c r="U155" s="157" t="n">
        <f aca="false">+SUM($Q155,$R155)/1000*(SUM(0))</f>
        <v>0</v>
      </c>
      <c r="W155" s="158" t="n">
        <f aca="false">IF($B155=" ",0,1)*(IF($B155&gt;=W$25,1,0)*IF($B155&lt;=W$29,W$27,IF($B155&lt;=W$33,W$31,0))*($D155-$D154)*365/1000)</f>
        <v>486.66666666667</v>
      </c>
      <c r="X155" s="158" t="n">
        <f aca="false">IF($B155=" ",0,IF($B155&gt;=X$25,IF($B155&lt;=X$29,X$27,IF($B155&lt;=X$33,X$31,X$31*(1+X$38)^(IF(X$36&gt;$B155,-1,1)*(YEARFRAC($B155,X$36)))))*($D155-$D154)*365/1000,0))</f>
        <v>410.506521690539</v>
      </c>
      <c r="Y155" s="159" t="n">
        <f aca="false">IF($B155=" ",0,Y$25*(1+Y$30)^(IF(Y$28&gt;$B155,-1,1)*(YEARFRAC($B155,Y$28))))</f>
        <v>0.515995363247781</v>
      </c>
      <c r="Z155" s="159" t="n">
        <f aca="false">IF($B155=" ",0,Z$25*(1+Z$30)^(IF(Z$28&gt;$B155,-1,1)*(YEARFRAC($B155,Z$28))))</f>
        <v>0.49258410796384</v>
      </c>
      <c r="AA155" s="162" t="n">
        <f aca="false">+W155+X155+Z155*SUM($J155*$J$37,$L155*$L$37,$N155*$N$37)/1000</f>
        <v>897.173188357209</v>
      </c>
      <c r="AB155" s="161"/>
      <c r="AC155" s="158" t="n">
        <f aca="false">IF($B155=" ",0,1)*(IF($B155&gt;=AC$25,1,0)*IF($B155&lt;=AC$29,AC$27,IF($B155&lt;=AC$33,AC$31,0))*($D155-$D154)*365/1000)</f>
        <v>1591.66666666668</v>
      </c>
      <c r="AD155" s="158" t="n">
        <f aca="false">IF($B155=" ",0,IF($B155&gt;=AD$25,IF($B155&lt;=AD$29,AD$27,IF($B155&lt;=AD$33,AD$31,AD$31*(1+AD$38)^(IF(AD$36&gt;$B155,-1,1)*(YEARFRAC($B155,AD$36)))))*($D155-$D154)*365/1000,0))</f>
        <v>365.440562464748</v>
      </c>
      <c r="AE155" s="159" t="n">
        <f aca="false">IF($B155=" ",0,AE$25*(1+AE$30)^(IF(AE$28&gt;$B155,-1,1)*(YEARFRAC($B155,AE$28))))</f>
        <v>0.427499430301642</v>
      </c>
      <c r="AF155" s="159" t="n">
        <f aca="false">IF($B155=" ",0,AF$25*(1+AF$30)^(IF(AF$28&gt;$B155,-1,1)*(YEARFRAC($B155,AF$28))))</f>
        <v>0.153385826098647</v>
      </c>
      <c r="AG155" s="162" t="n">
        <f aca="false">+AC155+AD155+AF155*SUM($K155*$K$37,$M155*$M$37,$O155*$O$37)/1000</f>
        <v>2718.08386108578</v>
      </c>
      <c r="AI155" s="158" t="n">
        <f aca="false">IF($B155=" ",0,1)*IF($B155&gt;=AI$33,AI$25*($D155-$D154),0)</f>
        <v>485.186570908337</v>
      </c>
      <c r="AJ155" s="158" t="n">
        <f aca="false">IF($B155=" ",0,IF($B155&gt;=AJ$33,AJ$25*(1+AJ$30)^(IF(AJ$28&gt;$B155,-1,1)*(YEARFRAC($B155,AJ$28)))*($D155-$D154),0))</f>
        <v>520.79025720157</v>
      </c>
      <c r="AK155" s="159" t="n">
        <f aca="false">IF($B155=" ",0,AK$25*(1+AK$30)^(IF(AK$28&gt;$B155,-1,1)*(YEARFRAC($B155,AK$28))))</f>
        <v>0.0297638788228146</v>
      </c>
      <c r="AL155" s="159" t="n">
        <f aca="false">IF($B155=" ",0,AL$25*AL$28)</f>
        <v>0.0575</v>
      </c>
      <c r="AM155" s="162" t="n">
        <f aca="false">+AI155+AJ155+SUM(AK155:AL155)*SUM($J155*$J$37,$K155*$K$37,$L155*$L$37,$M155*$M$37,$N155*$N$37,$O155*$O$37)/1000</f>
        <v>1438.90974171009</v>
      </c>
      <c r="AO155" s="163" t="n">
        <f aca="false">IF($B155=" ",0,$AO$25)</f>
        <v>0.25</v>
      </c>
      <c r="AP155" s="159" t="n">
        <f aca="false">IF($B155=" ",0,AP$25*AP$28)</f>
        <v>0.03105</v>
      </c>
      <c r="AQ155" s="162" t="n">
        <f aca="false">SUM(AO155:AP155)*SUM(0)/1000</f>
        <v>0</v>
      </c>
      <c r="AS155" s="155" t="n">
        <f aca="false">IF($B155=" ",0,AS$25)</f>
        <v>1</v>
      </c>
      <c r="AT155" s="156" t="n">
        <f aca="false">IF($B155=" ",0,AT$25)</f>
        <v>1</v>
      </c>
      <c r="AU155" s="156" t="n">
        <f aca="false">IF($B155=" ",0,AU$25)</f>
        <v>2.3</v>
      </c>
      <c r="AV155" s="157" t="n">
        <f aca="false">+AS155*SUM(J155:K155)/1000</f>
        <v>0</v>
      </c>
      <c r="AW155" s="157" t="n">
        <f aca="false">+AT155*SUM(L155:M155)/1000</f>
        <v>0</v>
      </c>
      <c r="AX155" s="157" t="n">
        <f aca="false">+AU155*SUM(N155:O155)/1000</f>
        <v>11537.9859375</v>
      </c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</row>
    <row r="156" customFormat="false" ht="12.75" hidden="true" customHeight="false" outlineLevel="1" collapsed="false">
      <c r="A156" s="164" t="n">
        <f aca="false">+IF(B156=" ",A155,B156)</f>
        <v>40026</v>
      </c>
      <c r="B156" s="148" t="n">
        <f aca="false">IF(B155=" "," ",IF(EDATE(B155,1)&gt;=EndDate," ",EDATE(B155,1)))</f>
        <v>40026</v>
      </c>
      <c r="C156" s="149" t="n">
        <f aca="false">IF($B156&lt;&gt;" ",C155+1,C155)</f>
        <v>106</v>
      </c>
      <c r="D156" s="150" t="n">
        <f aca="false">C156/12</f>
        <v>8.83333333333333</v>
      </c>
      <c r="F156" s="157" t="n">
        <f aca="false">+SUM($T156:$U156)</f>
        <v>14883.5779284771</v>
      </c>
      <c r="G156" s="152" t="n">
        <f aca="false">-SUM($AA156,$AG156,$AM156,$AQ156,$AV156:$AX156)</f>
        <v>-16594.9635595573</v>
      </c>
      <c r="H156" s="152" t="n">
        <f aca="false">+SUM(F156:G156)</f>
        <v>-1711.38563108021</v>
      </c>
      <c r="I156" s="124"/>
      <c r="J156" s="153" t="n">
        <f aca="false">+IF($B156=" ",0,IF(AND($B156&gt;=J$26,$B156&lt;J$28),J$33,0))</f>
        <v>0</v>
      </c>
      <c r="K156" s="153" t="n">
        <f aca="false">+IF($B156=" ",0,IF(AND($B156&gt;=K$26,$B156&lt;K$28),K$33,0))</f>
        <v>0</v>
      </c>
      <c r="L156" s="153" t="n">
        <f aca="false">+IF($B156=" ",0,IF(AND($B156&gt;=L$26,$B156&lt;L$28),L$33,0))</f>
        <v>0</v>
      </c>
      <c r="M156" s="153" t="n">
        <f aca="false">+IF($B156=" ",0,IF(AND($B156&gt;=M$26,$B156&lt;M$28),M$33,0))</f>
        <v>0</v>
      </c>
      <c r="N156" s="153" t="n">
        <f aca="false">+IF($B156=" ",0,IF(AND($B156&gt;=N$26,$B156&lt;N$28),N$33,0))</f>
        <v>0</v>
      </c>
      <c r="O156" s="154" t="n">
        <f aca="false">+IF($B156=" ",0,IF(AND($B156&gt;=O$26,$B156&lt;O$28),O$33,0))</f>
        <v>5016515.625</v>
      </c>
      <c r="Q156" s="83" t="n">
        <f aca="false">IF($B156=" ",0,IF($B156&lt;=DATE(2003,12,31),3.55,2.9))</f>
        <v>2.9</v>
      </c>
      <c r="R156" s="155" t="n">
        <f aca="false">IF($B156=" ",0,R$25)</f>
        <v>-0.07</v>
      </c>
      <c r="S156" s="156" t="n">
        <f aca="false">IF($B156=" ",0,S$25)</f>
        <v>0.1</v>
      </c>
      <c r="T156" s="157" t="n">
        <f aca="false">+SUM($Q156,$S156)/1000*(SUM($J156*$J$37,$K156*$K$37,$L156*$L$37,$M156*$M$37,$N156*$N$37,$O156*$O$37))</f>
        <v>14883.5779284771</v>
      </c>
      <c r="U156" s="157" t="n">
        <f aca="false">+SUM($Q156,$R156)/1000*(SUM(0))</f>
        <v>0</v>
      </c>
      <c r="W156" s="158" t="n">
        <f aca="false">IF($B156=" ",0,1)*(IF($B156&gt;=W$25,1,0)*IF($B156&lt;=W$29,W$27,IF($B156&lt;=W$33,W$31,0))*($D156-$D155)*365/1000)</f>
        <v>486.66666666667</v>
      </c>
      <c r="X156" s="158" t="n">
        <f aca="false">IF($B156=" ",0,IF($B156&gt;=X$25,IF($B156&lt;=X$29,X$27,IF($B156&lt;=X$33,X$31,X$31*(1+X$38)^(IF(X$36&gt;$B156,-1,1)*(YEARFRAC($B156,X$36)))))*($D156-$D155)*365/1000,0))</f>
        <v>411.072360160025</v>
      </c>
      <c r="Y156" s="159" t="n">
        <f aca="false">IF($B156=" ",0,Y$25*(1+Y$30)^(IF(Y$28&gt;$B156,-1,1)*(YEARFRAC($B156,Y$28))))</f>
        <v>0.516706606580529</v>
      </c>
      <c r="Z156" s="159" t="n">
        <f aca="false">IF($B156=" ",0,Z$25*(1+Z$30)^(IF(Z$28&gt;$B156,-1,1)*(YEARFRAC($B156,Z$28))))</f>
        <v>0.493263081434458</v>
      </c>
      <c r="AA156" s="162" t="n">
        <f aca="false">+W156+X156+Z156*SUM($J156*$J$37,$L156*$L$37,$N156*$N$37)/1000</f>
        <v>897.739026826695</v>
      </c>
      <c r="AB156" s="161"/>
      <c r="AC156" s="158" t="n">
        <f aca="false">IF($B156=" ",0,1)*(IF($B156&gt;=AC$25,1,0)*IF($B156&lt;=AC$29,AC$27,IF($B156&lt;=AC$33,AC$31,0))*($D156-$D155)*365/1000)</f>
        <v>1591.66666666668</v>
      </c>
      <c r="AD156" s="158" t="n">
        <f aca="false">IF($B156=" ",0,IF($B156&gt;=AD$25,IF($B156&lt;=AD$29,AD$27,IF($B156&lt;=AD$33,AD$31,AD$31*(1+AD$38)^(IF(AD$36&gt;$B156,-1,1)*(YEARFRAC($B156,AD$36)))))*($D156-$D155)*365/1000,0))</f>
        <v>365.944282424425</v>
      </c>
      <c r="AE156" s="159" t="n">
        <f aca="false">IF($B156=" ",0,AE$25*(1+AE$30)^(IF(AE$28&gt;$B156,-1,1)*(YEARFRAC($B156,AE$28))))</f>
        <v>0.428088691642368</v>
      </c>
      <c r="AF156" s="159" t="n">
        <f aca="false">IF($B156=" ",0,AF$25*(1+AF$30)^(IF(AF$28&gt;$B156,-1,1)*(YEARFRAC($B156,AF$28))))</f>
        <v>0.153597251731358</v>
      </c>
      <c r="AG156" s="162" t="n">
        <f aca="false">+AC156+AD156+AF156*SUM($K156*$K$37,$M156*$M$37,$O156*$O$37)/1000</f>
        <v>2719.63650433897</v>
      </c>
      <c r="AI156" s="158" t="n">
        <f aca="false">IF($B156=" ",0,1)*IF($B156&gt;=AI$33,AI$25*($D156-$D155),0)</f>
        <v>485.186570908337</v>
      </c>
      <c r="AJ156" s="158" t="n">
        <f aca="false">IF($B156=" ",0,IF($B156&gt;=AJ$33,AJ$25*(1+AJ$30)^(IF(AJ$28&gt;$B156,-1,1)*(YEARFRAC($B156,AJ$28)))*($D156-$D155),0))</f>
        <v>521.329663634961</v>
      </c>
      <c r="AK156" s="159" t="n">
        <f aca="false">IF($B156=" ",0,AK$25*(1+AK$30)^(IF(AK$28&gt;$B156,-1,1)*(YEARFRAC($B156,AK$28))))</f>
        <v>0.0297947066416873</v>
      </c>
      <c r="AL156" s="159" t="n">
        <f aca="false">IF($B156=" ",0,AL$25*AL$28)</f>
        <v>0.0575</v>
      </c>
      <c r="AM156" s="162" t="n">
        <f aca="false">+AI156+AJ156+SUM(AK156:AL156)*SUM($J156*$J$37,$K156*$K$37,$L156*$L$37,$M156*$M$37,$N156*$N$37,$O156*$O$37)/1000</f>
        <v>1439.60209089166</v>
      </c>
      <c r="AO156" s="163" t="n">
        <f aca="false">IF($B156=" ",0,$AO$25)</f>
        <v>0.25</v>
      </c>
      <c r="AP156" s="159" t="n">
        <f aca="false">IF($B156=" ",0,AP$25*AP$28)</f>
        <v>0.03105</v>
      </c>
      <c r="AQ156" s="162" t="n">
        <f aca="false">SUM(AO156:AP156)*SUM(0)/1000</f>
        <v>0</v>
      </c>
      <c r="AS156" s="155" t="n">
        <f aca="false">IF($B156=" ",0,AS$25)</f>
        <v>1</v>
      </c>
      <c r="AT156" s="156" t="n">
        <f aca="false">IF($B156=" ",0,AT$25)</f>
        <v>1</v>
      </c>
      <c r="AU156" s="156" t="n">
        <f aca="false">IF($B156=" ",0,AU$25)</f>
        <v>2.3</v>
      </c>
      <c r="AV156" s="157" t="n">
        <f aca="false">+AS156*SUM(J156:K156)/1000</f>
        <v>0</v>
      </c>
      <c r="AW156" s="157" t="n">
        <f aca="false">+AT156*SUM(L156:M156)/1000</f>
        <v>0</v>
      </c>
      <c r="AX156" s="157" t="n">
        <f aca="false">+AU156*SUM(N156:O156)/1000</f>
        <v>11537.9859375</v>
      </c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</row>
    <row r="157" customFormat="false" ht="12.75" hidden="true" customHeight="false" outlineLevel="1" collapsed="false">
      <c r="A157" s="164" t="n">
        <f aca="false">+IF(B157=" ",A156,B157)</f>
        <v>40057</v>
      </c>
      <c r="B157" s="148" t="n">
        <f aca="false">IF(B156=" "," ",IF(EDATE(B156,1)&gt;=EndDate," ",EDATE(B156,1)))</f>
        <v>40057</v>
      </c>
      <c r="C157" s="149" t="n">
        <f aca="false">IF($B157&lt;&gt;" ",C156+1,C156)</f>
        <v>107</v>
      </c>
      <c r="D157" s="150" t="n">
        <f aca="false">C157/12</f>
        <v>8.91666666666667</v>
      </c>
      <c r="F157" s="157" t="n">
        <f aca="false">+SUM($T157:$U157)</f>
        <v>14883.5779284771</v>
      </c>
      <c r="G157" s="152" t="n">
        <f aca="false">-SUM($AA157,$AG157,$AM157,$AQ157,$AV157:$AX157)</f>
        <v>-16597.7780276554</v>
      </c>
      <c r="H157" s="152" t="n">
        <f aca="false">+SUM(F157:G157)</f>
        <v>-1714.2000991783</v>
      </c>
      <c r="I157" s="124"/>
      <c r="J157" s="153" t="n">
        <f aca="false">+IF($B157=" ",0,IF(AND($B157&gt;=J$26,$B157&lt;J$28),J$33,0))</f>
        <v>0</v>
      </c>
      <c r="K157" s="153" t="n">
        <f aca="false">+IF($B157=" ",0,IF(AND($B157&gt;=K$26,$B157&lt;K$28),K$33,0))</f>
        <v>0</v>
      </c>
      <c r="L157" s="153" t="n">
        <f aca="false">+IF($B157=" ",0,IF(AND($B157&gt;=L$26,$B157&lt;L$28),L$33,0))</f>
        <v>0</v>
      </c>
      <c r="M157" s="153" t="n">
        <f aca="false">+IF($B157=" ",0,IF(AND($B157&gt;=M$26,$B157&lt;M$28),M$33,0))</f>
        <v>0</v>
      </c>
      <c r="N157" s="153" t="n">
        <f aca="false">+IF($B157=" ",0,IF(AND($B157&gt;=N$26,$B157&lt;N$28),N$33,0))</f>
        <v>0</v>
      </c>
      <c r="O157" s="154" t="n">
        <f aca="false">+IF($B157=" ",0,IF(AND($B157&gt;=O$26,$B157&lt;O$28),O$33,0))</f>
        <v>5016515.625</v>
      </c>
      <c r="Q157" s="83" t="n">
        <f aca="false">IF($B157=" ",0,IF($B157&lt;=DATE(2003,12,31),3.55,2.9))</f>
        <v>2.9</v>
      </c>
      <c r="R157" s="155" t="n">
        <f aca="false">IF($B157=" ",0,R$25)</f>
        <v>-0.07</v>
      </c>
      <c r="S157" s="156" t="n">
        <f aca="false">IF($B157=" ",0,S$25)</f>
        <v>0.1</v>
      </c>
      <c r="T157" s="157" t="n">
        <f aca="false">+SUM($Q157,$S157)/1000*(SUM($J157*$J$37,$K157*$K$37,$L157*$L$37,$M157*$M$37,$N157*$N$37,$O157*$O$37))</f>
        <v>14883.5779284771</v>
      </c>
      <c r="U157" s="157" t="n">
        <f aca="false">+SUM($Q157,$R157)/1000*(SUM(0))</f>
        <v>0</v>
      </c>
      <c r="W157" s="158" t="n">
        <f aca="false">IF($B157=" ",0,1)*(IF($B157&gt;=W$25,1,0)*IF($B157&lt;=W$29,W$27,IF($B157&lt;=W$33,W$31,0))*($D157-$D156)*365/1000)</f>
        <v>486.66666666666</v>
      </c>
      <c r="X157" s="158" t="n">
        <f aca="false">IF($B157=" ",0,IF($B157&gt;=X$25,IF($B157&lt;=X$29,X$27,IF($B157&lt;=X$33,X$31,X$31*(1+X$38)^(IF(X$36&gt;$B157,-1,1)*(YEARFRAC($B157,X$36)))))*($D157-$D156)*365/1000,0))</f>
        <v>411.638978576121</v>
      </c>
      <c r="Y157" s="159" t="n">
        <f aca="false">IF($B157=" ",0,Y$25*(1+Y$30)^(IF(Y$28&gt;$B157,-1,1)*(YEARFRAC($B157,Y$28))))</f>
        <v>0.517418830284642</v>
      </c>
      <c r="Z157" s="159" t="n">
        <f aca="false">IF($B157=" ",0,Z$25*(1+Z$30)^(IF(Z$28&gt;$B157,-1,1)*(YEARFRAC($B157,Z$28))))</f>
        <v>0.493942990795955</v>
      </c>
      <c r="AA157" s="162" t="n">
        <f aca="false">+W157+X157+Z157*SUM($J157*$J$37,$L157*$L$37,$N157*$N$37)/1000</f>
        <v>898.305645242781</v>
      </c>
      <c r="AB157" s="161"/>
      <c r="AC157" s="158" t="n">
        <f aca="false">IF($B157=" ",0,1)*(IF($B157&gt;=AC$25,1,0)*IF($B157&lt;=AC$29,AC$27,IF($B157&lt;=AC$33,AC$31,0))*($D157-$D156)*365/1000)</f>
        <v>1591.66666666664</v>
      </c>
      <c r="AD157" s="158" t="n">
        <f aca="false">IF($B157=" ",0,IF($B157&gt;=AD$25,IF($B157&lt;=AD$29,AD$27,IF($B157&lt;=AD$33,AD$31,AD$31*(1+AD$38)^(IF(AD$36&gt;$B157,-1,1)*(YEARFRAC($B157,AD$36)))))*($D157-$D156)*365/1000,0))</f>
        <v>366.448696707122</v>
      </c>
      <c r="AE157" s="159" t="n">
        <f aca="false">IF($B157=" ",0,AE$25*(1+AE$30)^(IF(AE$28&gt;$B157,-1,1)*(YEARFRAC($B157,AE$28))))</f>
        <v>0.428678765215586</v>
      </c>
      <c r="AF157" s="159" t="n">
        <f aca="false">IF($B157=" ",0,AF$25*(1+AF$30)^(IF(AF$28&gt;$B157,-1,1)*(YEARFRAC($B157,AF$28))))</f>
        <v>0.153808968791246</v>
      </c>
      <c r="AG157" s="162" t="n">
        <f aca="false">+AC157+AD157+AF157*SUM($K157*$K$37,$M157*$M$37,$O157*$O$37)/1000</f>
        <v>2721.1912877415</v>
      </c>
      <c r="AI157" s="158" t="n">
        <f aca="false">IF($B157=" ",0,1)*IF($B157&gt;=AI$33,AI$25*($D157-$D156),0)</f>
        <v>485.186570908327</v>
      </c>
      <c r="AJ157" s="158" t="n">
        <f aca="false">IF($B157=" ",0,IF($B157&gt;=AJ$33,AJ$25*(1+AJ$30)^(IF(AJ$28&gt;$B157,-1,1)*(YEARFRAC($B157,AJ$28)))*($D157-$D156),0))</f>
        <v>521.869628756403</v>
      </c>
      <c r="AK157" s="159" t="n">
        <f aca="false">IF($B157=" ",0,AK$25*(1+AK$30)^(IF(AK$28&gt;$B157,-1,1)*(YEARFRAC($B157,AK$28))))</f>
        <v>0.0298255663903505</v>
      </c>
      <c r="AL157" s="159" t="n">
        <f aca="false">IF($B157=" ",0,AL$25*AL$28)</f>
        <v>0.0575</v>
      </c>
      <c r="AM157" s="162" t="n">
        <f aca="false">+AI157+AJ157+SUM(AK157:AL157)*SUM($J157*$J$37,$K157*$K$37,$L157*$L$37,$M157*$M$37,$N157*$N$37,$O157*$O$37)/1000</f>
        <v>1440.29515717112</v>
      </c>
      <c r="AO157" s="163" t="n">
        <f aca="false">IF($B157=" ",0,$AO$25)</f>
        <v>0.25</v>
      </c>
      <c r="AP157" s="159" t="n">
        <f aca="false">IF($B157=" ",0,AP$25*AP$28)</f>
        <v>0.03105</v>
      </c>
      <c r="AQ157" s="162" t="n">
        <f aca="false">SUM(AO157:AP157)*SUM(0)/1000</f>
        <v>0</v>
      </c>
      <c r="AS157" s="155" t="n">
        <f aca="false">IF($B157=" ",0,AS$25)</f>
        <v>1</v>
      </c>
      <c r="AT157" s="156" t="n">
        <f aca="false">IF($B157=" ",0,AT$25)</f>
        <v>1</v>
      </c>
      <c r="AU157" s="156" t="n">
        <f aca="false">IF($B157=" ",0,AU$25)</f>
        <v>2.3</v>
      </c>
      <c r="AV157" s="157" t="n">
        <f aca="false">+AS157*SUM(J157:K157)/1000</f>
        <v>0</v>
      </c>
      <c r="AW157" s="157" t="n">
        <f aca="false">+AT157*SUM(L157:M157)/1000</f>
        <v>0</v>
      </c>
      <c r="AX157" s="157" t="n">
        <f aca="false">+AU157*SUM(N157:O157)/1000</f>
        <v>11537.9859375</v>
      </c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</row>
    <row r="158" customFormat="false" ht="12.75" hidden="true" customHeight="false" outlineLevel="1" collapsed="false">
      <c r="A158" s="164" t="n">
        <f aca="false">+IF(B158=" ",A157,B158)</f>
        <v>40087</v>
      </c>
      <c r="B158" s="148" t="n">
        <f aca="false">IF(B157=" "," ",IF(EDATE(B157,1)&gt;=EndDate," ",EDATE(B157,1)))</f>
        <v>40087</v>
      </c>
      <c r="C158" s="149" t="n">
        <f aca="false">IF($B158&lt;&gt;" ",C157+1,C157)</f>
        <v>108</v>
      </c>
      <c r="D158" s="150" t="n">
        <f aca="false">C158/12</f>
        <v>9</v>
      </c>
      <c r="F158" s="157" t="n">
        <f aca="false">+SUM($T158:$U158)</f>
        <v>14883.5779284771</v>
      </c>
      <c r="G158" s="152" t="n">
        <f aca="false">-SUM($AA158,$AG158,$AM158,$AQ158,$AV158:$AX158)</f>
        <v>-16600.5961377153</v>
      </c>
      <c r="H158" s="152" t="n">
        <f aca="false">+SUM(F158:G158)</f>
        <v>-1717.01820923822</v>
      </c>
      <c r="I158" s="124"/>
      <c r="J158" s="153" t="n">
        <f aca="false">+IF($B158=" ",0,IF(AND($B158&gt;=J$26,$B158&lt;J$28),J$33,0))</f>
        <v>0</v>
      </c>
      <c r="K158" s="153" t="n">
        <f aca="false">+IF($B158=" ",0,IF(AND($B158&gt;=K$26,$B158&lt;K$28),K$33,0))</f>
        <v>0</v>
      </c>
      <c r="L158" s="153" t="n">
        <f aca="false">+IF($B158=" ",0,IF(AND($B158&gt;=L$26,$B158&lt;L$28),L$33,0))</f>
        <v>0</v>
      </c>
      <c r="M158" s="153" t="n">
        <f aca="false">+IF($B158=" ",0,IF(AND($B158&gt;=M$26,$B158&lt;M$28),M$33,0))</f>
        <v>0</v>
      </c>
      <c r="N158" s="153" t="n">
        <f aca="false">+IF($B158=" ",0,IF(AND($B158&gt;=N$26,$B158&lt;N$28),N$33,0))</f>
        <v>0</v>
      </c>
      <c r="O158" s="154" t="n">
        <f aca="false">+IF($B158=" ",0,IF(AND($B158&gt;=O$26,$B158&lt;O$28),O$33,0))</f>
        <v>5016515.625</v>
      </c>
      <c r="Q158" s="83" t="n">
        <f aca="false">IF($B158=" ",0,IF($B158&lt;=DATE(2003,12,31),3.55,2.9))</f>
        <v>2.9</v>
      </c>
      <c r="R158" s="155" t="n">
        <f aca="false">IF($B158=" ",0,R$25)</f>
        <v>-0.07</v>
      </c>
      <c r="S158" s="156" t="n">
        <f aca="false">IF($B158=" ",0,S$25)</f>
        <v>0.1</v>
      </c>
      <c r="T158" s="157" t="n">
        <f aca="false">+SUM($Q158,$S158)/1000*(SUM($J158*$J$37,$K158*$K$37,$L158*$L$37,$M158*$M$37,$N158*$N$37,$O158*$O$37))</f>
        <v>14883.5779284771</v>
      </c>
      <c r="U158" s="157" t="n">
        <f aca="false">+SUM($Q158,$R158)/1000*(SUM(0))</f>
        <v>0</v>
      </c>
      <c r="W158" s="158" t="n">
        <f aca="false">IF($B158=" ",0,1)*(IF($B158&gt;=W$25,1,0)*IF($B158&lt;=W$29,W$27,IF($B158&lt;=W$33,W$31,0))*($D158-$D157)*365/1000)</f>
        <v>486.66666666667</v>
      </c>
      <c r="X158" s="158" t="n">
        <f aca="false">IF($B158=" ",0,IF($B158&gt;=X$25,IF($B158&lt;=X$29,X$27,IF($B158&lt;=X$33,X$31,X$31*(1+X$38)^(IF(X$36&gt;$B158,-1,1)*(YEARFRAC($B158,X$36)))))*($D158-$D157)*365/1000,0))</f>
        <v>412.206378013924</v>
      </c>
      <c r="Y158" s="159" t="n">
        <f aca="false">IF($B158=" ",0,Y$25*(1+Y$30)^(IF(Y$28&gt;$B158,-1,1)*(YEARFRAC($B158,Y$28))))</f>
        <v>0.518132035711454</v>
      </c>
      <c r="Z158" s="159" t="n">
        <f aca="false">IF($B158=" ",0,Z$25*(1+Z$30)^(IF(Z$28&gt;$B158,-1,1)*(YEARFRAC($B158,Z$28))))</f>
        <v>0.494623837338354</v>
      </c>
      <c r="AA158" s="162" t="n">
        <f aca="false">+W158+X158+Z158*SUM($J158*$J$37,$L158*$L$37,$N158*$N$37)/1000</f>
        <v>898.873044680595</v>
      </c>
      <c r="AB158" s="161"/>
      <c r="AC158" s="158" t="n">
        <f aca="false">IF($B158=" ",0,1)*(IF($B158&gt;=AC$25,1,0)*IF($B158&lt;=AC$29,AC$27,IF($B158&lt;=AC$33,AC$31,0))*($D158-$D157)*365/1000)</f>
        <v>1591.66666666668</v>
      </c>
      <c r="AD158" s="158" t="n">
        <f aca="false">IF($B158=" ",0,IF($B158&gt;=AD$25,IF($B158&lt;=AD$29,AD$27,IF($B158&lt;=AD$33,AD$31,AD$31*(1+AD$38)^(IF(AD$36&gt;$B158,-1,1)*(YEARFRAC($B158,AD$36)))))*($D158-$D157)*365/1000,0))</f>
        <v>366.953806269911</v>
      </c>
      <c r="AE158" s="159" t="n">
        <f aca="false">IF($B158=" ",0,AE$25*(1+AE$30)^(IF(AE$28&gt;$B158,-1,1)*(YEARFRAC($B158,AE$28))))</f>
        <v>0.42926965214087</v>
      </c>
      <c r="AF158" s="159" t="n">
        <f aca="false">IF($B158=" ",0,AF$25*(1+AF$30)^(IF(AF$28&gt;$B158,-1,1)*(YEARFRAC($B158,AF$28))))</f>
        <v>0.15402097768001</v>
      </c>
      <c r="AG158" s="162" t="n">
        <f aca="false">+AC158+AD158+AF158*SUM($K158*$K$37,$M158*$M$37,$O158*$O$37)/1000</f>
        <v>2722.74821424348</v>
      </c>
      <c r="AI158" s="158" t="n">
        <f aca="false">IF($B158=" ",0,1)*IF($B158&gt;=AI$33,AI$25*($D158-$D157),0)</f>
        <v>485.186570908337</v>
      </c>
      <c r="AJ158" s="158" t="n">
        <f aca="false">IF($B158=" ",0,IF($B158&gt;=AJ$33,AJ$25*(1+AJ$30)^(IF(AJ$28&gt;$B158,-1,1)*(YEARFRAC($B158,AJ$28)))*($D158-$D157),0))</f>
        <v>522.410153144591</v>
      </c>
      <c r="AK158" s="159" t="n">
        <f aca="false">IF($B158=" ",0,AK$25*(1+AK$30)^(IF(AK$28&gt;$B158,-1,1)*(YEARFRAC($B158,AK$28))))</f>
        <v>0.0298564581018754</v>
      </c>
      <c r="AL158" s="159" t="n">
        <f aca="false">IF($B158=" ",0,AL$25*AL$28)</f>
        <v>0.0575</v>
      </c>
      <c r="AM158" s="162" t="n">
        <f aca="false">+AI158+AJ158+SUM(AK158:AL158)*SUM($J158*$J$37,$K158*$K$37,$L158*$L$37,$M158*$M$37,$N158*$N$37,$O158*$O$37)/1000</f>
        <v>1440.98894129126</v>
      </c>
      <c r="AO158" s="163" t="n">
        <f aca="false">IF($B158=" ",0,$AO$25)</f>
        <v>0.25</v>
      </c>
      <c r="AP158" s="159" t="n">
        <f aca="false">IF($B158=" ",0,AP$25*AP$28)</f>
        <v>0.03105</v>
      </c>
      <c r="AQ158" s="162" t="n">
        <f aca="false">SUM(AO158:AP158)*SUM(0)/1000</f>
        <v>0</v>
      </c>
      <c r="AS158" s="155" t="n">
        <f aca="false">IF($B158=" ",0,AS$25)</f>
        <v>1</v>
      </c>
      <c r="AT158" s="156" t="n">
        <f aca="false">IF($B158=" ",0,AT$25)</f>
        <v>1</v>
      </c>
      <c r="AU158" s="156" t="n">
        <f aca="false">IF($B158=" ",0,AU$25)</f>
        <v>2.3</v>
      </c>
      <c r="AV158" s="157" t="n">
        <f aca="false">+AS158*SUM(J158:K158)/1000</f>
        <v>0</v>
      </c>
      <c r="AW158" s="157" t="n">
        <f aca="false">+AT158*SUM(L158:M158)/1000</f>
        <v>0</v>
      </c>
      <c r="AX158" s="157" t="n">
        <f aca="false">+AU158*SUM(N158:O158)/1000</f>
        <v>11537.9859375</v>
      </c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</row>
    <row r="159" customFormat="false" ht="12.75" hidden="true" customHeight="false" outlineLevel="1" collapsed="false">
      <c r="A159" s="164" t="n">
        <f aca="false">+IF(B159=" ",A158,B159)</f>
        <v>40118</v>
      </c>
      <c r="B159" s="148" t="n">
        <f aca="false">IF(B158=" "," ",IF(EDATE(B158,1)&gt;=EndDate," ",EDATE(B158,1)))</f>
        <v>40118</v>
      </c>
      <c r="C159" s="149" t="n">
        <f aca="false">IF($B159&lt;&gt;" ",C158+1,C158)</f>
        <v>109</v>
      </c>
      <c r="D159" s="150" t="n">
        <f aca="false">C159/12</f>
        <v>9.08333333333333</v>
      </c>
      <c r="F159" s="157" t="n">
        <f aca="false">+SUM($T159:$U159)</f>
        <v>14883.5779284771</v>
      </c>
      <c r="G159" s="152" t="n">
        <f aca="false">-SUM($AA159,$AG159,$AM159,$AQ159,$AV159:$AX159)</f>
        <v>-16603.4178945109</v>
      </c>
      <c r="H159" s="152" t="n">
        <f aca="false">+SUM(F159:G159)</f>
        <v>-1719.83996603383</v>
      </c>
      <c r="I159" s="124"/>
      <c r="J159" s="153" t="n">
        <f aca="false">+IF($B159=" ",0,IF(AND($B159&gt;=J$26,$B159&lt;J$28),J$33,0))</f>
        <v>0</v>
      </c>
      <c r="K159" s="153" t="n">
        <f aca="false">+IF($B159=" ",0,IF(AND($B159&gt;=K$26,$B159&lt;K$28),K$33,0))</f>
        <v>0</v>
      </c>
      <c r="L159" s="153" t="n">
        <f aca="false">+IF($B159=" ",0,IF(AND($B159&gt;=L$26,$B159&lt;L$28),L$33,0))</f>
        <v>0</v>
      </c>
      <c r="M159" s="153" t="n">
        <f aca="false">+IF($B159=" ",0,IF(AND($B159&gt;=M$26,$B159&lt;M$28),M$33,0))</f>
        <v>0</v>
      </c>
      <c r="N159" s="153" t="n">
        <f aca="false">+IF($B159=" ",0,IF(AND($B159&gt;=N$26,$B159&lt;N$28),N$33,0))</f>
        <v>0</v>
      </c>
      <c r="O159" s="154" t="n">
        <f aca="false">+IF($B159=" ",0,IF(AND($B159&gt;=O$26,$B159&lt;O$28),O$33,0))</f>
        <v>5016515.625</v>
      </c>
      <c r="Q159" s="83" t="n">
        <f aca="false">IF($B159=" ",0,IF($B159&lt;=DATE(2003,12,31),3.55,2.9))</f>
        <v>2.9</v>
      </c>
      <c r="R159" s="155" t="n">
        <f aca="false">IF($B159=" ",0,R$25)</f>
        <v>-0.07</v>
      </c>
      <c r="S159" s="156" t="n">
        <f aca="false">IF($B159=" ",0,S$25)</f>
        <v>0.1</v>
      </c>
      <c r="T159" s="157" t="n">
        <f aca="false">+SUM($Q159,$S159)/1000*(SUM($J159*$J$37,$K159*$K$37,$L159*$L$37,$M159*$M$37,$N159*$N$37,$O159*$O$37))</f>
        <v>14883.5779284771</v>
      </c>
      <c r="U159" s="157" t="n">
        <f aca="false">+SUM($Q159,$R159)/1000*(SUM(0))</f>
        <v>0</v>
      </c>
      <c r="W159" s="158" t="n">
        <f aca="false">IF($B159=" ",0,1)*(IF($B159&gt;=W$25,1,0)*IF($B159&lt;=W$29,W$27,IF($B159&lt;=W$33,W$31,0))*($D159-$D158)*365/1000)</f>
        <v>486.66666666667</v>
      </c>
      <c r="X159" s="158" t="n">
        <f aca="false">IF($B159=" ",0,IF($B159&gt;=X$25,IF($B159&lt;=X$29,X$27,IF($B159&lt;=X$33,X$31,X$31*(1+X$38)^(IF(X$36&gt;$B159,-1,1)*(YEARFRAC($B159,X$36)))))*($D159-$D158)*365/1000,0))</f>
        <v>412.774559549963</v>
      </c>
      <c r="Y159" s="159" t="n">
        <f aca="false">IF($B159=" ",0,Y$25*(1+Y$30)^(IF(Y$28&gt;$B159,-1,1)*(YEARFRAC($B159,Y$28))))</f>
        <v>0.518846224214163</v>
      </c>
      <c r="Z159" s="159" t="n">
        <f aca="false">IF($B159=" ",0,Z$25*(1+Z$30)^(IF(Z$28&gt;$B159,-1,1)*(YEARFRAC($B159,Z$28))))</f>
        <v>0.495305622353457</v>
      </c>
      <c r="AA159" s="162" t="n">
        <f aca="false">+W159+X159+Z159*SUM($J159*$J$37,$L159*$L$37,$N159*$N$37)/1000</f>
        <v>899.441226216633</v>
      </c>
      <c r="AB159" s="161"/>
      <c r="AC159" s="158" t="n">
        <f aca="false">IF($B159=" ",0,1)*(IF($B159&gt;=AC$25,1,0)*IF($B159&lt;=AC$29,AC$27,IF($B159&lt;=AC$33,AC$31,0))*($D159-$D158)*365/1000)</f>
        <v>1591.66666666668</v>
      </c>
      <c r="AD159" s="158" t="n">
        <f aca="false">IF($B159=" ",0,IF($B159&gt;=AD$25,IF($B159&lt;=AD$29,AD$27,IF($B159&lt;=AD$33,AD$31,AD$31*(1+AD$38)^(IF(AD$36&gt;$B159,-1,1)*(YEARFRAC($B159,AD$36)))))*($D159-$D158)*365/1000,0))</f>
        <v>367.459612071136</v>
      </c>
      <c r="AE159" s="159" t="n">
        <f aca="false">IF($B159=" ",0,AE$25*(1+AE$30)^(IF(AE$28&gt;$B159,-1,1)*(YEARFRAC($B159,AE$28))))</f>
        <v>0.429861353539337</v>
      </c>
      <c r="AF159" s="159" t="n">
        <f aca="false">IF($B159=" ",0,AF$25*(1+AF$30)^(IF(AF$28&gt;$B159,-1,1)*(YEARFRAC($B159,AF$28))))</f>
        <v>0.154233278799905</v>
      </c>
      <c r="AG159" s="162" t="n">
        <f aca="false">+AC159+AD159+AF159*SUM($K159*$K$37,$M159*$M$37,$O159*$O$37)/1000</f>
        <v>2724.30728679879</v>
      </c>
      <c r="AI159" s="158" t="n">
        <f aca="false">IF($B159=" ",0,1)*IF($B159&gt;=AI$33,AI$25*($D159-$D158),0)</f>
        <v>485.186570908337</v>
      </c>
      <c r="AJ159" s="158" t="n">
        <f aca="false">IF($B159=" ",0,IF($B159&gt;=AJ$33,AJ$25*(1+AJ$30)^(IF(AJ$28&gt;$B159,-1,1)*(YEARFRAC($B159,AJ$28)))*($D159-$D158),0))</f>
        <v>522.951237378749</v>
      </c>
      <c r="AK159" s="159" t="n">
        <f aca="false">IF($B159=" ",0,AK$25*(1+AK$30)^(IF(AK$28&gt;$B159,-1,1)*(YEARFRAC($B159,AK$28))))</f>
        <v>0.0298873818093674</v>
      </c>
      <c r="AL159" s="159" t="n">
        <f aca="false">IF($B159=" ",0,AL$25*AL$28)</f>
        <v>0.0575</v>
      </c>
      <c r="AM159" s="162" t="n">
        <f aca="false">+AI159+AJ159+SUM(AK159:AL159)*SUM($J159*$J$37,$K159*$K$37,$L159*$L$37,$M159*$M$37,$N159*$N$37,$O159*$O$37)/1000</f>
        <v>1441.68344399552</v>
      </c>
      <c r="AO159" s="163" t="n">
        <f aca="false">IF($B159=" ",0,$AO$25)</f>
        <v>0.25</v>
      </c>
      <c r="AP159" s="159" t="n">
        <f aca="false">IF($B159=" ",0,AP$25*AP$28)</f>
        <v>0.03105</v>
      </c>
      <c r="AQ159" s="162" t="n">
        <f aca="false">SUM(AO159:AP159)*SUM(0)/1000</f>
        <v>0</v>
      </c>
      <c r="AS159" s="155" t="n">
        <f aca="false">IF($B159=" ",0,AS$25)</f>
        <v>1</v>
      </c>
      <c r="AT159" s="156" t="n">
        <f aca="false">IF($B159=" ",0,AT$25)</f>
        <v>1</v>
      </c>
      <c r="AU159" s="156" t="n">
        <f aca="false">IF($B159=" ",0,AU$25)</f>
        <v>2.3</v>
      </c>
      <c r="AV159" s="157" t="n">
        <f aca="false">+AS159*SUM(J159:K159)/1000</f>
        <v>0</v>
      </c>
      <c r="AW159" s="157" t="n">
        <f aca="false">+AT159*SUM(L159:M159)/1000</f>
        <v>0</v>
      </c>
      <c r="AX159" s="157" t="n">
        <f aca="false">+AU159*SUM(N159:O159)/1000</f>
        <v>11537.9859375</v>
      </c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</row>
    <row r="160" customFormat="false" ht="12.75" hidden="true" customHeight="false" outlineLevel="1" collapsed="false">
      <c r="A160" s="164" t="n">
        <f aca="false">+IF(B160=" ",A159,B160)</f>
        <v>40148</v>
      </c>
      <c r="B160" s="148" t="n">
        <f aca="false">IF(B159=" "," ",IF(EDATE(B159,1)&gt;=EndDate," ",EDATE(B159,1)))</f>
        <v>40148</v>
      </c>
      <c r="C160" s="149" t="n">
        <f aca="false">IF($B160&lt;&gt;" ",C159+1,C159)</f>
        <v>110</v>
      </c>
      <c r="D160" s="150" t="n">
        <f aca="false">C160/12</f>
        <v>9.16666666666667</v>
      </c>
      <c r="F160" s="157" t="n">
        <f aca="false">+SUM($T160:$U160)</f>
        <v>14883.5779284771</v>
      </c>
      <c r="G160" s="152" t="n">
        <f aca="false">-SUM($AA160,$AG160,$AM160,$AQ160,$AV160:$AX160)</f>
        <v>-16606.2433028226</v>
      </c>
      <c r="H160" s="152" t="n">
        <f aca="false">+SUM(F160:G160)</f>
        <v>-1722.66537434552</v>
      </c>
      <c r="I160" s="124"/>
      <c r="J160" s="153" t="n">
        <f aca="false">+IF($B160=" ",0,IF(AND($B160&gt;=J$26,$B160&lt;J$28),J$33,0))</f>
        <v>0</v>
      </c>
      <c r="K160" s="153" t="n">
        <f aca="false">+IF($B160=" ",0,IF(AND($B160&gt;=K$26,$B160&lt;K$28),K$33,0))</f>
        <v>0</v>
      </c>
      <c r="L160" s="153" t="n">
        <f aca="false">+IF($B160=" ",0,IF(AND($B160&gt;=L$26,$B160&lt;L$28),L$33,0))</f>
        <v>0</v>
      </c>
      <c r="M160" s="153" t="n">
        <f aca="false">+IF($B160=" ",0,IF(AND($B160&gt;=M$26,$B160&lt;M$28),M$33,0))</f>
        <v>0</v>
      </c>
      <c r="N160" s="153" t="n">
        <f aca="false">+IF($B160=" ",0,IF(AND($B160&gt;=N$26,$B160&lt;N$28),N$33,0))</f>
        <v>0</v>
      </c>
      <c r="O160" s="154" t="n">
        <f aca="false">+IF($B160=" ",0,IF(AND($B160&gt;=O$26,$B160&lt;O$28),O$33,0))</f>
        <v>5016515.625</v>
      </c>
      <c r="Q160" s="83" t="n">
        <f aca="false">IF($B160=" ",0,IF($B160&lt;=DATE(2003,12,31),3.55,2.9))</f>
        <v>2.9</v>
      </c>
      <c r="R160" s="155" t="n">
        <f aca="false">IF($B160=" ",0,R$25)</f>
        <v>-0.07</v>
      </c>
      <c r="S160" s="156" t="n">
        <f aca="false">IF($B160=" ",0,S$25)</f>
        <v>0.1</v>
      </c>
      <c r="T160" s="157" t="n">
        <f aca="false">+SUM($Q160,$S160)/1000*(SUM($J160*$J$37,$K160*$K$37,$L160*$L$37,$M160*$M$37,$N160*$N$37,$O160*$O$37))</f>
        <v>14883.5779284771</v>
      </c>
      <c r="U160" s="157" t="n">
        <f aca="false">+SUM($Q160,$R160)/1000*(SUM(0))</f>
        <v>0</v>
      </c>
      <c r="W160" s="158" t="n">
        <f aca="false">IF($B160=" ",0,1)*(IF($B160&gt;=W$25,1,0)*IF($B160&lt;=W$29,W$27,IF($B160&lt;=W$33,W$31,0))*($D160-$D159)*365/1000)</f>
        <v>486.66666666666</v>
      </c>
      <c r="X160" s="158" t="n">
        <f aca="false">IF($B160=" ",0,IF($B160&gt;=X$25,IF($B160&lt;=X$29,X$27,IF($B160&lt;=X$33,X$31,X$31*(1+X$38)^(IF(X$36&gt;$B160,-1,1)*(YEARFRAC($B160,X$36)))))*($D160-$D159)*365/1000,0))</f>
        <v>413.343524262272</v>
      </c>
      <c r="Y160" s="159" t="n">
        <f aca="false">IF($B160=" ",0,Y$25*(1+Y$30)^(IF(Y$28&gt;$B160,-1,1)*(YEARFRAC($B160,Y$28))))</f>
        <v>0.519561397147833</v>
      </c>
      <c r="Z160" s="159" t="n">
        <f aca="false">IF($B160=" ",0,Z$25*(1+Z$30)^(IF(Z$28&gt;$B160,-1,1)*(YEARFRAC($B160,Z$28))))</f>
        <v>0.495988347134847</v>
      </c>
      <c r="AA160" s="162" t="n">
        <f aca="false">+W160+X160+Z160*SUM($J160*$J$37,$L160*$L$37,$N160*$N$37)/1000</f>
        <v>900.010190928932</v>
      </c>
      <c r="AB160" s="161"/>
      <c r="AC160" s="158" t="n">
        <f aca="false">IF($B160=" ",0,1)*(IF($B160&gt;=AC$25,1,0)*IF($B160&lt;=AC$29,AC$27,IF($B160&lt;=AC$33,AC$31,0))*($D160-$D159)*365/1000)</f>
        <v>1591.66666666664</v>
      </c>
      <c r="AD160" s="158" t="n">
        <f aca="false">IF($B160=" ",0,IF($B160&gt;=AD$25,IF($B160&lt;=AD$29,AD$27,IF($B160&lt;=AD$33,AD$31,AD$31*(1+AD$38)^(IF(AD$36&gt;$B160,-1,1)*(YEARFRAC($B160,AD$36)))))*($D160-$D159)*365/1000,0))</f>
        <v>367.966115070486</v>
      </c>
      <c r="AE160" s="159" t="n">
        <f aca="false">IF($B160=" ",0,AE$25*(1+AE$30)^(IF(AE$28&gt;$B160,-1,1)*(YEARFRAC($B160,AE$28))))</f>
        <v>0.43045387053365</v>
      </c>
      <c r="AF160" s="159" t="n">
        <f aca="false">IF($B160=" ",0,AF$25*(1+AF$30)^(IF(AF$28&gt;$B160,-1,1)*(YEARFRAC($B160,AF$28))))</f>
        <v>0.15444587255374</v>
      </c>
      <c r="AG160" s="162" t="n">
        <f aca="false">+AC160+AD160+AF160*SUM($K160*$K$37,$M160*$M$37,$O160*$O$37)/1000</f>
        <v>2725.86850836554</v>
      </c>
      <c r="AI160" s="158" t="n">
        <f aca="false">IF($B160=" ",0,1)*IF($B160&gt;=AI$33,AI$25*($D160-$D159),0)</f>
        <v>485.186570908327</v>
      </c>
      <c r="AJ160" s="158" t="n">
        <f aca="false">IF($B160=" ",0,IF($B160&gt;=AJ$33,AJ$25*(1+AJ$30)^(IF(AJ$28&gt;$B160,-1,1)*(YEARFRAC($B160,AJ$28)))*($D160-$D159),0))</f>
        <v>523.492882038734</v>
      </c>
      <c r="AK160" s="159" t="n">
        <f aca="false">IF($B160=" ",0,AK$25*(1+AK$30)^(IF(AK$28&gt;$B160,-1,1)*(YEARFRAC($B160,AK$28))))</f>
        <v>0.0299183375459663</v>
      </c>
      <c r="AL160" s="159" t="n">
        <f aca="false">IF($B160=" ",0,AL$25*AL$28)</f>
        <v>0.0575</v>
      </c>
      <c r="AM160" s="162" t="n">
        <f aca="false">+AI160+AJ160+SUM(AK160:AL160)*SUM($J160*$J$37,$K160*$K$37,$L160*$L$37,$M160*$M$37,$N160*$N$37,$O160*$O$37)/1000</f>
        <v>1442.37866602816</v>
      </c>
      <c r="AO160" s="163" t="n">
        <f aca="false">IF($B160=" ",0,$AO$25)</f>
        <v>0.25</v>
      </c>
      <c r="AP160" s="159" t="n">
        <f aca="false">IF($B160=" ",0,AP$25*AP$28)</f>
        <v>0.03105</v>
      </c>
      <c r="AQ160" s="162" t="n">
        <f aca="false">SUM(AO160:AP160)*SUM(0)/1000</f>
        <v>0</v>
      </c>
      <c r="AS160" s="155" t="n">
        <f aca="false">IF($B160=" ",0,AS$25)</f>
        <v>1</v>
      </c>
      <c r="AT160" s="156" t="n">
        <f aca="false">IF($B160=" ",0,AT$25)</f>
        <v>1</v>
      </c>
      <c r="AU160" s="156" t="n">
        <f aca="false">IF($B160=" ",0,AU$25)</f>
        <v>2.3</v>
      </c>
      <c r="AV160" s="157" t="n">
        <f aca="false">+AS160*SUM(J160:K160)/1000</f>
        <v>0</v>
      </c>
      <c r="AW160" s="157" t="n">
        <f aca="false">+AT160*SUM(L160:M160)/1000</f>
        <v>0</v>
      </c>
      <c r="AX160" s="157" t="n">
        <f aca="false">+AU160*SUM(N160:O160)/1000</f>
        <v>11537.9859375</v>
      </c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</row>
    <row r="161" customFormat="false" ht="12.75" hidden="true" customHeight="false" outlineLevel="1" collapsed="false">
      <c r="A161" s="164" t="n">
        <f aca="false">+IF(B161=" ",A160,B161)</f>
        <v>40179</v>
      </c>
      <c r="B161" s="148" t="n">
        <f aca="false">IF(B160=" "," ",IF(EDATE(B160,1)&gt;=EndDate," ",EDATE(B160,1)))</f>
        <v>40179</v>
      </c>
      <c r="C161" s="149" t="n">
        <f aca="false">IF($B161&lt;&gt;" ",C160+1,C160)</f>
        <v>111</v>
      </c>
      <c r="D161" s="150" t="n">
        <f aca="false">C161/12</f>
        <v>9.25</v>
      </c>
      <c r="F161" s="157" t="n">
        <f aca="false">+SUM($T161:$U161)</f>
        <v>14883.5779284771</v>
      </c>
      <c r="G161" s="152" t="n">
        <f aca="false">-SUM($AA161,$AG161,$AM161,$AQ161,$AV161:$AX161)</f>
        <v>-16609.0723674374</v>
      </c>
      <c r="H161" s="152" t="n">
        <f aca="false">+SUM(F161:G161)</f>
        <v>-1725.4944389603</v>
      </c>
      <c r="I161" s="124"/>
      <c r="J161" s="153" t="n">
        <f aca="false">+IF($B161=" ",0,IF(AND($B161&gt;=J$26,$B161&lt;J$28),J$33,0))</f>
        <v>0</v>
      </c>
      <c r="K161" s="153" t="n">
        <f aca="false">+IF($B161=" ",0,IF(AND($B161&gt;=K$26,$B161&lt;K$28),K$33,0))</f>
        <v>0</v>
      </c>
      <c r="L161" s="153" t="n">
        <f aca="false">+IF($B161=" ",0,IF(AND($B161&gt;=L$26,$B161&lt;L$28),L$33,0))</f>
        <v>0</v>
      </c>
      <c r="M161" s="153" t="n">
        <f aca="false">+IF($B161=" ",0,IF(AND($B161&gt;=M$26,$B161&lt;M$28),M$33,0))</f>
        <v>0</v>
      </c>
      <c r="N161" s="153" t="n">
        <f aca="false">+IF($B161=" ",0,IF(AND($B161&gt;=N$26,$B161&lt;N$28),N$33,0))</f>
        <v>0</v>
      </c>
      <c r="O161" s="154" t="n">
        <f aca="false">+IF($B161=" ",0,IF(AND($B161&gt;=O$26,$B161&lt;O$28),O$33,0))</f>
        <v>5016515.625</v>
      </c>
      <c r="Q161" s="83" t="n">
        <f aca="false">IF($B161=" ",0,IF($B161&lt;=DATE(2003,12,31),3.55,2.9))</f>
        <v>2.9</v>
      </c>
      <c r="R161" s="155" t="n">
        <f aca="false">IF($B161=" ",0,R$25)</f>
        <v>-0.07</v>
      </c>
      <c r="S161" s="156" t="n">
        <f aca="false">IF($B161=" ",0,S$25)</f>
        <v>0.1</v>
      </c>
      <c r="T161" s="157" t="n">
        <f aca="false">+SUM($Q161,$S161)/1000*(SUM($J161*$J$37,$K161*$K$37,$L161*$L$37,$M161*$M$37,$N161*$N$37,$O161*$O$37))</f>
        <v>14883.5779284771</v>
      </c>
      <c r="U161" s="157" t="n">
        <f aca="false">+SUM($Q161,$R161)/1000*(SUM(0))</f>
        <v>0</v>
      </c>
      <c r="W161" s="158" t="n">
        <f aca="false">IF($B161=" ",0,1)*(IF($B161&gt;=W$25,1,0)*IF($B161&lt;=W$29,W$27,IF($B161&lt;=W$33,W$31,0))*($D161-$D160)*365/1000)</f>
        <v>486.66666666667</v>
      </c>
      <c r="X161" s="158" t="n">
        <f aca="false">IF($B161=" ",0,IF($B161&gt;=X$25,IF($B161&lt;=X$29,X$27,IF($B161&lt;=X$33,X$31,X$31*(1+X$38)^(IF(X$36&gt;$B161,-1,1)*(YEARFRAC($B161,X$36)))))*($D161-$D160)*365/1000,0))</f>
        <v>413.913273230403</v>
      </c>
      <c r="Y161" s="159" t="n">
        <f aca="false">IF($B161=" ",0,Y$25*(1+Y$30)^(IF(Y$28&gt;$B161,-1,1)*(YEARFRAC($B161,Y$28))))</f>
        <v>0.520277555869393</v>
      </c>
      <c r="Z161" s="159" t="n">
        <f aca="false">IF($B161=" ",0,Z$25*(1+Z$30)^(IF(Z$28&gt;$B161,-1,1)*(YEARFRAC($B161,Z$28))))</f>
        <v>0.496672012977889</v>
      </c>
      <c r="AA161" s="162" t="n">
        <f aca="false">+W161+X161+Z161*SUM($J161*$J$37,$L161*$L$37,$N161*$N$37)/1000</f>
        <v>900.579939897073</v>
      </c>
      <c r="AB161" s="161"/>
      <c r="AC161" s="158" t="n">
        <f aca="false">IF($B161=" ",0,1)*(IF($B161&gt;=AC$25,1,0)*IF($B161&lt;=AC$29,AC$27,IF($B161&lt;=AC$33,AC$31,0))*($D161-$D160)*365/1000)</f>
        <v>1591.66666666668</v>
      </c>
      <c r="AD161" s="158" t="n">
        <f aca="false">IF($B161=" ",0,IF($B161&gt;=AD$25,IF($B161&lt;=AD$29,AD$27,IF($B161&lt;=AD$33,AD$31,AD$31*(1+AD$38)^(IF(AD$36&gt;$B161,-1,1)*(YEARFRAC($B161,AD$36)))))*($D161-$D160)*365/1000,0))</f>
        <v>368.473316228996</v>
      </c>
      <c r="AE161" s="159" t="n">
        <f aca="false">IF($B161=" ",0,AE$25*(1+AE$30)^(IF(AE$28&gt;$B161,-1,1)*(YEARFRAC($B161,AE$28))))</f>
        <v>0.431047204248018</v>
      </c>
      <c r="AF161" s="159" t="n">
        <f aca="false">IF($B161=" ",0,AF$25*(1+AF$30)^(IF(AF$28&gt;$B161,-1,1)*(YEARFRAC($B161,AF$28))))</f>
        <v>0.154658759344879</v>
      </c>
      <c r="AG161" s="162" t="n">
        <f aca="false">+AC161+AD161+AF161*SUM($K161*$K$37,$M161*$M$37,$O161*$O$37)/1000</f>
        <v>2727.43188190604</v>
      </c>
      <c r="AI161" s="158" t="n">
        <f aca="false">IF($B161=" ",0,1)*IF($B161&gt;=AI$33,AI$25*($D161-$D160),0)</f>
        <v>485.186570908337</v>
      </c>
      <c r="AJ161" s="158" t="n">
        <f aca="false">IF($B161=" ",0,IF($B161&gt;=AJ$33,AJ$25*(1+AJ$30)^(IF(AJ$28&gt;$B161,-1,1)*(YEARFRAC($B161,AJ$28)))*($D161-$D160),0))</f>
        <v>524.03508770504</v>
      </c>
      <c r="AK161" s="159" t="n">
        <f aca="false">IF($B161=" ",0,AK$25*(1+AK$30)^(IF(AK$28&gt;$B161,-1,1)*(YEARFRAC($B161,AK$28))))</f>
        <v>0.0299493253448459</v>
      </c>
      <c r="AL161" s="159" t="n">
        <f aca="false">IF($B161=" ",0,AL$25*AL$28)</f>
        <v>0.0575</v>
      </c>
      <c r="AM161" s="162" t="n">
        <f aca="false">+AI161+AJ161+SUM(AK161:AL161)*SUM($J161*$J$37,$K161*$K$37,$L161*$L$37,$M161*$M$37,$N161*$N$37,$O161*$O$37)/1000</f>
        <v>1443.0746081343</v>
      </c>
      <c r="AO161" s="163" t="n">
        <f aca="false">IF($B161=" ",0,$AO$25)</f>
        <v>0.25</v>
      </c>
      <c r="AP161" s="159" t="n">
        <f aca="false">IF($B161=" ",0,AP$25*AP$28)</f>
        <v>0.03105</v>
      </c>
      <c r="AQ161" s="162" t="n">
        <f aca="false">SUM(AO161:AP161)*SUM(0)/1000</f>
        <v>0</v>
      </c>
      <c r="AS161" s="155" t="n">
        <f aca="false">IF($B161=" ",0,AS$25)</f>
        <v>1</v>
      </c>
      <c r="AT161" s="156" t="n">
        <f aca="false">IF($B161=" ",0,AT$25)</f>
        <v>1</v>
      </c>
      <c r="AU161" s="156" t="n">
        <f aca="false">IF($B161=" ",0,AU$25)</f>
        <v>2.3</v>
      </c>
      <c r="AV161" s="157" t="n">
        <f aca="false">+AS161*SUM(J161:K161)/1000</f>
        <v>0</v>
      </c>
      <c r="AW161" s="157" t="n">
        <f aca="false">+AT161*SUM(L161:M161)/1000</f>
        <v>0</v>
      </c>
      <c r="AX161" s="157" t="n">
        <f aca="false">+AU161*SUM(N161:O161)/1000</f>
        <v>11537.9859375</v>
      </c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</row>
    <row r="162" customFormat="false" ht="12.75" hidden="true" customHeight="false" outlineLevel="1" collapsed="false">
      <c r="A162" s="164" t="n">
        <f aca="false">+IF(B162=" ",A161,B162)</f>
        <v>40210</v>
      </c>
      <c r="B162" s="148" t="n">
        <f aca="false">IF(B161=" "," ",IF(EDATE(B161,1)&gt;=EndDate," ",EDATE(B161,1)))</f>
        <v>40210</v>
      </c>
      <c r="C162" s="149" t="n">
        <f aca="false">IF($B162&lt;&gt;" ",C161+1,C161)</f>
        <v>112</v>
      </c>
      <c r="D162" s="150" t="n">
        <f aca="false">C162/12</f>
        <v>9.33333333333333</v>
      </c>
      <c r="F162" s="157" t="n">
        <f aca="false">+SUM($T162:$U162)</f>
        <v>14883.5779284771</v>
      </c>
      <c r="G162" s="152" t="n">
        <f aca="false">-SUM($AA162,$AG162,$AM162,$AQ162,$AV162:$AX162)</f>
        <v>-16611.9050931481</v>
      </c>
      <c r="H162" s="152" t="n">
        <f aca="false">+SUM(F162:G162)</f>
        <v>-1728.32716467098</v>
      </c>
      <c r="I162" s="124"/>
      <c r="J162" s="153" t="n">
        <f aca="false">+IF($B162=" ",0,IF(AND($B162&gt;=J$26,$B162&lt;J$28),J$33,0))</f>
        <v>0</v>
      </c>
      <c r="K162" s="153" t="n">
        <f aca="false">+IF($B162=" ",0,IF(AND($B162&gt;=K$26,$B162&lt;K$28),K$33,0))</f>
        <v>0</v>
      </c>
      <c r="L162" s="153" t="n">
        <f aca="false">+IF($B162=" ",0,IF(AND($B162&gt;=L$26,$B162&lt;L$28),L$33,0))</f>
        <v>0</v>
      </c>
      <c r="M162" s="153" t="n">
        <f aca="false">+IF($B162=" ",0,IF(AND($B162&gt;=M$26,$B162&lt;M$28),M$33,0))</f>
        <v>0</v>
      </c>
      <c r="N162" s="153" t="n">
        <f aca="false">+IF($B162=" ",0,IF(AND($B162&gt;=N$26,$B162&lt;N$28),N$33,0))</f>
        <v>0</v>
      </c>
      <c r="O162" s="154" t="n">
        <f aca="false">+IF($B162=" ",0,IF(AND($B162&gt;=O$26,$B162&lt;O$28),O$33,0))</f>
        <v>5016515.625</v>
      </c>
      <c r="Q162" s="83" t="n">
        <f aca="false">IF($B162=" ",0,IF($B162&lt;=DATE(2003,12,31),3.55,2.9))</f>
        <v>2.9</v>
      </c>
      <c r="R162" s="155" t="n">
        <f aca="false">IF($B162=" ",0,R$25)</f>
        <v>-0.07</v>
      </c>
      <c r="S162" s="156" t="n">
        <f aca="false">IF($B162=" ",0,S$25)</f>
        <v>0.1</v>
      </c>
      <c r="T162" s="157" t="n">
        <f aca="false">+SUM($Q162,$S162)/1000*(SUM($J162*$J$37,$K162*$K$37,$L162*$L$37,$M162*$M$37,$N162*$N$37,$O162*$O$37))</f>
        <v>14883.5779284771</v>
      </c>
      <c r="U162" s="157" t="n">
        <f aca="false">+SUM($Q162,$R162)/1000*(SUM(0))</f>
        <v>0</v>
      </c>
      <c r="W162" s="158" t="n">
        <f aca="false">IF($B162=" ",0,1)*(IF($B162&gt;=W$25,1,0)*IF($B162&lt;=W$29,W$27,IF($B162&lt;=W$33,W$31,0))*($D162-$D161)*365/1000)</f>
        <v>486.66666666667</v>
      </c>
      <c r="X162" s="158" t="n">
        <f aca="false">IF($B162=" ",0,IF($B162&gt;=X$25,IF($B162&lt;=X$29,X$27,IF($B162&lt;=X$33,X$31,X$31*(1+X$38)^(IF(X$36&gt;$B162,-1,1)*(YEARFRAC($B162,X$36)))))*($D162-$D161)*365/1000,0))</f>
        <v>414.483807535339</v>
      </c>
      <c r="Y162" s="159" t="n">
        <f aca="false">IF($B162=" ",0,Y$25*(1+Y$30)^(IF(Y$28&gt;$B162,-1,1)*(YEARFRAC($B162,Y$28))))</f>
        <v>0.520994701737646</v>
      </c>
      <c r="Z162" s="159" t="n">
        <f aca="false">IF($B162=" ",0,Z$25*(1+Z$30)^(IF(Z$28&gt;$B162,-1,1)*(YEARFRAC($B162,Z$28))))</f>
        <v>0.497356621179733</v>
      </c>
      <c r="AA162" s="162" t="n">
        <f aca="false">+W162+X162+Z162*SUM($J162*$J$37,$L162*$L$37,$N162*$N$37)/1000</f>
        <v>901.15047420201</v>
      </c>
      <c r="AB162" s="161"/>
      <c r="AC162" s="158" t="n">
        <f aca="false">IF($B162=" ",0,1)*(IF($B162&gt;=AC$25,1,0)*IF($B162&lt;=AC$29,AC$27,IF($B162&lt;=AC$33,AC$31,0))*($D162-$D161)*365/1000)</f>
        <v>1591.66666666668</v>
      </c>
      <c r="AD162" s="158" t="n">
        <f aca="false">IF($B162=" ",0,IF($B162&gt;=AD$25,IF($B162&lt;=AD$29,AD$27,IF($B162&lt;=AD$33,AD$31,AD$31*(1+AD$38)^(IF(AD$36&gt;$B162,-1,1)*(YEARFRAC($B162,AD$36)))))*($D162-$D161)*365/1000,0))</f>
        <v>368.981216508979</v>
      </c>
      <c r="AE162" s="159" t="n">
        <f aca="false">IF($B162=" ",0,AE$25*(1+AE$30)^(IF(AE$28&gt;$B162,-1,1)*(YEARFRAC($B162,AE$28))))</f>
        <v>0.431641355808201</v>
      </c>
      <c r="AF162" s="159" t="n">
        <f aca="false">IF($B162=" ",0,AF$25*(1+AF$30)^(IF(AF$28&gt;$B162,-1,1)*(YEARFRAC($B162,AF$28))))</f>
        <v>0.154871939577241</v>
      </c>
      <c r="AG162" s="162" t="n">
        <f aca="false">+AC162+AD162+AF162*SUM($K162*$K$37,$M162*$M$37,$O162*$O$37)/1000</f>
        <v>2728.99741038641</v>
      </c>
      <c r="AI162" s="158" t="n">
        <f aca="false">IF($B162=" ",0,1)*IF($B162&gt;=AI$33,AI$25*($D162-$D161),0)</f>
        <v>485.186570908337</v>
      </c>
      <c r="AJ162" s="158" t="n">
        <f aca="false">IF($B162=" ",0,IF($B162&gt;=AJ$33,AJ$25*(1+AJ$30)^(IF(AJ$28&gt;$B162,-1,1)*(YEARFRAC($B162,AJ$28)))*($D162-$D161),0))</f>
        <v>524.577854958693</v>
      </c>
      <c r="AK162" s="159" t="n">
        <f aca="false">IF($B162=" ",0,AK$25*(1+AK$30)^(IF(AK$28&gt;$B162,-1,1)*(YEARFRAC($B162,AK$28))))</f>
        <v>0.0299803452392147</v>
      </c>
      <c r="AL162" s="159" t="n">
        <f aca="false">IF($B162=" ",0,AL$25*AL$28)</f>
        <v>0.0575</v>
      </c>
      <c r="AM162" s="162" t="n">
        <f aca="false">+AI162+AJ162+SUM(AK162:AL162)*SUM($J162*$J$37,$K162*$K$37,$L162*$L$37,$M162*$M$37,$N162*$N$37,$O162*$O$37)/1000</f>
        <v>1443.77127105967</v>
      </c>
      <c r="AO162" s="163" t="n">
        <f aca="false">IF($B162=" ",0,$AO$25)</f>
        <v>0.25</v>
      </c>
      <c r="AP162" s="159" t="n">
        <f aca="false">IF($B162=" ",0,AP$25*AP$28)</f>
        <v>0.03105</v>
      </c>
      <c r="AQ162" s="162" t="n">
        <f aca="false">SUM(AO162:AP162)*SUM(0)/1000</f>
        <v>0</v>
      </c>
      <c r="AS162" s="155" t="n">
        <f aca="false">IF($B162=" ",0,AS$25)</f>
        <v>1</v>
      </c>
      <c r="AT162" s="156" t="n">
        <f aca="false">IF($B162=" ",0,AT$25)</f>
        <v>1</v>
      </c>
      <c r="AU162" s="156" t="n">
        <f aca="false">IF($B162=" ",0,AU$25)</f>
        <v>2.3</v>
      </c>
      <c r="AV162" s="157" t="n">
        <f aca="false">+AS162*SUM(J162:K162)/1000</f>
        <v>0</v>
      </c>
      <c r="AW162" s="157" t="n">
        <f aca="false">+AT162*SUM(L162:M162)/1000</f>
        <v>0</v>
      </c>
      <c r="AX162" s="157" t="n">
        <f aca="false">+AU162*SUM(N162:O162)/1000</f>
        <v>11537.9859375</v>
      </c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</row>
    <row r="163" customFormat="false" ht="12.75" hidden="true" customHeight="false" outlineLevel="1" collapsed="false">
      <c r="A163" s="164" t="n">
        <f aca="false">+IF(B163=" ",A162,B163)</f>
        <v>40238</v>
      </c>
      <c r="B163" s="148" t="n">
        <f aca="false">IF(B162=" "," ",IF(EDATE(B162,1)&gt;=EndDate," ",EDATE(B162,1)))</f>
        <v>40238</v>
      </c>
      <c r="C163" s="149" t="n">
        <f aca="false">IF($B163&lt;&gt;" ",C162+1,C162)</f>
        <v>113</v>
      </c>
      <c r="D163" s="150" t="n">
        <f aca="false">C163/12</f>
        <v>9.41666666666667</v>
      </c>
      <c r="F163" s="157" t="n">
        <f aca="false">+SUM($T163:$U163)</f>
        <v>14883.5779284771</v>
      </c>
      <c r="G163" s="152" t="n">
        <f aca="false">-SUM($AA163,$AG163,$AM163,$AQ163,$AV163:$AX163)</f>
        <v>-16614.7414847541</v>
      </c>
      <c r="H163" s="152" t="n">
        <f aca="false">+SUM(F163:G163)</f>
        <v>-1731.16355627702</v>
      </c>
      <c r="I163" s="124"/>
      <c r="J163" s="153" t="n">
        <f aca="false">+IF($B163=" ",0,IF(AND($B163&gt;=J$26,$B163&lt;J$28),J$33,0))</f>
        <v>0</v>
      </c>
      <c r="K163" s="153" t="n">
        <f aca="false">+IF($B163=" ",0,IF(AND($B163&gt;=K$26,$B163&lt;K$28),K$33,0))</f>
        <v>0</v>
      </c>
      <c r="L163" s="153" t="n">
        <f aca="false">+IF($B163=" ",0,IF(AND($B163&gt;=L$26,$B163&lt;L$28),L$33,0))</f>
        <v>0</v>
      </c>
      <c r="M163" s="153" t="n">
        <f aca="false">+IF($B163=" ",0,IF(AND($B163&gt;=M$26,$B163&lt;M$28),M$33,0))</f>
        <v>0</v>
      </c>
      <c r="N163" s="153" t="n">
        <f aca="false">+IF($B163=" ",0,IF(AND($B163&gt;=N$26,$B163&lt;N$28),N$33,0))</f>
        <v>0</v>
      </c>
      <c r="O163" s="154" t="n">
        <f aca="false">+IF($B163=" ",0,IF(AND($B163&gt;=O$26,$B163&lt;O$28),O$33,0))</f>
        <v>5016515.625</v>
      </c>
      <c r="Q163" s="83" t="n">
        <f aca="false">IF($B163=" ",0,IF($B163&lt;=DATE(2003,12,31),3.55,2.9))</f>
        <v>2.9</v>
      </c>
      <c r="R163" s="155" t="n">
        <f aca="false">IF($B163=" ",0,R$25)</f>
        <v>-0.07</v>
      </c>
      <c r="S163" s="156" t="n">
        <f aca="false">IF($B163=" ",0,S$25)</f>
        <v>0.1</v>
      </c>
      <c r="T163" s="157" t="n">
        <f aca="false">+SUM($Q163,$S163)/1000*(SUM($J163*$J$37,$K163*$K$37,$L163*$L$37,$M163*$M$37,$N163*$N$37,$O163*$O$37))</f>
        <v>14883.5779284771</v>
      </c>
      <c r="U163" s="157" t="n">
        <f aca="false">+SUM($Q163,$R163)/1000*(SUM(0))</f>
        <v>0</v>
      </c>
      <c r="W163" s="158" t="n">
        <f aca="false">IF($B163=" ",0,1)*(IF($B163&gt;=W$25,1,0)*IF($B163&lt;=W$29,W$27,IF($B163&lt;=W$33,W$31,0))*($D163-$D162)*365/1000)</f>
        <v>486.66666666666</v>
      </c>
      <c r="X163" s="158" t="n">
        <f aca="false">IF($B163=" ",0,IF($B163&gt;=X$25,IF($B163&lt;=X$29,X$27,IF($B163&lt;=X$33,X$31,X$31*(1+X$38)^(IF(X$36&gt;$B163,-1,1)*(YEARFRAC($B163,X$36)))))*($D163-$D162)*365/1000,0))</f>
        <v>415.055128259583</v>
      </c>
      <c r="Y163" s="159" t="n">
        <f aca="false">IF($B163=" ",0,Y$25*(1+Y$30)^(IF(Y$28&gt;$B163,-1,1)*(YEARFRAC($B163,Y$28))))</f>
        <v>0.521712836113264</v>
      </c>
      <c r="Z163" s="159" t="n">
        <f aca="false">IF($B163=" ",0,Z$25*(1+Z$30)^(IF(Z$28&gt;$B163,-1,1)*(YEARFRAC($B163,Z$28))))</f>
        <v>0.498042173039319</v>
      </c>
      <c r="AA163" s="162" t="n">
        <f aca="false">+W163+X163+Z163*SUM($J163*$J$37,$L163*$L$37,$N163*$N$37)/1000</f>
        <v>901.721794926242</v>
      </c>
      <c r="AB163" s="161"/>
      <c r="AC163" s="158" t="n">
        <f aca="false">IF($B163=" ",0,1)*(IF($B163&gt;=AC$25,1,0)*IF($B163&lt;=AC$29,AC$27,IF($B163&lt;=AC$33,AC$31,0))*($D163-$D162)*365/1000)</f>
        <v>1591.66666666664</v>
      </c>
      <c r="AD163" s="158" t="n">
        <f aca="false">IF($B163=" ",0,IF($B163&gt;=AD$25,IF($B163&lt;=AD$29,AD$27,IF($B163&lt;=AD$33,AD$31,AD$31*(1+AD$38)^(IF(AD$36&gt;$B163,-1,1)*(YEARFRAC($B163,AD$36)))))*($D163-$D162)*365/1000,0))</f>
        <v>369.489816874097</v>
      </c>
      <c r="AE163" s="159" t="n">
        <f aca="false">IF($B163=" ",0,AE$25*(1+AE$30)^(IF(AE$28&gt;$B163,-1,1)*(YEARFRAC($B163,AE$28))))</f>
        <v>0.432236326341511</v>
      </c>
      <c r="AF163" s="159" t="n">
        <f aca="false">IF($B163=" ",0,AF$25*(1+AF$30)^(IF(AF$28&gt;$B163,-1,1)*(YEARFRAC($B163,AF$28))))</f>
        <v>0.155085413655304</v>
      </c>
      <c r="AG163" s="162" t="n">
        <f aca="false">+AC163+AD163+AF163*SUM($K163*$K$37,$M163*$M$37,$O163*$O$37)/1000</f>
        <v>2730.56509677702</v>
      </c>
      <c r="AI163" s="158" t="n">
        <f aca="false">IF($B163=" ",0,1)*IF($B163&gt;=AI$33,AI$25*($D163-$D162),0)</f>
        <v>485.186570908327</v>
      </c>
      <c r="AJ163" s="158" t="n">
        <f aca="false">IF($B163=" ",0,IF($B163&gt;=AJ$33,AJ$25*(1+AJ$30)^(IF(AJ$28&gt;$B163,-1,1)*(YEARFRAC($B163,AJ$28)))*($D163-$D162),0))</f>
        <v>525.121184381354</v>
      </c>
      <c r="AK163" s="159" t="n">
        <f aca="false">IF($B163=" ",0,AK$25*(1+AK$30)^(IF(AK$28&gt;$B163,-1,1)*(YEARFRAC($B163,AK$28))))</f>
        <v>0.0300113972623155</v>
      </c>
      <c r="AL163" s="159" t="n">
        <f aca="false">IF($B163=" ",0,AL$25*AL$28)</f>
        <v>0.0575</v>
      </c>
      <c r="AM163" s="162" t="n">
        <f aca="false">+AI163+AJ163+SUM(AK163:AL163)*SUM($J163*$J$37,$K163*$K$37,$L163*$L$37,$M163*$M$37,$N163*$N$37,$O163*$O$37)/1000</f>
        <v>1444.46865555088</v>
      </c>
      <c r="AO163" s="163" t="n">
        <f aca="false">IF($B163=" ",0,$AO$25)</f>
        <v>0.25</v>
      </c>
      <c r="AP163" s="159" t="n">
        <f aca="false">IF($B163=" ",0,AP$25*AP$28)</f>
        <v>0.03105</v>
      </c>
      <c r="AQ163" s="162" t="n">
        <f aca="false">SUM(AO163:AP163)*SUM(0)/1000</f>
        <v>0</v>
      </c>
      <c r="AS163" s="155" t="n">
        <f aca="false">IF($B163=" ",0,AS$25)</f>
        <v>1</v>
      </c>
      <c r="AT163" s="156" t="n">
        <f aca="false">IF($B163=" ",0,AT$25)</f>
        <v>1</v>
      </c>
      <c r="AU163" s="156" t="n">
        <f aca="false">IF($B163=" ",0,AU$25)</f>
        <v>2.3</v>
      </c>
      <c r="AV163" s="157" t="n">
        <f aca="false">+AS163*SUM(J163:K163)/1000</f>
        <v>0</v>
      </c>
      <c r="AW163" s="157" t="n">
        <f aca="false">+AT163*SUM(L163:M163)/1000</f>
        <v>0</v>
      </c>
      <c r="AX163" s="157" t="n">
        <f aca="false">+AU163*SUM(N163:O163)/1000</f>
        <v>11537.9859375</v>
      </c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</row>
    <row r="164" customFormat="false" ht="12.75" hidden="true" customHeight="false" outlineLevel="1" collapsed="false">
      <c r="A164" s="164" t="n">
        <f aca="false">+IF(B164=" ",A163,B164)</f>
        <v>40269</v>
      </c>
      <c r="B164" s="148" t="n">
        <f aca="false">IF(B163=" "," ",IF(EDATE(B163,1)&gt;=EndDate," ",EDATE(B163,1)))</f>
        <v>40269</v>
      </c>
      <c r="C164" s="149" t="n">
        <f aca="false">IF($B164&lt;&gt;" ",C163+1,C163)</f>
        <v>114</v>
      </c>
      <c r="D164" s="150" t="n">
        <f aca="false">C164/12</f>
        <v>9.5</v>
      </c>
      <c r="F164" s="157" t="n">
        <f aca="false">+SUM($T164:$U164)</f>
        <v>14883.5779284771</v>
      </c>
      <c r="G164" s="152" t="n">
        <f aca="false">-SUM($AA164,$AG164,$AM164,$AQ164,$AV164:$AX164)</f>
        <v>-16617.5815470616</v>
      </c>
      <c r="H164" s="152" t="n">
        <f aca="false">+SUM(F164:G164)</f>
        <v>-1734.00361858446</v>
      </c>
      <c r="I164" s="124"/>
      <c r="J164" s="153" t="n">
        <f aca="false">+IF($B164=" ",0,IF(AND($B164&gt;=J$26,$B164&lt;J$28),J$33,0))</f>
        <v>0</v>
      </c>
      <c r="K164" s="153" t="n">
        <f aca="false">+IF($B164=" ",0,IF(AND($B164&gt;=K$26,$B164&lt;K$28),K$33,0))</f>
        <v>0</v>
      </c>
      <c r="L164" s="153" t="n">
        <f aca="false">+IF($B164=" ",0,IF(AND($B164&gt;=L$26,$B164&lt;L$28),L$33,0))</f>
        <v>0</v>
      </c>
      <c r="M164" s="153" t="n">
        <f aca="false">+IF($B164=" ",0,IF(AND($B164&gt;=M$26,$B164&lt;M$28),M$33,0))</f>
        <v>0</v>
      </c>
      <c r="N164" s="153" t="n">
        <f aca="false">+IF($B164=" ",0,IF(AND($B164&gt;=N$26,$B164&lt;N$28),N$33,0))</f>
        <v>0</v>
      </c>
      <c r="O164" s="154" t="n">
        <f aca="false">+IF($B164=" ",0,IF(AND($B164&gt;=O$26,$B164&lt;O$28),O$33,0))</f>
        <v>5016515.625</v>
      </c>
      <c r="Q164" s="83" t="n">
        <f aca="false">IF($B164=" ",0,IF($B164&lt;=DATE(2003,12,31),3.55,2.9))</f>
        <v>2.9</v>
      </c>
      <c r="R164" s="155" t="n">
        <f aca="false">IF($B164=" ",0,R$25)</f>
        <v>-0.07</v>
      </c>
      <c r="S164" s="156" t="n">
        <f aca="false">IF($B164=" ",0,S$25)</f>
        <v>0.1</v>
      </c>
      <c r="T164" s="157" t="n">
        <f aca="false">+SUM($Q164,$S164)/1000*(SUM($J164*$J$37,$K164*$K$37,$L164*$L$37,$M164*$M$37,$N164*$N$37,$O164*$O$37))</f>
        <v>14883.5779284771</v>
      </c>
      <c r="U164" s="157" t="n">
        <f aca="false">+SUM($Q164,$R164)/1000*(SUM(0))</f>
        <v>0</v>
      </c>
      <c r="W164" s="158" t="n">
        <f aca="false">IF($B164=" ",0,1)*(IF($B164&gt;=W$25,1,0)*IF($B164&lt;=W$29,W$27,IF($B164&lt;=W$33,W$31,0))*($D164-$D163)*365/1000)</f>
        <v>486.66666666667</v>
      </c>
      <c r="X164" s="158" t="n">
        <f aca="false">IF($B164=" ",0,IF($B164&gt;=X$25,IF($B164&lt;=X$29,X$27,IF($B164&lt;=X$33,X$31,X$31*(1+X$38)^(IF(X$36&gt;$B164,-1,1)*(YEARFRAC($B164,X$36)))))*($D164-$D163)*365/1000,0))</f>
        <v>415.627236487153</v>
      </c>
      <c r="Y164" s="159" t="n">
        <f aca="false">IF($B164=" ",0,Y$25*(1+Y$30)^(IF(Y$28&gt;$B164,-1,1)*(YEARFRAC($B164,Y$28))))</f>
        <v>0.522431960358798</v>
      </c>
      <c r="Z164" s="159" t="n">
        <f aca="false">IF($B164=" ",0,Z$25*(1+Z$30)^(IF(Z$28&gt;$B164,-1,1)*(YEARFRAC($B164,Z$28))))</f>
        <v>0.498728669857375</v>
      </c>
      <c r="AA164" s="162" t="n">
        <f aca="false">+W164+X164+Z164*SUM($J164*$J$37,$L164*$L$37,$N164*$N$37)/1000</f>
        <v>902.293903153823</v>
      </c>
      <c r="AB164" s="161"/>
      <c r="AC164" s="158" t="n">
        <f aca="false">IF($B164=" ",0,1)*(IF($B164&gt;=AC$25,1,0)*IF($B164&lt;=AC$29,AC$27,IF($B164&lt;=AC$33,AC$31,0))*($D164-$D163)*365/1000)</f>
        <v>1591.66666666668</v>
      </c>
      <c r="AD164" s="158" t="n">
        <f aca="false">IF($B164=" ",0,IF($B164&gt;=AD$25,IF($B164&lt;=AD$29,AD$27,IF($B164&lt;=AD$33,AD$31,AD$31*(1+AD$38)^(IF(AD$36&gt;$B164,-1,1)*(YEARFRAC($B164,AD$36)))))*($D164-$D163)*365/1000,0))</f>
        <v>369.999118289366</v>
      </c>
      <c r="AE164" s="159" t="n">
        <f aca="false">IF($B164=" ",0,AE$25*(1+AE$30)^(IF(AE$28&gt;$B164,-1,1)*(YEARFRAC($B164,AE$28))))</f>
        <v>0.432832116976812</v>
      </c>
      <c r="AF164" s="159" t="n">
        <f aca="false">IF($B164=" ",0,AF$25*(1+AF$30)^(IF(AF$28&gt;$B164,-1,1)*(YEARFRAC($B164,AF$28))))</f>
        <v>0.155299181984102</v>
      </c>
      <c r="AG164" s="162" t="n">
        <f aca="false">+AC164+AD164+AF164*SUM($K164*$K$37,$M164*$M$37,$O164*$O$37)/1000</f>
        <v>2732.13494405242</v>
      </c>
      <c r="AI164" s="158" t="n">
        <f aca="false">IF($B164=" ",0,1)*IF($B164&gt;=AI$33,AI$25*($D164-$D163),0)</f>
        <v>485.186570908337</v>
      </c>
      <c r="AJ164" s="158" t="n">
        <f aca="false">IF($B164=" ",0,IF($B164&gt;=AJ$33,AJ$25*(1+AJ$30)^(IF(AJ$28&gt;$B164,-1,1)*(YEARFRAC($B164,AJ$28)))*($D164-$D163),0))</f>
        <v>525.665076555322</v>
      </c>
      <c r="AK164" s="159" t="n">
        <f aca="false">IF($B164=" ",0,AK$25*(1+AK$30)^(IF(AK$28&gt;$B164,-1,1)*(YEARFRAC($B164,AK$28))))</f>
        <v>0.0300424814474255</v>
      </c>
      <c r="AL164" s="159" t="n">
        <f aca="false">IF($B164=" ",0,AL$25*AL$28)</f>
        <v>0.0575</v>
      </c>
      <c r="AM164" s="162" t="n">
        <f aca="false">+AI164+AJ164+SUM(AK164:AL164)*SUM($J164*$J$37,$K164*$K$37,$L164*$L$37,$M164*$M$37,$N164*$N$37,$O164*$O$37)/1000</f>
        <v>1445.16676235533</v>
      </c>
      <c r="AO164" s="163" t="n">
        <f aca="false">IF($B164=" ",0,$AO$25)</f>
        <v>0.25</v>
      </c>
      <c r="AP164" s="159" t="n">
        <f aca="false">IF($B164=" ",0,AP$25*AP$28)</f>
        <v>0.03105</v>
      </c>
      <c r="AQ164" s="162" t="n">
        <f aca="false">SUM(AO164:AP164)*SUM(0)/1000</f>
        <v>0</v>
      </c>
      <c r="AS164" s="155" t="n">
        <f aca="false">IF($B164=" ",0,AS$25)</f>
        <v>1</v>
      </c>
      <c r="AT164" s="156" t="n">
        <f aca="false">IF($B164=" ",0,AT$25)</f>
        <v>1</v>
      </c>
      <c r="AU164" s="156" t="n">
        <f aca="false">IF($B164=" ",0,AU$25)</f>
        <v>2.3</v>
      </c>
      <c r="AV164" s="157" t="n">
        <f aca="false">+AS164*SUM(J164:K164)/1000</f>
        <v>0</v>
      </c>
      <c r="AW164" s="157" t="n">
        <f aca="false">+AT164*SUM(L164:M164)/1000</f>
        <v>0</v>
      </c>
      <c r="AX164" s="157" t="n">
        <f aca="false">+AU164*SUM(N164:O164)/1000</f>
        <v>11537.9859375</v>
      </c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</row>
    <row r="165" customFormat="false" ht="12.75" hidden="true" customHeight="false" outlineLevel="1" collapsed="false">
      <c r="A165" s="164" t="n">
        <f aca="false">+IF(B165=" ",A164,B165)</f>
        <v>40299</v>
      </c>
      <c r="B165" s="148" t="n">
        <f aca="false">IF(B164=" "," ",IF(EDATE(B164,1)&gt;=EndDate," ",EDATE(B164,1)))</f>
        <v>40299</v>
      </c>
      <c r="C165" s="149" t="n">
        <f aca="false">IF($B165&lt;&gt;" ",C164+1,C164)</f>
        <v>115</v>
      </c>
      <c r="D165" s="150" t="n">
        <f aca="false">C165/12</f>
        <v>9.58333333333333</v>
      </c>
      <c r="F165" s="157" t="n">
        <f aca="false">+SUM($T165:$U165)</f>
        <v>14883.5779284771</v>
      </c>
      <c r="G165" s="152" t="n">
        <f aca="false">-SUM($AA165,$AG165,$AM165,$AQ165,$AV165:$AX165)</f>
        <v>-16620.4252848823</v>
      </c>
      <c r="H165" s="152" t="n">
        <f aca="false">+SUM(F165:G165)</f>
        <v>-1736.84735640521</v>
      </c>
      <c r="I165" s="124"/>
      <c r="J165" s="153" t="n">
        <f aca="false">+IF($B165=" ",0,IF(AND($B165&gt;=J$26,$B165&lt;J$28),J$33,0))</f>
        <v>0</v>
      </c>
      <c r="K165" s="153" t="n">
        <f aca="false">+IF($B165=" ",0,IF(AND($B165&gt;=K$26,$B165&lt;K$28),K$33,0))</f>
        <v>0</v>
      </c>
      <c r="L165" s="153" t="n">
        <f aca="false">+IF($B165=" ",0,IF(AND($B165&gt;=L$26,$B165&lt;L$28),L$33,0))</f>
        <v>0</v>
      </c>
      <c r="M165" s="153" t="n">
        <f aca="false">+IF($B165=" ",0,IF(AND($B165&gt;=M$26,$B165&lt;M$28),M$33,0))</f>
        <v>0</v>
      </c>
      <c r="N165" s="153" t="n">
        <f aca="false">+IF($B165=" ",0,IF(AND($B165&gt;=N$26,$B165&lt;N$28),N$33,0))</f>
        <v>0</v>
      </c>
      <c r="O165" s="154" t="n">
        <f aca="false">+IF($B165=" ",0,IF(AND($B165&gt;=O$26,$B165&lt;O$28),O$33,0))</f>
        <v>5016515.625</v>
      </c>
      <c r="Q165" s="83" t="n">
        <f aca="false">IF($B165=" ",0,IF($B165&lt;=DATE(2003,12,31),3.55,2.9))</f>
        <v>2.9</v>
      </c>
      <c r="R165" s="155" t="n">
        <f aca="false">IF($B165=" ",0,R$25)</f>
        <v>-0.07</v>
      </c>
      <c r="S165" s="156" t="n">
        <f aca="false">IF($B165=" ",0,S$25)</f>
        <v>0.1</v>
      </c>
      <c r="T165" s="157" t="n">
        <f aca="false">+SUM($Q165,$S165)/1000*(SUM($J165*$J$37,$K165*$K$37,$L165*$L$37,$M165*$M$37,$N165*$N$37,$O165*$O$37))</f>
        <v>14883.5779284771</v>
      </c>
      <c r="U165" s="157" t="n">
        <f aca="false">+SUM($Q165,$R165)/1000*(SUM(0))</f>
        <v>0</v>
      </c>
      <c r="W165" s="158" t="n">
        <f aca="false">IF($B165=" ",0,1)*(IF($B165&gt;=W$25,1,0)*IF($B165&lt;=W$29,W$27,IF($B165&lt;=W$33,W$31,0))*($D165-$D164)*365/1000)</f>
        <v>486.66666666667</v>
      </c>
      <c r="X165" s="158" t="n">
        <f aca="false">IF($B165=" ",0,IF($B165&gt;=X$25,IF($B165&lt;=X$29,X$27,IF($B165&lt;=X$33,X$31,X$31*(1+X$38)^(IF(X$36&gt;$B165,-1,1)*(YEARFRAC($B165,X$36)))))*($D165-$D164)*365/1000,0))</f>
        <v>416.200133303511</v>
      </c>
      <c r="Y165" s="159" t="n">
        <f aca="false">IF($B165=" ",0,Y$25*(1+Y$30)^(IF(Y$28&gt;$B165,-1,1)*(YEARFRAC($B165,Y$28))))</f>
        <v>0.523152075838676</v>
      </c>
      <c r="Z165" s="159" t="n">
        <f aca="false">IF($B165=" ",0,Z$25*(1+Z$30)^(IF(Z$28&gt;$B165,-1,1)*(YEARFRAC($B165,Z$28))))</f>
        <v>0.499416112936425</v>
      </c>
      <c r="AA165" s="162" t="n">
        <f aca="false">+W165+X165+Z165*SUM($J165*$J$37,$L165*$L$37,$N165*$N$37)/1000</f>
        <v>902.866799970181</v>
      </c>
      <c r="AB165" s="161"/>
      <c r="AC165" s="158" t="n">
        <f aca="false">IF($B165=" ",0,1)*(IF($B165&gt;=AC$25,1,0)*IF($B165&lt;=AC$29,AC$27,IF($B165&lt;=AC$33,AC$31,0))*($D165-$D164)*365/1000)</f>
        <v>1591.66666666668</v>
      </c>
      <c r="AD165" s="158" t="n">
        <f aca="false">IF($B165=" ",0,IF($B165&gt;=AD$25,IF($B165&lt;=AD$29,AD$27,IF($B165&lt;=AD$33,AD$31,AD$31*(1+AD$38)^(IF(AD$36&gt;$B165,-1,1)*(YEARFRAC($B165,AD$36)))))*($D165-$D164)*365/1000,0))</f>
        <v>370.509121721082</v>
      </c>
      <c r="AE165" s="159" t="n">
        <f aca="false">IF($B165=" ",0,AE$25*(1+AE$30)^(IF(AE$28&gt;$B165,-1,1)*(YEARFRAC($B165,AE$28))))</f>
        <v>0.433428728844526</v>
      </c>
      <c r="AF165" s="159" t="n">
        <f aca="false">IF($B165=" ",0,AF$25*(1+AF$30)^(IF(AF$28&gt;$B165,-1,1)*(YEARFRAC($B165,AF$28))))</f>
        <v>0.155513244969227</v>
      </c>
      <c r="AG165" s="162" t="n">
        <f aca="false">+AC165+AD165+AF165*SUM($K165*$K$37,$M165*$M$37,$O165*$O$37)/1000</f>
        <v>2733.70695519104</v>
      </c>
      <c r="AI165" s="158" t="n">
        <f aca="false">IF($B165=" ",0,1)*IF($B165&gt;=AI$33,AI$25*($D165-$D164),0)</f>
        <v>485.186570908337</v>
      </c>
      <c r="AJ165" s="158" t="n">
        <f aca="false">IF($B165=" ",0,IF($B165&gt;=AJ$33,AJ$25*(1+AJ$30)^(IF(AJ$28&gt;$B165,-1,1)*(YEARFRAC($B165,AJ$28)))*($D165-$D164),0))</f>
        <v>526.20953206343</v>
      </c>
      <c r="AK165" s="159" t="n">
        <f aca="false">IF($B165=" ",0,AK$25*(1+AK$30)^(IF(AK$28&gt;$B165,-1,1)*(YEARFRAC($B165,AK$28))))</f>
        <v>0.0300735978278563</v>
      </c>
      <c r="AL165" s="159" t="n">
        <f aca="false">IF($B165=" ",0,AL$25*AL$28)</f>
        <v>0.0575</v>
      </c>
      <c r="AM165" s="162" t="n">
        <f aca="false">+AI165+AJ165+SUM(AK165:AL165)*SUM($J165*$J$37,$K165*$K$37,$L165*$L$37,$M165*$M$37,$N165*$N$37,$O165*$O$37)/1000</f>
        <v>1445.8655922211</v>
      </c>
      <c r="AO165" s="163" t="n">
        <f aca="false">IF($B165=" ",0,$AO$25)</f>
        <v>0.25</v>
      </c>
      <c r="AP165" s="159" t="n">
        <f aca="false">IF($B165=" ",0,AP$25*AP$28)</f>
        <v>0.03105</v>
      </c>
      <c r="AQ165" s="162" t="n">
        <f aca="false">SUM(AO165:AP165)*SUM(0)/1000</f>
        <v>0</v>
      </c>
      <c r="AS165" s="155" t="n">
        <f aca="false">IF($B165=" ",0,AS$25)</f>
        <v>1</v>
      </c>
      <c r="AT165" s="156" t="n">
        <f aca="false">IF($B165=" ",0,AT$25)</f>
        <v>1</v>
      </c>
      <c r="AU165" s="156" t="n">
        <f aca="false">IF($B165=" ",0,AU$25)</f>
        <v>2.3</v>
      </c>
      <c r="AV165" s="157" t="n">
        <f aca="false">+AS165*SUM(J165:K165)/1000</f>
        <v>0</v>
      </c>
      <c r="AW165" s="157" t="n">
        <f aca="false">+AT165*SUM(L165:M165)/1000</f>
        <v>0</v>
      </c>
      <c r="AX165" s="157" t="n">
        <f aca="false">+AU165*SUM(N165:O165)/1000</f>
        <v>11537.9859375</v>
      </c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</row>
    <row r="166" customFormat="false" ht="12.75" hidden="true" customHeight="false" outlineLevel="1" collapsed="false">
      <c r="A166" s="164" t="n">
        <f aca="false">+IF(B166=" ",A165,B166)</f>
        <v>40330</v>
      </c>
      <c r="B166" s="148" t="n">
        <f aca="false">IF(B165=" "," ",IF(EDATE(B165,1)&gt;=EndDate," ",EDATE(B165,1)))</f>
        <v>40330</v>
      </c>
      <c r="C166" s="149" t="n">
        <f aca="false">IF($B166&lt;&gt;" ",C165+1,C165)</f>
        <v>116</v>
      </c>
      <c r="D166" s="150" t="n">
        <f aca="false">C166/12</f>
        <v>9.66666666666667</v>
      </c>
      <c r="F166" s="157" t="n">
        <f aca="false">+SUM($T166:$U166)</f>
        <v>14883.5779284771</v>
      </c>
      <c r="G166" s="152" t="n">
        <f aca="false">-SUM($AA166,$AG166,$AM166,$AQ166,$AV166:$AX166)</f>
        <v>-16623.2727030349</v>
      </c>
      <c r="H166" s="152" t="n">
        <f aca="false">+SUM(F166:G166)</f>
        <v>-1739.69477455781</v>
      </c>
      <c r="I166" s="124"/>
      <c r="J166" s="153" t="n">
        <f aca="false">+IF($B166=" ",0,IF(AND($B166&gt;=J$26,$B166&lt;J$28),J$33,0))</f>
        <v>0</v>
      </c>
      <c r="K166" s="153" t="n">
        <f aca="false">+IF($B166=" ",0,IF(AND($B166&gt;=K$26,$B166&lt;K$28),K$33,0))</f>
        <v>0</v>
      </c>
      <c r="L166" s="153" t="n">
        <f aca="false">+IF($B166=" ",0,IF(AND($B166&gt;=L$26,$B166&lt;L$28),L$33,0))</f>
        <v>0</v>
      </c>
      <c r="M166" s="153" t="n">
        <f aca="false">+IF($B166=" ",0,IF(AND($B166&gt;=M$26,$B166&lt;M$28),M$33,0))</f>
        <v>0</v>
      </c>
      <c r="N166" s="153" t="n">
        <f aca="false">+IF($B166=" ",0,IF(AND($B166&gt;=N$26,$B166&lt;N$28),N$33,0))</f>
        <v>0</v>
      </c>
      <c r="O166" s="154" t="n">
        <f aca="false">+IF($B166=" ",0,IF(AND($B166&gt;=O$26,$B166&lt;O$28),O$33,0))</f>
        <v>5016515.625</v>
      </c>
      <c r="Q166" s="83" t="n">
        <f aca="false">IF($B166=" ",0,IF($B166&lt;=DATE(2003,12,31),3.55,2.9))</f>
        <v>2.9</v>
      </c>
      <c r="R166" s="155" t="n">
        <f aca="false">IF($B166=" ",0,R$25)</f>
        <v>-0.07</v>
      </c>
      <c r="S166" s="156" t="n">
        <f aca="false">IF($B166=" ",0,S$25)</f>
        <v>0.1</v>
      </c>
      <c r="T166" s="157" t="n">
        <f aca="false">+SUM($Q166,$S166)/1000*(SUM($J166*$J$37,$K166*$K$37,$L166*$L$37,$M166*$M$37,$N166*$N$37,$O166*$O$37))</f>
        <v>14883.5779284771</v>
      </c>
      <c r="U166" s="157" t="n">
        <f aca="false">+SUM($Q166,$R166)/1000*(SUM(0))</f>
        <v>0</v>
      </c>
      <c r="W166" s="158" t="n">
        <f aca="false">IF($B166=" ",0,1)*(IF($B166&gt;=W$25,1,0)*IF($B166&lt;=W$29,W$27,IF($B166&lt;=W$33,W$31,0))*($D166-$D165)*365/1000)</f>
        <v>486.66666666666</v>
      </c>
      <c r="X166" s="158" t="n">
        <f aca="false">IF($B166=" ",0,IF($B166&gt;=X$25,IF($B166&lt;=X$29,X$27,IF($B166&lt;=X$33,X$31,X$31*(1+X$38)^(IF(X$36&gt;$B166,-1,1)*(YEARFRAC($B166,X$36)))))*($D166-$D165)*365/1000,0))</f>
        <v>416.773819795639</v>
      </c>
      <c r="Y166" s="159" t="n">
        <f aca="false">IF($B166=" ",0,Y$25*(1+Y$30)^(IF(Y$28&gt;$B166,-1,1)*(YEARFRAC($B166,Y$28))))</f>
        <v>0.523873183919205</v>
      </c>
      <c r="Z166" s="159" t="n">
        <f aca="false">IF($B166=" ",0,Z$25*(1+Z$30)^(IF(Z$28&gt;$B166,-1,1)*(YEARFRAC($B166,Z$28))))</f>
        <v>0.500104503580785</v>
      </c>
      <c r="AA166" s="162" t="n">
        <f aca="false">+W166+X166+Z166*SUM($J166*$J$37,$L166*$L$37,$N166*$N$37)/1000</f>
        <v>903.440486462299</v>
      </c>
      <c r="AB166" s="161"/>
      <c r="AC166" s="158" t="n">
        <f aca="false">IF($B166=" ",0,1)*(IF($B166&gt;=AC$25,1,0)*IF($B166&lt;=AC$29,AC$27,IF($B166&lt;=AC$33,AC$31,0))*($D166-$D165)*365/1000)</f>
        <v>1591.66666666664</v>
      </c>
      <c r="AD166" s="158" t="n">
        <f aca="false">IF($B166=" ",0,IF($B166&gt;=AD$25,IF($B166&lt;=AD$29,AD$27,IF($B166&lt;=AD$33,AD$31,AD$31*(1+AD$38)^(IF(AD$36&gt;$B166,-1,1)*(YEARFRAC($B166,AD$36)))))*($D166-$D165)*365/1000,0))</f>
        <v>371.019828136899</v>
      </c>
      <c r="AE166" s="159" t="n">
        <f aca="false">IF($B166=" ",0,AE$25*(1+AE$30)^(IF(AE$28&gt;$B166,-1,1)*(YEARFRAC($B166,AE$28))))</f>
        <v>0.434026163076632</v>
      </c>
      <c r="AF166" s="159" t="n">
        <f aca="false">IF($B166=" ",0,AF$25*(1+AF$30)^(IF(AF$28&gt;$B166,-1,1)*(YEARFRAC($B166,AF$28))))</f>
        <v>0.155727603016831</v>
      </c>
      <c r="AG166" s="162" t="n">
        <f aca="false">+AC166+AD166+AF166*SUM($K166*$K$37,$M166*$M$37,$O166*$O$37)/1000</f>
        <v>2735.28113317552</v>
      </c>
      <c r="AI166" s="158" t="n">
        <f aca="false">IF($B166=" ",0,1)*IF($B166&gt;=AI$33,AI$25*($D166-$D165),0)</f>
        <v>485.186570908327</v>
      </c>
      <c r="AJ166" s="158" t="n">
        <f aca="false">IF($B166=" ",0,IF($B166&gt;=AJ$33,AJ$25*(1+AJ$30)^(IF(AJ$28&gt;$B166,-1,1)*(YEARFRAC($B166,AJ$28)))*($D166-$D165),0))</f>
        <v>526.75455148915</v>
      </c>
      <c r="AK166" s="159" t="n">
        <f aca="false">IF($B166=" ",0,AK$25*(1+AK$30)^(IF(AK$28&gt;$B166,-1,1)*(YEARFRAC($B166,AK$28))))</f>
        <v>0.0301047464369542</v>
      </c>
      <c r="AL166" s="159" t="n">
        <f aca="false">IF($B166=" ",0,AL$25*AL$28)</f>
        <v>0.0575</v>
      </c>
      <c r="AM166" s="162" t="n">
        <f aca="false">+AI166+AJ166+SUM(AK166:AL166)*SUM($J166*$J$37,$K166*$K$37,$L166*$L$37,$M166*$M$37,$N166*$N$37,$O166*$O$37)/1000</f>
        <v>1446.5651458971</v>
      </c>
      <c r="AO166" s="163" t="n">
        <f aca="false">IF($B166=" ",0,$AO$25)</f>
        <v>0.25</v>
      </c>
      <c r="AP166" s="159" t="n">
        <f aca="false">IF($B166=" ",0,AP$25*AP$28)</f>
        <v>0.03105</v>
      </c>
      <c r="AQ166" s="162" t="n">
        <f aca="false">SUM(AO166:AP166)*SUM(0)/1000</f>
        <v>0</v>
      </c>
      <c r="AS166" s="155" t="n">
        <f aca="false">IF($B166=" ",0,AS$25)</f>
        <v>1</v>
      </c>
      <c r="AT166" s="156" t="n">
        <f aca="false">IF($B166=" ",0,AT$25)</f>
        <v>1</v>
      </c>
      <c r="AU166" s="156" t="n">
        <f aca="false">IF($B166=" ",0,AU$25)</f>
        <v>2.3</v>
      </c>
      <c r="AV166" s="157" t="n">
        <f aca="false">+AS166*SUM(J166:K166)/1000</f>
        <v>0</v>
      </c>
      <c r="AW166" s="157" t="n">
        <f aca="false">+AT166*SUM(L166:M166)/1000</f>
        <v>0</v>
      </c>
      <c r="AX166" s="157" t="n">
        <f aca="false">+AU166*SUM(N166:O166)/1000</f>
        <v>11537.9859375</v>
      </c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</row>
    <row r="167" customFormat="false" ht="12.75" hidden="true" customHeight="false" outlineLevel="1" collapsed="false">
      <c r="A167" s="164" t="n">
        <f aca="false">+IF(B167=" ",A166,B167)</f>
        <v>40360</v>
      </c>
      <c r="B167" s="148" t="n">
        <f aca="false">IF(B166=" "," ",IF(EDATE(B166,1)&gt;=EndDate," ",EDATE(B166,1)))</f>
        <v>40360</v>
      </c>
      <c r="C167" s="149" t="n">
        <f aca="false">IF($B167&lt;&gt;" ",C166+1,C166)</f>
        <v>117</v>
      </c>
      <c r="D167" s="150" t="n">
        <f aca="false">C167/12</f>
        <v>9.75</v>
      </c>
      <c r="F167" s="157" t="n">
        <f aca="false">+SUM($T167:$U167)</f>
        <v>14883.5779284771</v>
      </c>
      <c r="G167" s="152" t="n">
        <f aca="false">-SUM($AA167,$AG167,$AM167,$AQ167,$AV167:$AX167)</f>
        <v>-16626.1238063446</v>
      </c>
      <c r="H167" s="152" t="n">
        <f aca="false">+SUM(F167:G167)</f>
        <v>-1742.54587786745</v>
      </c>
      <c r="I167" s="124"/>
      <c r="J167" s="153" t="n">
        <f aca="false">+IF($B167=" ",0,IF(AND($B167&gt;=J$26,$B167&lt;J$28),J$33,0))</f>
        <v>0</v>
      </c>
      <c r="K167" s="153" t="n">
        <f aca="false">+IF($B167=" ",0,IF(AND($B167&gt;=K$26,$B167&lt;K$28),K$33,0))</f>
        <v>0</v>
      </c>
      <c r="L167" s="153" t="n">
        <f aca="false">+IF($B167=" ",0,IF(AND($B167&gt;=L$26,$B167&lt;L$28),L$33,0))</f>
        <v>0</v>
      </c>
      <c r="M167" s="153" t="n">
        <f aca="false">+IF($B167=" ",0,IF(AND($B167&gt;=M$26,$B167&lt;M$28),M$33,0))</f>
        <v>0</v>
      </c>
      <c r="N167" s="153" t="n">
        <f aca="false">+IF($B167=" ",0,IF(AND($B167&gt;=N$26,$B167&lt;N$28),N$33,0))</f>
        <v>0</v>
      </c>
      <c r="O167" s="154" t="n">
        <f aca="false">+IF($B167=" ",0,IF(AND($B167&gt;=O$26,$B167&lt;O$28),O$33,0))</f>
        <v>5016515.625</v>
      </c>
      <c r="Q167" s="83" t="n">
        <f aca="false">IF($B167=" ",0,IF($B167&lt;=DATE(2003,12,31),3.55,2.9))</f>
        <v>2.9</v>
      </c>
      <c r="R167" s="155" t="n">
        <f aca="false">IF($B167=" ",0,R$25)</f>
        <v>-0.07</v>
      </c>
      <c r="S167" s="156" t="n">
        <f aca="false">IF($B167=" ",0,S$25)</f>
        <v>0.1</v>
      </c>
      <c r="T167" s="157" t="n">
        <f aca="false">+SUM($Q167,$S167)/1000*(SUM($J167*$J$37,$K167*$K$37,$L167*$L$37,$M167*$M$37,$N167*$N$37,$O167*$O$37))</f>
        <v>14883.5779284771</v>
      </c>
      <c r="U167" s="157" t="n">
        <f aca="false">+SUM($Q167,$R167)/1000*(SUM(0))</f>
        <v>0</v>
      </c>
      <c r="W167" s="158" t="n">
        <f aca="false">IF($B167=" ",0,1)*(IF($B167&gt;=W$25,1,0)*IF($B167&lt;=W$29,W$27,IF($B167&lt;=W$33,W$31,0))*($D167-$D166)*365/1000)</f>
        <v>486.66666666667</v>
      </c>
      <c r="X167" s="158" t="n">
        <f aca="false">IF($B167=" ",0,IF($B167&gt;=X$25,IF($B167&lt;=X$29,X$27,IF($B167&lt;=X$33,X$31,X$31*(1+X$38)^(IF(X$36&gt;$B167,-1,1)*(YEARFRAC($B167,X$36)))))*($D167-$D166)*365/1000,0))</f>
        <v>417.348297052048</v>
      </c>
      <c r="Y167" s="159" t="n">
        <f aca="false">IF($B167=" ",0,Y$25*(1+Y$30)^(IF(Y$28&gt;$B167,-1,1)*(YEARFRAC($B167,Y$28))))</f>
        <v>0.524595285968577</v>
      </c>
      <c r="Z167" s="159" t="n">
        <f aca="false">IF($B167=" ",0,Z$25*(1+Z$30)^(IF(Z$28&gt;$B167,-1,1)*(YEARFRAC($B167,Z$28))))</f>
        <v>0.500793843096571</v>
      </c>
      <c r="AA167" s="162" t="n">
        <f aca="false">+W167+X167+Z167*SUM($J167*$J$37,$L167*$L$37,$N167*$N$37)/1000</f>
        <v>904.014963718718</v>
      </c>
      <c r="AB167" s="161"/>
      <c r="AC167" s="158" t="n">
        <f aca="false">IF($B167=" ",0,1)*(IF($B167&gt;=AC$25,1,0)*IF($B167&lt;=AC$29,AC$27,IF($B167&lt;=AC$33,AC$31,0))*($D167-$D166)*365/1000)</f>
        <v>1591.66666666668</v>
      </c>
      <c r="AD167" s="158" t="n">
        <f aca="false">IF($B167=" ",0,IF($B167&gt;=AD$25,IF($B167&lt;=AD$29,AD$27,IF($B167&lt;=AD$33,AD$31,AD$31*(1+AD$38)^(IF(AD$36&gt;$B167,-1,1)*(YEARFRAC($B167,AD$36)))))*($D167-$D166)*365/1000,0))</f>
        <v>371.531238505827</v>
      </c>
      <c r="AE167" s="159" t="n">
        <f aca="false">IF($B167=" ",0,AE$25*(1+AE$30)^(IF(AE$28&gt;$B167,-1,1)*(YEARFRAC($B167,AE$28))))</f>
        <v>0.434624420806669</v>
      </c>
      <c r="AF167" s="159" t="n">
        <f aca="false">IF($B167=" ",0,AF$25*(1+AF$30)^(IF(AF$28&gt;$B167,-1,1)*(YEARFRAC($B167,AF$28))))</f>
        <v>0.155942256533625</v>
      </c>
      <c r="AG167" s="162" t="n">
        <f aca="false">+AC167+AD167+AF167*SUM($K167*$K$37,$M167*$M$37,$O167*$O$37)/1000</f>
        <v>2736.85748099276</v>
      </c>
      <c r="AI167" s="158" t="n">
        <f aca="false">IF($B167=" ",0,1)*IF($B167&gt;=AI$33,AI$25*($D167-$D166),0)</f>
        <v>485.186570908337</v>
      </c>
      <c r="AJ167" s="158" t="n">
        <f aca="false">IF($B167=" ",0,IF($B167&gt;=AJ$33,AJ$25*(1+AJ$30)^(IF(AJ$28&gt;$B167,-1,1)*(YEARFRAC($B167,AJ$28)))*($D167-$D166),0))</f>
        <v>527.30013541659</v>
      </c>
      <c r="AK167" s="159" t="n">
        <f aca="false">IF($B167=" ",0,AK$25*(1+AK$30)^(IF(AK$28&gt;$B167,-1,1)*(YEARFRAC($B167,AK$28))))</f>
        <v>0.0301359273080997</v>
      </c>
      <c r="AL167" s="159" t="n">
        <f aca="false">IF($B167=" ",0,AL$25*AL$28)</f>
        <v>0.0575</v>
      </c>
      <c r="AM167" s="162" t="n">
        <f aca="false">+AI167+AJ167+SUM(AK167:AL167)*SUM($J167*$J$37,$K167*$K$37,$L167*$L$37,$M167*$M$37,$N167*$N$37,$O167*$O$37)/1000</f>
        <v>1447.26542413308</v>
      </c>
      <c r="AO167" s="163" t="n">
        <f aca="false">IF($B167=" ",0,$AO$25)</f>
        <v>0.25</v>
      </c>
      <c r="AP167" s="159" t="n">
        <f aca="false">IF($B167=" ",0,AP$25*AP$28)</f>
        <v>0.03105</v>
      </c>
      <c r="AQ167" s="162" t="n">
        <f aca="false">SUM(AO167:AP167)*SUM(0)/1000</f>
        <v>0</v>
      </c>
      <c r="AS167" s="155" t="n">
        <f aca="false">IF($B167=" ",0,AS$25)</f>
        <v>1</v>
      </c>
      <c r="AT167" s="156" t="n">
        <f aca="false">IF($B167=" ",0,AT$25)</f>
        <v>1</v>
      </c>
      <c r="AU167" s="156" t="n">
        <f aca="false">IF($B167=" ",0,AU$25)</f>
        <v>2.3</v>
      </c>
      <c r="AV167" s="157" t="n">
        <f aca="false">+AS167*SUM(J167:K167)/1000</f>
        <v>0</v>
      </c>
      <c r="AW167" s="157" t="n">
        <f aca="false">+AT167*SUM(L167:M167)/1000</f>
        <v>0</v>
      </c>
      <c r="AX167" s="157" t="n">
        <f aca="false">+AU167*SUM(N167:O167)/1000</f>
        <v>11537.9859375</v>
      </c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</row>
    <row r="168" customFormat="false" ht="12.75" hidden="true" customHeight="false" outlineLevel="1" collapsed="false">
      <c r="A168" s="164" t="n">
        <f aca="false">+IF(B168=" ",A167,B168)</f>
        <v>40391</v>
      </c>
      <c r="B168" s="148" t="n">
        <f aca="false">IF(B167=" "," ",IF(EDATE(B167,1)&gt;=EndDate," ",EDATE(B167,1)))</f>
        <v>40391</v>
      </c>
      <c r="C168" s="149" t="n">
        <f aca="false">IF($B168&lt;&gt;" ",C167+1,C167)</f>
        <v>118</v>
      </c>
      <c r="D168" s="150" t="n">
        <f aca="false">C168/12</f>
        <v>9.83333333333333</v>
      </c>
      <c r="F168" s="157" t="n">
        <f aca="false">+SUM($T168:$U168)</f>
        <v>14883.5779284771</v>
      </c>
      <c r="G168" s="152" t="n">
        <f aca="false">-SUM($AA168,$AG168,$AM168,$AQ168,$AV168:$AX168)</f>
        <v>-16628.9785996423</v>
      </c>
      <c r="H168" s="152" t="n">
        <f aca="false">+SUM(F168:G168)</f>
        <v>-1745.40067116518</v>
      </c>
      <c r="I168" s="124"/>
      <c r="J168" s="153" t="n">
        <f aca="false">+IF($B168=" ",0,IF(AND($B168&gt;=J$26,$B168&lt;J$28),J$33,0))</f>
        <v>0</v>
      </c>
      <c r="K168" s="153" t="n">
        <f aca="false">+IF($B168=" ",0,IF(AND($B168&gt;=K$26,$B168&lt;K$28),K$33,0))</f>
        <v>0</v>
      </c>
      <c r="L168" s="153" t="n">
        <f aca="false">+IF($B168=" ",0,IF(AND($B168&gt;=L$26,$B168&lt;L$28),L$33,0))</f>
        <v>0</v>
      </c>
      <c r="M168" s="153" t="n">
        <f aca="false">+IF($B168=" ",0,IF(AND($B168&gt;=M$26,$B168&lt;M$28),M$33,0))</f>
        <v>0</v>
      </c>
      <c r="N168" s="153" t="n">
        <f aca="false">+IF($B168=" ",0,IF(AND($B168&gt;=N$26,$B168&lt;N$28),N$33,0))</f>
        <v>0</v>
      </c>
      <c r="O168" s="154" t="n">
        <f aca="false">+IF($B168=" ",0,IF(AND($B168&gt;=O$26,$B168&lt;O$28),O$33,0))</f>
        <v>5016515.625</v>
      </c>
      <c r="Q168" s="83" t="n">
        <f aca="false">IF($B168=" ",0,IF($B168&lt;=DATE(2003,12,31),3.55,2.9))</f>
        <v>2.9</v>
      </c>
      <c r="R168" s="155" t="n">
        <f aca="false">IF($B168=" ",0,R$25)</f>
        <v>-0.07</v>
      </c>
      <c r="S168" s="156" t="n">
        <f aca="false">IF($B168=" ",0,S$25)</f>
        <v>0.1</v>
      </c>
      <c r="T168" s="157" t="n">
        <f aca="false">+SUM($Q168,$S168)/1000*(SUM($J168*$J$37,$K168*$K$37,$L168*$L$37,$M168*$M$37,$N168*$N$37,$O168*$O$37))</f>
        <v>14883.5779284771</v>
      </c>
      <c r="U168" s="157" t="n">
        <f aca="false">+SUM($Q168,$R168)/1000*(SUM(0))</f>
        <v>0</v>
      </c>
      <c r="W168" s="158" t="n">
        <f aca="false">IF($B168=" ",0,1)*(IF($B168&gt;=W$25,1,0)*IF($B168&lt;=W$29,W$27,IF($B168&lt;=W$33,W$31,0))*($D168-$D167)*365/1000)</f>
        <v>486.66666666667</v>
      </c>
      <c r="X168" s="158" t="n">
        <f aca="false">IF($B168=" ",0,IF($B168&gt;=X$25,IF($B168&lt;=X$29,X$27,IF($B168&lt;=X$33,X$31,X$31*(1+X$38)^(IF(X$36&gt;$B168,-1,1)*(YEARFRAC($B168,X$36)))))*($D168-$D167)*365/1000,0))</f>
        <v>417.923566162692</v>
      </c>
      <c r="Y168" s="159" t="n">
        <f aca="false">IF($B168=" ",0,Y$25*(1+Y$30)^(IF(Y$28&gt;$B168,-1,1)*(YEARFRAC($B168,Y$28))))</f>
        <v>0.525318383356871</v>
      </c>
      <c r="Z168" s="159" t="n">
        <f aca="false">IF($B168=" ",0,Z$25*(1+Z$30)^(IF(Z$28&gt;$B168,-1,1)*(YEARFRAC($B168,Z$28))))</f>
        <v>0.501484132791699</v>
      </c>
      <c r="AA168" s="162" t="n">
        <f aca="false">+W168+X168+Z168*SUM($J168*$J$37,$L168*$L$37,$N168*$N$37)/1000</f>
        <v>904.590232829362</v>
      </c>
      <c r="AB168" s="161"/>
      <c r="AC168" s="158" t="n">
        <f aca="false">IF($B168=" ",0,1)*(IF($B168&gt;=AC$25,1,0)*IF($B168&lt;=AC$29,AC$27,IF($B168&lt;=AC$33,AC$31,0))*($D168-$D167)*365/1000)</f>
        <v>1591.66666666668</v>
      </c>
      <c r="AD168" s="158" t="n">
        <f aca="false">IF($B168=" ",0,IF($B168&gt;=AD$25,IF($B168&lt;=AD$29,AD$27,IF($B168&lt;=AD$33,AD$31,AD$31*(1+AD$38)^(IF(AD$36&gt;$B168,-1,1)*(YEARFRAC($B168,AD$36)))))*($D168-$D167)*365/1000,0))</f>
        <v>372.043353798165</v>
      </c>
      <c r="AE168" s="159" t="n">
        <f aca="false">IF($B168=" ",0,AE$25*(1+AE$30)^(IF(AE$28&gt;$B168,-1,1)*(YEARFRAC($B168,AE$28))))</f>
        <v>0.435223503169741</v>
      </c>
      <c r="AF168" s="159" t="n">
        <f aca="false">IF($B168=" ",0,AF$25*(1+AF$30)^(IF(AF$28&gt;$B168,-1,1)*(YEARFRAC($B168,AF$28))))</f>
        <v>0.156157205926881</v>
      </c>
      <c r="AG168" s="162" t="n">
        <f aca="false">+AC168+AD168+AF168*SUM($K168*$K$37,$M168*$M$37,$O168*$O$37)/1000</f>
        <v>2738.4360016335</v>
      </c>
      <c r="AI168" s="158" t="n">
        <f aca="false">IF($B168=" ",0,1)*IF($B168&gt;=AI$33,AI$25*($D168-$D167),0)</f>
        <v>485.186570908337</v>
      </c>
      <c r="AJ168" s="158" t="n">
        <f aca="false">IF($B168=" ",0,IF($B168&gt;=AJ$33,AJ$25*(1+AJ$30)^(IF(AJ$28&gt;$B168,-1,1)*(YEARFRAC($B168,AJ$28)))*($D168-$D167),0))</f>
        <v>527.846284430398</v>
      </c>
      <c r="AK168" s="159" t="n">
        <f aca="false">IF($B168=" ",0,AK$25*(1+AK$30)^(IF(AK$28&gt;$B168,-1,1)*(YEARFRAC($B168,AK$28))))</f>
        <v>0.0301671404747083</v>
      </c>
      <c r="AL168" s="159" t="n">
        <f aca="false">IF($B168=" ",0,AL$25*AL$28)</f>
        <v>0.0575</v>
      </c>
      <c r="AM168" s="162" t="n">
        <f aca="false">+AI168+AJ168+SUM(AK168:AL168)*SUM($J168*$J$37,$K168*$K$37,$L168*$L$37,$M168*$M$37,$N168*$N$37,$O168*$O$37)/1000</f>
        <v>1447.96642767943</v>
      </c>
      <c r="AO168" s="163" t="n">
        <f aca="false">IF($B168=" ",0,$AO$25)</f>
        <v>0.25</v>
      </c>
      <c r="AP168" s="159" t="n">
        <f aca="false">IF($B168=" ",0,AP$25*AP$28)</f>
        <v>0.03105</v>
      </c>
      <c r="AQ168" s="162" t="n">
        <f aca="false">SUM(AO168:AP168)*SUM(0)/1000</f>
        <v>0</v>
      </c>
      <c r="AS168" s="155" t="n">
        <f aca="false">IF($B168=" ",0,AS$25)</f>
        <v>1</v>
      </c>
      <c r="AT168" s="156" t="n">
        <f aca="false">IF($B168=" ",0,AT$25)</f>
        <v>1</v>
      </c>
      <c r="AU168" s="156" t="n">
        <f aca="false">IF($B168=" ",0,AU$25)</f>
        <v>2.3</v>
      </c>
      <c r="AV168" s="157" t="n">
        <f aca="false">+AS168*SUM(J168:K168)/1000</f>
        <v>0</v>
      </c>
      <c r="AW168" s="157" t="n">
        <f aca="false">+AT168*SUM(L168:M168)/1000</f>
        <v>0</v>
      </c>
      <c r="AX168" s="157" t="n">
        <f aca="false">+AU168*SUM(N168:O168)/1000</f>
        <v>11537.9859375</v>
      </c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</row>
    <row r="169" customFormat="false" ht="12.75" hidden="true" customHeight="false" outlineLevel="1" collapsed="false">
      <c r="A169" s="164" t="n">
        <f aca="false">+IF(B169=" ",A168,B169)</f>
        <v>40422</v>
      </c>
      <c r="B169" s="148" t="n">
        <f aca="false">IF(B168=" "," ",IF(EDATE(B168,1)&gt;=EndDate," ",EDATE(B168,1)))</f>
        <v>40422</v>
      </c>
      <c r="C169" s="149" t="n">
        <f aca="false">IF($B169&lt;&gt;" ",C168+1,C168)</f>
        <v>119</v>
      </c>
      <c r="D169" s="150" t="n">
        <f aca="false">C169/12</f>
        <v>9.91666666666667</v>
      </c>
      <c r="F169" s="157" t="n">
        <f aca="false">+SUM($T169:$U169)</f>
        <v>14883.5779284771</v>
      </c>
      <c r="G169" s="152" t="n">
        <f aca="false">-SUM($AA169,$AG169,$AM169,$AQ169,$AV169:$AX169)</f>
        <v>-16631.8370877658</v>
      </c>
      <c r="H169" s="152" t="n">
        <f aca="false">+SUM(F169:G169)</f>
        <v>-1748.25915928873</v>
      </c>
      <c r="I169" s="124"/>
      <c r="J169" s="153" t="n">
        <f aca="false">+IF($B169=" ",0,IF(AND($B169&gt;=J$26,$B169&lt;J$28),J$33,0))</f>
        <v>0</v>
      </c>
      <c r="K169" s="153" t="n">
        <f aca="false">+IF($B169=" ",0,IF(AND($B169&gt;=K$26,$B169&lt;K$28),K$33,0))</f>
        <v>0</v>
      </c>
      <c r="L169" s="153" t="n">
        <f aca="false">+IF($B169=" ",0,IF(AND($B169&gt;=L$26,$B169&lt;L$28),L$33,0))</f>
        <v>0</v>
      </c>
      <c r="M169" s="153" t="n">
        <f aca="false">+IF($B169=" ",0,IF(AND($B169&gt;=M$26,$B169&lt;M$28),M$33,0))</f>
        <v>0</v>
      </c>
      <c r="N169" s="153" t="n">
        <f aca="false">+IF($B169=" ",0,IF(AND($B169&gt;=N$26,$B169&lt;N$28),N$33,0))</f>
        <v>0</v>
      </c>
      <c r="O169" s="154" t="n">
        <f aca="false">+IF($B169=" ",0,IF(AND($B169&gt;=O$26,$B169&lt;O$28),O$33,0))</f>
        <v>5016515.625</v>
      </c>
      <c r="Q169" s="83" t="n">
        <f aca="false">IF($B169=" ",0,IF($B169&lt;=DATE(2003,12,31),3.55,2.9))</f>
        <v>2.9</v>
      </c>
      <c r="R169" s="155" t="n">
        <f aca="false">IF($B169=" ",0,R$25)</f>
        <v>-0.07</v>
      </c>
      <c r="S169" s="156" t="n">
        <f aca="false">IF($B169=" ",0,S$25)</f>
        <v>0.1</v>
      </c>
      <c r="T169" s="157" t="n">
        <f aca="false">+SUM($Q169,$S169)/1000*(SUM($J169*$J$37,$K169*$K$37,$L169*$L$37,$M169*$M$37,$N169*$N$37,$O169*$O$37))</f>
        <v>14883.5779284771</v>
      </c>
      <c r="U169" s="157" t="n">
        <f aca="false">+SUM($Q169,$R169)/1000*(SUM(0))</f>
        <v>0</v>
      </c>
      <c r="W169" s="158" t="n">
        <f aca="false">IF($B169=" ",0,1)*(IF($B169&gt;=W$25,1,0)*IF($B169&lt;=W$29,W$27,IF($B169&lt;=W$33,W$31,0))*($D169-$D168)*365/1000)</f>
        <v>486.66666666666</v>
      </c>
      <c r="X169" s="158" t="n">
        <f aca="false">IF($B169=" ",0,IF($B169&gt;=X$25,IF($B169&lt;=X$29,X$27,IF($B169&lt;=X$33,X$31,X$31*(1+X$38)^(IF(X$36&gt;$B169,-1,1)*(YEARFRAC($B169,X$36)))))*($D169-$D168)*365/1000,0))</f>
        <v>418.499628219056</v>
      </c>
      <c r="Y169" s="159" t="n">
        <f aca="false">IF($B169=" ",0,Y$25*(1+Y$30)^(IF(Y$28&gt;$B169,-1,1)*(YEARFRAC($B169,Y$28))))</f>
        <v>0.526042477456052</v>
      </c>
      <c r="Z169" s="159" t="n">
        <f aca="false">IF($B169=" ",0,Z$25*(1+Z$30)^(IF(Z$28&gt;$B169,-1,1)*(YEARFRAC($B169,Z$28))))</f>
        <v>0.502175373975887</v>
      </c>
      <c r="AA169" s="162" t="n">
        <f aca="false">+W169+X169+Z169*SUM($J169*$J$37,$L169*$L$37,$N169*$N$37)/1000</f>
        <v>905.166294885716</v>
      </c>
      <c r="AB169" s="161"/>
      <c r="AC169" s="158" t="n">
        <f aca="false">IF($B169=" ",0,1)*(IF($B169&gt;=AC$25,1,0)*IF($B169&lt;=AC$29,AC$27,IF($B169&lt;=AC$33,AC$31,0))*($D169-$D168)*365/1000)</f>
        <v>1591.66666666664</v>
      </c>
      <c r="AD169" s="158" t="n">
        <f aca="false">IF($B169=" ",0,IF($B169&gt;=AD$25,IF($B169&lt;=AD$29,AD$27,IF($B169&lt;=AD$33,AD$31,AD$31*(1+AD$38)^(IF(AD$36&gt;$B169,-1,1)*(YEARFRAC($B169,AD$36)))))*($D169-$D168)*365/1000,0))</f>
        <v>372.556174985574</v>
      </c>
      <c r="AE169" s="159" t="n">
        <f aca="false">IF($B169=" ",0,AE$25*(1+AE$30)^(IF(AE$28&gt;$B169,-1,1)*(YEARFRAC($B169,AE$28))))</f>
        <v>0.435823411302512</v>
      </c>
      <c r="AF169" s="159" t="n">
        <f aca="false">IF($B169=" ",0,AF$25*(1+AF$30)^(IF(AF$28&gt;$B169,-1,1)*(YEARFRAC($B169,AF$28))))</f>
        <v>0.156372451604433</v>
      </c>
      <c r="AG169" s="162" t="n">
        <f aca="false">+AC169+AD169+AF169*SUM($K169*$K$37,$M169*$M$37,$O169*$O$37)/1000</f>
        <v>2740.01669809275</v>
      </c>
      <c r="AI169" s="158" t="n">
        <f aca="false">IF($B169=" ",0,1)*IF($B169&gt;=AI$33,AI$25*($D169-$D168),0)</f>
        <v>485.186570908327</v>
      </c>
      <c r="AJ169" s="158" t="n">
        <f aca="false">IF($B169=" ",0,IF($B169&gt;=AJ$33,AJ$25*(1+AJ$30)^(IF(AJ$28&gt;$B169,-1,1)*(YEARFRAC($B169,AJ$28)))*($D169-$D168),0))</f>
        <v>528.392999115858</v>
      </c>
      <c r="AK169" s="159" t="n">
        <f aca="false">IF($B169=" ",0,AK$25*(1+AK$30)^(IF(AK$28&gt;$B169,-1,1)*(YEARFRAC($B169,AK$28))))</f>
        <v>0.0301983859702299</v>
      </c>
      <c r="AL169" s="159" t="n">
        <f aca="false">IF($B169=" ",0,AL$25*AL$28)</f>
        <v>0.0575</v>
      </c>
      <c r="AM169" s="162" t="n">
        <f aca="false">+AI169+AJ169+SUM(AK169:AL169)*SUM($J169*$J$37,$K169*$K$37,$L169*$L$37,$M169*$M$37,$N169*$N$37,$O169*$O$37)/1000</f>
        <v>1448.66815728738</v>
      </c>
      <c r="AO169" s="163" t="n">
        <f aca="false">IF($B169=" ",0,$AO$25)</f>
        <v>0.25</v>
      </c>
      <c r="AP169" s="159" t="n">
        <f aca="false">IF($B169=" ",0,AP$25*AP$28)</f>
        <v>0.03105</v>
      </c>
      <c r="AQ169" s="162" t="n">
        <f aca="false">SUM(AO169:AP169)*SUM(0)/1000</f>
        <v>0</v>
      </c>
      <c r="AS169" s="155" t="n">
        <f aca="false">IF($B169=" ",0,AS$25)</f>
        <v>1</v>
      </c>
      <c r="AT169" s="156" t="n">
        <f aca="false">IF($B169=" ",0,AT$25)</f>
        <v>1</v>
      </c>
      <c r="AU169" s="156" t="n">
        <f aca="false">IF($B169=" ",0,AU$25)</f>
        <v>2.3</v>
      </c>
      <c r="AV169" s="157" t="n">
        <f aca="false">+AS169*SUM(J169:K169)/1000</f>
        <v>0</v>
      </c>
      <c r="AW169" s="157" t="n">
        <f aca="false">+AT169*SUM(L169:M169)/1000</f>
        <v>0</v>
      </c>
      <c r="AX169" s="157" t="n">
        <f aca="false">+AU169*SUM(N169:O169)/1000</f>
        <v>11537.9859375</v>
      </c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</row>
    <row r="170" customFormat="false" ht="12.75" hidden="true" customHeight="false" outlineLevel="1" collapsed="false">
      <c r="A170" s="164" t="n">
        <f aca="false">+IF(B170=" ",A169,B170)</f>
        <v>40452</v>
      </c>
      <c r="B170" s="148" t="n">
        <f aca="false">IF(B169=" "," ",IF(EDATE(B169,1)&gt;=EndDate," ",EDATE(B169,1)))</f>
        <v>40452</v>
      </c>
      <c r="C170" s="149" t="n">
        <f aca="false">IF($B170&lt;&gt;" ",C169+1,C169)</f>
        <v>120</v>
      </c>
      <c r="D170" s="150" t="n">
        <f aca="false">C170/12</f>
        <v>10</v>
      </c>
      <c r="F170" s="157" t="n">
        <f aca="false">+SUM($T170:$U170)</f>
        <v>14883.5779284771</v>
      </c>
      <c r="G170" s="152" t="n">
        <f aca="false">-SUM($AA170,$AG170,$AM170,$AQ170,$AV170:$AX170)</f>
        <v>-16634.6992755596</v>
      </c>
      <c r="H170" s="152" t="n">
        <f aca="false">+SUM(F170:G170)</f>
        <v>-1751.12134708249</v>
      </c>
      <c r="I170" s="124"/>
      <c r="J170" s="153" t="n">
        <f aca="false">+IF($B170=" ",0,IF(AND($B170&gt;=J$26,$B170&lt;J$28),J$33,0))</f>
        <v>0</v>
      </c>
      <c r="K170" s="153" t="n">
        <f aca="false">+IF($B170=" ",0,IF(AND($B170&gt;=K$26,$B170&lt;K$28),K$33,0))</f>
        <v>0</v>
      </c>
      <c r="L170" s="153" t="n">
        <f aca="false">+IF($B170=" ",0,IF(AND($B170&gt;=L$26,$B170&lt;L$28),L$33,0))</f>
        <v>0</v>
      </c>
      <c r="M170" s="153" t="n">
        <f aca="false">+IF($B170=" ",0,IF(AND($B170&gt;=M$26,$B170&lt;M$28),M$33,0))</f>
        <v>0</v>
      </c>
      <c r="N170" s="153" t="n">
        <f aca="false">+IF($B170=" ",0,IF(AND($B170&gt;=N$26,$B170&lt;N$28),N$33,0))</f>
        <v>0</v>
      </c>
      <c r="O170" s="154" t="n">
        <f aca="false">+IF($B170=" ",0,IF(AND($B170&gt;=O$26,$B170&lt;O$28),O$33,0))</f>
        <v>5016515.625</v>
      </c>
      <c r="Q170" s="83" t="n">
        <f aca="false">IF($B170=" ",0,IF($B170&lt;=DATE(2003,12,31),3.55,2.9))</f>
        <v>2.9</v>
      </c>
      <c r="R170" s="155" t="n">
        <f aca="false">IF($B170=" ",0,R$25)</f>
        <v>-0.07</v>
      </c>
      <c r="S170" s="156" t="n">
        <f aca="false">IF($B170=" ",0,S$25)</f>
        <v>0.1</v>
      </c>
      <c r="T170" s="157" t="n">
        <f aca="false">+SUM($Q170,$S170)/1000*(SUM($J170*$J$37,$K170*$K$37,$L170*$L$37,$M170*$M$37,$N170*$N$37,$O170*$O$37))</f>
        <v>14883.5779284771</v>
      </c>
      <c r="U170" s="157" t="n">
        <f aca="false">+SUM($Q170,$R170)/1000*(SUM(0))</f>
        <v>0</v>
      </c>
      <c r="W170" s="158" t="n">
        <f aca="false">IF($B170=" ",0,1)*(IF($B170&gt;=W$25,1,0)*IF($B170&lt;=W$29,W$27,IF($B170&lt;=W$33,W$31,0))*($D170-$D169)*365/1000)</f>
        <v>486.66666666667</v>
      </c>
      <c r="X170" s="158" t="n">
        <f aca="false">IF($B170=" ",0,IF($B170&gt;=X$25,IF($B170&lt;=X$29,X$27,IF($B170&lt;=X$33,X$31,X$31*(1+X$38)^(IF(X$36&gt;$B170,-1,1)*(YEARFRAC($B170,X$36)))))*($D170-$D169)*365/1000,0))</f>
        <v>419.076484314157</v>
      </c>
      <c r="Y170" s="159" t="n">
        <f aca="false">IF($B170=" ",0,Y$25*(1+Y$30)^(IF(Y$28&gt;$B170,-1,1)*(YEARFRAC($B170,Y$28))))</f>
        <v>0.526767569639978</v>
      </c>
      <c r="Z170" s="159" t="n">
        <f aca="false">IF($B170=" ",0,Z$25*(1+Z$30)^(IF(Z$28&gt;$B170,-1,1)*(YEARFRAC($B170,Z$28))))</f>
        <v>0.50286756796066</v>
      </c>
      <c r="AA170" s="162" t="n">
        <f aca="false">+W170+X170+Z170*SUM($J170*$J$37,$L170*$L$37,$N170*$N$37)/1000</f>
        <v>905.743150980827</v>
      </c>
      <c r="AB170" s="161"/>
      <c r="AC170" s="158" t="n">
        <f aca="false">IF($B170=" ",0,1)*(IF($B170&gt;=AC$25,1,0)*IF($B170&lt;=AC$29,AC$27,IF($B170&lt;=AC$33,AC$31,0))*($D170-$D169)*365/1000)</f>
        <v>1591.66666666668</v>
      </c>
      <c r="AD170" s="158" t="n">
        <f aca="false">IF($B170=" ",0,IF($B170&gt;=AD$25,IF($B170&lt;=AD$29,AD$27,IF($B170&lt;=AD$33,AD$31,AD$31*(1+AD$38)^(IF(AD$36&gt;$B170,-1,1)*(YEARFRAC($B170,AD$36)))))*($D170-$D169)*365/1000,0))</f>
        <v>373.069703041076</v>
      </c>
      <c r="AE170" s="159" t="n">
        <f aca="false">IF($B170=" ",0,AE$25*(1+AE$30)^(IF(AE$28&gt;$B170,-1,1)*(YEARFRAC($B170,AE$28))))</f>
        <v>0.436424146343217</v>
      </c>
      <c r="AF170" s="159" t="n">
        <f aca="false">IF($B170=" ",0,AF$25*(1+AF$30)^(IF(AF$28&gt;$B170,-1,1)*(YEARFRAC($B170,AF$28))))</f>
        <v>0.156587993974677</v>
      </c>
      <c r="AG170" s="162" t="n">
        <f aca="false">+AC170+AD170+AF170*SUM($K170*$K$37,$M170*$M$37,$O170*$O$37)/1000</f>
        <v>2741.59957336976</v>
      </c>
      <c r="AI170" s="158" t="n">
        <f aca="false">IF($B170=" ",0,1)*IF($B170&gt;=AI$33,AI$25*($D170-$D169),0)</f>
        <v>485.186570908337</v>
      </c>
      <c r="AJ170" s="158" t="n">
        <f aca="false">IF($B170=" ",0,IF($B170&gt;=AJ$33,AJ$25*(1+AJ$30)^(IF(AJ$28&gt;$B170,-1,1)*(YEARFRAC($B170,AJ$28)))*($D170-$D169),0))</f>
        <v>528.940280058899</v>
      </c>
      <c r="AK170" s="159" t="n">
        <f aca="false">IF($B170=" ",0,AK$25*(1+AK$30)^(IF(AK$28&gt;$B170,-1,1)*(YEARFRAC($B170,AK$28))))</f>
        <v>0.0302296638281489</v>
      </c>
      <c r="AL170" s="159" t="n">
        <f aca="false">IF($B170=" ",0,AL$25*AL$28)</f>
        <v>0.0575</v>
      </c>
      <c r="AM170" s="162" t="n">
        <f aca="false">+AI170+AJ170+SUM(AK170:AL170)*SUM($J170*$J$37,$K170*$K$37,$L170*$L$37,$M170*$M$37,$N170*$N$37,$O170*$O$37)/1000</f>
        <v>1449.37061370902</v>
      </c>
      <c r="AO170" s="163" t="n">
        <f aca="false">IF($B170=" ",0,$AO$25)</f>
        <v>0.25</v>
      </c>
      <c r="AP170" s="159" t="n">
        <f aca="false">IF($B170=" ",0,AP$25*AP$28)</f>
        <v>0.03105</v>
      </c>
      <c r="AQ170" s="162" t="n">
        <f aca="false">SUM(AO170:AP170)*SUM(0)/1000</f>
        <v>0</v>
      </c>
      <c r="AS170" s="155" t="n">
        <f aca="false">IF($B170=" ",0,AS$25)</f>
        <v>1</v>
      </c>
      <c r="AT170" s="156" t="n">
        <f aca="false">IF($B170=" ",0,AT$25)</f>
        <v>1</v>
      </c>
      <c r="AU170" s="156" t="n">
        <f aca="false">IF($B170=" ",0,AU$25)</f>
        <v>2.3</v>
      </c>
      <c r="AV170" s="157" t="n">
        <f aca="false">+AS170*SUM(J170:K170)/1000</f>
        <v>0</v>
      </c>
      <c r="AW170" s="157" t="n">
        <f aca="false">+AT170*SUM(L170:M170)/1000</f>
        <v>0</v>
      </c>
      <c r="AX170" s="157" t="n">
        <f aca="false">+AU170*SUM(N170:O170)/1000</f>
        <v>11537.9859375</v>
      </c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</row>
    <row r="171" customFormat="false" ht="12.75" hidden="true" customHeight="false" outlineLevel="1" collapsed="false">
      <c r="A171" s="164" t="n">
        <f aca="false">+IF(B171=" ",A170,B171)</f>
        <v>40483</v>
      </c>
      <c r="B171" s="148" t="n">
        <f aca="false">IF(B170=" "," ",IF(EDATE(B170,1)&gt;=EndDate," ",EDATE(B170,1)))</f>
        <v>40483</v>
      </c>
      <c r="C171" s="149" t="n">
        <f aca="false">IF($B171&lt;&gt;" ",C170+1,C170)</f>
        <v>121</v>
      </c>
      <c r="D171" s="150" t="n">
        <f aca="false">C171/12</f>
        <v>10.0833333333333</v>
      </c>
      <c r="F171" s="157" t="n">
        <f aca="false">+SUM($T171:$U171)</f>
        <v>14883.5779284771</v>
      </c>
      <c r="G171" s="152" t="n">
        <f aca="false">-SUM($AA171,$AG171,$AM171,$AQ171,$AV171:$AX171)</f>
        <v>-16637.5651678739</v>
      </c>
      <c r="H171" s="152" t="n">
        <f aca="false">+SUM(F171:G171)</f>
        <v>-1753.98723939676</v>
      </c>
      <c r="I171" s="124"/>
      <c r="J171" s="153" t="n">
        <f aca="false">+IF($B171=" ",0,IF(AND($B171&gt;=J$26,$B171&lt;J$28),J$33,0))</f>
        <v>0</v>
      </c>
      <c r="K171" s="153" t="n">
        <f aca="false">+IF($B171=" ",0,IF(AND($B171&gt;=K$26,$B171&lt;K$28),K$33,0))</f>
        <v>0</v>
      </c>
      <c r="L171" s="153" t="n">
        <f aca="false">+IF($B171=" ",0,IF(AND($B171&gt;=L$26,$B171&lt;L$28),L$33,0))</f>
        <v>0</v>
      </c>
      <c r="M171" s="153" t="n">
        <f aca="false">+IF($B171=" ",0,IF(AND($B171&gt;=M$26,$B171&lt;M$28),M$33,0))</f>
        <v>0</v>
      </c>
      <c r="N171" s="153" t="n">
        <f aca="false">+IF($B171=" ",0,IF(AND($B171&gt;=N$26,$B171&lt;N$28),N$33,0))</f>
        <v>0</v>
      </c>
      <c r="O171" s="154" t="n">
        <f aca="false">+IF($B171=" ",0,IF(AND($B171&gt;=O$26,$B171&lt;O$28),O$33,0))</f>
        <v>5016515.625</v>
      </c>
      <c r="Q171" s="83" t="n">
        <f aca="false">IF($B171=" ",0,IF($B171&lt;=DATE(2003,12,31),3.55,2.9))</f>
        <v>2.9</v>
      </c>
      <c r="R171" s="155" t="n">
        <f aca="false">IF($B171=" ",0,R$25)</f>
        <v>-0.07</v>
      </c>
      <c r="S171" s="156" t="n">
        <f aca="false">IF($B171=" ",0,S$25)</f>
        <v>0.1</v>
      </c>
      <c r="T171" s="157" t="n">
        <f aca="false">+SUM($Q171,$S171)/1000*(SUM($J171*$J$37,$K171*$K$37,$L171*$L$37,$M171*$M$37,$N171*$N$37,$O171*$O$37))</f>
        <v>14883.5779284771</v>
      </c>
      <c r="U171" s="157" t="n">
        <f aca="false">+SUM($Q171,$R171)/1000*(SUM(0))</f>
        <v>0</v>
      </c>
      <c r="W171" s="158" t="n">
        <f aca="false">IF($B171=" ",0,1)*(IF($B171&gt;=W$25,1,0)*IF($B171&lt;=W$29,W$27,IF($B171&lt;=W$33,W$31,0))*($D171-$D170)*365/1000)</f>
        <v>486.66666666667</v>
      </c>
      <c r="X171" s="158" t="n">
        <f aca="false">IF($B171=" ",0,IF($B171&gt;=X$25,IF($B171&lt;=X$29,X$27,IF($B171&lt;=X$33,X$31,X$31*(1+X$38)^(IF(X$36&gt;$B171,-1,1)*(YEARFRAC($B171,X$36)))))*($D171-$D170)*365/1000,0))</f>
        <v>419.654135542462</v>
      </c>
      <c r="Y171" s="159" t="n">
        <f aca="false">IF($B171=" ",0,Y$25*(1+Y$30)^(IF(Y$28&gt;$B171,-1,1)*(YEARFRAC($B171,Y$28))))</f>
        <v>0.527493661284399</v>
      </c>
      <c r="Z171" s="159" t="n">
        <f aca="false">IF($B171=" ",0,Z$25*(1+Z$30)^(IF(Z$28&gt;$B171,-1,1)*(YEARFRAC($B171,Z$28))))</f>
        <v>0.503560716059348</v>
      </c>
      <c r="AA171" s="162" t="n">
        <f aca="false">+W171+X171+Z171*SUM($J171*$J$37,$L171*$L$37,$N171*$N$37)/1000</f>
        <v>906.320802209132</v>
      </c>
      <c r="AB171" s="161"/>
      <c r="AC171" s="158" t="n">
        <f aca="false">IF($B171=" ",0,1)*(IF($B171&gt;=AC$25,1,0)*IF($B171&lt;=AC$29,AC$27,IF($B171&lt;=AC$33,AC$31,0))*($D171-$D170)*365/1000)</f>
        <v>1591.66666666668</v>
      </c>
      <c r="AD171" s="158" t="n">
        <f aca="false">IF($B171=" ",0,IF($B171&gt;=AD$25,IF($B171&lt;=AD$29,AD$27,IF($B171&lt;=AD$33,AD$31,AD$31*(1+AD$38)^(IF(AD$36&gt;$B171,-1,1)*(YEARFRAC($B171,AD$36)))))*($D171-$D170)*365/1000,0))</f>
        <v>373.583938938988</v>
      </c>
      <c r="AE171" s="159" t="n">
        <f aca="false">IF($B171=" ",0,AE$25*(1+AE$30)^(IF(AE$28&gt;$B171,-1,1)*(YEARFRAC($B171,AE$28))))</f>
        <v>0.437025709431659</v>
      </c>
      <c r="AF171" s="159" t="n">
        <f aca="false">IF($B171=" ",0,AF$25*(1+AF$30)^(IF(AF$28&gt;$B171,-1,1)*(YEARFRAC($B171,AF$28))))</f>
        <v>0.15680383344657</v>
      </c>
      <c r="AG171" s="162" t="n">
        <f aca="false">+AC171+AD171+AF171*SUM($K171*$K$37,$M171*$M$37,$O171*$O$37)/1000</f>
        <v>2743.18463046766</v>
      </c>
      <c r="AI171" s="158" t="n">
        <f aca="false">IF($B171=" ",0,1)*IF($B171&gt;=AI$33,AI$25*($D171-$D170),0)</f>
        <v>485.186570908337</v>
      </c>
      <c r="AJ171" s="158" t="n">
        <f aca="false">IF($B171=" ",0,IF($B171&gt;=AJ$33,AJ$25*(1+AJ$30)^(IF(AJ$28&gt;$B171,-1,1)*(YEARFRAC($B171,AJ$28)))*($D171-$D170),0))</f>
        <v>529.488127845983</v>
      </c>
      <c r="AK171" s="159" t="n">
        <f aca="false">IF($B171=" ",0,AK$25*(1+AK$30)^(IF(AK$28&gt;$B171,-1,1)*(YEARFRAC($B171,AK$28))))</f>
        <v>0.0302609740819845</v>
      </c>
      <c r="AL171" s="159" t="n">
        <f aca="false">IF($B171=" ",0,AL$25*AL$28)</f>
        <v>0.0575</v>
      </c>
      <c r="AM171" s="162" t="n">
        <f aca="false">+AI171+AJ171+SUM(AK171:AL171)*SUM($J171*$J$37,$K171*$K$37,$L171*$L$37,$M171*$M$37,$N171*$N$37,$O171*$O$37)/1000</f>
        <v>1450.07379769708</v>
      </c>
      <c r="AO171" s="163" t="n">
        <f aca="false">IF($B171=" ",0,$AO$25)</f>
        <v>0.25</v>
      </c>
      <c r="AP171" s="159" t="n">
        <f aca="false">IF($B171=" ",0,AP$25*AP$28)</f>
        <v>0.03105</v>
      </c>
      <c r="AQ171" s="162" t="n">
        <f aca="false">SUM(AO171:AP171)*SUM(0)/1000</f>
        <v>0</v>
      </c>
      <c r="AS171" s="155" t="n">
        <f aca="false">IF($B171=" ",0,AS$25)</f>
        <v>1</v>
      </c>
      <c r="AT171" s="156" t="n">
        <f aca="false">IF($B171=" ",0,AT$25)</f>
        <v>1</v>
      </c>
      <c r="AU171" s="156" t="n">
        <f aca="false">IF($B171=" ",0,AU$25)</f>
        <v>2.3</v>
      </c>
      <c r="AV171" s="157" t="n">
        <f aca="false">+AS171*SUM(J171:K171)/1000</f>
        <v>0</v>
      </c>
      <c r="AW171" s="157" t="n">
        <f aca="false">+AT171*SUM(L171:M171)/1000</f>
        <v>0</v>
      </c>
      <c r="AX171" s="157" t="n">
        <f aca="false">+AU171*SUM(N171:O171)/1000</f>
        <v>11537.9859375</v>
      </c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</row>
    <row r="172" customFormat="false" ht="12.75" hidden="true" customHeight="false" outlineLevel="1" collapsed="false">
      <c r="A172" s="164" t="n">
        <f aca="false">+IF(B172=" ",A171,B172)</f>
        <v>40513</v>
      </c>
      <c r="B172" s="148" t="n">
        <f aca="false">IF(B171=" "," ",IF(EDATE(B171,1)&gt;=EndDate," ",EDATE(B171,1)))</f>
        <v>40513</v>
      </c>
      <c r="C172" s="149" t="n">
        <f aca="false">IF($B172&lt;&gt;" ",C171+1,C171)</f>
        <v>122</v>
      </c>
      <c r="D172" s="150" t="n">
        <f aca="false">C172/12</f>
        <v>10.1666666666667</v>
      </c>
      <c r="F172" s="157" t="n">
        <f aca="false">+SUM($T172:$U172)</f>
        <v>14883.5779284771</v>
      </c>
      <c r="G172" s="152" t="n">
        <f aca="false">-SUM($AA172,$AG172,$AM172,$AQ172,$AV172:$AX172)</f>
        <v>-16640.4347695656</v>
      </c>
      <c r="H172" s="152" t="n">
        <f aca="false">+SUM(F172:G172)</f>
        <v>-1756.85684108851</v>
      </c>
      <c r="I172" s="124"/>
      <c r="J172" s="153" t="n">
        <f aca="false">+IF($B172=" ",0,IF(AND($B172&gt;=J$26,$B172&lt;J$28),J$33,0))</f>
        <v>0</v>
      </c>
      <c r="K172" s="153" t="n">
        <f aca="false">+IF($B172=" ",0,IF(AND($B172&gt;=K$26,$B172&lt;K$28),K$33,0))</f>
        <v>0</v>
      </c>
      <c r="L172" s="153" t="n">
        <f aca="false">+IF($B172=" ",0,IF(AND($B172&gt;=L$26,$B172&lt;L$28),L$33,0))</f>
        <v>0</v>
      </c>
      <c r="M172" s="153" t="n">
        <f aca="false">+IF($B172=" ",0,IF(AND($B172&gt;=M$26,$B172&lt;M$28),M$33,0))</f>
        <v>0</v>
      </c>
      <c r="N172" s="153" t="n">
        <f aca="false">+IF($B172=" ",0,IF(AND($B172&gt;=N$26,$B172&lt;N$28),N$33,0))</f>
        <v>0</v>
      </c>
      <c r="O172" s="154" t="n">
        <f aca="false">+IF($B172=" ",0,IF(AND($B172&gt;=O$26,$B172&lt;O$28),O$33,0))</f>
        <v>5016515.625</v>
      </c>
      <c r="Q172" s="83" t="n">
        <f aca="false">IF($B172=" ",0,IF($B172&lt;=DATE(2003,12,31),3.55,2.9))</f>
        <v>2.9</v>
      </c>
      <c r="R172" s="155" t="n">
        <f aca="false">IF($B172=" ",0,R$25)</f>
        <v>-0.07</v>
      </c>
      <c r="S172" s="156" t="n">
        <f aca="false">IF($B172=" ",0,S$25)</f>
        <v>0.1</v>
      </c>
      <c r="T172" s="157" t="n">
        <f aca="false">+SUM($Q172,$S172)/1000*(SUM($J172*$J$37,$K172*$K$37,$L172*$L$37,$M172*$M$37,$N172*$N$37,$O172*$O$37))</f>
        <v>14883.5779284771</v>
      </c>
      <c r="U172" s="157" t="n">
        <f aca="false">+SUM($Q172,$R172)/1000*(SUM(0))</f>
        <v>0</v>
      </c>
      <c r="W172" s="158" t="n">
        <f aca="false">IF($B172=" ",0,1)*(IF($B172&gt;=W$25,1,0)*IF($B172&lt;=W$29,W$27,IF($B172&lt;=W$33,W$31,0))*($D172-$D171)*365/1000)</f>
        <v>486.66666666666</v>
      </c>
      <c r="X172" s="158" t="n">
        <f aca="false">IF($B172=" ",0,IF($B172&gt;=X$25,IF($B172&lt;=X$29,X$27,IF($B172&lt;=X$33,X$31,X$31*(1+X$38)^(IF(X$36&gt;$B172,-1,1)*(YEARFRAC($B172,X$36)))))*($D172-$D171)*365/1000,0))</f>
        <v>420.232582999977</v>
      </c>
      <c r="Y172" s="159" t="n">
        <f aca="false">IF($B172=" ",0,Y$25*(1+Y$30)^(IF(Y$28&gt;$B172,-1,1)*(YEARFRAC($B172,Y$28))))</f>
        <v>0.528220753766963</v>
      </c>
      <c r="Z172" s="159" t="n">
        <f aca="false">IF($B172=" ",0,Z$25*(1+Z$30)^(IF(Z$28&gt;$B172,-1,1)*(YEARFRAC($B172,Z$28))))</f>
        <v>0.504254819587094</v>
      </c>
      <c r="AA172" s="162" t="n">
        <f aca="false">+W172+X172+Z172*SUM($J172*$J$37,$L172*$L$37,$N172*$N$37)/1000</f>
        <v>906.899249666636</v>
      </c>
      <c r="AB172" s="161"/>
      <c r="AC172" s="158" t="n">
        <f aca="false">IF($B172=" ",0,1)*(IF($B172&gt;=AC$25,1,0)*IF($B172&lt;=AC$29,AC$27,IF($B172&lt;=AC$33,AC$31,0))*($D172-$D171)*365/1000)</f>
        <v>1591.66666666664</v>
      </c>
      <c r="AD172" s="158" t="n">
        <f aca="false">IF($B172=" ",0,IF($B172&gt;=AD$25,IF($B172&lt;=AD$29,AD$27,IF($B172&lt;=AD$33,AD$31,AD$31*(1+AD$38)^(IF(AD$36&gt;$B172,-1,1)*(YEARFRAC($B172,AD$36)))))*($D172-$D171)*365/1000,0))</f>
        <v>374.098883654994</v>
      </c>
      <c r="AE172" s="159" t="n">
        <f aca="false">IF($B172=" ",0,AE$25*(1+AE$30)^(IF(AE$28&gt;$B172,-1,1)*(YEARFRAC($B172,AE$28))))</f>
        <v>0.43762810170921</v>
      </c>
      <c r="AF172" s="159" t="n">
        <f aca="false">IF($B172=" ",0,AF$25*(1+AF$30)^(IF(AF$28&gt;$B172,-1,1)*(YEARFRAC($B172,AF$28))))</f>
        <v>0.157019970429636</v>
      </c>
      <c r="AG172" s="162" t="n">
        <f aca="false">+AC172+AD172+AF172*SUM($K172*$K$37,$M172*$M$37,$O172*$O$37)/1000</f>
        <v>2744.77187239386</v>
      </c>
      <c r="AI172" s="158" t="n">
        <f aca="false">IF($B172=" ",0,1)*IF($B172&gt;=AI$33,AI$25*($D172-$D171),0)</f>
        <v>485.186570908327</v>
      </c>
      <c r="AJ172" s="158" t="n">
        <f aca="false">IF($B172=" ",0,IF($B172&gt;=AJ$33,AJ$25*(1+AJ$30)^(IF(AJ$28&gt;$B172,-1,1)*(YEARFRAC($B172,AJ$28)))*($D172-$D171),0))</f>
        <v>530.036543064218</v>
      </c>
      <c r="AK172" s="159" t="n">
        <f aca="false">IF($B172=" ",0,AK$25*(1+AK$30)^(IF(AK$28&gt;$B172,-1,1)*(YEARFRAC($B172,AK$28))))</f>
        <v>0.0302923167652908</v>
      </c>
      <c r="AL172" s="159" t="n">
        <f aca="false">IF($B172=" ",0,AL$25*AL$28)</f>
        <v>0.0575</v>
      </c>
      <c r="AM172" s="162" t="n">
        <f aca="false">+AI172+AJ172+SUM(AK172:AL172)*SUM($J172*$J$37,$K172*$K$37,$L172*$L$37,$M172*$M$37,$N172*$N$37,$O172*$O$37)/1000</f>
        <v>1450.77771000513</v>
      </c>
      <c r="AO172" s="163" t="n">
        <f aca="false">IF($B172=" ",0,$AO$25)</f>
        <v>0.25</v>
      </c>
      <c r="AP172" s="159" t="n">
        <f aca="false">IF($B172=" ",0,AP$25*AP$28)</f>
        <v>0.03105</v>
      </c>
      <c r="AQ172" s="162" t="n">
        <f aca="false">SUM(AO172:AP172)*SUM(0)/1000</f>
        <v>0</v>
      </c>
      <c r="AS172" s="155" t="n">
        <f aca="false">IF($B172=" ",0,AS$25)</f>
        <v>1</v>
      </c>
      <c r="AT172" s="156" t="n">
        <f aca="false">IF($B172=" ",0,AT$25)</f>
        <v>1</v>
      </c>
      <c r="AU172" s="156" t="n">
        <f aca="false">IF($B172=" ",0,AU$25)</f>
        <v>2.3</v>
      </c>
      <c r="AV172" s="157" t="n">
        <f aca="false">+AS172*SUM(J172:K172)/1000</f>
        <v>0</v>
      </c>
      <c r="AW172" s="157" t="n">
        <f aca="false">+AT172*SUM(L172:M172)/1000</f>
        <v>0</v>
      </c>
      <c r="AX172" s="157" t="n">
        <f aca="false">+AU172*SUM(N172:O172)/1000</f>
        <v>11537.9859375</v>
      </c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</row>
    <row r="173" customFormat="false" ht="12.75" hidden="true" customHeight="false" outlineLevel="1" collapsed="false">
      <c r="A173" s="164" t="n">
        <f aca="false">+IF(B173=" ",A172,B173)</f>
        <v>40544</v>
      </c>
      <c r="B173" s="148" t="n">
        <f aca="false">IF(B172=" "," ",IF(EDATE(B172,1)&gt;=EndDate," ",EDATE(B172,1)))</f>
        <v>40544</v>
      </c>
      <c r="C173" s="149" t="n">
        <f aca="false">IF($B173&lt;&gt;" ",C172+1,C172)</f>
        <v>123</v>
      </c>
      <c r="D173" s="150" t="n">
        <f aca="false">C173/12</f>
        <v>10.25</v>
      </c>
      <c r="F173" s="157" t="n">
        <f aca="false">+SUM($T173:$U173)</f>
        <v>14883.5779284771</v>
      </c>
      <c r="G173" s="152" t="n">
        <f aca="false">-SUM($AA173,$AG173,$AM173,$AQ173,$AV173:$AX173)</f>
        <v>-16643.3080854985</v>
      </c>
      <c r="H173" s="152" t="n">
        <f aca="false">+SUM(F173:G173)</f>
        <v>-1759.73015702142</v>
      </c>
      <c r="I173" s="124"/>
      <c r="J173" s="153" t="n">
        <f aca="false">+IF($B173=" ",0,IF(AND($B173&gt;=J$26,$B173&lt;J$28),J$33,0))</f>
        <v>0</v>
      </c>
      <c r="K173" s="153" t="n">
        <f aca="false">+IF($B173=" ",0,IF(AND($B173&gt;=K$26,$B173&lt;K$28),K$33,0))</f>
        <v>0</v>
      </c>
      <c r="L173" s="153" t="n">
        <f aca="false">+IF($B173=" ",0,IF(AND($B173&gt;=L$26,$B173&lt;L$28),L$33,0))</f>
        <v>0</v>
      </c>
      <c r="M173" s="153" t="n">
        <f aca="false">+IF($B173=" ",0,IF(AND($B173&gt;=M$26,$B173&lt;M$28),M$33,0))</f>
        <v>0</v>
      </c>
      <c r="N173" s="153" t="n">
        <f aca="false">+IF($B173=" ",0,IF(AND($B173&gt;=N$26,$B173&lt;N$28),N$33,0))</f>
        <v>0</v>
      </c>
      <c r="O173" s="154" t="n">
        <f aca="false">+IF($B173=" ",0,IF(AND($B173&gt;=O$26,$B173&lt;O$28),O$33,0))</f>
        <v>5016515.625</v>
      </c>
      <c r="Q173" s="83" t="n">
        <f aca="false">IF($B173=" ",0,IF($B173&lt;=DATE(2003,12,31),3.55,2.9))</f>
        <v>2.9</v>
      </c>
      <c r="R173" s="155" t="n">
        <f aca="false">IF($B173=" ",0,R$25)</f>
        <v>-0.07</v>
      </c>
      <c r="S173" s="156" t="n">
        <f aca="false">IF($B173=" ",0,S$25)</f>
        <v>0.1</v>
      </c>
      <c r="T173" s="157" t="n">
        <f aca="false">+SUM($Q173,$S173)/1000*(SUM($J173*$J$37,$K173*$K$37,$L173*$L$37,$M173*$M$37,$N173*$N$37,$O173*$O$37))</f>
        <v>14883.5779284771</v>
      </c>
      <c r="U173" s="157" t="n">
        <f aca="false">+SUM($Q173,$R173)/1000*(SUM(0))</f>
        <v>0</v>
      </c>
      <c r="W173" s="158" t="n">
        <f aca="false">IF($B173=" ",0,1)*(IF($B173&gt;=W$25,1,0)*IF($B173&lt;=W$29,W$27,IF($B173&lt;=W$33,W$31,0))*($D173-$D172)*365/1000)</f>
        <v>486.66666666667</v>
      </c>
      <c r="X173" s="158" t="n">
        <f aca="false">IF($B173=" ",0,IF($B173&gt;=X$25,IF($B173&lt;=X$29,X$27,IF($B173&lt;=X$33,X$31,X$31*(1+X$38)^(IF(X$36&gt;$B173,-1,1)*(YEARFRAC($B173,X$36)))))*($D173-$D172)*365/1000,0))</f>
        <v>420.811827784243</v>
      </c>
      <c r="Y173" s="159" t="n">
        <f aca="false">IF($B173=" ",0,Y$25*(1+Y$30)^(IF(Y$28&gt;$B173,-1,1)*(YEARFRAC($B173,Y$28))))</f>
        <v>0.528948848467217</v>
      </c>
      <c r="Z173" s="159" t="n">
        <f aca="false">IF($B173=" ",0,Z$25*(1+Z$30)^(IF(Z$28&gt;$B173,-1,1)*(YEARFRAC($B173,Z$28))))</f>
        <v>0.504949879860853</v>
      </c>
      <c r="AA173" s="162" t="n">
        <f aca="false">+W173+X173+Z173*SUM($J173*$J$37,$L173*$L$37,$N173*$N$37)/1000</f>
        <v>907.478494450913</v>
      </c>
      <c r="AB173" s="161"/>
      <c r="AC173" s="158" t="n">
        <f aca="false">IF($B173=" ",0,1)*(IF($B173&gt;=AC$25,1,0)*IF($B173&lt;=AC$29,AC$27,IF($B173&lt;=AC$33,AC$31,0))*($D173-$D172)*365/1000)</f>
        <v>1591.66666666668</v>
      </c>
      <c r="AD173" s="158" t="n">
        <f aca="false">IF($B173=" ",0,IF($B173&gt;=AD$25,IF($B173&lt;=AD$29,AD$27,IF($B173&lt;=AD$33,AD$31,AD$31*(1+AD$38)^(IF(AD$36&gt;$B173,-1,1)*(YEARFRAC($B173,AD$36)))))*($D173-$D172)*365/1000,0))</f>
        <v>374.614538166146</v>
      </c>
      <c r="AE173" s="159" t="n">
        <f aca="false">IF($B173=" ",0,AE$25*(1+AE$30)^(IF(AE$28&gt;$B173,-1,1)*(YEARFRAC($B173,AE$28))))</f>
        <v>0.438231324318818</v>
      </c>
      <c r="AF173" s="159" t="n">
        <f aca="false">IF($B173=" ",0,AF$25*(1+AF$30)^(IF(AF$28&gt;$B173,-1,1)*(YEARFRAC($B173,AF$28))))</f>
        <v>0.15723640533396</v>
      </c>
      <c r="AG173" s="162" t="n">
        <f aca="false">+AC173+AD173+AF173*SUM($K173*$K$37,$M173*$M$37,$O173*$O$37)/1000</f>
        <v>2746.36130216003</v>
      </c>
      <c r="AI173" s="158" t="n">
        <f aca="false">IF($B173=" ",0,1)*IF($B173&gt;=AI$33,AI$25*($D173-$D172),0)</f>
        <v>485.186570908337</v>
      </c>
      <c r="AJ173" s="158" t="n">
        <f aca="false">IF($B173=" ",0,IF($B173&gt;=AJ$33,AJ$25*(1+AJ$30)^(IF(AJ$28&gt;$B173,-1,1)*(YEARFRAC($B173,AJ$28)))*($D173-$D172),0))</f>
        <v>530.585526301353</v>
      </c>
      <c r="AK173" s="159" t="n">
        <f aca="false">IF($B173=" ",0,AK$25*(1+AK$30)^(IF(AK$28&gt;$B173,-1,1)*(YEARFRAC($B173,AK$28))))</f>
        <v>0.0303236919116565</v>
      </c>
      <c r="AL173" s="159" t="n">
        <f aca="false">IF($B173=" ",0,AL$25*AL$28)</f>
        <v>0.0575</v>
      </c>
      <c r="AM173" s="162" t="n">
        <f aca="false">+AI173+AJ173+SUM(AK173:AL173)*SUM($J173*$J$37,$K173*$K$37,$L173*$L$37,$M173*$M$37,$N173*$N$37,$O173*$O$37)/1000</f>
        <v>1451.48235138759</v>
      </c>
      <c r="AO173" s="163" t="n">
        <f aca="false">IF($B173=" ",0,$AO$25)</f>
        <v>0.25</v>
      </c>
      <c r="AP173" s="159" t="n">
        <f aca="false">IF($B173=" ",0,AP$25*AP$28)</f>
        <v>0.03105</v>
      </c>
      <c r="AQ173" s="162" t="n">
        <f aca="false">SUM(AO173:AP173)*SUM(0)/1000</f>
        <v>0</v>
      </c>
      <c r="AS173" s="155" t="n">
        <f aca="false">IF($B173=" ",0,AS$25)</f>
        <v>1</v>
      </c>
      <c r="AT173" s="156" t="n">
        <f aca="false">IF($B173=" ",0,AT$25)</f>
        <v>1</v>
      </c>
      <c r="AU173" s="156" t="n">
        <f aca="false">IF($B173=" ",0,AU$25)</f>
        <v>2.3</v>
      </c>
      <c r="AV173" s="157" t="n">
        <f aca="false">+AS173*SUM(J173:K173)/1000</f>
        <v>0</v>
      </c>
      <c r="AW173" s="157" t="n">
        <f aca="false">+AT173*SUM(L173:M173)/1000</f>
        <v>0</v>
      </c>
      <c r="AX173" s="157" t="n">
        <f aca="false">+AU173*SUM(N173:O173)/1000</f>
        <v>11537.9859375</v>
      </c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</row>
    <row r="174" customFormat="false" ht="12.75" hidden="true" customHeight="false" outlineLevel="1" collapsed="false">
      <c r="A174" s="164" t="n">
        <f aca="false">+IF(B174=" ",A173,B174)</f>
        <v>40575</v>
      </c>
      <c r="B174" s="148" t="n">
        <f aca="false">IF(B173=" "," ",IF(EDATE(B173,1)&gt;=EndDate," ",EDATE(B173,1)))</f>
        <v>40575</v>
      </c>
      <c r="C174" s="149" t="n">
        <f aca="false">IF($B174&lt;&gt;" ",C173+1,C173)</f>
        <v>124</v>
      </c>
      <c r="D174" s="150" t="n">
        <f aca="false">C174/12</f>
        <v>10.3333333333333</v>
      </c>
      <c r="F174" s="157" t="n">
        <f aca="false">+SUM($T174:$U174)</f>
        <v>14883.5779284771</v>
      </c>
      <c r="G174" s="152" t="n">
        <f aca="false">-SUM($AA174,$AG174,$AM174,$AQ174,$AV174:$AX174)</f>
        <v>-16646.1851205422</v>
      </c>
      <c r="H174" s="152" t="n">
        <f aca="false">+SUM(F174:G174)</f>
        <v>-1762.6071920651</v>
      </c>
      <c r="I174" s="124"/>
      <c r="J174" s="153" t="n">
        <f aca="false">+IF($B174=" ",0,IF(AND($B174&gt;=J$26,$B174&lt;J$28),J$33,0))</f>
        <v>0</v>
      </c>
      <c r="K174" s="153" t="n">
        <f aca="false">+IF($B174=" ",0,IF(AND($B174&gt;=K$26,$B174&lt;K$28),K$33,0))</f>
        <v>0</v>
      </c>
      <c r="L174" s="153" t="n">
        <f aca="false">+IF($B174=" ",0,IF(AND($B174&gt;=L$26,$B174&lt;L$28),L$33,0))</f>
        <v>0</v>
      </c>
      <c r="M174" s="153" t="n">
        <f aca="false">+IF($B174=" ",0,IF(AND($B174&gt;=M$26,$B174&lt;M$28),M$33,0))</f>
        <v>0</v>
      </c>
      <c r="N174" s="153" t="n">
        <f aca="false">+IF($B174=" ",0,IF(AND($B174&gt;=N$26,$B174&lt;N$28),N$33,0))</f>
        <v>0</v>
      </c>
      <c r="O174" s="154" t="n">
        <f aca="false">+IF($B174=" ",0,IF(AND($B174&gt;=O$26,$B174&lt;O$28),O$33,0))</f>
        <v>5016515.625</v>
      </c>
      <c r="Q174" s="83" t="n">
        <f aca="false">IF($B174=" ",0,IF($B174&lt;=DATE(2003,12,31),3.55,2.9))</f>
        <v>2.9</v>
      </c>
      <c r="R174" s="155" t="n">
        <f aca="false">IF($B174=" ",0,R$25)</f>
        <v>-0.07</v>
      </c>
      <c r="S174" s="156" t="n">
        <f aca="false">IF($B174=" ",0,S$25)</f>
        <v>0.1</v>
      </c>
      <c r="T174" s="157" t="n">
        <f aca="false">+SUM($Q174,$S174)/1000*(SUM($J174*$J$37,$K174*$K$37,$L174*$L$37,$M174*$M$37,$N174*$N$37,$O174*$O$37))</f>
        <v>14883.5779284771</v>
      </c>
      <c r="U174" s="157" t="n">
        <f aca="false">+SUM($Q174,$R174)/1000*(SUM(0))</f>
        <v>0</v>
      </c>
      <c r="W174" s="158" t="n">
        <f aca="false">IF($B174=" ",0,1)*(IF($B174&gt;=W$25,1,0)*IF($B174&lt;=W$29,W$27,IF($B174&lt;=W$33,W$31,0))*($D174-$D173)*365/1000)</f>
        <v>486.66666666667</v>
      </c>
      <c r="X174" s="158" t="n">
        <f aca="false">IF($B174=" ",0,IF($B174&gt;=X$25,IF($B174&lt;=X$29,X$27,IF($B174&lt;=X$33,X$31,X$31*(1+X$38)^(IF(X$36&gt;$B174,-1,1)*(YEARFRAC($B174,X$36)))))*($D174-$D173)*365/1000,0))</f>
        <v>421.391870994262</v>
      </c>
      <c r="Y174" s="159" t="n">
        <f aca="false">IF($B174=" ",0,Y$25*(1+Y$30)^(IF(Y$28&gt;$B174,-1,1)*(YEARFRAC($B174,Y$28))))</f>
        <v>0.529677946766607</v>
      </c>
      <c r="Z174" s="159" t="n">
        <f aca="false">IF($B174=" ",0,Z$25*(1+Z$30)^(IF(Z$28&gt;$B174,-1,1)*(YEARFRAC($B174,Z$28))))</f>
        <v>0.505645898199395</v>
      </c>
      <c r="AA174" s="162" t="n">
        <f aca="false">+W174+X174+Z174*SUM($J174*$J$37,$L174*$L$37,$N174*$N$37)/1000</f>
        <v>908.058537660932</v>
      </c>
      <c r="AB174" s="161"/>
      <c r="AC174" s="158" t="n">
        <f aca="false">IF($B174=" ",0,1)*(IF($B174&gt;=AC$25,1,0)*IF($B174&lt;=AC$29,AC$27,IF($B174&lt;=AC$33,AC$31,0))*($D174-$D173)*365/1000)</f>
        <v>1591.66666666668</v>
      </c>
      <c r="AD174" s="158" t="n">
        <f aca="false">IF($B174=" ",0,IF($B174&gt;=AD$25,IF($B174&lt;=AD$29,AD$27,IF($B174&lt;=AD$33,AD$31,AD$31*(1+AD$38)^(IF(AD$36&gt;$B174,-1,1)*(YEARFRAC($B174,AD$36)))))*($D174-$D173)*365/1000,0))</f>
        <v>375.130903450795</v>
      </c>
      <c r="AE174" s="159" t="n">
        <f aca="false">IF($B174=" ",0,AE$25*(1+AE$30)^(IF(AE$28&gt;$B174,-1,1)*(YEARFRAC($B174,AE$28))))</f>
        <v>0.438835378405005</v>
      </c>
      <c r="AF174" s="159" t="n">
        <f aca="false">IF($B174=" ",0,AF$25*(1+AF$30)^(IF(AF$28&gt;$B174,-1,1)*(YEARFRAC($B174,AF$28))))</f>
        <v>0.157453138570195</v>
      </c>
      <c r="AG174" s="162" t="n">
        <f aca="false">+AC174+AD174+AF174*SUM($K174*$K$37,$M174*$M$37,$O174*$O$37)/1000</f>
        <v>2747.95292278174</v>
      </c>
      <c r="AI174" s="158" t="n">
        <f aca="false">IF($B174=" ",0,1)*IF($B174&gt;=AI$33,AI$25*($D174-$D173),0)</f>
        <v>485.186570908337</v>
      </c>
      <c r="AJ174" s="158" t="n">
        <f aca="false">IF($B174=" ",0,IF($B174&gt;=AJ$33,AJ$25*(1+AJ$30)^(IF(AJ$28&gt;$B174,-1,1)*(YEARFRAC($B174,AJ$28)))*($D174-$D173),0))</f>
        <v>531.135078145676</v>
      </c>
      <c r="AK174" s="159" t="n">
        <f aca="false">IF($B174=" ",0,AK$25*(1+AK$30)^(IF(AK$28&gt;$B174,-1,1)*(YEARFRAC($B174,AK$28))))</f>
        <v>0.0303550995547049</v>
      </c>
      <c r="AL174" s="159" t="n">
        <f aca="false">IF($B174=" ",0,AL$25*AL$28)</f>
        <v>0.0575</v>
      </c>
      <c r="AM174" s="162" t="n">
        <f aca="false">+AI174+AJ174+SUM(AK174:AL174)*SUM($J174*$J$37,$K174*$K$37,$L174*$L$37,$M174*$M$37,$N174*$N$37,$O174*$O$37)/1000</f>
        <v>1452.18772259953</v>
      </c>
      <c r="AO174" s="163" t="n">
        <f aca="false">IF($B174=" ",0,$AO$25)</f>
        <v>0.25</v>
      </c>
      <c r="AP174" s="159" t="n">
        <f aca="false">IF($B174=" ",0,AP$25*AP$28)</f>
        <v>0.03105</v>
      </c>
      <c r="AQ174" s="162" t="n">
        <f aca="false">SUM(AO174:AP174)*SUM(0)/1000</f>
        <v>0</v>
      </c>
      <c r="AS174" s="155" t="n">
        <f aca="false">IF($B174=" ",0,AS$25)</f>
        <v>1</v>
      </c>
      <c r="AT174" s="156" t="n">
        <f aca="false">IF($B174=" ",0,AT$25)</f>
        <v>1</v>
      </c>
      <c r="AU174" s="156" t="n">
        <f aca="false">IF($B174=" ",0,AU$25)</f>
        <v>2.3</v>
      </c>
      <c r="AV174" s="157" t="n">
        <f aca="false">+AS174*SUM(J174:K174)/1000</f>
        <v>0</v>
      </c>
      <c r="AW174" s="157" t="n">
        <f aca="false">+AT174*SUM(L174:M174)/1000</f>
        <v>0</v>
      </c>
      <c r="AX174" s="157" t="n">
        <f aca="false">+AU174*SUM(N174:O174)/1000</f>
        <v>11537.9859375</v>
      </c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</row>
    <row r="175" customFormat="false" ht="12.75" hidden="true" customHeight="false" outlineLevel="1" collapsed="false">
      <c r="A175" s="164" t="n">
        <f aca="false">+IF(B175=" ",A174,B175)</f>
        <v>40603</v>
      </c>
      <c r="B175" s="148" t="n">
        <f aca="false">IF(B174=" "," ",IF(EDATE(B174,1)&gt;=EndDate," ",EDATE(B174,1)))</f>
        <v>40603</v>
      </c>
      <c r="C175" s="149" t="n">
        <f aca="false">IF($B175&lt;&gt;" ",C174+1,C174)</f>
        <v>125</v>
      </c>
      <c r="D175" s="150" t="n">
        <f aca="false">C175/12</f>
        <v>10.4166666666667</v>
      </c>
      <c r="F175" s="157" t="n">
        <f aca="false">+SUM($T175:$U175)</f>
        <v>14883.5779284771</v>
      </c>
      <c r="G175" s="152" t="n">
        <f aca="false">-SUM($AA175,$AG175,$AM175,$AQ175,$AV175:$AX175)</f>
        <v>-16649.065879573</v>
      </c>
      <c r="H175" s="152" t="n">
        <f aca="false">+SUM(F175:G175)</f>
        <v>-1765.48795109586</v>
      </c>
      <c r="I175" s="124"/>
      <c r="J175" s="153" t="n">
        <f aca="false">+IF($B175=" ",0,IF(AND($B175&gt;=J$26,$B175&lt;J$28),J$33,0))</f>
        <v>0</v>
      </c>
      <c r="K175" s="153" t="n">
        <f aca="false">+IF($B175=" ",0,IF(AND($B175&gt;=K$26,$B175&lt;K$28),K$33,0))</f>
        <v>0</v>
      </c>
      <c r="L175" s="153" t="n">
        <f aca="false">+IF($B175=" ",0,IF(AND($B175&gt;=L$26,$B175&lt;L$28),L$33,0))</f>
        <v>0</v>
      </c>
      <c r="M175" s="153" t="n">
        <f aca="false">+IF($B175=" ",0,IF(AND($B175&gt;=M$26,$B175&lt;M$28),M$33,0))</f>
        <v>0</v>
      </c>
      <c r="N175" s="153" t="n">
        <f aca="false">+IF($B175=" ",0,IF(AND($B175&gt;=N$26,$B175&lt;N$28),N$33,0))</f>
        <v>0</v>
      </c>
      <c r="O175" s="154" t="n">
        <f aca="false">+IF($B175=" ",0,IF(AND($B175&gt;=O$26,$B175&lt;O$28),O$33,0))</f>
        <v>5016515.625</v>
      </c>
      <c r="Q175" s="83" t="n">
        <f aca="false">IF($B175=" ",0,IF($B175&lt;=DATE(2003,12,31),3.55,2.9))</f>
        <v>2.9</v>
      </c>
      <c r="R175" s="155" t="n">
        <f aca="false">IF($B175=" ",0,R$25)</f>
        <v>-0.07</v>
      </c>
      <c r="S175" s="156" t="n">
        <f aca="false">IF($B175=" ",0,S$25)</f>
        <v>0.1</v>
      </c>
      <c r="T175" s="157" t="n">
        <f aca="false">+SUM($Q175,$S175)/1000*(SUM($J175*$J$37,$K175*$K$37,$L175*$L$37,$M175*$M$37,$N175*$N$37,$O175*$O$37))</f>
        <v>14883.5779284771</v>
      </c>
      <c r="U175" s="157" t="n">
        <f aca="false">+SUM($Q175,$R175)/1000*(SUM(0))</f>
        <v>0</v>
      </c>
      <c r="W175" s="158" t="n">
        <f aca="false">IF($B175=" ",0,1)*(IF($B175&gt;=W$25,1,0)*IF($B175&lt;=W$29,W$27,IF($B175&lt;=W$33,W$31,0))*($D175-$D174)*365/1000)</f>
        <v>486.66666666666</v>
      </c>
      <c r="X175" s="158" t="n">
        <f aca="false">IF($B175=" ",0,IF($B175&gt;=X$25,IF($B175&lt;=X$29,X$27,IF($B175&lt;=X$33,X$31,X$31*(1+X$38)^(IF(X$36&gt;$B175,-1,1)*(YEARFRAC($B175,X$36)))))*($D175-$D174)*365/1000,0))</f>
        <v>421.972713730576</v>
      </c>
      <c r="Y175" s="159" t="n">
        <f aca="false">IF($B175=" ",0,Y$25*(1+Y$30)^(IF(Y$28&gt;$B175,-1,1)*(YEARFRAC($B175,Y$28))))</f>
        <v>0.530408050048485</v>
      </c>
      <c r="Z175" s="159" t="n">
        <f aca="false">IF($B175=" ",0,Z$25*(1+Z$30)^(IF(Z$28&gt;$B175,-1,1)*(YEARFRAC($B175,Z$28))))</f>
        <v>0.506342875923307</v>
      </c>
      <c r="AA175" s="162" t="n">
        <f aca="false">+W175+X175+Z175*SUM($J175*$J$37,$L175*$L$37,$N175*$N$37)/1000</f>
        <v>908.639380397236</v>
      </c>
      <c r="AB175" s="161"/>
      <c r="AC175" s="158" t="n">
        <f aca="false">IF($B175=" ",0,1)*(IF($B175&gt;=AC$25,1,0)*IF($B175&lt;=AC$29,AC$27,IF($B175&lt;=AC$33,AC$31,0))*($D175-$D174)*365/1000)</f>
        <v>1591.66666666664</v>
      </c>
      <c r="AD175" s="158" t="n">
        <f aca="false">IF($B175=" ",0,IF($B175&gt;=AD$25,IF($B175&lt;=AD$29,AD$27,IF($B175&lt;=AD$33,AD$31,AD$31*(1+AD$38)^(IF(AD$36&gt;$B175,-1,1)*(YEARFRAC($B175,AD$36)))))*($D175-$D174)*365/1000,0))</f>
        <v>375.647980488666</v>
      </c>
      <c r="AE175" s="159" t="n">
        <f aca="false">IF($B175=" ",0,AE$25*(1+AE$30)^(IF(AE$28&gt;$B175,-1,1)*(YEARFRAC($B175,AE$28))))</f>
        <v>0.439440265113869</v>
      </c>
      <c r="AF175" s="159" t="n">
        <f aca="false">IF($B175=" ",0,AF$25*(1+AF$30)^(IF(AF$28&gt;$B175,-1,1)*(YEARFRAC($B175,AF$28))))</f>
        <v>0.157670170549559</v>
      </c>
      <c r="AG175" s="162" t="n">
        <f aca="false">+AC175+AD175+AF175*SUM($K175*$K$37,$M175*$M$37,$O175*$O$37)/1000</f>
        <v>2749.54673727886</v>
      </c>
      <c r="AI175" s="158" t="n">
        <f aca="false">IF($B175=" ",0,1)*IF($B175&gt;=AI$33,AI$25*($D175-$D174),0)</f>
        <v>485.186570908327</v>
      </c>
      <c r="AJ175" s="158" t="n">
        <f aca="false">IF($B175=" ",0,IF($B175&gt;=AJ$33,AJ$25*(1+AJ$30)^(IF(AJ$28&gt;$B175,-1,1)*(YEARFRAC($B175,AJ$28)))*($D175-$D174),0))</f>
        <v>531.685199186121</v>
      </c>
      <c r="AK175" s="159" t="n">
        <f aca="false">IF($B175=" ",0,AK$25*(1+AK$30)^(IF(AK$28&gt;$B175,-1,1)*(YEARFRAC($B175,AK$28))))</f>
        <v>0.0303865397280945</v>
      </c>
      <c r="AL175" s="159" t="n">
        <f aca="false">IF($B175=" ",0,AL$25*AL$28)</f>
        <v>0.0575</v>
      </c>
      <c r="AM175" s="162" t="n">
        <f aca="false">+AI175+AJ175+SUM(AK175:AL175)*SUM($J175*$J$37,$K175*$K$37,$L175*$L$37,$M175*$M$37,$N175*$N$37,$O175*$O$37)/1000</f>
        <v>1452.89382439688</v>
      </c>
      <c r="AO175" s="163" t="n">
        <f aca="false">IF($B175=" ",0,$AO$25)</f>
        <v>0.25</v>
      </c>
      <c r="AP175" s="159" t="n">
        <f aca="false">IF($B175=" ",0,AP$25*AP$28)</f>
        <v>0.03105</v>
      </c>
      <c r="AQ175" s="162" t="n">
        <f aca="false">SUM(AO175:AP175)*SUM(0)/1000</f>
        <v>0</v>
      </c>
      <c r="AS175" s="155" t="n">
        <f aca="false">IF($B175=" ",0,AS$25)</f>
        <v>1</v>
      </c>
      <c r="AT175" s="156" t="n">
        <f aca="false">IF($B175=" ",0,AT$25)</f>
        <v>1</v>
      </c>
      <c r="AU175" s="156" t="n">
        <f aca="false">IF($B175=" ",0,AU$25)</f>
        <v>2.3</v>
      </c>
      <c r="AV175" s="157" t="n">
        <f aca="false">+AS175*SUM(J175:K175)/1000</f>
        <v>0</v>
      </c>
      <c r="AW175" s="157" t="n">
        <f aca="false">+AT175*SUM(L175:M175)/1000</f>
        <v>0</v>
      </c>
      <c r="AX175" s="157" t="n">
        <f aca="false">+AU175*SUM(N175:O175)/1000</f>
        <v>11537.9859375</v>
      </c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</row>
    <row r="176" customFormat="false" ht="12.75" hidden="true" customHeight="false" outlineLevel="1" collapsed="false">
      <c r="A176" s="164" t="n">
        <f aca="false">+IF(B176=" ",A175,B176)</f>
        <v>40634</v>
      </c>
      <c r="B176" s="148" t="n">
        <f aca="false">IF(B175=" "," ",IF(EDATE(B175,1)&gt;=EndDate," ",EDATE(B175,1)))</f>
        <v>40634</v>
      </c>
      <c r="C176" s="149" t="n">
        <f aca="false">IF($B176&lt;&gt;" ",C175+1,C175)</f>
        <v>126</v>
      </c>
      <c r="D176" s="150" t="n">
        <f aca="false">C176/12</f>
        <v>10.5</v>
      </c>
      <c r="F176" s="157" t="n">
        <f aca="false">+SUM($T176:$U176)</f>
        <v>14883.5779284771</v>
      </c>
      <c r="G176" s="152" t="n">
        <f aca="false">-SUM($AA176,$AG176,$AM176,$AQ176,$AV176:$AX176)</f>
        <v>-16651.9503674738</v>
      </c>
      <c r="H176" s="152" t="n">
        <f aca="false">+SUM(F176:G176)</f>
        <v>-1768.37243899673</v>
      </c>
      <c r="I176" s="124"/>
      <c r="J176" s="153" t="n">
        <f aca="false">+IF($B176=" ",0,IF(AND($B176&gt;=J$26,$B176&lt;J$28),J$33,0))</f>
        <v>0</v>
      </c>
      <c r="K176" s="153" t="n">
        <f aca="false">+IF($B176=" ",0,IF(AND($B176&gt;=K$26,$B176&lt;K$28),K$33,0))</f>
        <v>0</v>
      </c>
      <c r="L176" s="153" t="n">
        <f aca="false">+IF($B176=" ",0,IF(AND($B176&gt;=L$26,$B176&lt;L$28),L$33,0))</f>
        <v>0</v>
      </c>
      <c r="M176" s="153" t="n">
        <f aca="false">+IF($B176=" ",0,IF(AND($B176&gt;=M$26,$B176&lt;M$28),M$33,0))</f>
        <v>0</v>
      </c>
      <c r="N176" s="153" t="n">
        <f aca="false">+IF($B176=" ",0,IF(AND($B176&gt;=N$26,$B176&lt;N$28),N$33,0))</f>
        <v>0</v>
      </c>
      <c r="O176" s="154" t="n">
        <f aca="false">+IF($B176=" ",0,IF(AND($B176&gt;=O$26,$B176&lt;O$28),O$33,0))</f>
        <v>5016515.625</v>
      </c>
      <c r="Q176" s="83" t="n">
        <f aca="false">IF($B176=" ",0,IF($B176&lt;=DATE(2003,12,31),3.55,2.9))</f>
        <v>2.9</v>
      </c>
      <c r="R176" s="155" t="n">
        <f aca="false">IF($B176=" ",0,R$25)</f>
        <v>-0.07</v>
      </c>
      <c r="S176" s="156" t="n">
        <f aca="false">IF($B176=" ",0,S$25)</f>
        <v>0.1</v>
      </c>
      <c r="T176" s="157" t="n">
        <f aca="false">+SUM($Q176,$S176)/1000*(SUM($J176*$J$37,$K176*$K$37,$L176*$L$37,$M176*$M$37,$N176*$N$37,$O176*$O$37))</f>
        <v>14883.5779284771</v>
      </c>
      <c r="U176" s="157" t="n">
        <f aca="false">+SUM($Q176,$R176)/1000*(SUM(0))</f>
        <v>0</v>
      </c>
      <c r="W176" s="158" t="n">
        <f aca="false">IF($B176=" ",0,1)*(IF($B176&gt;=W$25,1,0)*IF($B176&lt;=W$29,W$27,IF($B176&lt;=W$33,W$31,0))*($D176-$D175)*365/1000)</f>
        <v>486.66666666667</v>
      </c>
      <c r="X176" s="158" t="n">
        <f aca="false">IF($B176=" ",0,IF($B176&gt;=X$25,IF($B176&lt;=X$29,X$27,IF($B176&lt;=X$33,X$31,X$31*(1+X$38)^(IF(X$36&gt;$B176,-1,1)*(YEARFRAC($B176,X$36)))))*($D176-$D175)*365/1000,0))</f>
        <v>422.554357095272</v>
      </c>
      <c r="Y176" s="159" t="n">
        <f aca="false">IF($B176=" ",0,Y$25*(1+Y$30)^(IF(Y$28&gt;$B176,-1,1)*(YEARFRAC($B176,Y$28))))</f>
        <v>0.531139159698112</v>
      </c>
      <c r="Z176" s="159" t="n">
        <f aca="false">IF($B176=" ",0,Z$25*(1+Z$30)^(IF(Z$28&gt;$B176,-1,1)*(YEARFRAC($B176,Z$28))))</f>
        <v>0.507040814354998</v>
      </c>
      <c r="AA176" s="162" t="n">
        <f aca="false">+W176+X176+Z176*SUM($J176*$J$37,$L176*$L$37,$N176*$N$37)/1000</f>
        <v>909.221023761942</v>
      </c>
      <c r="AB176" s="161"/>
      <c r="AC176" s="158" t="n">
        <f aca="false">IF($B176=" ",0,1)*(IF($B176&gt;=AC$25,1,0)*IF($B176&lt;=AC$29,AC$27,IF($B176&lt;=AC$33,AC$31,0))*($D176-$D175)*365/1000)</f>
        <v>1591.66666666668</v>
      </c>
      <c r="AD176" s="158" t="n">
        <f aca="false">IF($B176=" ",0,IF($B176&gt;=AD$25,IF($B176&lt;=AD$29,AD$27,IF($B176&lt;=AD$33,AD$31,AD$31*(1+AD$38)^(IF(AD$36&gt;$B176,-1,1)*(YEARFRAC($B176,AD$36)))))*($D176-$D175)*365/1000,0))</f>
        <v>376.165770260855</v>
      </c>
      <c r="AE176" s="159" t="n">
        <f aca="false">IF($B176=" ",0,AE$25*(1+AE$30)^(IF(AE$28&gt;$B176,-1,1)*(YEARFRAC($B176,AE$28))))</f>
        <v>0.440045985593093</v>
      </c>
      <c r="AF176" s="159" t="n">
        <f aca="false">IF($B176=" ",0,AF$25*(1+AF$30)^(IF(AF$28&gt;$B176,-1,1)*(YEARFRAC($B176,AF$28))))</f>
        <v>0.157887501683837</v>
      </c>
      <c r="AG176" s="162" t="n">
        <f aca="false">+AC176+AD176+AF176*SUM($K176*$K$37,$M176*$M$37,$O176*$O$37)/1000</f>
        <v>2751.14274867552</v>
      </c>
      <c r="AI176" s="158" t="n">
        <f aca="false">IF($B176=" ",0,1)*IF($B176&gt;=AI$33,AI$25*($D176-$D175),0)</f>
        <v>485.186570908337</v>
      </c>
      <c r="AJ176" s="158" t="n">
        <f aca="false">IF($B176=" ",0,IF($B176&gt;=AJ$33,AJ$25*(1+AJ$30)^(IF(AJ$28&gt;$B176,-1,1)*(YEARFRAC($B176,AJ$28)))*($D176-$D175),0))</f>
        <v>532.235890012263</v>
      </c>
      <c r="AK176" s="159" t="n">
        <f aca="false">IF($B176=" ",0,AK$25*(1+AK$30)^(IF(AK$28&gt;$B176,-1,1)*(YEARFRAC($B176,AK$28))))</f>
        <v>0.0304180124655183</v>
      </c>
      <c r="AL176" s="159" t="n">
        <f aca="false">IF($B176=" ",0,AL$25*AL$28)</f>
        <v>0.0575</v>
      </c>
      <c r="AM176" s="162" t="n">
        <f aca="false">+AI176+AJ176+SUM(AK176:AL176)*SUM($J176*$J$37,$K176*$K$37,$L176*$L$37,$M176*$M$37,$N176*$N$37,$O176*$O$37)/1000</f>
        <v>1453.60065753639</v>
      </c>
      <c r="AO176" s="163" t="n">
        <f aca="false">IF($B176=" ",0,$AO$25)</f>
        <v>0.25</v>
      </c>
      <c r="AP176" s="159" t="n">
        <f aca="false">IF($B176=" ",0,AP$25*AP$28)</f>
        <v>0.03105</v>
      </c>
      <c r="AQ176" s="162" t="n">
        <f aca="false">SUM(AO176:AP176)*SUM(0)/1000</f>
        <v>0</v>
      </c>
      <c r="AS176" s="155" t="n">
        <f aca="false">IF($B176=" ",0,AS$25)</f>
        <v>1</v>
      </c>
      <c r="AT176" s="156" t="n">
        <f aca="false">IF($B176=" ",0,AT$25)</f>
        <v>1</v>
      </c>
      <c r="AU176" s="156" t="n">
        <f aca="false">IF($B176=" ",0,AU$25)</f>
        <v>2.3</v>
      </c>
      <c r="AV176" s="157" t="n">
        <f aca="false">+AS176*SUM(J176:K176)/1000</f>
        <v>0</v>
      </c>
      <c r="AW176" s="157" t="n">
        <f aca="false">+AT176*SUM(L176:M176)/1000</f>
        <v>0</v>
      </c>
      <c r="AX176" s="157" t="n">
        <f aca="false">+AU176*SUM(N176:O176)/1000</f>
        <v>11537.9859375</v>
      </c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</row>
    <row r="177" customFormat="false" ht="12.75" hidden="true" customHeight="false" outlineLevel="1" collapsed="false">
      <c r="A177" s="164" t="n">
        <f aca="false">+IF(B177=" ",A176,B177)</f>
        <v>40664</v>
      </c>
      <c r="B177" s="148" t="n">
        <f aca="false">IF(B176=" "," ",IF(EDATE(B176,1)&gt;=EndDate," ",EDATE(B176,1)))</f>
        <v>40664</v>
      </c>
      <c r="C177" s="149" t="n">
        <f aca="false">IF($B177&lt;&gt;" ",C176+1,C176)</f>
        <v>127</v>
      </c>
      <c r="D177" s="150" t="n">
        <f aca="false">C177/12</f>
        <v>10.5833333333333</v>
      </c>
      <c r="F177" s="157" t="n">
        <f aca="false">+SUM($T177:$U177)</f>
        <v>14883.5779284771</v>
      </c>
      <c r="G177" s="152" t="n">
        <f aca="false">-SUM($AA177,$AG177,$AM177,$AQ177,$AV177:$AX177)</f>
        <v>-16654.8385891338</v>
      </c>
      <c r="H177" s="152" t="n">
        <f aca="false">+SUM(F177:G177)</f>
        <v>-1771.26066065672</v>
      </c>
      <c r="I177" s="124"/>
      <c r="J177" s="153" t="n">
        <f aca="false">+IF($B177=" ",0,IF(AND($B177&gt;=J$26,$B177&lt;J$28),J$33,0))</f>
        <v>0</v>
      </c>
      <c r="K177" s="153" t="n">
        <f aca="false">+IF($B177=" ",0,IF(AND($B177&gt;=K$26,$B177&lt;K$28),K$33,0))</f>
        <v>0</v>
      </c>
      <c r="L177" s="153" t="n">
        <f aca="false">+IF($B177=" ",0,IF(AND($B177&gt;=L$26,$B177&lt;L$28),L$33,0))</f>
        <v>0</v>
      </c>
      <c r="M177" s="153" t="n">
        <f aca="false">+IF($B177=" ",0,IF(AND($B177&gt;=M$26,$B177&lt;M$28),M$33,0))</f>
        <v>0</v>
      </c>
      <c r="N177" s="153" t="n">
        <f aca="false">+IF($B177=" ",0,IF(AND($B177&gt;=N$26,$B177&lt;N$28),N$33,0))</f>
        <v>0</v>
      </c>
      <c r="O177" s="154" t="n">
        <f aca="false">+IF($B177=" ",0,IF(AND($B177&gt;=O$26,$B177&lt;O$28),O$33,0))</f>
        <v>5016515.625</v>
      </c>
      <c r="Q177" s="83" t="n">
        <f aca="false">IF($B177=" ",0,IF($B177&lt;=DATE(2003,12,31),3.55,2.9))</f>
        <v>2.9</v>
      </c>
      <c r="R177" s="155" t="n">
        <f aca="false">IF($B177=" ",0,R$25)</f>
        <v>-0.07</v>
      </c>
      <c r="S177" s="156" t="n">
        <f aca="false">IF($B177=" ",0,S$25)</f>
        <v>0.1</v>
      </c>
      <c r="T177" s="157" t="n">
        <f aca="false">+SUM($Q177,$S177)/1000*(SUM($J177*$J$37,$K177*$K$37,$L177*$L$37,$M177*$M$37,$N177*$N$37,$O177*$O$37))</f>
        <v>14883.5779284771</v>
      </c>
      <c r="U177" s="157" t="n">
        <f aca="false">+SUM($Q177,$R177)/1000*(SUM(0))</f>
        <v>0</v>
      </c>
      <c r="W177" s="158" t="n">
        <f aca="false">IF($B177=" ",0,1)*(IF($B177&gt;=W$25,1,0)*IF($B177&lt;=W$29,W$27,IF($B177&lt;=W$33,W$31,0))*($D177-$D176)*365/1000)</f>
        <v>486.66666666667</v>
      </c>
      <c r="X177" s="158" t="n">
        <f aca="false">IF($B177=" ",0,IF($B177&gt;=X$25,IF($B177&lt;=X$29,X$27,IF($B177&lt;=X$33,X$31,X$31*(1+X$38)^(IF(X$36&gt;$B177,-1,1)*(YEARFRAC($B177,X$36)))))*($D177-$D176)*365/1000,0))</f>
        <v>423.136802191902</v>
      </c>
      <c r="Y177" s="159" t="n">
        <f aca="false">IF($B177=" ",0,Y$25*(1+Y$30)^(IF(Y$28&gt;$B177,-1,1)*(YEARFRAC($B177,Y$28))))</f>
        <v>0.531871277102654</v>
      </c>
      <c r="Z177" s="159" t="n">
        <f aca="false">IF($B177=" ",0,Z$25*(1+Z$30)^(IF(Z$28&gt;$B177,-1,1)*(YEARFRAC($B177,Z$28))))</f>
        <v>0.507739714818699</v>
      </c>
      <c r="AA177" s="162" t="n">
        <f aca="false">+W177+X177+Z177*SUM($J177*$J$37,$L177*$L$37,$N177*$N$37)/1000</f>
        <v>909.803468858572</v>
      </c>
      <c r="AB177" s="161"/>
      <c r="AC177" s="158" t="n">
        <f aca="false">IF($B177=" ",0,1)*(IF($B177&gt;=AC$25,1,0)*IF($B177&lt;=AC$29,AC$27,IF($B177&lt;=AC$33,AC$31,0))*($D177-$D176)*365/1000)</f>
        <v>1591.66666666668</v>
      </c>
      <c r="AD177" s="158" t="n">
        <f aca="false">IF($B177=" ",0,IF($B177&gt;=AD$25,IF($B177&lt;=AD$29,AD$27,IF($B177&lt;=AD$33,AD$31,AD$31*(1+AD$38)^(IF(AD$36&gt;$B177,-1,1)*(YEARFRAC($B177,AD$36)))))*($D177-$D176)*365/1000,0))</f>
        <v>376.684273749766</v>
      </c>
      <c r="AE177" s="159" t="n">
        <f aca="false">IF($B177=" ",0,AE$25*(1+AE$30)^(IF(AE$28&gt;$B177,-1,1)*(YEARFRAC($B177,AE$28))))</f>
        <v>0.440652540991935</v>
      </c>
      <c r="AF177" s="159" t="n">
        <f aca="false">IF($B177=" ",0,AF$25*(1+AF$30)^(IF(AF$28&gt;$B177,-1,1)*(YEARFRAC($B177,AF$28))))</f>
        <v>0.158105132385381</v>
      </c>
      <c r="AG177" s="162" t="n">
        <f aca="false">+AC177+AD177+AF177*SUM($K177*$K$37,$M177*$M$37,$O177*$O$37)/1000</f>
        <v>2752.74095999978</v>
      </c>
      <c r="AI177" s="158" t="n">
        <f aca="false">IF($B177=" ",0,1)*IF($B177&gt;=AI$33,AI$25*($D177-$D176),0)</f>
        <v>485.186570908337</v>
      </c>
      <c r="AJ177" s="158" t="n">
        <f aca="false">IF($B177=" ",0,IF($B177&gt;=AJ$33,AJ$25*(1+AJ$30)^(IF(AJ$28&gt;$B177,-1,1)*(YEARFRAC($B177,AJ$28)))*($D177-$D176),0))</f>
        <v>532.787151214223</v>
      </c>
      <c r="AK177" s="159" t="n">
        <f aca="false">IF($B177=" ",0,AK$25*(1+AK$30)^(IF(AK$28&gt;$B177,-1,1)*(YEARFRAC($B177,AK$28))))</f>
        <v>0.0304495178007045</v>
      </c>
      <c r="AL177" s="159" t="n">
        <f aca="false">IF($B177=" ",0,AL$25*AL$28)</f>
        <v>0.0575</v>
      </c>
      <c r="AM177" s="162" t="n">
        <f aca="false">+AI177+AJ177+SUM(AK177:AL177)*SUM($J177*$J$37,$K177*$K$37,$L177*$L$37,$M177*$M$37,$N177*$N$37,$O177*$O$37)/1000</f>
        <v>1454.30822277548</v>
      </c>
      <c r="AO177" s="163" t="n">
        <f aca="false">IF($B177=" ",0,$AO$25)</f>
        <v>0.25</v>
      </c>
      <c r="AP177" s="159" t="n">
        <f aca="false">IF($B177=" ",0,AP$25*AP$28)</f>
        <v>0.03105</v>
      </c>
      <c r="AQ177" s="162" t="n">
        <f aca="false">SUM(AO177:AP177)*SUM(0)/1000</f>
        <v>0</v>
      </c>
      <c r="AS177" s="155" t="n">
        <f aca="false">IF($B177=" ",0,AS$25)</f>
        <v>1</v>
      </c>
      <c r="AT177" s="156" t="n">
        <f aca="false">IF($B177=" ",0,AT$25)</f>
        <v>1</v>
      </c>
      <c r="AU177" s="156" t="n">
        <f aca="false">IF($B177=" ",0,AU$25)</f>
        <v>2.3</v>
      </c>
      <c r="AV177" s="157" t="n">
        <f aca="false">+AS177*SUM(J177:K177)/1000</f>
        <v>0</v>
      </c>
      <c r="AW177" s="157" t="n">
        <f aca="false">+AT177*SUM(L177:M177)/1000</f>
        <v>0</v>
      </c>
      <c r="AX177" s="157" t="n">
        <f aca="false">+AU177*SUM(N177:O177)/1000</f>
        <v>11537.9859375</v>
      </c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</row>
    <row r="178" customFormat="false" ht="12.75" hidden="true" customHeight="false" outlineLevel="1" collapsed="false">
      <c r="A178" s="164" t="n">
        <f aca="false">+IF(B178=" ",A177,B178)</f>
        <v>40695</v>
      </c>
      <c r="B178" s="148" t="n">
        <f aca="false">IF(B177=" "," ",IF(EDATE(B177,1)&gt;=EndDate," ",EDATE(B177,1)))</f>
        <v>40695</v>
      </c>
      <c r="C178" s="149" t="n">
        <f aca="false">IF($B178&lt;&gt;" ",C177+1,C177)</f>
        <v>128</v>
      </c>
      <c r="D178" s="150" t="n">
        <f aca="false">C178/12</f>
        <v>10.6666666666667</v>
      </c>
      <c r="F178" s="157" t="n">
        <f aca="false">+SUM($T178:$U178)</f>
        <v>14883.5779284771</v>
      </c>
      <c r="G178" s="152" t="n">
        <f aca="false">-SUM($AA178,$AG178,$AM178,$AQ178,$AV178:$AX178)</f>
        <v>-16657.7305494487</v>
      </c>
      <c r="H178" s="152" t="n">
        <f aca="false">+SUM(F178:G178)</f>
        <v>-1774.15262097155</v>
      </c>
      <c r="I178" s="124"/>
      <c r="J178" s="153" t="n">
        <f aca="false">+IF($B178=" ",0,IF(AND($B178&gt;=J$26,$B178&lt;J$28),J$33,0))</f>
        <v>0</v>
      </c>
      <c r="K178" s="153" t="n">
        <f aca="false">+IF($B178=" ",0,IF(AND($B178&gt;=K$26,$B178&lt;K$28),K$33,0))</f>
        <v>0</v>
      </c>
      <c r="L178" s="153" t="n">
        <f aca="false">+IF($B178=" ",0,IF(AND($B178&gt;=L$26,$B178&lt;L$28),L$33,0))</f>
        <v>0</v>
      </c>
      <c r="M178" s="153" t="n">
        <f aca="false">+IF($B178=" ",0,IF(AND($B178&gt;=M$26,$B178&lt;M$28),M$33,0))</f>
        <v>0</v>
      </c>
      <c r="N178" s="153" t="n">
        <f aca="false">+IF($B178=" ",0,IF(AND($B178&gt;=N$26,$B178&lt;N$28),N$33,0))</f>
        <v>0</v>
      </c>
      <c r="O178" s="154" t="n">
        <f aca="false">+IF($B178=" ",0,IF(AND($B178&gt;=O$26,$B178&lt;O$28),O$33,0))</f>
        <v>5016515.625</v>
      </c>
      <c r="Q178" s="83" t="n">
        <f aca="false">IF($B178=" ",0,IF($B178&lt;=DATE(2003,12,31),3.55,2.9))</f>
        <v>2.9</v>
      </c>
      <c r="R178" s="155" t="n">
        <f aca="false">IF($B178=" ",0,R$25)</f>
        <v>-0.07</v>
      </c>
      <c r="S178" s="156" t="n">
        <f aca="false">IF($B178=" ",0,S$25)</f>
        <v>0.1</v>
      </c>
      <c r="T178" s="157" t="n">
        <f aca="false">+SUM($Q178,$S178)/1000*(SUM($J178*$J$37,$K178*$K$37,$L178*$L$37,$M178*$M$37,$N178*$N$37,$O178*$O$37))</f>
        <v>14883.5779284771</v>
      </c>
      <c r="U178" s="157" t="n">
        <f aca="false">+SUM($Q178,$R178)/1000*(SUM(0))</f>
        <v>0</v>
      </c>
      <c r="W178" s="158" t="n">
        <f aca="false">IF($B178=" ",0,1)*(IF($B178&gt;=W$25,1,0)*IF($B178&lt;=W$29,W$27,IF($B178&lt;=W$33,W$31,0))*($D178-$D177)*365/1000)</f>
        <v>486.66666666666</v>
      </c>
      <c r="X178" s="158" t="n">
        <f aca="false">IF($B178=" ",0,IF($B178&gt;=X$25,IF($B178&lt;=X$29,X$27,IF($B178&lt;=X$33,X$31,X$31*(1+X$38)^(IF(X$36&gt;$B178,-1,1)*(YEARFRAC($B178,X$36)))))*($D178-$D177)*365/1000,0))</f>
        <v>423.720050125567</v>
      </c>
      <c r="Y178" s="159" t="n">
        <f aca="false">IF($B178=" ",0,Y$25*(1+Y$30)^(IF(Y$28&gt;$B178,-1,1)*(YEARFRAC($B178,Y$28))))</f>
        <v>0.532604403651191</v>
      </c>
      <c r="Z178" s="159" t="n">
        <f aca="false">IF($B178=" ",0,Z$25*(1+Z$30)^(IF(Z$28&gt;$B178,-1,1)*(YEARFRAC($B178,Z$28))))</f>
        <v>0.508439578640465</v>
      </c>
      <c r="AA178" s="162" t="n">
        <f aca="false">+W178+X178+Z178*SUM($J178*$J$37,$L178*$L$37,$N178*$N$37)/1000</f>
        <v>910.386716792227</v>
      </c>
      <c r="AB178" s="161"/>
      <c r="AC178" s="158" t="n">
        <f aca="false">IF($B178=" ",0,1)*(IF($B178&gt;=AC$25,1,0)*IF($B178&lt;=AC$29,AC$27,IF($B178&lt;=AC$33,AC$31,0))*($D178-$D177)*365/1000)</f>
        <v>1591.66666666664</v>
      </c>
      <c r="AD178" s="158" t="n">
        <f aca="false">IF($B178=" ",0,IF($B178&gt;=AD$25,IF($B178&lt;=AD$29,AD$27,IF($B178&lt;=AD$33,AD$31,AD$31*(1+AD$38)^(IF(AD$36&gt;$B178,-1,1)*(YEARFRAC($B178,AD$36)))))*($D178-$D177)*365/1000,0))</f>
        <v>377.20349193918</v>
      </c>
      <c r="AE178" s="159" t="n">
        <f aca="false">IF($B178=" ",0,AE$25*(1+AE$30)^(IF(AE$28&gt;$B178,-1,1)*(YEARFRAC($B178,AE$28))))</f>
        <v>0.441259932461243</v>
      </c>
      <c r="AF178" s="159" t="n">
        <f aca="false">IF($B178=" ",0,AF$25*(1+AF$30)^(IF(AF$28&gt;$B178,-1,1)*(YEARFRAC($B178,AF$28))))</f>
        <v>0.158323063067111</v>
      </c>
      <c r="AG178" s="162" t="n">
        <f aca="false">+AC178+AD178+AF178*SUM($K178*$K$37,$M178*$M$37,$O178*$O$37)/1000</f>
        <v>2754.34137428401</v>
      </c>
      <c r="AI178" s="158" t="n">
        <f aca="false">IF($B178=" ",0,1)*IF($B178&gt;=AI$33,AI$25*($D178-$D177),0)</f>
        <v>485.186570908327</v>
      </c>
      <c r="AJ178" s="158" t="n">
        <f aca="false">IF($B178=" ",0,IF($B178&gt;=AJ$33,AJ$25*(1+AJ$30)^(IF(AJ$28&gt;$B178,-1,1)*(YEARFRAC($B178,AJ$28)))*($D178-$D177),0))</f>
        <v>533.338983382764</v>
      </c>
      <c r="AK178" s="159" t="n">
        <f aca="false">IF($B178=" ",0,AK$25*(1+AK$30)^(IF(AK$28&gt;$B178,-1,1)*(YEARFRAC($B178,AK$28))))</f>
        <v>0.0304810557674161</v>
      </c>
      <c r="AL178" s="159" t="n">
        <f aca="false">IF($B178=" ",0,AL$25*AL$28)</f>
        <v>0.0575</v>
      </c>
      <c r="AM178" s="162" t="n">
        <f aca="false">+AI178+AJ178+SUM(AK178:AL178)*SUM($J178*$J$37,$K178*$K$37,$L178*$L$37,$M178*$M$37,$N178*$N$37,$O178*$O$37)/1000</f>
        <v>1455.01652087243</v>
      </c>
      <c r="AO178" s="163" t="n">
        <f aca="false">IF($B178=" ",0,$AO$25)</f>
        <v>0.25</v>
      </c>
      <c r="AP178" s="159" t="n">
        <f aca="false">IF($B178=" ",0,AP$25*AP$28)</f>
        <v>0.03105</v>
      </c>
      <c r="AQ178" s="162" t="n">
        <f aca="false">SUM(AO178:AP178)*SUM(0)/1000</f>
        <v>0</v>
      </c>
      <c r="AS178" s="155" t="n">
        <f aca="false">IF($B178=" ",0,AS$25)</f>
        <v>1</v>
      </c>
      <c r="AT178" s="156" t="n">
        <f aca="false">IF($B178=" ",0,AT$25)</f>
        <v>1</v>
      </c>
      <c r="AU178" s="156" t="n">
        <f aca="false">IF($B178=" ",0,AU$25)</f>
        <v>2.3</v>
      </c>
      <c r="AV178" s="157" t="n">
        <f aca="false">+AS178*SUM(J178:K178)/1000</f>
        <v>0</v>
      </c>
      <c r="AW178" s="157" t="n">
        <f aca="false">+AT178*SUM(L178:M178)/1000</f>
        <v>0</v>
      </c>
      <c r="AX178" s="157" t="n">
        <f aca="false">+AU178*SUM(N178:O178)/1000</f>
        <v>11537.9859375</v>
      </c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</row>
    <row r="179" customFormat="false" ht="12.75" hidden="true" customHeight="false" outlineLevel="1" collapsed="false">
      <c r="A179" s="164" t="n">
        <f aca="false">+IF(B179=" ",A178,B179)</f>
        <v>40725</v>
      </c>
      <c r="B179" s="148" t="n">
        <f aca="false">IF(B178=" "," ",IF(EDATE(B178,1)&gt;=EndDate," ",EDATE(B178,1)))</f>
        <v>40725</v>
      </c>
      <c r="C179" s="149" t="n">
        <f aca="false">IF($B179&lt;&gt;" ",C178+1,C178)</f>
        <v>129</v>
      </c>
      <c r="D179" s="150" t="n">
        <f aca="false">C179/12</f>
        <v>10.75</v>
      </c>
      <c r="F179" s="157" t="n">
        <f aca="false">+SUM($T179:$U179)</f>
        <v>14883.5779284771</v>
      </c>
      <c r="G179" s="152" t="n">
        <f aca="false">-SUM($AA179,$AG179,$AM179,$AQ179,$AV179:$AX179)</f>
        <v>-16660.6262533208</v>
      </c>
      <c r="H179" s="152" t="n">
        <f aca="false">+SUM(F179:G179)</f>
        <v>-1777.04832484369</v>
      </c>
      <c r="I179" s="124"/>
      <c r="J179" s="153" t="n">
        <f aca="false">+IF($B179=" ",0,IF(AND($B179&gt;=J$26,$B179&lt;J$28),J$33,0))</f>
        <v>0</v>
      </c>
      <c r="K179" s="153" t="n">
        <f aca="false">+IF($B179=" ",0,IF(AND($B179&gt;=K$26,$B179&lt;K$28),K$33,0))</f>
        <v>0</v>
      </c>
      <c r="L179" s="153" t="n">
        <f aca="false">+IF($B179=" ",0,IF(AND($B179&gt;=L$26,$B179&lt;L$28),L$33,0))</f>
        <v>0</v>
      </c>
      <c r="M179" s="153" t="n">
        <f aca="false">+IF($B179=" ",0,IF(AND($B179&gt;=M$26,$B179&lt;M$28),M$33,0))</f>
        <v>0</v>
      </c>
      <c r="N179" s="153" t="n">
        <f aca="false">+IF($B179=" ",0,IF(AND($B179&gt;=N$26,$B179&lt;N$28),N$33,0))</f>
        <v>0</v>
      </c>
      <c r="O179" s="154" t="n">
        <f aca="false">+IF($B179=" ",0,IF(AND($B179&gt;=O$26,$B179&lt;O$28),O$33,0))</f>
        <v>5016515.625</v>
      </c>
      <c r="Q179" s="83" t="n">
        <f aca="false">IF($B179=" ",0,IF($B179&lt;=DATE(2003,12,31),3.55,2.9))</f>
        <v>2.9</v>
      </c>
      <c r="R179" s="155" t="n">
        <f aca="false">IF($B179=" ",0,R$25)</f>
        <v>-0.07</v>
      </c>
      <c r="S179" s="156" t="n">
        <f aca="false">IF($B179=" ",0,S$25)</f>
        <v>0.1</v>
      </c>
      <c r="T179" s="157" t="n">
        <f aca="false">+SUM($Q179,$S179)/1000*(SUM($J179*$J$37,$K179*$K$37,$L179*$L$37,$M179*$M$37,$N179*$N$37,$O179*$O$37))</f>
        <v>14883.5779284771</v>
      </c>
      <c r="U179" s="157" t="n">
        <f aca="false">+SUM($Q179,$R179)/1000*(SUM(0))</f>
        <v>0</v>
      </c>
      <c r="W179" s="158" t="n">
        <f aca="false">IF($B179=" ",0,1)*(IF($B179&gt;=W$25,1,0)*IF($B179&lt;=W$29,W$27,IF($B179&lt;=W$33,W$31,0))*($D179-$D178)*365/1000)</f>
        <v>486.66666666667</v>
      </c>
      <c r="X179" s="158" t="n">
        <f aca="false">IF($B179=" ",0,IF($B179&gt;=X$25,IF($B179&lt;=X$29,X$27,IF($B179&lt;=X$33,X$31,X$31*(1+X$38)^(IF(X$36&gt;$B179,-1,1)*(YEARFRAC($B179,X$36)))))*($D179-$D178)*365/1000,0))</f>
        <v>424.304102002915</v>
      </c>
      <c r="Y179" s="159" t="n">
        <f aca="false">IF($B179=" ",0,Y$25*(1+Y$30)^(IF(Y$28&gt;$B179,-1,1)*(YEARFRAC($B179,Y$28))))</f>
        <v>0.53333854073472</v>
      </c>
      <c r="Z179" s="159" t="n">
        <f aca="false">IF($B179=" ",0,Z$25*(1+Z$30)^(IF(Z$28&gt;$B179,-1,1)*(YEARFRAC($B179,Z$28))))</f>
        <v>0.509140407148181</v>
      </c>
      <c r="AA179" s="162" t="n">
        <f aca="false">+W179+X179+Z179*SUM($J179*$J$37,$L179*$L$37,$N179*$N$37)/1000</f>
        <v>910.970768669586</v>
      </c>
      <c r="AB179" s="161"/>
      <c r="AC179" s="158" t="n">
        <f aca="false">IF($B179=" ",0,1)*(IF($B179&gt;=AC$25,1,0)*IF($B179&lt;=AC$29,AC$27,IF($B179&lt;=AC$33,AC$31,0))*($D179-$D178)*365/1000)</f>
        <v>1591.66666666668</v>
      </c>
      <c r="AD179" s="158" t="n">
        <f aca="false">IF($B179=" ",0,IF($B179&gt;=AD$25,IF($B179&lt;=AD$29,AD$27,IF($B179&lt;=AD$33,AD$31,AD$31*(1+AD$38)^(IF(AD$36&gt;$B179,-1,1)*(YEARFRAC($B179,AD$36)))))*($D179-$D178)*365/1000,0))</f>
        <v>377.723425814257</v>
      </c>
      <c r="AE179" s="159" t="n">
        <f aca="false">IF($B179=" ",0,AE$25*(1+AE$30)^(IF(AE$28&gt;$B179,-1,1)*(YEARFRAC($B179,AE$28))))</f>
        <v>0.441868161153447</v>
      </c>
      <c r="AF179" s="159" t="n">
        <f aca="false">IF($B179=" ",0,AF$25*(1+AF$30)^(IF(AF$28&gt;$B179,-1,1)*(YEARFRAC($B179,AF$28))))</f>
        <v>0.158541294142518</v>
      </c>
      <c r="AG179" s="162" t="n">
        <f aca="false">+AC179+AD179+AF179*SUM($K179*$K$37,$M179*$M$37,$O179*$O$37)/1000</f>
        <v>2755.94399456486</v>
      </c>
      <c r="AI179" s="158" t="n">
        <f aca="false">IF($B179=" ",0,1)*IF($B179&gt;=AI$33,AI$25*($D179-$D178),0)</f>
        <v>485.186570908337</v>
      </c>
      <c r="AJ179" s="158" t="n">
        <f aca="false">IF($B179=" ",0,IF($B179&gt;=AJ$33,AJ$25*(1+AJ$30)^(IF(AJ$28&gt;$B179,-1,1)*(YEARFRAC($B179,AJ$28)))*($D179-$D178),0))</f>
        <v>533.891387109297</v>
      </c>
      <c r="AK179" s="159" t="n">
        <f aca="false">IF($B179=" ",0,AK$25*(1+AK$30)^(IF(AK$28&gt;$B179,-1,1)*(YEARFRAC($B179,AK$28))))</f>
        <v>0.030512626399451</v>
      </c>
      <c r="AL179" s="159" t="n">
        <f aca="false">IF($B179=" ",0,AL$25*AL$28)</f>
        <v>0.0575</v>
      </c>
      <c r="AM179" s="162" t="n">
        <f aca="false">+AI179+AJ179+SUM(AK179:AL179)*SUM($J179*$J$37,$K179*$K$37,$L179*$L$37,$M179*$M$37,$N179*$N$37,$O179*$O$37)/1000</f>
        <v>1455.72555258636</v>
      </c>
      <c r="AO179" s="163" t="n">
        <f aca="false">IF($B179=" ",0,$AO$25)</f>
        <v>0.25</v>
      </c>
      <c r="AP179" s="159" t="n">
        <f aca="false">IF($B179=" ",0,AP$25*AP$28)</f>
        <v>0.03105</v>
      </c>
      <c r="AQ179" s="162" t="n">
        <f aca="false">SUM(AO179:AP179)*SUM(0)/1000</f>
        <v>0</v>
      </c>
      <c r="AS179" s="155" t="n">
        <f aca="false">IF($B179=" ",0,AS$25)</f>
        <v>1</v>
      </c>
      <c r="AT179" s="156" t="n">
        <f aca="false">IF($B179=" ",0,AT$25)</f>
        <v>1</v>
      </c>
      <c r="AU179" s="156" t="n">
        <f aca="false">IF($B179=" ",0,AU$25)</f>
        <v>2.3</v>
      </c>
      <c r="AV179" s="157" t="n">
        <f aca="false">+AS179*SUM(J179:K179)/1000</f>
        <v>0</v>
      </c>
      <c r="AW179" s="157" t="n">
        <f aca="false">+AT179*SUM(L179:M179)/1000</f>
        <v>0</v>
      </c>
      <c r="AX179" s="157" t="n">
        <f aca="false">+AU179*SUM(N179:O179)/1000</f>
        <v>11537.9859375</v>
      </c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</row>
    <row r="180" customFormat="false" ht="12.75" hidden="true" customHeight="false" outlineLevel="1" collapsed="false">
      <c r="A180" s="164" t="n">
        <f aca="false">+IF(B180=" ",A179,B180)</f>
        <v>40756</v>
      </c>
      <c r="B180" s="148" t="n">
        <f aca="false">IF(B179=" "," ",IF(EDATE(B179,1)&gt;=EndDate," ",EDATE(B179,1)))</f>
        <v>40756</v>
      </c>
      <c r="C180" s="149" t="n">
        <f aca="false">IF($B180&lt;&gt;" ",C179+1,C179)</f>
        <v>130</v>
      </c>
      <c r="D180" s="150" t="n">
        <f aca="false">C180/12</f>
        <v>10.8333333333333</v>
      </c>
      <c r="F180" s="157" t="n">
        <f aca="false">+SUM($T180:$U180)</f>
        <v>14883.5779284771</v>
      </c>
      <c r="G180" s="152" t="n">
        <f aca="false">-SUM($AA180,$AG180,$AM180,$AQ180,$AV180:$AX180)</f>
        <v>-16663.5257056587</v>
      </c>
      <c r="H180" s="152" t="n">
        <f aca="false">+SUM(F180:G180)</f>
        <v>-1779.94777718161</v>
      </c>
      <c r="I180" s="124"/>
      <c r="J180" s="153" t="n">
        <f aca="false">+IF($B180=" ",0,IF(AND($B180&gt;=J$26,$B180&lt;J$28),J$33,0))</f>
        <v>0</v>
      </c>
      <c r="K180" s="153" t="n">
        <f aca="false">+IF($B180=" ",0,IF(AND($B180&gt;=K$26,$B180&lt;K$28),K$33,0))</f>
        <v>0</v>
      </c>
      <c r="L180" s="153" t="n">
        <f aca="false">+IF($B180=" ",0,IF(AND($B180&gt;=L$26,$B180&lt;L$28),L$33,0))</f>
        <v>0</v>
      </c>
      <c r="M180" s="153" t="n">
        <f aca="false">+IF($B180=" ",0,IF(AND($B180&gt;=M$26,$B180&lt;M$28),M$33,0))</f>
        <v>0</v>
      </c>
      <c r="N180" s="153" t="n">
        <f aca="false">+IF($B180=" ",0,IF(AND($B180&gt;=N$26,$B180&lt;N$28),N$33,0))</f>
        <v>0</v>
      </c>
      <c r="O180" s="154" t="n">
        <f aca="false">+IF($B180=" ",0,IF(AND($B180&gt;=O$26,$B180&lt;O$28),O$33,0))</f>
        <v>5016515.625</v>
      </c>
      <c r="Q180" s="83" t="n">
        <f aca="false">IF($B180=" ",0,IF($B180&lt;=DATE(2003,12,31),3.55,2.9))</f>
        <v>2.9</v>
      </c>
      <c r="R180" s="155" t="n">
        <f aca="false">IF($B180=" ",0,R$25)</f>
        <v>-0.07</v>
      </c>
      <c r="S180" s="156" t="n">
        <f aca="false">IF($B180=" ",0,S$25)</f>
        <v>0.1</v>
      </c>
      <c r="T180" s="157" t="n">
        <f aca="false">+SUM($Q180,$S180)/1000*(SUM($J180*$J$37,$K180*$K$37,$L180*$L$37,$M180*$M$37,$N180*$N$37,$O180*$O$37))</f>
        <v>14883.5779284771</v>
      </c>
      <c r="U180" s="157" t="n">
        <f aca="false">+SUM($Q180,$R180)/1000*(SUM(0))</f>
        <v>0</v>
      </c>
      <c r="W180" s="158" t="n">
        <f aca="false">IF($B180=" ",0,1)*(IF($B180&gt;=W$25,1,0)*IF($B180&lt;=W$29,W$27,IF($B180&lt;=W$33,W$31,0))*($D180-$D179)*365/1000)</f>
        <v>486.66666666667</v>
      </c>
      <c r="X180" s="158" t="n">
        <f aca="false">IF($B180=" ",0,IF($B180&gt;=X$25,IF($B180&lt;=X$29,X$27,IF($B180&lt;=X$33,X$31,X$31*(1+X$38)^(IF(X$36&gt;$B180,-1,1)*(YEARFRAC($B180,X$36)))))*($D180-$D179)*365/1000,0))</f>
        <v>424.88895893207</v>
      </c>
      <c r="Y180" s="159" t="n">
        <f aca="false">IF($B180=" ",0,Y$25*(1+Y$30)^(IF(Y$28&gt;$B180,-1,1)*(YEARFRAC($B180,Y$28))))</f>
        <v>0.534073689746152</v>
      </c>
      <c r="Z180" s="159" t="n">
        <f aca="false">IF($B180=" ",0,Z$25*(1+Z$30)^(IF(Z$28&gt;$B180,-1,1)*(YEARFRAC($B180,Z$28))))</f>
        <v>0.509842201671561</v>
      </c>
      <c r="AA180" s="162" t="n">
        <f aca="false">+W180+X180+Z180*SUM($J180*$J$37,$L180*$L$37,$N180*$N$37)/1000</f>
        <v>911.55562559874</v>
      </c>
      <c r="AB180" s="161"/>
      <c r="AC180" s="158" t="n">
        <f aca="false">IF($B180=" ",0,1)*(IF($B180&gt;=AC$25,1,0)*IF($B180&lt;=AC$29,AC$27,IF($B180&lt;=AC$33,AC$31,0))*($D180-$D179)*365/1000)</f>
        <v>1591.66666666668</v>
      </c>
      <c r="AD180" s="158" t="n">
        <f aca="false">IF($B180=" ",0,IF($B180&gt;=AD$25,IF($B180&lt;=AD$29,AD$27,IF($B180&lt;=AD$33,AD$31,AD$31*(1+AD$38)^(IF(AD$36&gt;$B180,-1,1)*(YEARFRAC($B180,AD$36)))))*($D180-$D179)*365/1000,0))</f>
        <v>378.244076361468</v>
      </c>
      <c r="AE180" s="159" t="n">
        <f aca="false">IF($B180=" ",0,AE$25*(1+AE$30)^(IF(AE$28&gt;$B180,-1,1)*(YEARFRAC($B180,AE$28))))</f>
        <v>0.44247722822257</v>
      </c>
      <c r="AF180" s="159" t="n">
        <f aca="false">IF($B180=" ",0,AF$25*(1+AF$30)^(IF(AF$28&gt;$B180,-1,1)*(YEARFRAC($B180,AF$28))))</f>
        <v>0.158759826025662</v>
      </c>
      <c r="AG180" s="162" t="n">
        <f aca="false">+AC180+AD180+AF180*SUM($K180*$K$37,$M180*$M$37,$O180*$O$37)/1000</f>
        <v>2757.54882388295</v>
      </c>
      <c r="AI180" s="158" t="n">
        <f aca="false">IF($B180=" ",0,1)*IF($B180&gt;=AI$33,AI$25*($D180-$D179),0)</f>
        <v>485.186570908337</v>
      </c>
      <c r="AJ180" s="158" t="n">
        <f aca="false">IF($B180=" ",0,IF($B180&gt;=AJ$33,AJ$25*(1+AJ$30)^(IF(AJ$28&gt;$B180,-1,1)*(YEARFRAC($B180,AJ$28)))*($D180-$D179),0))</f>
        <v>534.444362985778</v>
      </c>
      <c r="AK180" s="159" t="n">
        <f aca="false">IF($B180=" ",0,AK$25*(1+AK$30)^(IF(AK$28&gt;$B180,-1,1)*(YEARFRAC($B180,AK$28))))</f>
        <v>0.0305442297306422</v>
      </c>
      <c r="AL180" s="159" t="n">
        <f aca="false">IF($B180=" ",0,AL$25*AL$28)</f>
        <v>0.0575</v>
      </c>
      <c r="AM180" s="162" t="n">
        <f aca="false">+AI180+AJ180+SUM(AK180:AL180)*SUM($J180*$J$37,$K180*$K$37,$L180*$L$37,$M180*$M$37,$N180*$N$37,$O180*$O$37)/1000</f>
        <v>1456.43531867703</v>
      </c>
      <c r="AO180" s="163" t="n">
        <f aca="false">IF($B180=" ",0,$AO$25)</f>
        <v>0.25</v>
      </c>
      <c r="AP180" s="159" t="n">
        <f aca="false">IF($B180=" ",0,AP$25*AP$28)</f>
        <v>0.03105</v>
      </c>
      <c r="AQ180" s="162" t="n">
        <f aca="false">SUM(AO180:AP180)*SUM(0)/1000</f>
        <v>0</v>
      </c>
      <c r="AS180" s="155" t="n">
        <f aca="false">IF($B180=" ",0,AS$25)</f>
        <v>1</v>
      </c>
      <c r="AT180" s="156" t="n">
        <f aca="false">IF($B180=" ",0,AT$25)</f>
        <v>1</v>
      </c>
      <c r="AU180" s="156" t="n">
        <f aca="false">IF($B180=" ",0,AU$25)</f>
        <v>2.3</v>
      </c>
      <c r="AV180" s="157" t="n">
        <f aca="false">+AS180*SUM(J180:K180)/1000</f>
        <v>0</v>
      </c>
      <c r="AW180" s="157" t="n">
        <f aca="false">+AT180*SUM(L180:M180)/1000</f>
        <v>0</v>
      </c>
      <c r="AX180" s="157" t="n">
        <f aca="false">+AU180*SUM(N180:O180)/1000</f>
        <v>11537.9859375</v>
      </c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</row>
    <row r="181" customFormat="false" ht="12.75" hidden="true" customHeight="false" outlineLevel="1" collapsed="false">
      <c r="A181" s="164" t="n">
        <f aca="false">+IF(B181=" ",A180,B181)</f>
        <v>40787</v>
      </c>
      <c r="B181" s="148" t="n">
        <f aca="false">IF(B180=" "," ",IF(EDATE(B180,1)&gt;=EndDate," ",EDATE(B180,1)))</f>
        <v>40787</v>
      </c>
      <c r="C181" s="149" t="n">
        <f aca="false">IF($B181&lt;&gt;" ",C180+1,C180)</f>
        <v>131</v>
      </c>
      <c r="D181" s="150" t="n">
        <f aca="false">C181/12</f>
        <v>10.9166666666667</v>
      </c>
      <c r="F181" s="157" t="n">
        <f aca="false">+SUM($T181:$U181)</f>
        <v>14883.5779284771</v>
      </c>
      <c r="G181" s="152" t="n">
        <f aca="false">-SUM($AA181,$AG181,$AM181,$AQ181,$AV181:$AX181)</f>
        <v>-16666.4289113776</v>
      </c>
      <c r="H181" s="152" t="n">
        <f aca="false">+SUM(F181:G181)</f>
        <v>-1782.85098290052</v>
      </c>
      <c r="I181" s="124"/>
      <c r="J181" s="153" t="n">
        <f aca="false">+IF($B181=" ",0,IF(AND($B181&gt;=J$26,$B181&lt;J$28),J$33,0))</f>
        <v>0</v>
      </c>
      <c r="K181" s="153" t="n">
        <f aca="false">+IF($B181=" ",0,IF(AND($B181&gt;=K$26,$B181&lt;K$28),K$33,0))</f>
        <v>0</v>
      </c>
      <c r="L181" s="153" t="n">
        <f aca="false">+IF($B181=" ",0,IF(AND($B181&gt;=L$26,$B181&lt;L$28),L$33,0))</f>
        <v>0</v>
      </c>
      <c r="M181" s="153" t="n">
        <f aca="false">+IF($B181=" ",0,IF(AND($B181&gt;=M$26,$B181&lt;M$28),M$33,0))</f>
        <v>0</v>
      </c>
      <c r="N181" s="153" t="n">
        <f aca="false">+IF($B181=" ",0,IF(AND($B181&gt;=N$26,$B181&lt;N$28),N$33,0))</f>
        <v>0</v>
      </c>
      <c r="O181" s="154" t="n">
        <f aca="false">+IF($B181=" ",0,IF(AND($B181&gt;=O$26,$B181&lt;O$28),O$33,0))</f>
        <v>5016515.625</v>
      </c>
      <c r="Q181" s="83" t="n">
        <f aca="false">IF($B181=" ",0,IF($B181&lt;=DATE(2003,12,31),3.55,2.9))</f>
        <v>2.9</v>
      </c>
      <c r="R181" s="155" t="n">
        <f aca="false">IF($B181=" ",0,R$25)</f>
        <v>-0.07</v>
      </c>
      <c r="S181" s="156" t="n">
        <f aca="false">IF($B181=" ",0,S$25)</f>
        <v>0.1</v>
      </c>
      <c r="T181" s="157" t="n">
        <f aca="false">+SUM($Q181,$S181)/1000*(SUM($J181*$J$37,$K181*$K$37,$L181*$L$37,$M181*$M$37,$N181*$N$37,$O181*$O$37))</f>
        <v>14883.5779284771</v>
      </c>
      <c r="U181" s="157" t="n">
        <f aca="false">+SUM($Q181,$R181)/1000*(SUM(0))</f>
        <v>0</v>
      </c>
      <c r="W181" s="158" t="n">
        <f aca="false">IF($B181=" ",0,1)*(IF($B181&gt;=W$25,1,0)*IF($B181&lt;=W$29,W$27,IF($B181&lt;=W$33,W$31,0))*($D181-$D180)*365/1000)</f>
        <v>486.66666666666</v>
      </c>
      <c r="X181" s="158" t="n">
        <f aca="false">IF($B181=" ",0,IF($B181&gt;=X$25,IF($B181&lt;=X$29,X$27,IF($B181&lt;=X$33,X$31,X$31*(1+X$38)^(IF(X$36&gt;$B181,-1,1)*(YEARFRAC($B181,X$36)))))*($D181-$D180)*365/1000,0))</f>
        <v>425.474622022707</v>
      </c>
      <c r="Y181" s="159" t="n">
        <f aca="false">IF($B181=" ",0,Y$25*(1+Y$30)^(IF(Y$28&gt;$B181,-1,1)*(YEARFRAC($B181,Y$28))))</f>
        <v>0.53480985208032</v>
      </c>
      <c r="Z181" s="159" t="n">
        <f aca="false">IF($B181=" ",0,Z$25*(1+Z$30)^(IF(Z$28&gt;$B181,-1,1)*(YEARFRAC($B181,Z$28))))</f>
        <v>0.510544963542152</v>
      </c>
      <c r="AA181" s="162" t="n">
        <f aca="false">+W181+X181+Z181*SUM($J181*$J$37,$L181*$L$37,$N181*$N$37)/1000</f>
        <v>912.141288689367</v>
      </c>
      <c r="AB181" s="161"/>
      <c r="AC181" s="158" t="n">
        <f aca="false">IF($B181=" ",0,1)*(IF($B181&gt;=AC$25,1,0)*IF($B181&lt;=AC$29,AC$27,IF($B181&lt;=AC$33,AC$31,0))*($D181-$D180)*365/1000)</f>
        <v>1591.66666666664</v>
      </c>
      <c r="AD181" s="158" t="n">
        <f aca="false">IF($B181=" ",0,IF($B181&gt;=AD$25,IF($B181&lt;=AD$29,AD$27,IF($B181&lt;=AD$33,AD$31,AD$31*(1+AD$38)^(IF(AD$36&gt;$B181,-1,1)*(YEARFRAC($B181,AD$36)))))*($D181-$D180)*365/1000,0))</f>
        <v>378.765444568667</v>
      </c>
      <c r="AE181" s="159" t="n">
        <f aca="false">IF($B181=" ",0,AE$25*(1+AE$30)^(IF(AE$28&gt;$B181,-1,1)*(YEARFRAC($B181,AE$28))))</f>
        <v>0.443087134824221</v>
      </c>
      <c r="AF181" s="159" t="n">
        <f aca="false">IF($B181=" ",0,AF$25*(1+AF$30)^(IF(AF$28&gt;$B181,-1,1)*(YEARFRAC($B181,AF$28))))</f>
        <v>0.158978659131174</v>
      </c>
      <c r="AG181" s="162" t="n">
        <f aca="false">+AC181+AD181+AF181*SUM($K181*$K$37,$M181*$M$37,$O181*$O$37)/1000</f>
        <v>2759.15586528319</v>
      </c>
      <c r="AI181" s="158" t="n">
        <f aca="false">IF($B181=" ",0,1)*IF($B181&gt;=AI$33,AI$25*($D181-$D180),0)</f>
        <v>485.186570908327</v>
      </c>
      <c r="AJ181" s="158" t="n">
        <f aca="false">IF($B181=" ",0,IF($B181&gt;=AJ$33,AJ$25*(1+AJ$30)^(IF(AJ$28&gt;$B181,-1,1)*(YEARFRAC($B181,AJ$28)))*($D181-$D180),0))</f>
        <v>534.997911604807</v>
      </c>
      <c r="AK181" s="159" t="n">
        <f aca="false">IF($B181=" ",0,AK$25*(1+AK$30)^(IF(AK$28&gt;$B181,-1,1)*(YEARFRAC($B181,AK$28))))</f>
        <v>0.0305758657948578</v>
      </c>
      <c r="AL181" s="159" t="n">
        <f aca="false">IF($B181=" ",0,AL$25*AL$28)</f>
        <v>0.0575</v>
      </c>
      <c r="AM181" s="162" t="n">
        <f aca="false">+AI181+AJ181+SUM(AK181:AL181)*SUM($J181*$J$37,$K181*$K$37,$L181*$L$37,$M181*$M$37,$N181*$N$37,$O181*$O$37)/1000</f>
        <v>1457.14581990509</v>
      </c>
      <c r="AO181" s="163" t="n">
        <f aca="false">IF($B181=" ",0,$AO$25)</f>
        <v>0.25</v>
      </c>
      <c r="AP181" s="159" t="n">
        <f aca="false">IF($B181=" ",0,AP$25*AP$28)</f>
        <v>0.03105</v>
      </c>
      <c r="AQ181" s="162" t="n">
        <f aca="false">SUM(AO181:AP181)*SUM(0)/1000</f>
        <v>0</v>
      </c>
      <c r="AS181" s="155" t="n">
        <f aca="false">IF($B181=" ",0,AS$25)</f>
        <v>1</v>
      </c>
      <c r="AT181" s="156" t="n">
        <f aca="false">IF($B181=" ",0,AT$25)</f>
        <v>1</v>
      </c>
      <c r="AU181" s="156" t="n">
        <f aca="false">IF($B181=" ",0,AU$25)</f>
        <v>2.3</v>
      </c>
      <c r="AV181" s="157" t="n">
        <f aca="false">+AS181*SUM(J181:K181)/1000</f>
        <v>0</v>
      </c>
      <c r="AW181" s="157" t="n">
        <f aca="false">+AT181*SUM(L181:M181)/1000</f>
        <v>0</v>
      </c>
      <c r="AX181" s="157" t="n">
        <f aca="false">+AU181*SUM(N181:O181)/1000</f>
        <v>11537.9859375</v>
      </c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</row>
    <row r="182" customFormat="false" ht="12.75" hidden="true" customHeight="false" outlineLevel="1" collapsed="false">
      <c r="A182" s="164" t="n">
        <f aca="false">+IF(B182=" ",A181,B182)</f>
        <v>40817</v>
      </c>
      <c r="B182" s="148" t="n">
        <f aca="false">IF(B181=" "," ",IF(EDATE(B181,1)&gt;=EndDate," ",EDATE(B181,1)))</f>
        <v>40817</v>
      </c>
      <c r="C182" s="149" t="n">
        <f aca="false">IF($B182&lt;&gt;" ",C181+1,C181)</f>
        <v>132</v>
      </c>
      <c r="D182" s="150" t="n">
        <f aca="false">C182/12</f>
        <v>11</v>
      </c>
      <c r="F182" s="157" t="n">
        <f aca="false">+SUM($T182:$U182)</f>
        <v>14883.5779284771</v>
      </c>
      <c r="G182" s="152" t="n">
        <f aca="false">-SUM($AA182,$AG182,$AM182,$AQ182,$AV182:$AX182)</f>
        <v>-16669.3358753995</v>
      </c>
      <c r="H182" s="152" t="n">
        <f aca="false">+SUM(F182:G182)</f>
        <v>-1785.75794692242</v>
      </c>
      <c r="I182" s="124"/>
      <c r="J182" s="153" t="n">
        <f aca="false">+IF($B182=" ",0,IF(AND($B182&gt;=J$26,$B182&lt;J$28),J$33,0))</f>
        <v>0</v>
      </c>
      <c r="K182" s="153" t="n">
        <f aca="false">+IF($B182=" ",0,IF(AND($B182&gt;=K$26,$B182&lt;K$28),K$33,0))</f>
        <v>0</v>
      </c>
      <c r="L182" s="153" t="n">
        <f aca="false">+IF($B182=" ",0,IF(AND($B182&gt;=L$26,$B182&lt;L$28),L$33,0))</f>
        <v>0</v>
      </c>
      <c r="M182" s="153" t="n">
        <f aca="false">+IF($B182=" ",0,IF(AND($B182&gt;=M$26,$B182&lt;M$28),M$33,0))</f>
        <v>0</v>
      </c>
      <c r="N182" s="153" t="n">
        <f aca="false">+IF($B182=" ",0,IF(AND($B182&gt;=N$26,$B182&lt;N$28),N$33,0))</f>
        <v>0</v>
      </c>
      <c r="O182" s="154" t="n">
        <f aca="false">+IF($B182=" ",0,IF(AND($B182&gt;=O$26,$B182&lt;O$28),O$33,0))</f>
        <v>5016515.625</v>
      </c>
      <c r="Q182" s="83" t="n">
        <f aca="false">IF($B182=" ",0,IF($B182&lt;=DATE(2003,12,31),3.55,2.9))</f>
        <v>2.9</v>
      </c>
      <c r="R182" s="155" t="n">
        <f aca="false">IF($B182=" ",0,R$25)</f>
        <v>-0.07</v>
      </c>
      <c r="S182" s="156" t="n">
        <f aca="false">IF($B182=" ",0,S$25)</f>
        <v>0.1</v>
      </c>
      <c r="T182" s="157" t="n">
        <f aca="false">+SUM($Q182,$S182)/1000*(SUM($J182*$J$37,$K182*$K$37,$L182*$L$37,$M182*$M$37,$N182*$N$37,$O182*$O$37))</f>
        <v>14883.5779284771</v>
      </c>
      <c r="U182" s="157" t="n">
        <f aca="false">+SUM($Q182,$R182)/1000*(SUM(0))</f>
        <v>0</v>
      </c>
      <c r="W182" s="158" t="n">
        <f aca="false">IF($B182=" ",0,1)*(IF($B182&gt;=W$25,1,0)*IF($B182&lt;=W$29,W$27,IF($B182&lt;=W$33,W$31,0))*($D182-$D181)*365/1000)</f>
        <v>486.66666666667</v>
      </c>
      <c r="X182" s="158" t="n">
        <f aca="false">IF($B182=" ",0,IF($B182&gt;=X$25,IF($B182&lt;=X$29,X$27,IF($B182&lt;=X$33,X$31,X$31*(1+X$38)^(IF(X$36&gt;$B182,-1,1)*(YEARFRAC($B182,X$36)))))*($D182-$D181)*365/1000,0))</f>
        <v>426.061092386059</v>
      </c>
      <c r="Y182" s="159" t="n">
        <f aca="false">IF($B182=" ",0,Y$25*(1+Y$30)^(IF(Y$28&gt;$B182,-1,1)*(YEARFRAC($B182,Y$28))))</f>
        <v>0.535547029133978</v>
      </c>
      <c r="Z182" s="159" t="n">
        <f aca="false">IF($B182=" ",0,Z$25*(1+Z$30)^(IF(Z$28&gt;$B182,-1,1)*(YEARFRAC($B182,Z$28))))</f>
        <v>0.511248694093337</v>
      </c>
      <c r="AA182" s="162" t="n">
        <f aca="false">+W182+X182+Z182*SUM($J182*$J$37,$L182*$L$37,$N182*$N$37)/1000</f>
        <v>912.727759052729</v>
      </c>
      <c r="AB182" s="161"/>
      <c r="AC182" s="158" t="n">
        <f aca="false">IF($B182=" ",0,1)*(IF($B182&gt;=AC$25,1,0)*IF($B182&lt;=AC$29,AC$27,IF($B182&lt;=AC$33,AC$31,0))*($D182-$D181)*365/1000)</f>
        <v>1591.66666666668</v>
      </c>
      <c r="AD182" s="158" t="n">
        <f aca="false">IF($B182=" ",0,IF($B182&gt;=AD$25,IF($B182&lt;=AD$29,AD$27,IF($B182&lt;=AD$33,AD$31,AD$31*(1+AD$38)^(IF(AD$36&gt;$B182,-1,1)*(YEARFRAC($B182,AD$36)))))*($D182-$D181)*365/1000,0))</f>
        <v>379.287531425094</v>
      </c>
      <c r="AE182" s="159" t="n">
        <f aca="false">IF($B182=" ",0,AE$25*(1+AE$30)^(IF(AE$28&gt;$B182,-1,1)*(YEARFRAC($B182,AE$28))))</f>
        <v>0.443697882115604</v>
      </c>
      <c r="AF182" s="159" t="n">
        <f aca="false">IF($B182=" ",0,AF$25*(1+AF$30)^(IF(AF$28&gt;$B182,-1,1)*(YEARFRAC($B182,AF$28))))</f>
        <v>0.159197793874255</v>
      </c>
      <c r="AG182" s="162" t="n">
        <f aca="false">+AC182+AD182+AF182*SUM($K182*$K$37,$M182*$M$37,$O182*$O$37)/1000</f>
        <v>2760.76512181481</v>
      </c>
      <c r="AI182" s="158" t="n">
        <f aca="false">IF($B182=" ",0,1)*IF($B182&gt;=AI$33,AI$25*($D182-$D181),0)</f>
        <v>485.186570908337</v>
      </c>
      <c r="AJ182" s="158" t="n">
        <f aca="false">IF($B182=" ",0,IF($B182&gt;=AJ$33,AJ$25*(1+AJ$30)^(IF(AJ$28&gt;$B182,-1,1)*(YEARFRAC($B182,AJ$28)))*($D182-$D181),0))</f>
        <v>535.552033559635</v>
      </c>
      <c r="AK182" s="159" t="n">
        <f aca="false">IF($B182=" ",0,AK$25*(1+AK$30)^(IF(AK$28&gt;$B182,-1,1)*(YEARFRAC($B182,AK$28))))</f>
        <v>0.0306075346260007</v>
      </c>
      <c r="AL182" s="159" t="n">
        <f aca="false">IF($B182=" ",0,AL$25*AL$28)</f>
        <v>0.0575</v>
      </c>
      <c r="AM182" s="162" t="n">
        <f aca="false">+AI182+AJ182+SUM(AK182:AL182)*SUM($J182*$J$37,$K182*$K$37,$L182*$L$37,$M182*$M$37,$N182*$N$37,$O182*$O$37)/1000</f>
        <v>1457.857057032</v>
      </c>
      <c r="AO182" s="163" t="n">
        <f aca="false">IF($B182=" ",0,$AO$25)</f>
        <v>0.25</v>
      </c>
      <c r="AP182" s="159" t="n">
        <f aca="false">IF($B182=" ",0,AP$25*AP$28)</f>
        <v>0.03105</v>
      </c>
      <c r="AQ182" s="162" t="n">
        <f aca="false">SUM(AO182:AP182)*SUM(0)/1000</f>
        <v>0</v>
      </c>
      <c r="AS182" s="155" t="n">
        <f aca="false">IF($B182=" ",0,AS$25)</f>
        <v>1</v>
      </c>
      <c r="AT182" s="156" t="n">
        <f aca="false">IF($B182=" ",0,AT$25)</f>
        <v>1</v>
      </c>
      <c r="AU182" s="156" t="n">
        <f aca="false">IF($B182=" ",0,AU$25)</f>
        <v>2.3</v>
      </c>
      <c r="AV182" s="157" t="n">
        <f aca="false">+AS182*SUM(J182:K182)/1000</f>
        <v>0</v>
      </c>
      <c r="AW182" s="157" t="n">
        <f aca="false">+AT182*SUM(L182:M182)/1000</f>
        <v>0</v>
      </c>
      <c r="AX182" s="157" t="n">
        <f aca="false">+AU182*SUM(N182:O182)/1000</f>
        <v>11537.9859375</v>
      </c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</row>
    <row r="183" customFormat="false" ht="12.75" hidden="true" customHeight="false" outlineLevel="1" collapsed="false">
      <c r="A183" s="164" t="n">
        <f aca="false">+IF(B183=" ",A182,B183)</f>
        <v>40848</v>
      </c>
      <c r="B183" s="148" t="n">
        <f aca="false">IF(B182=" "," ",IF(EDATE(B182,1)&gt;=EndDate," ",EDATE(B182,1)))</f>
        <v>40848</v>
      </c>
      <c r="C183" s="149" t="n">
        <f aca="false">IF($B183&lt;&gt;" ",C182+1,C182)</f>
        <v>133</v>
      </c>
      <c r="D183" s="150" t="n">
        <f aca="false">C183/12</f>
        <v>11.0833333333333</v>
      </c>
      <c r="F183" s="157" t="n">
        <f aca="false">+SUM($T183:$U183)</f>
        <v>14883.5779284771</v>
      </c>
      <c r="G183" s="152" t="n">
        <f aca="false">-SUM($AA183,$AG183,$AM183,$AQ183,$AV183:$AX183)</f>
        <v>-16672.2466026524</v>
      </c>
      <c r="H183" s="152" t="n">
        <f aca="false">+SUM(F183:G183)</f>
        <v>-1788.66867417531</v>
      </c>
      <c r="I183" s="124"/>
      <c r="J183" s="153" t="n">
        <f aca="false">+IF($B183=" ",0,IF(AND($B183&gt;=J$26,$B183&lt;J$28),J$33,0))</f>
        <v>0</v>
      </c>
      <c r="K183" s="153" t="n">
        <f aca="false">+IF($B183=" ",0,IF(AND($B183&gt;=K$26,$B183&lt;K$28),K$33,0))</f>
        <v>0</v>
      </c>
      <c r="L183" s="153" t="n">
        <f aca="false">+IF($B183=" ",0,IF(AND($B183&gt;=L$26,$B183&lt;L$28),L$33,0))</f>
        <v>0</v>
      </c>
      <c r="M183" s="153" t="n">
        <f aca="false">+IF($B183=" ",0,IF(AND($B183&gt;=M$26,$B183&lt;M$28),M$33,0))</f>
        <v>0</v>
      </c>
      <c r="N183" s="153" t="n">
        <f aca="false">+IF($B183=" ",0,IF(AND($B183&gt;=N$26,$B183&lt;N$28),N$33,0))</f>
        <v>0</v>
      </c>
      <c r="O183" s="154" t="n">
        <f aca="false">+IF($B183=" ",0,IF(AND($B183&gt;=O$26,$B183&lt;O$28),O$33,0))</f>
        <v>5016515.625</v>
      </c>
      <c r="Q183" s="83" t="n">
        <f aca="false">IF($B183=" ",0,IF($B183&lt;=DATE(2003,12,31),3.55,2.9))</f>
        <v>2.9</v>
      </c>
      <c r="R183" s="155" t="n">
        <f aca="false">IF($B183=" ",0,R$25)</f>
        <v>-0.07</v>
      </c>
      <c r="S183" s="156" t="n">
        <f aca="false">IF($B183=" ",0,S$25)</f>
        <v>0.1</v>
      </c>
      <c r="T183" s="157" t="n">
        <f aca="false">+SUM($Q183,$S183)/1000*(SUM($J183*$J$37,$K183*$K$37,$L183*$L$37,$M183*$M$37,$N183*$N$37,$O183*$O$37))</f>
        <v>14883.5779284771</v>
      </c>
      <c r="U183" s="157" t="n">
        <f aca="false">+SUM($Q183,$R183)/1000*(SUM(0))</f>
        <v>0</v>
      </c>
      <c r="W183" s="158" t="n">
        <f aca="false">IF($B183=" ",0,1)*(IF($B183&gt;=W$25,1,0)*IF($B183&lt;=W$29,W$27,IF($B183&lt;=W$33,W$31,0))*($D183-$D182)*365/1000)</f>
        <v>486.66666666667</v>
      </c>
      <c r="X183" s="158" t="n">
        <f aca="false">IF($B183=" ",0,IF($B183&gt;=X$25,IF($B183&lt;=X$29,X$27,IF($B183&lt;=X$33,X$31,X$31*(1+X$38)^(IF(X$36&gt;$B183,-1,1)*(YEARFRAC($B183,X$36)))))*($D183-$D182)*365/1000,0))</f>
        <v>426.648371134836</v>
      </c>
      <c r="Y183" s="159" t="n">
        <f aca="false">IF($B183=" ",0,Y$25*(1+Y$30)^(IF(Y$28&gt;$B183,-1,1)*(YEARFRAC($B183,Y$28))))</f>
        <v>0.536285222305806</v>
      </c>
      <c r="Z183" s="159" t="n">
        <f aca="false">IF($B183=" ",0,Z$25*(1+Z$30)^(IF(Z$28&gt;$B183,-1,1)*(YEARFRAC($B183,Z$28))))</f>
        <v>0.511953394660337</v>
      </c>
      <c r="AA183" s="162" t="n">
        <f aca="false">+W183+X183+Z183*SUM($J183*$J$37,$L183*$L$37,$N183*$N$37)/1000</f>
        <v>913.315037801506</v>
      </c>
      <c r="AB183" s="161"/>
      <c r="AC183" s="158" t="n">
        <f aca="false">IF($B183=" ",0,1)*(IF($B183&gt;=AC$25,1,0)*IF($B183&lt;=AC$29,AC$27,IF($B183&lt;=AC$33,AC$31,0))*($D183-$D182)*365/1000)</f>
        <v>1591.66666666668</v>
      </c>
      <c r="AD183" s="158" t="n">
        <f aca="false">IF($B183=" ",0,IF($B183&gt;=AD$25,IF($B183&lt;=AD$29,AD$27,IF($B183&lt;=AD$33,AD$31,AD$31*(1+AD$38)^(IF(AD$36&gt;$B183,-1,1)*(YEARFRAC($B183,AD$36)))))*($D183-$D182)*365/1000,0))</f>
        <v>379.810337921304</v>
      </c>
      <c r="AE183" s="159" t="n">
        <f aca="false">IF($B183=" ",0,AE$25*(1+AE$30)^(IF(AE$28&gt;$B183,-1,1)*(YEARFRAC($B183,AE$28))))</f>
        <v>0.44430947125552</v>
      </c>
      <c r="AF183" s="159" t="n">
        <f aca="false">IF($B183=" ",0,AF$25*(1+AF$30)^(IF(AF$28&gt;$B183,-1,1)*(YEARFRAC($B183,AF$28))))</f>
        <v>0.15941723067068</v>
      </c>
      <c r="AG183" s="162" t="n">
        <f aca="false">+AC183+AD183+AF183*SUM($K183*$K$37,$M183*$M$37,$O183*$O$37)/1000</f>
        <v>2762.37659653101</v>
      </c>
      <c r="AI183" s="158" t="n">
        <f aca="false">IF($B183=" ",0,1)*IF($B183&gt;=AI$33,AI$25*($D183-$D182),0)</f>
        <v>485.186570908337</v>
      </c>
      <c r="AJ183" s="158" t="n">
        <f aca="false">IF($B183=" ",0,IF($B183&gt;=AJ$33,AJ$25*(1+AJ$30)^(IF(AJ$28&gt;$B183,-1,1)*(YEARFRAC($B183,AJ$28)))*($D183-$D182),0))</f>
        <v>536.106729444058</v>
      </c>
      <c r="AK183" s="159" t="n">
        <f aca="false">IF($B183=" ",0,AK$25*(1+AK$30)^(IF(AK$28&gt;$B183,-1,1)*(YEARFRAC($B183,AK$28))))</f>
        <v>0.0306392362580093</v>
      </c>
      <c r="AL183" s="159" t="n">
        <f aca="false">IF($B183=" ",0,AL$25*AL$28)</f>
        <v>0.0575</v>
      </c>
      <c r="AM183" s="162" t="n">
        <f aca="false">+AI183+AJ183+SUM(AK183:AL183)*SUM($J183*$J$37,$K183*$K$37,$L183*$L$37,$M183*$M$37,$N183*$N$37,$O183*$O$37)/1000</f>
        <v>1458.56903081991</v>
      </c>
      <c r="AO183" s="163" t="n">
        <f aca="false">IF($B183=" ",0,$AO$25)</f>
        <v>0.25</v>
      </c>
      <c r="AP183" s="159" t="n">
        <f aca="false">IF($B183=" ",0,AP$25*AP$28)</f>
        <v>0.03105</v>
      </c>
      <c r="AQ183" s="162" t="n">
        <f aca="false">SUM(AO183:AP183)*SUM(0)/1000</f>
        <v>0</v>
      </c>
      <c r="AS183" s="155" t="n">
        <f aca="false">IF($B183=" ",0,AS$25)</f>
        <v>1</v>
      </c>
      <c r="AT183" s="156" t="n">
        <f aca="false">IF($B183=" ",0,AT$25)</f>
        <v>1</v>
      </c>
      <c r="AU183" s="156" t="n">
        <f aca="false">IF($B183=" ",0,AU$25)</f>
        <v>2.3</v>
      </c>
      <c r="AV183" s="157" t="n">
        <f aca="false">+AS183*SUM(J183:K183)/1000</f>
        <v>0</v>
      </c>
      <c r="AW183" s="157" t="n">
        <f aca="false">+AT183*SUM(L183:M183)/1000</f>
        <v>0</v>
      </c>
      <c r="AX183" s="157" t="n">
        <f aca="false">+AU183*SUM(N183:O183)/1000</f>
        <v>11537.9859375</v>
      </c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</row>
    <row r="184" customFormat="false" ht="12.75" hidden="true" customHeight="false" outlineLevel="1" collapsed="false">
      <c r="A184" s="164" t="n">
        <f aca="false">+IF(B184=" ",A183,B184)</f>
        <v>40878</v>
      </c>
      <c r="B184" s="148" t="n">
        <f aca="false">IF(B183=" "," ",IF(EDATE(B183,1)&gt;=EndDate," ",EDATE(B183,1)))</f>
        <v>40878</v>
      </c>
      <c r="C184" s="149" t="n">
        <f aca="false">IF($B184&lt;&gt;" ",C183+1,C183)</f>
        <v>134</v>
      </c>
      <c r="D184" s="150" t="n">
        <f aca="false">C184/12</f>
        <v>11.1666666666667</v>
      </c>
      <c r="F184" s="157" t="n">
        <f aca="false">+SUM($T184:$U184)</f>
        <v>14883.5779284771</v>
      </c>
      <c r="G184" s="152" t="n">
        <f aca="false">-SUM($AA184,$AG184,$AM184,$AQ184,$AV184:$AX184)</f>
        <v>-16675.1610980711</v>
      </c>
      <c r="H184" s="152" t="n">
        <f aca="false">+SUM(F184:G184)</f>
        <v>-1791.58316959397</v>
      </c>
      <c r="I184" s="124"/>
      <c r="J184" s="153" t="n">
        <f aca="false">+IF($B184=" ",0,IF(AND($B184&gt;=J$26,$B184&lt;J$28),J$33,0))</f>
        <v>0</v>
      </c>
      <c r="K184" s="153" t="n">
        <f aca="false">+IF($B184=" ",0,IF(AND($B184&gt;=K$26,$B184&lt;K$28),K$33,0))</f>
        <v>0</v>
      </c>
      <c r="L184" s="153" t="n">
        <f aca="false">+IF($B184=" ",0,IF(AND($B184&gt;=L$26,$B184&lt;L$28),L$33,0))</f>
        <v>0</v>
      </c>
      <c r="M184" s="153" t="n">
        <f aca="false">+IF($B184=" ",0,IF(AND($B184&gt;=M$26,$B184&lt;M$28),M$33,0))</f>
        <v>0</v>
      </c>
      <c r="N184" s="153" t="n">
        <f aca="false">+IF($B184=" ",0,IF(AND($B184&gt;=N$26,$B184&lt;N$28),N$33,0))</f>
        <v>0</v>
      </c>
      <c r="O184" s="154" t="n">
        <f aca="false">+IF($B184=" ",0,IF(AND($B184&gt;=O$26,$B184&lt;O$28),O$33,0))</f>
        <v>5016515.625</v>
      </c>
      <c r="Q184" s="83" t="n">
        <f aca="false">IF($B184=" ",0,IF($B184&lt;=DATE(2003,12,31),3.55,2.9))</f>
        <v>2.9</v>
      </c>
      <c r="R184" s="155" t="n">
        <f aca="false">IF($B184=" ",0,R$25)</f>
        <v>-0.07</v>
      </c>
      <c r="S184" s="156" t="n">
        <f aca="false">IF($B184=" ",0,S$25)</f>
        <v>0.1</v>
      </c>
      <c r="T184" s="157" t="n">
        <f aca="false">+SUM($Q184,$S184)/1000*(SUM($J184*$J$37,$K184*$K$37,$L184*$L$37,$M184*$M$37,$N184*$N$37,$O184*$O$37))</f>
        <v>14883.5779284771</v>
      </c>
      <c r="U184" s="157" t="n">
        <f aca="false">+SUM($Q184,$R184)/1000*(SUM(0))</f>
        <v>0</v>
      </c>
      <c r="W184" s="158" t="n">
        <f aca="false">IF($B184=" ",0,1)*(IF($B184&gt;=W$25,1,0)*IF($B184&lt;=W$29,W$27,IF($B184&lt;=W$33,W$31,0))*($D184-$D183)*365/1000)</f>
        <v>486.66666666666</v>
      </c>
      <c r="X184" s="158" t="n">
        <f aca="false">IF($B184=" ",0,IF($B184&gt;=X$25,IF($B184&lt;=X$29,X$27,IF($B184&lt;=X$33,X$31,X$31*(1+X$38)^(IF(X$36&gt;$B184,-1,1)*(YEARFRAC($B184,X$36)))))*($D184-$D183)*365/1000,0))</f>
        <v>427.236459383309</v>
      </c>
      <c r="Y184" s="159" t="n">
        <f aca="false">IF($B184=" ",0,Y$25*(1+Y$30)^(IF(Y$28&gt;$B184,-1,1)*(YEARFRAC($B184,Y$28))))</f>
        <v>0.537024432996413</v>
      </c>
      <c r="Z184" s="159" t="n">
        <f aca="false">IF($B184=" ",0,Z$25*(1+Z$30)^(IF(Z$28&gt;$B184,-1,1)*(YEARFRAC($B184,Z$28))))</f>
        <v>0.512659066580213</v>
      </c>
      <c r="AA184" s="162" t="n">
        <f aca="false">+W184+X184+Z184*SUM($J184*$J$37,$L184*$L$37,$N184*$N$37)/1000</f>
        <v>913.903126049969</v>
      </c>
      <c r="AB184" s="161"/>
      <c r="AC184" s="158" t="n">
        <f aca="false">IF($B184=" ",0,1)*(IF($B184&gt;=AC$25,1,0)*IF($B184&lt;=AC$29,AC$27,IF($B184&lt;=AC$33,AC$31,0))*($D184-$D183)*365/1000)</f>
        <v>1591.66666666664</v>
      </c>
      <c r="AD184" s="158" t="n">
        <f aca="false">IF($B184=" ",0,IF($B184&gt;=AD$25,IF($B184&lt;=AD$29,AD$27,IF($B184&lt;=AD$33,AD$31,AD$31*(1+AD$38)^(IF(AD$36&gt;$B184,-1,1)*(YEARFRAC($B184,AD$36)))))*($D184-$D183)*365/1000,0))</f>
        <v>380.333865049244</v>
      </c>
      <c r="AE184" s="159" t="n">
        <f aca="false">IF($B184=" ",0,AE$25*(1+AE$30)^(IF(AE$28&gt;$B184,-1,1)*(YEARFRAC($B184,AE$28))))</f>
        <v>0.444921903404364</v>
      </c>
      <c r="AF184" s="159" t="n">
        <f aca="false">IF($B184=" ",0,AF$25*(1+AF$30)^(IF(AF$28&gt;$B184,-1,1)*(YEARFRAC($B184,AF$28))))</f>
        <v>0.159636969936796</v>
      </c>
      <c r="AG184" s="162" t="n">
        <f aca="false">+AC184+AD184+AF184*SUM($K184*$K$37,$M184*$M$37,$O184*$O$37)/1000</f>
        <v>2763.99029248931</v>
      </c>
      <c r="AI184" s="158" t="n">
        <f aca="false">IF($B184=" ",0,1)*IF($B184&gt;=AI$33,AI$25*($D184-$D183),0)</f>
        <v>485.186570908327</v>
      </c>
      <c r="AJ184" s="158" t="n">
        <f aca="false">IF($B184=" ",0,IF($B184&gt;=AJ$33,AJ$25*(1+AJ$30)^(IF(AJ$28&gt;$B184,-1,1)*(YEARFRAC($B184,AJ$28)))*($D184-$D183),0))</f>
        <v>536.661999852521</v>
      </c>
      <c r="AK184" s="159" t="n">
        <f aca="false">IF($B184=" ",0,AK$25*(1+AK$30)^(IF(AK$28&gt;$B184,-1,1)*(YEARFRAC($B184,AK$28))))</f>
        <v>0.030670970724857</v>
      </c>
      <c r="AL184" s="159" t="n">
        <f aca="false">IF($B184=" ",0,AL$25*AL$28)</f>
        <v>0.0575</v>
      </c>
      <c r="AM184" s="162" t="n">
        <f aca="false">+AI184+AJ184+SUM(AK184:AL184)*SUM($J184*$J$37,$K184*$K$37,$L184*$L$37,$M184*$M$37,$N184*$N$37,$O184*$O$37)/1000</f>
        <v>1459.28174203181</v>
      </c>
      <c r="AO184" s="163" t="n">
        <f aca="false">IF($B184=" ",0,$AO$25)</f>
        <v>0.25</v>
      </c>
      <c r="AP184" s="159" t="n">
        <f aca="false">IF($B184=" ",0,AP$25*AP$28)</f>
        <v>0.03105</v>
      </c>
      <c r="AQ184" s="162" t="n">
        <f aca="false">SUM(AO184:AP184)*SUM(0)/1000</f>
        <v>0</v>
      </c>
      <c r="AS184" s="155" t="n">
        <f aca="false">IF($B184=" ",0,AS$25)</f>
        <v>1</v>
      </c>
      <c r="AT184" s="156" t="n">
        <f aca="false">IF($B184=" ",0,AT$25)</f>
        <v>1</v>
      </c>
      <c r="AU184" s="156" t="n">
        <f aca="false">IF($B184=" ",0,AU$25)</f>
        <v>2.3</v>
      </c>
      <c r="AV184" s="157" t="n">
        <f aca="false">+AS184*SUM(J184:K184)/1000</f>
        <v>0</v>
      </c>
      <c r="AW184" s="157" t="n">
        <f aca="false">+AT184*SUM(L184:M184)/1000</f>
        <v>0</v>
      </c>
      <c r="AX184" s="157" t="n">
        <f aca="false">+AU184*SUM(N184:O184)/1000</f>
        <v>11537.9859375</v>
      </c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</row>
    <row r="185" customFormat="false" ht="12.75" hidden="true" customHeight="false" outlineLevel="1" collapsed="false">
      <c r="A185" s="164" t="n">
        <f aca="false">+IF(B185=" ",A184,B185)</f>
        <v>40909</v>
      </c>
      <c r="B185" s="148" t="n">
        <f aca="false">IF(B184=" "," ",IF(EDATE(B184,1)&gt;=EndDate," ",EDATE(B184,1)))</f>
        <v>40909</v>
      </c>
      <c r="C185" s="149" t="n">
        <f aca="false">IF($B185&lt;&gt;" ",C184+1,C184)</f>
        <v>135</v>
      </c>
      <c r="D185" s="150" t="n">
        <f aca="false">C185/12</f>
        <v>11.25</v>
      </c>
      <c r="F185" s="157" t="n">
        <f aca="false">+SUM($T185:$U185)</f>
        <v>14883.5779284771</v>
      </c>
      <c r="G185" s="152" t="n">
        <f aca="false">-SUM($AA185,$AG185,$AM185,$AQ185,$AV185:$AX185)</f>
        <v>-16678.0793665971</v>
      </c>
      <c r="H185" s="152" t="n">
        <f aca="false">+SUM(F185:G185)</f>
        <v>-1794.50143812001</v>
      </c>
      <c r="I185" s="124"/>
      <c r="J185" s="153" t="n">
        <f aca="false">+IF($B185=" ",0,IF(AND($B185&gt;=J$26,$B185&lt;J$28),J$33,0))</f>
        <v>0</v>
      </c>
      <c r="K185" s="153" t="n">
        <f aca="false">+IF($B185=" ",0,IF(AND($B185&gt;=K$26,$B185&lt;K$28),K$33,0))</f>
        <v>0</v>
      </c>
      <c r="L185" s="153" t="n">
        <f aca="false">+IF($B185=" ",0,IF(AND($B185&gt;=L$26,$B185&lt;L$28),L$33,0))</f>
        <v>0</v>
      </c>
      <c r="M185" s="153" t="n">
        <f aca="false">+IF($B185=" ",0,IF(AND($B185&gt;=M$26,$B185&lt;M$28),M$33,0))</f>
        <v>0</v>
      </c>
      <c r="N185" s="153" t="n">
        <f aca="false">+IF($B185=" ",0,IF(AND($B185&gt;=N$26,$B185&lt;N$28),N$33,0))</f>
        <v>0</v>
      </c>
      <c r="O185" s="154" t="n">
        <f aca="false">+IF($B185=" ",0,IF(AND($B185&gt;=O$26,$B185&lt;O$28),O$33,0))</f>
        <v>5016515.625</v>
      </c>
      <c r="Q185" s="83" t="n">
        <f aca="false">IF($B185=" ",0,IF($B185&lt;=DATE(2003,12,31),3.55,2.9))</f>
        <v>2.9</v>
      </c>
      <c r="R185" s="155" t="n">
        <f aca="false">IF($B185=" ",0,R$25)</f>
        <v>-0.07</v>
      </c>
      <c r="S185" s="156" t="n">
        <f aca="false">IF($B185=" ",0,S$25)</f>
        <v>0.1</v>
      </c>
      <c r="T185" s="157" t="n">
        <f aca="false">+SUM($Q185,$S185)/1000*(SUM($J185*$J$37,$K185*$K$37,$L185*$L$37,$M185*$M$37,$N185*$N$37,$O185*$O$37))</f>
        <v>14883.5779284771</v>
      </c>
      <c r="U185" s="157" t="n">
        <f aca="false">+SUM($Q185,$R185)/1000*(SUM(0))</f>
        <v>0</v>
      </c>
      <c r="W185" s="158" t="n">
        <f aca="false">IF($B185=" ",0,1)*(IF($B185&gt;=W$25,1,0)*IF($B185&lt;=W$29,W$27,IF($B185&lt;=W$33,W$31,0))*($D185-$D184)*365/1000)</f>
        <v>486.66666666667</v>
      </c>
      <c r="X185" s="158" t="n">
        <f aca="false">IF($B185=" ",0,IF($B185&gt;=X$25,IF($B185&lt;=X$29,X$27,IF($B185&lt;=X$33,X$31,X$31*(1+X$38)^(IF(X$36&gt;$B185,-1,1)*(YEARFRAC($B185,X$36)))))*($D185-$D184)*365/1000,0))</f>
        <v>427.825358247314</v>
      </c>
      <c r="Y185" s="159" t="n">
        <f aca="false">IF($B185=" ",0,Y$25*(1+Y$30)^(IF(Y$28&gt;$B185,-1,1)*(YEARFRAC($B185,Y$28))))</f>
        <v>0.537764662608337</v>
      </c>
      <c r="Z185" s="159" t="n">
        <f aca="false">IF($B185=" ",0,Z$25*(1+Z$30)^(IF(Z$28&gt;$B185,-1,1)*(YEARFRAC($B185,Z$28))))</f>
        <v>0.513365711191868</v>
      </c>
      <c r="AA185" s="162" t="n">
        <f aca="false">+W185+X185+Z185*SUM($J185*$J$37,$L185*$L$37,$N185*$N$37)/1000</f>
        <v>914.492024913984</v>
      </c>
      <c r="AB185" s="161"/>
      <c r="AC185" s="158" t="n">
        <f aca="false">IF($B185=" ",0,1)*(IF($B185&gt;=AC$25,1,0)*IF($B185&lt;=AC$29,AC$27,IF($B185&lt;=AC$33,AC$31,0))*($D185-$D184)*365/1000)</f>
        <v>1591.66666666668</v>
      </c>
      <c r="AD185" s="158" t="n">
        <f aca="false">IF($B185=" ",0,IF($B185&gt;=AD$25,IF($B185&lt;=AD$29,AD$27,IF($B185&lt;=AD$33,AD$31,AD$31*(1+AD$38)^(IF(AD$36&gt;$B185,-1,1)*(YEARFRAC($B185,AD$36)))))*($D185-$D184)*365/1000,0))</f>
        <v>380.858113802248</v>
      </c>
      <c r="AE185" s="159" t="n">
        <f aca="false">IF($B185=" ",0,AE$25*(1+AE$30)^(IF(AE$28&gt;$B185,-1,1)*(YEARFRAC($B185,AE$28))))</f>
        <v>0.445535179724132</v>
      </c>
      <c r="AF185" s="159" t="n">
        <f aca="false">IF($B185=" ",0,AF$25*(1+AF$30)^(IF(AF$28&gt;$B185,-1,1)*(YEARFRAC($B185,AF$28))))</f>
        <v>0.159857012089526</v>
      </c>
      <c r="AG185" s="162" t="n">
        <f aca="false">+AC185+AD185+AF185*SUM($K185*$K$37,$M185*$M$37,$O185*$O$37)/1000</f>
        <v>2765.60621275158</v>
      </c>
      <c r="AI185" s="158" t="n">
        <f aca="false">IF($B185=" ",0,1)*IF($B185&gt;=AI$33,AI$25*($D185-$D184),0)</f>
        <v>485.186570908337</v>
      </c>
      <c r="AJ185" s="158" t="n">
        <f aca="false">IF($B185=" ",0,IF($B185&gt;=AJ$33,AJ$25*(1+AJ$30)^(IF(AJ$28&gt;$B185,-1,1)*(YEARFRAC($B185,AJ$28)))*($D185-$D184),0))</f>
        <v>537.21784538012</v>
      </c>
      <c r="AK185" s="159" t="n">
        <f aca="false">IF($B185=" ",0,AK$25*(1+AK$30)^(IF(AK$28&gt;$B185,-1,1)*(YEARFRAC($B185,AK$28))))</f>
        <v>0.0307027380605522</v>
      </c>
      <c r="AL185" s="159" t="n">
        <f aca="false">IF($B185=" ",0,AL$25*AL$28)</f>
        <v>0.0575</v>
      </c>
      <c r="AM185" s="162" t="n">
        <f aca="false">+AI185+AJ185+SUM(AK185:AL185)*SUM($J185*$J$37,$K185*$K$37,$L185*$L$37,$M185*$M$37,$N185*$N$37,$O185*$O$37)/1000</f>
        <v>1459.99519143155</v>
      </c>
      <c r="AO185" s="163" t="n">
        <f aca="false">IF($B185=" ",0,$AO$25)</f>
        <v>0.25</v>
      </c>
      <c r="AP185" s="159" t="n">
        <f aca="false">IF($B185=" ",0,AP$25*AP$28)</f>
        <v>0.03105</v>
      </c>
      <c r="AQ185" s="162" t="n">
        <f aca="false">SUM(AO185:AP185)*SUM(0)/1000</f>
        <v>0</v>
      </c>
      <c r="AS185" s="155" t="n">
        <f aca="false">IF($B185=" ",0,AS$25)</f>
        <v>1</v>
      </c>
      <c r="AT185" s="156" t="n">
        <f aca="false">IF($B185=" ",0,AT$25)</f>
        <v>1</v>
      </c>
      <c r="AU185" s="156" t="n">
        <f aca="false">IF($B185=" ",0,AU$25)</f>
        <v>2.3</v>
      </c>
      <c r="AV185" s="157" t="n">
        <f aca="false">+AS185*SUM(J185:K185)/1000</f>
        <v>0</v>
      </c>
      <c r="AW185" s="157" t="n">
        <f aca="false">+AT185*SUM(L185:M185)/1000</f>
        <v>0</v>
      </c>
      <c r="AX185" s="157" t="n">
        <f aca="false">+AU185*SUM(N185:O185)/1000</f>
        <v>11537.9859375</v>
      </c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</row>
    <row r="186" customFormat="false" ht="12.75" hidden="true" customHeight="false" outlineLevel="1" collapsed="false">
      <c r="A186" s="164" t="n">
        <f aca="false">+IF(B186=" ",A185,B186)</f>
        <v>40940</v>
      </c>
      <c r="B186" s="148" t="n">
        <f aca="false">IF(B185=" "," ",IF(EDATE(B185,1)&gt;=EndDate," ",EDATE(B185,1)))</f>
        <v>40940</v>
      </c>
      <c r="C186" s="149" t="n">
        <f aca="false">IF($B186&lt;&gt;" ",C185+1,C185)</f>
        <v>136</v>
      </c>
      <c r="D186" s="150" t="n">
        <f aca="false">C186/12</f>
        <v>11.3333333333333</v>
      </c>
      <c r="F186" s="157" t="n">
        <f aca="false">+SUM($T186:$U186)</f>
        <v>14883.5779284771</v>
      </c>
      <c r="G186" s="152" t="n">
        <f aca="false">-SUM($AA186,$AG186,$AM186,$AQ186,$AV186:$AX186)</f>
        <v>-16681.0014131781</v>
      </c>
      <c r="H186" s="152" t="n">
        <f aca="false">+SUM(F186:G186)</f>
        <v>-1797.42348470103</v>
      </c>
      <c r="I186" s="124"/>
      <c r="J186" s="153" t="n">
        <f aca="false">+IF($B186=" ",0,IF(AND($B186&gt;=J$26,$B186&lt;J$28),J$33,0))</f>
        <v>0</v>
      </c>
      <c r="K186" s="153" t="n">
        <f aca="false">+IF($B186=" ",0,IF(AND($B186&gt;=K$26,$B186&lt;K$28),K$33,0))</f>
        <v>0</v>
      </c>
      <c r="L186" s="153" t="n">
        <f aca="false">+IF($B186=" ",0,IF(AND($B186&gt;=L$26,$B186&lt;L$28),L$33,0))</f>
        <v>0</v>
      </c>
      <c r="M186" s="153" t="n">
        <f aca="false">+IF($B186=" ",0,IF(AND($B186&gt;=M$26,$B186&lt;M$28),M$33,0))</f>
        <v>0</v>
      </c>
      <c r="N186" s="153" t="n">
        <f aca="false">+IF($B186=" ",0,IF(AND($B186&gt;=N$26,$B186&lt;N$28),N$33,0))</f>
        <v>0</v>
      </c>
      <c r="O186" s="154" t="n">
        <f aca="false">+IF($B186=" ",0,IF(AND($B186&gt;=O$26,$B186&lt;O$28),O$33,0))</f>
        <v>5016515.625</v>
      </c>
      <c r="Q186" s="83" t="n">
        <f aca="false">IF($B186=" ",0,IF($B186&lt;=DATE(2003,12,31),3.55,2.9))</f>
        <v>2.9</v>
      </c>
      <c r="R186" s="155" t="n">
        <f aca="false">IF($B186=" ",0,R$25)</f>
        <v>-0.07</v>
      </c>
      <c r="S186" s="156" t="n">
        <f aca="false">IF($B186=" ",0,S$25)</f>
        <v>0.1</v>
      </c>
      <c r="T186" s="157" t="n">
        <f aca="false">+SUM($Q186,$S186)/1000*(SUM($J186*$J$37,$K186*$K$37,$L186*$L$37,$M186*$M$37,$N186*$N$37,$O186*$O$37))</f>
        <v>14883.5779284771</v>
      </c>
      <c r="U186" s="157" t="n">
        <f aca="false">+SUM($Q186,$R186)/1000*(SUM(0))</f>
        <v>0</v>
      </c>
      <c r="W186" s="158" t="n">
        <f aca="false">IF($B186=" ",0,1)*(IF($B186&gt;=W$25,1,0)*IF($B186&lt;=W$29,W$27,IF($B186&lt;=W$33,W$31,0))*($D186-$D185)*365/1000)</f>
        <v>486.66666666667</v>
      </c>
      <c r="X186" s="158" t="n">
        <f aca="false">IF($B186=" ",0,IF($B186&gt;=X$25,IF($B186&lt;=X$29,X$27,IF($B186&lt;=X$33,X$31,X$31*(1+X$38)^(IF(X$36&gt;$B186,-1,1)*(YEARFRAC($B186,X$36)))))*($D186-$D185)*365/1000,0))</f>
        <v>428.415068844166</v>
      </c>
      <c r="Y186" s="159" t="n">
        <f aca="false">IF($B186=" ",0,Y$25*(1+Y$30)^(IF(Y$28&gt;$B186,-1,1)*(YEARFRAC($B186,Y$28))))</f>
        <v>0.53850591254605</v>
      </c>
      <c r="Z186" s="159" t="n">
        <f aca="false">IF($B186=" ",0,Z$25*(1+Z$30)^(IF(Z$28&gt;$B186,-1,1)*(YEARFRAC($B186,Z$28))))</f>
        <v>0.514073329836052</v>
      </c>
      <c r="AA186" s="162" t="n">
        <f aca="false">+W186+X186+Z186*SUM($J186*$J$37,$L186*$L$37,$N186*$N$37)/1000</f>
        <v>915.081735510836</v>
      </c>
      <c r="AB186" s="161"/>
      <c r="AC186" s="158" t="n">
        <f aca="false">IF($B186=" ",0,1)*(IF($B186&gt;=AC$25,1,0)*IF($B186&lt;=AC$29,AC$27,IF($B186&lt;=AC$33,AC$31,0))*($D186-$D185)*365/1000)</f>
        <v>1591.66666666668</v>
      </c>
      <c r="AD186" s="158" t="n">
        <f aca="false">IF($B186=" ",0,IF($B186&gt;=AD$25,IF($B186&lt;=AD$29,AD$27,IF($B186&lt;=AD$33,AD$31,AD$31*(1+AD$38)^(IF(AD$36&gt;$B186,-1,1)*(YEARFRAC($B186,AD$36)))))*($D186-$D185)*365/1000,0))</f>
        <v>381.383085174975</v>
      </c>
      <c r="AE186" s="159" t="n">
        <f aca="false">IF($B186=" ",0,AE$25*(1+AE$30)^(IF(AE$28&gt;$B186,-1,1)*(YEARFRAC($B186,AE$28))))</f>
        <v>0.446149301378421</v>
      </c>
      <c r="AF186" s="159" t="n">
        <f aca="false">IF($B186=" ",0,AF$25*(1+AF$30)^(IF(AF$28&gt;$B186,-1,1)*(YEARFRAC($B186,AF$28))))</f>
        <v>0.160077357546365</v>
      </c>
      <c r="AG186" s="162" t="n">
        <f aca="false">+AC186+AD186+AF186*SUM($K186*$K$37,$M186*$M$37,$O186*$O$37)/1000</f>
        <v>2767.22436038366</v>
      </c>
      <c r="AI186" s="158" t="n">
        <f aca="false">IF($B186=" ",0,1)*IF($B186&gt;=AI$33,AI$25*($D186-$D185),0)</f>
        <v>485.186570908337</v>
      </c>
      <c r="AJ186" s="158" t="n">
        <f aca="false">IF($B186=" ",0,IF($B186&gt;=AJ$33,AJ$25*(1+AJ$30)^(IF(AJ$28&gt;$B186,-1,1)*(YEARFRAC($B186,AJ$28)))*($D186-$D185),0))</f>
        <v>537.774266622497</v>
      </c>
      <c r="AK186" s="159" t="n">
        <f aca="false">IF($B186=" ",0,AK$25*(1+AK$30)^(IF(AK$28&gt;$B186,-1,1)*(YEARFRAC($B186,AK$28))))</f>
        <v>0.0307345382991387</v>
      </c>
      <c r="AL186" s="159" t="n">
        <f aca="false">IF($B186=" ",0,AL$25*AL$28)</f>
        <v>0.0575</v>
      </c>
      <c r="AM186" s="162" t="n">
        <f aca="false">+AI186+AJ186+SUM(AK186:AL186)*SUM($J186*$J$37,$K186*$K$37,$L186*$L$37,$M186*$M$37,$N186*$N$37,$O186*$O$37)/1000</f>
        <v>1460.70937978364</v>
      </c>
      <c r="AO186" s="163" t="n">
        <f aca="false">IF($B186=" ",0,$AO$25)</f>
        <v>0.25</v>
      </c>
      <c r="AP186" s="159" t="n">
        <f aca="false">IF($B186=" ",0,AP$25*AP$28)</f>
        <v>0.03105</v>
      </c>
      <c r="AQ186" s="162" t="n">
        <f aca="false">SUM(AO186:AP186)*SUM(0)/1000</f>
        <v>0</v>
      </c>
      <c r="AS186" s="155" t="n">
        <f aca="false">IF($B186=" ",0,AS$25)</f>
        <v>1</v>
      </c>
      <c r="AT186" s="156" t="n">
        <f aca="false">IF($B186=" ",0,AT$25)</f>
        <v>1</v>
      </c>
      <c r="AU186" s="156" t="n">
        <f aca="false">IF($B186=" ",0,AU$25)</f>
        <v>2.3</v>
      </c>
      <c r="AV186" s="157" t="n">
        <f aca="false">+AS186*SUM(J186:K186)/1000</f>
        <v>0</v>
      </c>
      <c r="AW186" s="157" t="n">
        <f aca="false">+AT186*SUM(L186:M186)/1000</f>
        <v>0</v>
      </c>
      <c r="AX186" s="157" t="n">
        <f aca="false">+AU186*SUM(N186:O186)/1000</f>
        <v>11537.9859375</v>
      </c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</row>
    <row r="187" customFormat="false" ht="12.75" hidden="true" customHeight="false" outlineLevel="1" collapsed="false">
      <c r="A187" s="164" t="n">
        <f aca="false">+IF(B187=" ",A186,B187)</f>
        <v>40969</v>
      </c>
      <c r="B187" s="148" t="n">
        <f aca="false">IF(B186=" "," ",IF(EDATE(B186,1)&gt;=EndDate," ",EDATE(B186,1)))</f>
        <v>40969</v>
      </c>
      <c r="C187" s="149" t="n">
        <f aca="false">IF($B187&lt;&gt;" ",C186+1,C186)</f>
        <v>137</v>
      </c>
      <c r="D187" s="150" t="n">
        <f aca="false">C187/12</f>
        <v>11.4166666666667</v>
      </c>
      <c r="F187" s="157" t="n">
        <f aca="false">+SUM($T187:$U187)</f>
        <v>14883.5779284771</v>
      </c>
      <c r="G187" s="152" t="n">
        <f aca="false">-SUM($AA187,$AG187,$AM187,$AQ187,$AV187:$AX187)</f>
        <v>-16683.9272427686</v>
      </c>
      <c r="H187" s="152" t="n">
        <f aca="false">+SUM(F187:G187)</f>
        <v>-1800.34931429148</v>
      </c>
      <c r="I187" s="124"/>
      <c r="J187" s="153" t="n">
        <f aca="false">+IF($B187=" ",0,IF(AND($B187&gt;=J$26,$B187&lt;J$28),J$33,0))</f>
        <v>0</v>
      </c>
      <c r="K187" s="153" t="n">
        <f aca="false">+IF($B187=" ",0,IF(AND($B187&gt;=K$26,$B187&lt;K$28),K$33,0))</f>
        <v>0</v>
      </c>
      <c r="L187" s="153" t="n">
        <f aca="false">+IF($B187=" ",0,IF(AND($B187&gt;=L$26,$B187&lt;L$28),L$33,0))</f>
        <v>0</v>
      </c>
      <c r="M187" s="153" t="n">
        <f aca="false">+IF($B187=" ",0,IF(AND($B187&gt;=M$26,$B187&lt;M$28),M$33,0))</f>
        <v>0</v>
      </c>
      <c r="N187" s="153" t="n">
        <f aca="false">+IF($B187=" ",0,IF(AND($B187&gt;=N$26,$B187&lt;N$28),N$33,0))</f>
        <v>0</v>
      </c>
      <c r="O187" s="154" t="n">
        <f aca="false">+IF($B187=" ",0,IF(AND($B187&gt;=O$26,$B187&lt;O$28),O$33,0))</f>
        <v>5016515.625</v>
      </c>
      <c r="Q187" s="83" t="n">
        <f aca="false">IF($B187=" ",0,IF($B187&lt;=DATE(2003,12,31),3.55,2.9))</f>
        <v>2.9</v>
      </c>
      <c r="R187" s="155" t="n">
        <f aca="false">IF($B187=" ",0,R$25)</f>
        <v>-0.07</v>
      </c>
      <c r="S187" s="156" t="n">
        <f aca="false">IF($B187=" ",0,S$25)</f>
        <v>0.1</v>
      </c>
      <c r="T187" s="157" t="n">
        <f aca="false">+SUM($Q187,$S187)/1000*(SUM($J187*$J$37,$K187*$K$37,$L187*$L$37,$M187*$M$37,$N187*$N$37,$O187*$O$37))</f>
        <v>14883.5779284771</v>
      </c>
      <c r="U187" s="157" t="n">
        <f aca="false">+SUM($Q187,$R187)/1000*(SUM(0))</f>
        <v>0</v>
      </c>
      <c r="W187" s="158" t="n">
        <f aca="false">IF($B187=" ",0,1)*(IF($B187&gt;=W$25,1,0)*IF($B187&lt;=W$29,W$27,IF($B187&lt;=W$33,W$31,0))*($D187-$D186)*365/1000)</f>
        <v>486.66666666666</v>
      </c>
      <c r="X187" s="158" t="n">
        <f aca="false">IF($B187=" ",0,IF($B187&gt;=X$25,IF($B187&lt;=X$29,X$27,IF($B187&lt;=X$33,X$31,X$31*(1+X$38)^(IF(X$36&gt;$B187,-1,1)*(YEARFRAC($B187,X$36)))))*($D187-$D186)*365/1000,0))</f>
        <v>429.005592292752</v>
      </c>
      <c r="Y187" s="159" t="n">
        <f aca="false">IF($B187=" ",0,Y$25*(1+Y$30)^(IF(Y$28&gt;$B187,-1,1)*(YEARFRAC($B187,Y$28))))</f>
        <v>0.53924818421596</v>
      </c>
      <c r="Z187" s="159" t="n">
        <f aca="false">IF($B187=" ",0,Z$25*(1+Z$30)^(IF(Z$28&gt;$B187,-1,1)*(YEARFRAC($B187,Z$28))))</f>
        <v>0.514781923855363</v>
      </c>
      <c r="AA187" s="162" t="n">
        <f aca="false">+W187+X187+Z187*SUM($J187*$J$37,$L187*$L$37,$N187*$N$37)/1000</f>
        <v>915.672258959412</v>
      </c>
      <c r="AB187" s="161"/>
      <c r="AC187" s="158" t="n">
        <f aca="false">IF($B187=" ",0,1)*(IF($B187&gt;=AC$25,1,0)*IF($B187&lt;=AC$29,AC$27,IF($B187&lt;=AC$33,AC$31,0))*($D187-$D186)*365/1000)</f>
        <v>1591.66666666664</v>
      </c>
      <c r="AD187" s="158" t="n">
        <f aca="false">IF($B187=" ",0,IF($B187&gt;=AD$25,IF($B187&lt;=AD$29,AD$27,IF($B187&lt;=AD$33,AD$31,AD$31*(1+AD$38)^(IF(AD$36&gt;$B187,-1,1)*(YEARFRAC($B187,AD$36)))))*($D187-$D186)*365/1000,0))</f>
        <v>381.908780163477</v>
      </c>
      <c r="AE187" s="159" t="n">
        <f aca="false">IF($B187=" ",0,AE$25*(1+AE$30)^(IF(AE$28&gt;$B187,-1,1)*(YEARFRAC($B187,AE$28))))</f>
        <v>0.446764269532434</v>
      </c>
      <c r="AF187" s="159" t="n">
        <f aca="false">IF($B187=" ",0,AF$25*(1+AF$30)^(IF(AF$28&gt;$B187,-1,1)*(YEARFRAC($B187,AF$28))))</f>
        <v>0.160298006725385</v>
      </c>
      <c r="AG187" s="162" t="n">
        <f aca="false">+AC187+AD187+AF187*SUM($K187*$K$37,$M187*$M$37,$O187*$O$37)/1000</f>
        <v>2768.84473845573</v>
      </c>
      <c r="AI187" s="158" t="n">
        <f aca="false">IF($B187=" ",0,1)*IF($B187&gt;=AI$33,AI$25*($D187-$D186),0)</f>
        <v>485.186570908327</v>
      </c>
      <c r="AJ187" s="158" t="n">
        <f aca="false">IF($B187=" ",0,IF($B187&gt;=AJ$33,AJ$25*(1+AJ$30)^(IF(AJ$28&gt;$B187,-1,1)*(YEARFRAC($B187,AJ$28)))*($D187-$D186),0))</f>
        <v>538.331264175947</v>
      </c>
      <c r="AK187" s="159" t="n">
        <f aca="false">IF($B187=" ",0,AK$25*(1+AK$30)^(IF(AK$28&gt;$B187,-1,1)*(YEARFRAC($B187,AK$28))))</f>
        <v>0.0307663714746956</v>
      </c>
      <c r="AL187" s="159" t="n">
        <f aca="false">IF($B187=" ",0,AL$25*AL$28)</f>
        <v>0.0575</v>
      </c>
      <c r="AM187" s="162" t="n">
        <f aca="false">+AI187+AJ187+SUM(AK187:AL187)*SUM($J187*$J$37,$K187*$K$37,$L187*$L$37,$M187*$M$37,$N187*$N$37,$O187*$O$37)/1000</f>
        <v>1461.42430785345</v>
      </c>
      <c r="AO187" s="163" t="n">
        <f aca="false">IF($B187=" ",0,$AO$25)</f>
        <v>0.25</v>
      </c>
      <c r="AP187" s="159" t="n">
        <f aca="false">IF($B187=" ",0,AP$25*AP$28)</f>
        <v>0.03105</v>
      </c>
      <c r="AQ187" s="162" t="n">
        <f aca="false">SUM(AO187:AP187)*SUM(0)/1000</f>
        <v>0</v>
      </c>
      <c r="AS187" s="155" t="n">
        <f aca="false">IF($B187=" ",0,AS$25)</f>
        <v>1</v>
      </c>
      <c r="AT187" s="156" t="n">
        <f aca="false">IF($B187=" ",0,AT$25)</f>
        <v>1</v>
      </c>
      <c r="AU187" s="156" t="n">
        <f aca="false">IF($B187=" ",0,AU$25)</f>
        <v>2.3</v>
      </c>
      <c r="AV187" s="157" t="n">
        <f aca="false">+AS187*SUM(J187:K187)/1000</f>
        <v>0</v>
      </c>
      <c r="AW187" s="157" t="n">
        <f aca="false">+AT187*SUM(L187:M187)/1000</f>
        <v>0</v>
      </c>
      <c r="AX187" s="157" t="n">
        <f aca="false">+AU187*SUM(N187:O187)/1000</f>
        <v>11537.9859375</v>
      </c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</row>
    <row r="188" customFormat="false" ht="12.75" hidden="true" customHeight="false" outlineLevel="1" collapsed="false">
      <c r="A188" s="164" t="n">
        <f aca="false">+IF(B188=" ",A187,B188)</f>
        <v>41000</v>
      </c>
      <c r="B188" s="148" t="n">
        <f aca="false">IF(B187=" "," ",IF(EDATE(B187,1)&gt;=EndDate," ",EDATE(B187,1)))</f>
        <v>41000</v>
      </c>
      <c r="C188" s="149" t="n">
        <f aca="false">IF($B188&lt;&gt;" ",C187+1,C187)</f>
        <v>138</v>
      </c>
      <c r="D188" s="150" t="n">
        <f aca="false">C188/12</f>
        <v>11.5</v>
      </c>
      <c r="F188" s="157" t="n">
        <f aca="false">+SUM($T188:$U188)</f>
        <v>14883.5779284771</v>
      </c>
      <c r="G188" s="152" t="n">
        <f aca="false">-SUM($AA188,$AG188,$AM188,$AQ188,$AV188:$AX188)</f>
        <v>-16686.8568603297</v>
      </c>
      <c r="H188" s="152" t="n">
        <f aca="false">+SUM(F188:G188)</f>
        <v>-1803.27893185262</v>
      </c>
      <c r="I188" s="124"/>
      <c r="J188" s="153" t="n">
        <f aca="false">+IF($B188=" ",0,IF(AND($B188&gt;=J$26,$B188&lt;J$28),J$33,0))</f>
        <v>0</v>
      </c>
      <c r="K188" s="153" t="n">
        <f aca="false">+IF($B188=" ",0,IF(AND($B188&gt;=K$26,$B188&lt;K$28),K$33,0))</f>
        <v>0</v>
      </c>
      <c r="L188" s="153" t="n">
        <f aca="false">+IF($B188=" ",0,IF(AND($B188&gt;=L$26,$B188&lt;L$28),L$33,0))</f>
        <v>0</v>
      </c>
      <c r="M188" s="153" t="n">
        <f aca="false">+IF($B188=" ",0,IF(AND($B188&gt;=M$26,$B188&lt;M$28),M$33,0))</f>
        <v>0</v>
      </c>
      <c r="N188" s="153" t="n">
        <f aca="false">+IF($B188=" ",0,IF(AND($B188&gt;=N$26,$B188&lt;N$28),N$33,0))</f>
        <v>0</v>
      </c>
      <c r="O188" s="154" t="n">
        <f aca="false">+IF($B188=" ",0,IF(AND($B188&gt;=O$26,$B188&lt;O$28),O$33,0))</f>
        <v>5016515.625</v>
      </c>
      <c r="Q188" s="83" t="n">
        <f aca="false">IF($B188=" ",0,IF($B188&lt;=DATE(2003,12,31),3.55,2.9))</f>
        <v>2.9</v>
      </c>
      <c r="R188" s="155" t="n">
        <f aca="false">IF($B188=" ",0,R$25)</f>
        <v>-0.07</v>
      </c>
      <c r="S188" s="156" t="n">
        <f aca="false">IF($B188=" ",0,S$25)</f>
        <v>0.1</v>
      </c>
      <c r="T188" s="157" t="n">
        <f aca="false">+SUM($Q188,$S188)/1000*(SUM($J188*$J$37,$K188*$K$37,$L188*$L$37,$M188*$M$37,$N188*$N$37,$O188*$O$37))</f>
        <v>14883.5779284771</v>
      </c>
      <c r="U188" s="157" t="n">
        <f aca="false">+SUM($Q188,$R188)/1000*(SUM(0))</f>
        <v>0</v>
      </c>
      <c r="W188" s="158" t="n">
        <f aca="false">IF($B188=" ",0,1)*(IF($B188&gt;=W$25,1,0)*IF($B188&lt;=W$29,W$27,IF($B188&lt;=W$33,W$31,0))*($D188-$D187)*365/1000)</f>
        <v>486.66666666667</v>
      </c>
      <c r="X188" s="158" t="n">
        <f aca="false">IF($B188=" ",0,IF($B188&gt;=X$25,IF($B188&lt;=X$29,X$27,IF($B188&lt;=X$33,X$31,X$31*(1+X$38)^(IF(X$36&gt;$B188,-1,1)*(YEARFRAC($B188,X$36)))))*($D188-$D187)*365/1000,0))</f>
        <v>429.596929713526</v>
      </c>
      <c r="Y188" s="159" t="n">
        <f aca="false">IF($B188=" ",0,Y$25*(1+Y$30)^(IF(Y$28&gt;$B188,-1,1)*(YEARFRAC($B188,Y$28))))</f>
        <v>0.539991479026413</v>
      </c>
      <c r="Z188" s="159" t="n">
        <f aca="false">IF($B188=" ",0,Z$25*(1+Z$30)^(IF(Z$28&gt;$B188,-1,1)*(YEARFRAC($B188,Z$28))))</f>
        <v>0.515491494594248</v>
      </c>
      <c r="AA188" s="162" t="n">
        <f aca="false">+W188+X188+Z188*SUM($J188*$J$37,$L188*$L$37,$N188*$N$37)/1000</f>
        <v>916.263596380197</v>
      </c>
      <c r="AB188" s="161"/>
      <c r="AC188" s="158" t="n">
        <f aca="false">IF($B188=" ",0,1)*(IF($B188&gt;=AC$25,1,0)*IF($B188&lt;=AC$29,AC$27,IF($B188&lt;=AC$33,AC$31,0))*($D188-$D187)*365/1000)</f>
        <v>1591.66666666668</v>
      </c>
      <c r="AD188" s="158" t="n">
        <f aca="false">IF($B188=" ",0,IF($B188&gt;=AD$25,IF($B188&lt;=AD$29,AD$27,IF($B188&lt;=AD$33,AD$31,AD$31*(1+AD$38)^(IF(AD$36&gt;$B188,-1,1)*(YEARFRAC($B188,AD$36)))))*($D188-$D187)*365/1000,0))</f>
        <v>382.435199765203</v>
      </c>
      <c r="AE188" s="159" t="n">
        <f aca="false">IF($B188=" ",0,AE$25*(1+AE$30)^(IF(AE$28&gt;$B188,-1,1)*(YEARFRAC($B188,AE$28))))</f>
        <v>0.447380085352977</v>
      </c>
      <c r="AF188" s="159" t="n">
        <f aca="false">IF($B188=" ",0,AF$25*(1+AF$30)^(IF(AF$28&gt;$B188,-1,1)*(YEARFRAC($B188,AF$28))))</f>
        <v>0.160518960045234</v>
      </c>
      <c r="AG188" s="162" t="n">
        <f aca="false">+AC188+AD188+AF188*SUM($K188*$K$37,$M188*$M$37,$O188*$O$37)/1000</f>
        <v>2770.46735004233</v>
      </c>
      <c r="AI188" s="158" t="n">
        <f aca="false">IF($B188=" ",0,1)*IF($B188&gt;=AI$33,AI$25*($D188-$D187),0)</f>
        <v>485.186570908337</v>
      </c>
      <c r="AJ188" s="158" t="n">
        <f aca="false">IF($B188=" ",0,IF($B188&gt;=AJ$33,AJ$25*(1+AJ$30)^(IF(AJ$28&gt;$B188,-1,1)*(YEARFRAC($B188,AJ$28)))*($D188-$D187),0))</f>
        <v>538.888838637416</v>
      </c>
      <c r="AK188" s="159" t="n">
        <f aca="false">IF($B188=" ",0,AK$25*(1+AK$30)^(IF(AK$28&gt;$B188,-1,1)*(YEARFRAC($B188,AK$28))))</f>
        <v>0.0307982376213373</v>
      </c>
      <c r="AL188" s="159" t="n">
        <f aca="false">IF($B188=" ",0,AL$25*AL$28)</f>
        <v>0.0575</v>
      </c>
      <c r="AM188" s="162" t="n">
        <f aca="false">+AI188+AJ188+SUM(AK188:AL188)*SUM($J188*$J$37,$K188*$K$37,$L188*$L$37,$M188*$M$37,$N188*$N$37,$O188*$O$37)/1000</f>
        <v>1462.13997640721</v>
      </c>
      <c r="AO188" s="163" t="n">
        <f aca="false">IF($B188=" ",0,$AO$25)</f>
        <v>0.25</v>
      </c>
      <c r="AP188" s="159" t="n">
        <f aca="false">IF($B188=" ",0,AP$25*AP$28)</f>
        <v>0.03105</v>
      </c>
      <c r="AQ188" s="162" t="n">
        <f aca="false">SUM(AO188:AP188)*SUM(0)/1000</f>
        <v>0</v>
      </c>
      <c r="AS188" s="155" t="n">
        <f aca="false">IF($B188=" ",0,AS$25)</f>
        <v>1</v>
      </c>
      <c r="AT188" s="156" t="n">
        <f aca="false">IF($B188=" ",0,AT$25)</f>
        <v>1</v>
      </c>
      <c r="AU188" s="156" t="n">
        <f aca="false">IF($B188=" ",0,AU$25)</f>
        <v>2.3</v>
      </c>
      <c r="AV188" s="157" t="n">
        <f aca="false">+AS188*SUM(J188:K188)/1000</f>
        <v>0</v>
      </c>
      <c r="AW188" s="157" t="n">
        <f aca="false">+AT188*SUM(L188:M188)/1000</f>
        <v>0</v>
      </c>
      <c r="AX188" s="157" t="n">
        <f aca="false">+AU188*SUM(N188:O188)/1000</f>
        <v>11537.9859375</v>
      </c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</row>
    <row r="189" customFormat="false" ht="12.75" hidden="true" customHeight="false" outlineLevel="1" collapsed="false">
      <c r="A189" s="164" t="n">
        <f aca="false">+IF(B189=" ",A188,B189)</f>
        <v>41030</v>
      </c>
      <c r="B189" s="148" t="n">
        <f aca="false">IF(B188=" "," ",IF(EDATE(B188,1)&gt;=EndDate," ",EDATE(B188,1)))</f>
        <v>41030</v>
      </c>
      <c r="C189" s="149" t="n">
        <f aca="false">IF($B189&lt;&gt;" ",C188+1,C188)</f>
        <v>139</v>
      </c>
      <c r="D189" s="150" t="n">
        <f aca="false">C189/12</f>
        <v>11.5833333333333</v>
      </c>
      <c r="F189" s="157" t="n">
        <f aca="false">+SUM($T189:$U189)</f>
        <v>14883.5779284771</v>
      </c>
      <c r="G189" s="152" t="n">
        <f aca="false">-SUM($AA189,$AG189,$AM189,$AQ189,$AV189:$AX189)</f>
        <v>-16689.7902708289</v>
      </c>
      <c r="H189" s="152" t="n">
        <f aca="false">+SUM(F189:G189)</f>
        <v>-1806.21234235178</v>
      </c>
      <c r="I189" s="124"/>
      <c r="J189" s="153" t="n">
        <f aca="false">+IF($B189=" ",0,IF(AND($B189&gt;=J$26,$B189&lt;J$28),J$33,0))</f>
        <v>0</v>
      </c>
      <c r="K189" s="153" t="n">
        <f aca="false">+IF($B189=" ",0,IF(AND($B189&gt;=K$26,$B189&lt;K$28),K$33,0))</f>
        <v>0</v>
      </c>
      <c r="L189" s="153" t="n">
        <f aca="false">+IF($B189=" ",0,IF(AND($B189&gt;=L$26,$B189&lt;L$28),L$33,0))</f>
        <v>0</v>
      </c>
      <c r="M189" s="153" t="n">
        <f aca="false">+IF($B189=" ",0,IF(AND($B189&gt;=M$26,$B189&lt;M$28),M$33,0))</f>
        <v>0</v>
      </c>
      <c r="N189" s="153" t="n">
        <f aca="false">+IF($B189=" ",0,IF(AND($B189&gt;=N$26,$B189&lt;N$28),N$33,0))</f>
        <v>0</v>
      </c>
      <c r="O189" s="154" t="n">
        <f aca="false">+IF($B189=" ",0,IF(AND($B189&gt;=O$26,$B189&lt;O$28),O$33,0))</f>
        <v>5016515.625</v>
      </c>
      <c r="Q189" s="83" t="n">
        <f aca="false">IF($B189=" ",0,IF($B189&lt;=DATE(2003,12,31),3.55,2.9))</f>
        <v>2.9</v>
      </c>
      <c r="R189" s="155" t="n">
        <f aca="false">IF($B189=" ",0,R$25)</f>
        <v>-0.07</v>
      </c>
      <c r="S189" s="156" t="n">
        <f aca="false">IF($B189=" ",0,S$25)</f>
        <v>0.1</v>
      </c>
      <c r="T189" s="157" t="n">
        <f aca="false">+SUM($Q189,$S189)/1000*(SUM($J189*$J$37,$K189*$K$37,$L189*$L$37,$M189*$M$37,$N189*$N$37,$O189*$O$37))</f>
        <v>14883.5779284771</v>
      </c>
      <c r="U189" s="157" t="n">
        <f aca="false">+SUM($Q189,$R189)/1000*(SUM(0))</f>
        <v>0</v>
      </c>
      <c r="W189" s="158" t="n">
        <f aca="false">IF($B189=" ",0,1)*(IF($B189&gt;=W$25,1,0)*IF($B189&lt;=W$29,W$27,IF($B189&lt;=W$33,W$31,0))*($D189-$D188)*365/1000)</f>
        <v>486.66666666667</v>
      </c>
      <c r="X189" s="158" t="n">
        <f aca="false">IF($B189=" ",0,IF($B189&gt;=X$25,IF($B189&lt;=X$29,X$27,IF($B189&lt;=X$33,X$31,X$31*(1+X$38)^(IF(X$36&gt;$B189,-1,1)*(YEARFRAC($B189,X$36)))))*($D189-$D188)*365/1000,0))</f>
        <v>430.189082228434</v>
      </c>
      <c r="Y189" s="159" t="n">
        <f aca="false">IF($B189=" ",0,Y$25*(1+Y$30)^(IF(Y$28&gt;$B189,-1,1)*(YEARFRAC($B189,Y$28))))</f>
        <v>0.540735798387698</v>
      </c>
      <c r="Z189" s="159" t="n">
        <f aca="false">IF($B189=" ",0,Z$25*(1+Z$30)^(IF(Z$28&gt;$B189,-1,1)*(YEARFRAC($B189,Z$28))))</f>
        <v>0.51620204339901</v>
      </c>
      <c r="AA189" s="162" t="n">
        <f aca="false">+W189+X189+Z189*SUM($J189*$J$37,$L189*$L$37,$N189*$N$37)/1000</f>
        <v>916.855748895104</v>
      </c>
      <c r="AB189" s="161"/>
      <c r="AC189" s="158" t="n">
        <f aca="false">IF($B189=" ",0,1)*(IF($B189&gt;=AC$25,1,0)*IF($B189&lt;=AC$29,AC$27,IF($B189&lt;=AC$33,AC$31,0))*($D189-$D188)*365/1000)</f>
        <v>1591.66666666668</v>
      </c>
      <c r="AD189" s="158" t="n">
        <f aca="false">IF($B189=" ",0,IF($B189&gt;=AD$25,IF($B189&lt;=AD$29,AD$27,IF($B189&lt;=AD$33,AD$31,AD$31*(1+AD$38)^(IF(AD$36&gt;$B189,-1,1)*(YEARFRAC($B189,AD$36)))))*($D189-$D188)*365/1000,0))</f>
        <v>382.962344978929</v>
      </c>
      <c r="AE189" s="159" t="n">
        <f aca="false">IF($B189=" ",0,AE$25*(1+AE$30)^(IF(AE$28&gt;$B189,-1,1)*(YEARFRAC($B189,AE$28))))</f>
        <v>0.447996750008467</v>
      </c>
      <c r="AF189" s="159" t="n">
        <f aca="false">IF($B189=" ",0,AF$25*(1+AF$30)^(IF(AF$28&gt;$B189,-1,1)*(YEARFRAC($B189,AF$28))))</f>
        <v>0.160740217925137</v>
      </c>
      <c r="AG189" s="162" t="n">
        <f aca="false">+AC189+AD189+AF189*SUM($K189*$K$37,$M189*$M$37,$O189*$O$37)/1000</f>
        <v>2772.092198222</v>
      </c>
      <c r="AI189" s="158" t="n">
        <f aca="false">IF($B189=" ",0,1)*IF($B189&gt;=AI$33,AI$25*($D189-$D188),0)</f>
        <v>485.186570908337</v>
      </c>
      <c r="AJ189" s="158" t="n">
        <f aca="false">IF($B189=" ",0,IF($B189&gt;=AJ$33,AJ$25*(1+AJ$30)^(IF(AJ$28&gt;$B189,-1,1)*(YEARFRAC($B189,AJ$28)))*($D189-$D188),0))</f>
        <v>539.4469906044</v>
      </c>
      <c r="AK189" s="159" t="n">
        <f aca="false">IF($B189=" ",0,AK$25*(1+AK$30)^(IF(AK$28&gt;$B189,-1,1)*(YEARFRAC($B189,AK$28))))</f>
        <v>0.0308301367732133</v>
      </c>
      <c r="AL189" s="159" t="n">
        <f aca="false">IF($B189=" ",0,AL$25*AL$28)</f>
        <v>0.0575</v>
      </c>
      <c r="AM189" s="162" t="n">
        <f aca="false">+AI189+AJ189+SUM(AK189:AL189)*SUM($J189*$J$37,$K189*$K$37,$L189*$L$37,$M189*$M$37,$N189*$N$37,$O189*$O$37)/1000</f>
        <v>1462.85638621179</v>
      </c>
      <c r="AO189" s="163" t="n">
        <f aca="false">IF($B189=" ",0,$AO$25)</f>
        <v>0.25</v>
      </c>
      <c r="AP189" s="159" t="n">
        <f aca="false">IF($B189=" ",0,AP$25*AP$28)</f>
        <v>0.03105</v>
      </c>
      <c r="AQ189" s="162" t="n">
        <f aca="false">SUM(AO189:AP189)*SUM(0)/1000</f>
        <v>0</v>
      </c>
      <c r="AS189" s="155" t="n">
        <f aca="false">IF($B189=" ",0,AS$25)</f>
        <v>1</v>
      </c>
      <c r="AT189" s="156" t="n">
        <f aca="false">IF($B189=" ",0,AT$25)</f>
        <v>1</v>
      </c>
      <c r="AU189" s="156" t="n">
        <f aca="false">IF($B189=" ",0,AU$25)</f>
        <v>2.3</v>
      </c>
      <c r="AV189" s="157" t="n">
        <f aca="false">+AS189*SUM(J189:K189)/1000</f>
        <v>0</v>
      </c>
      <c r="AW189" s="157" t="n">
        <f aca="false">+AT189*SUM(L189:M189)/1000</f>
        <v>0</v>
      </c>
      <c r="AX189" s="157" t="n">
        <f aca="false">+AU189*SUM(N189:O189)/1000</f>
        <v>11537.9859375</v>
      </c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</row>
    <row r="190" customFormat="false" ht="12.75" hidden="true" customHeight="false" outlineLevel="1" collapsed="false">
      <c r="A190" s="164" t="n">
        <f aca="false">+IF(B190=" ",A189,B190)</f>
        <v>41061</v>
      </c>
      <c r="B190" s="148" t="n">
        <f aca="false">IF(B189=" "," ",IF(EDATE(B189,1)&gt;=EndDate," ",EDATE(B189,1)))</f>
        <v>41061</v>
      </c>
      <c r="C190" s="149" t="n">
        <f aca="false">IF($B190&lt;&gt;" ",C189+1,C189)</f>
        <v>140</v>
      </c>
      <c r="D190" s="150" t="n">
        <f aca="false">C190/12</f>
        <v>11.6666666666667</v>
      </c>
      <c r="F190" s="157" t="n">
        <f aca="false">+SUM($T190:$U190)</f>
        <v>14883.5779284771</v>
      </c>
      <c r="G190" s="152" t="n">
        <f aca="false">-SUM($AA190,$AG190,$AM190,$AQ190,$AV190:$AX190)</f>
        <v>-16692.7274792402</v>
      </c>
      <c r="H190" s="152" t="n">
        <f aca="false">+SUM(F190:G190)</f>
        <v>-1809.14955076312</v>
      </c>
      <c r="I190" s="124"/>
      <c r="J190" s="153" t="n">
        <f aca="false">+IF($B190=" ",0,IF(AND($B190&gt;=J$26,$B190&lt;J$28),J$33,0))</f>
        <v>0</v>
      </c>
      <c r="K190" s="153" t="n">
        <f aca="false">+IF($B190=" ",0,IF(AND($B190&gt;=K$26,$B190&lt;K$28),K$33,0))</f>
        <v>0</v>
      </c>
      <c r="L190" s="153" t="n">
        <f aca="false">+IF($B190=" ",0,IF(AND($B190&gt;=L$26,$B190&lt;L$28),L$33,0))</f>
        <v>0</v>
      </c>
      <c r="M190" s="153" t="n">
        <f aca="false">+IF($B190=" ",0,IF(AND($B190&gt;=M$26,$B190&lt;M$28),M$33,0))</f>
        <v>0</v>
      </c>
      <c r="N190" s="153" t="n">
        <f aca="false">+IF($B190=" ",0,IF(AND($B190&gt;=N$26,$B190&lt;N$28),N$33,0))</f>
        <v>0</v>
      </c>
      <c r="O190" s="154" t="n">
        <f aca="false">+IF($B190=" ",0,IF(AND($B190&gt;=O$26,$B190&lt;O$28),O$33,0))</f>
        <v>5016515.625</v>
      </c>
      <c r="Q190" s="83" t="n">
        <f aca="false">IF($B190=" ",0,IF($B190&lt;=DATE(2003,12,31),3.55,2.9))</f>
        <v>2.9</v>
      </c>
      <c r="R190" s="155" t="n">
        <f aca="false">IF($B190=" ",0,R$25)</f>
        <v>-0.07</v>
      </c>
      <c r="S190" s="156" t="n">
        <f aca="false">IF($B190=" ",0,S$25)</f>
        <v>0.1</v>
      </c>
      <c r="T190" s="157" t="n">
        <f aca="false">+SUM($Q190,$S190)/1000*(SUM($J190*$J$37,$K190*$K$37,$L190*$L$37,$M190*$M$37,$N190*$N$37,$O190*$O$37))</f>
        <v>14883.5779284771</v>
      </c>
      <c r="U190" s="157" t="n">
        <f aca="false">+SUM($Q190,$R190)/1000*(SUM(0))</f>
        <v>0</v>
      </c>
      <c r="W190" s="158" t="n">
        <f aca="false">IF($B190=" ",0,1)*(IF($B190&gt;=W$25,1,0)*IF($B190&lt;=W$29,W$27,IF($B190&lt;=W$33,W$31,0))*($D190-$D189)*365/1000)</f>
        <v>486.66666666666</v>
      </c>
      <c r="X190" s="158" t="n">
        <f aca="false">IF($B190=" ",0,IF($B190&gt;=X$25,IF($B190&lt;=X$29,X$27,IF($B190&lt;=X$33,X$31,X$31*(1+X$38)^(IF(X$36&gt;$B190,-1,1)*(YEARFRAC($B190,X$36)))))*($D190-$D189)*365/1000,0))</f>
        <v>430.782050960993</v>
      </c>
      <c r="Y190" s="159" t="n">
        <f aca="false">IF($B190=" ",0,Y$25*(1+Y$30)^(IF(Y$28&gt;$B190,-1,1)*(YEARFRAC($B190,Y$28))))</f>
        <v>0.541481143712045</v>
      </c>
      <c r="Z190" s="159" t="n">
        <f aca="false">IF($B190=" ",0,Z$25*(1+Z$30)^(IF(Z$28&gt;$B190,-1,1)*(YEARFRAC($B190,Z$28))))</f>
        <v>0.516913571617806</v>
      </c>
      <c r="AA190" s="162" t="n">
        <f aca="false">+W190+X190+Z190*SUM($J190*$J$37,$L190*$L$37,$N190*$N$37)/1000</f>
        <v>917.448717627653</v>
      </c>
      <c r="AB190" s="161"/>
      <c r="AC190" s="158" t="n">
        <f aca="false">IF($B190=" ",0,1)*(IF($B190&gt;=AC$25,1,0)*IF($B190&lt;=AC$29,AC$27,IF($B190&lt;=AC$33,AC$31,0))*($D190-$D189)*365/1000)</f>
        <v>1591.66666666664</v>
      </c>
      <c r="AD190" s="158" t="n">
        <f aca="false">IF($B190=" ",0,IF($B190&gt;=AD$25,IF($B190&lt;=AD$29,AD$27,IF($B190&lt;=AD$33,AD$31,AD$31*(1+AD$38)^(IF(AD$36&gt;$B190,-1,1)*(YEARFRAC($B190,AD$36)))))*($D190-$D189)*365/1000,0))</f>
        <v>383.490216804833</v>
      </c>
      <c r="AE190" s="159" t="n">
        <f aca="false">IF($B190=" ",0,AE$25*(1+AE$30)^(IF(AE$28&gt;$B190,-1,1)*(YEARFRAC($B190,AE$28))))</f>
        <v>0.44861426466893</v>
      </c>
      <c r="AF190" s="159" t="n">
        <f aca="false">IF($B190=" ",0,AF$25*(1+AF$30)^(IF(AF$28&gt;$B190,-1,1)*(YEARFRAC($B190,AF$28))))</f>
        <v>0.160961780784896</v>
      </c>
      <c r="AG190" s="162" t="n">
        <f aca="false">+AC190+AD190+AF190*SUM($K190*$K$37,$M190*$M$37,$O190*$O$37)/1000</f>
        <v>2773.71928607763</v>
      </c>
      <c r="AI190" s="158" t="n">
        <f aca="false">IF($B190=" ",0,1)*IF($B190&gt;=AI$33,AI$25*($D190-$D189),0)</f>
        <v>485.186570908327</v>
      </c>
      <c r="AJ190" s="158" t="n">
        <f aca="false">IF($B190=" ",0,IF($B190&gt;=AJ$33,AJ$25*(1+AJ$30)^(IF(AJ$28&gt;$B190,-1,1)*(YEARFRAC($B190,AJ$28)))*($D190-$D189),0))</f>
        <v>540.005720675049</v>
      </c>
      <c r="AK190" s="159" t="n">
        <f aca="false">IF($B190=" ",0,AK$25*(1+AK$30)^(IF(AK$28&gt;$B190,-1,1)*(YEARFRAC($B190,AK$28))))</f>
        <v>0.0308620689645088</v>
      </c>
      <c r="AL190" s="159" t="n">
        <f aca="false">IF($B190=" ",0,AL$25*AL$28)</f>
        <v>0.0575</v>
      </c>
      <c r="AM190" s="162" t="n">
        <f aca="false">+AI190+AJ190+SUM(AK190:AL190)*SUM($J190*$J$37,$K190*$K$37,$L190*$L$37,$M190*$M$37,$N190*$N$37,$O190*$O$37)/1000</f>
        <v>1463.57353803495</v>
      </c>
      <c r="AO190" s="163" t="n">
        <f aca="false">IF($B190=" ",0,$AO$25)</f>
        <v>0.25</v>
      </c>
      <c r="AP190" s="159" t="n">
        <f aca="false">IF($B190=" ",0,AP$25*AP$28)</f>
        <v>0.03105</v>
      </c>
      <c r="AQ190" s="162" t="n">
        <f aca="false">SUM(AO190:AP190)*SUM(0)/1000</f>
        <v>0</v>
      </c>
      <c r="AS190" s="155" t="n">
        <f aca="false">IF($B190=" ",0,AS$25)</f>
        <v>1</v>
      </c>
      <c r="AT190" s="156" t="n">
        <f aca="false">IF($B190=" ",0,AT$25)</f>
        <v>1</v>
      </c>
      <c r="AU190" s="156" t="n">
        <f aca="false">IF($B190=" ",0,AU$25)</f>
        <v>2.3</v>
      </c>
      <c r="AV190" s="157" t="n">
        <f aca="false">+AS190*SUM(J190:K190)/1000</f>
        <v>0</v>
      </c>
      <c r="AW190" s="157" t="n">
        <f aca="false">+AT190*SUM(L190:M190)/1000</f>
        <v>0</v>
      </c>
      <c r="AX190" s="157" t="n">
        <f aca="false">+AU190*SUM(N190:O190)/1000</f>
        <v>11537.9859375</v>
      </c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</row>
    <row r="191" customFormat="false" ht="12.75" hidden="true" customHeight="false" outlineLevel="1" collapsed="false">
      <c r="A191" s="164" t="n">
        <f aca="false">+IF(B191=" ",A190,B191)</f>
        <v>41091</v>
      </c>
      <c r="B191" s="148" t="n">
        <f aca="false">IF(B190=" "," ",IF(EDATE(B190,1)&gt;=EndDate," ",EDATE(B190,1)))</f>
        <v>41091</v>
      </c>
      <c r="C191" s="149" t="n">
        <f aca="false">IF($B191&lt;&gt;" ",C190+1,C190)</f>
        <v>141</v>
      </c>
      <c r="D191" s="150" t="n">
        <f aca="false">C191/12</f>
        <v>11.75</v>
      </c>
      <c r="F191" s="157" t="n">
        <f aca="false">+SUM($T191:$U191)</f>
        <v>14883.5779284771</v>
      </c>
      <c r="G191" s="152" t="n">
        <f aca="false">-SUM($AA191,$AG191,$AM191,$AQ191,$AV191:$AX191)</f>
        <v>-16695.6684905448</v>
      </c>
      <c r="H191" s="152" t="n">
        <f aca="false">+SUM(F191:G191)</f>
        <v>-1812.09056206766</v>
      </c>
      <c r="I191" s="124"/>
      <c r="J191" s="153" t="n">
        <f aca="false">+IF($B191=" ",0,IF(AND($B191&gt;=J$26,$B191&lt;J$28),J$33,0))</f>
        <v>0</v>
      </c>
      <c r="K191" s="153" t="n">
        <f aca="false">+IF($B191=" ",0,IF(AND($B191&gt;=K$26,$B191&lt;K$28),K$33,0))</f>
        <v>0</v>
      </c>
      <c r="L191" s="153" t="n">
        <f aca="false">+IF($B191=" ",0,IF(AND($B191&gt;=L$26,$B191&lt;L$28),L$33,0))</f>
        <v>0</v>
      </c>
      <c r="M191" s="153" t="n">
        <f aca="false">+IF($B191=" ",0,IF(AND($B191&gt;=M$26,$B191&lt;M$28),M$33,0))</f>
        <v>0</v>
      </c>
      <c r="N191" s="153" t="n">
        <f aca="false">+IF($B191=" ",0,IF(AND($B191&gt;=N$26,$B191&lt;N$28),N$33,0))</f>
        <v>0</v>
      </c>
      <c r="O191" s="154" t="n">
        <f aca="false">+IF($B191=" ",0,IF(AND($B191&gt;=O$26,$B191&lt;O$28),O$33,0))</f>
        <v>5016515.625</v>
      </c>
      <c r="Q191" s="83" t="n">
        <f aca="false">IF($B191=" ",0,IF($B191&lt;=DATE(2003,12,31),3.55,2.9))</f>
        <v>2.9</v>
      </c>
      <c r="R191" s="155" t="n">
        <f aca="false">IF($B191=" ",0,R$25)</f>
        <v>-0.07</v>
      </c>
      <c r="S191" s="156" t="n">
        <f aca="false">IF($B191=" ",0,S$25)</f>
        <v>0.1</v>
      </c>
      <c r="T191" s="157" t="n">
        <f aca="false">+SUM($Q191,$S191)/1000*(SUM($J191*$J$37,$K191*$K$37,$L191*$L$37,$M191*$M$37,$N191*$N$37,$O191*$O$37))</f>
        <v>14883.5779284771</v>
      </c>
      <c r="U191" s="157" t="n">
        <f aca="false">+SUM($Q191,$R191)/1000*(SUM(0))</f>
        <v>0</v>
      </c>
      <c r="W191" s="158" t="n">
        <f aca="false">IF($B191=" ",0,1)*(IF($B191&gt;=W$25,1,0)*IF($B191&lt;=W$29,W$27,IF($B191&lt;=W$33,W$31,0))*($D191-$D190)*365/1000)</f>
        <v>486.66666666667</v>
      </c>
      <c r="X191" s="158" t="n">
        <f aca="false">IF($B191=" ",0,IF($B191&gt;=X$25,IF($B191&lt;=X$29,X$27,IF($B191&lt;=X$33,X$31,X$31*(1+X$38)^(IF(X$36&gt;$B191,-1,1)*(YEARFRAC($B191,X$36)))))*($D191-$D190)*365/1000,0))</f>
        <v>431.375837036297</v>
      </c>
      <c r="Y191" s="159" t="n">
        <f aca="false">IF($B191=" ",0,Y$25*(1+Y$30)^(IF(Y$28&gt;$B191,-1,1)*(YEARFRAC($B191,Y$28))))</f>
        <v>0.542227516413632</v>
      </c>
      <c r="Z191" s="159" t="n">
        <f aca="false">IF($B191=" ",0,Z$25*(1+Z$30)^(IF(Z$28&gt;$B191,-1,1)*(YEARFRAC($B191,Z$28))))</f>
        <v>0.51762608060065</v>
      </c>
      <c r="AA191" s="162" t="n">
        <f aca="false">+W191+X191+Z191*SUM($J191*$J$37,$L191*$L$37,$N191*$N$37)/1000</f>
        <v>918.042503702968</v>
      </c>
      <c r="AB191" s="161"/>
      <c r="AC191" s="158" t="n">
        <f aca="false">IF($B191=" ",0,1)*(IF($B191&gt;=AC$25,1,0)*IF($B191&lt;=AC$29,AC$27,IF($B191&lt;=AC$33,AC$31,0))*($D191-$D190)*365/1000)</f>
        <v>1591.66666666668</v>
      </c>
      <c r="AD191" s="158" t="n">
        <f aca="false">IF($B191=" ",0,IF($B191&gt;=AD$25,IF($B191&lt;=AD$29,AD$27,IF($B191&lt;=AD$33,AD$31,AD$31*(1+AD$38)^(IF(AD$36&gt;$B191,-1,1)*(YEARFRAC($B191,AD$36)))))*($D191-$D190)*365/1000,0))</f>
        <v>384.018816244495</v>
      </c>
      <c r="AE191" s="159" t="n">
        <f aca="false">IF($B191=" ",0,AE$25*(1+AE$30)^(IF(AE$28&gt;$B191,-1,1)*(YEARFRAC($B191,AE$28))))</f>
        <v>0.449232630506005</v>
      </c>
      <c r="AF191" s="159" t="n">
        <f aca="false">IF($B191=" ",0,AF$25*(1+AF$30)^(IF(AF$28&gt;$B191,-1,1)*(YEARFRAC($B191,AF$28))))</f>
        <v>0.161183649044894</v>
      </c>
      <c r="AG191" s="162" t="n">
        <f aca="false">+AC191+AD191+AF191*SUM($K191*$K$37,$M191*$M$37,$O191*$O$37)/1000</f>
        <v>2775.3486166965</v>
      </c>
      <c r="AI191" s="158" t="n">
        <f aca="false">IF($B191=" ",0,1)*IF($B191&gt;=AI$33,AI$25*($D191-$D190),0)</f>
        <v>485.186570908337</v>
      </c>
      <c r="AJ191" s="158" t="n">
        <f aca="false">IF($B191=" ",0,IF($B191&gt;=AJ$33,AJ$25*(1+AJ$30)^(IF(AJ$28&gt;$B191,-1,1)*(YEARFRAC($B191,AJ$28)))*($D191-$D190),0))</f>
        <v>540.565029448164</v>
      </c>
      <c r="AK191" s="159" t="n">
        <f aca="false">IF($B191=" ",0,AK$25*(1+AK$30)^(IF(AK$28&gt;$B191,-1,1)*(YEARFRAC($B191,AK$28))))</f>
        <v>0.0308940342294441</v>
      </c>
      <c r="AL191" s="159" t="n">
        <f aca="false">IF($B191=" ",0,AL$25*AL$28)</f>
        <v>0.0575</v>
      </c>
      <c r="AM191" s="162" t="n">
        <f aca="false">+AI191+AJ191+SUM(AK191:AL191)*SUM($J191*$J$37,$K191*$K$37,$L191*$L$37,$M191*$M$37,$N191*$N$37,$O191*$O$37)/1000</f>
        <v>1464.2914326453</v>
      </c>
      <c r="AO191" s="163" t="n">
        <f aca="false">IF($B191=" ",0,$AO$25)</f>
        <v>0.25</v>
      </c>
      <c r="AP191" s="159" t="n">
        <f aca="false">IF($B191=" ",0,AP$25*AP$28)</f>
        <v>0.03105</v>
      </c>
      <c r="AQ191" s="162" t="n">
        <f aca="false">SUM(AO191:AP191)*SUM(0)/1000</f>
        <v>0</v>
      </c>
      <c r="AS191" s="155" t="n">
        <f aca="false">IF($B191=" ",0,AS$25)</f>
        <v>1</v>
      </c>
      <c r="AT191" s="156" t="n">
        <f aca="false">IF($B191=" ",0,AT$25)</f>
        <v>1</v>
      </c>
      <c r="AU191" s="156" t="n">
        <f aca="false">IF($B191=" ",0,AU$25)</f>
        <v>2.3</v>
      </c>
      <c r="AV191" s="157" t="n">
        <f aca="false">+AS191*SUM(J191:K191)/1000</f>
        <v>0</v>
      </c>
      <c r="AW191" s="157" t="n">
        <f aca="false">+AT191*SUM(L191:M191)/1000</f>
        <v>0</v>
      </c>
      <c r="AX191" s="157" t="n">
        <f aca="false">+AU191*SUM(N191:O191)/1000</f>
        <v>11537.9859375</v>
      </c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</row>
    <row r="192" customFormat="false" ht="12.75" hidden="true" customHeight="false" outlineLevel="1" collapsed="false">
      <c r="A192" s="164" t="n">
        <f aca="false">+IF(B192=" ",A191,B192)</f>
        <v>41122</v>
      </c>
      <c r="B192" s="148" t="n">
        <f aca="false">IF(B191=" "," ",IF(EDATE(B191,1)&gt;=EndDate," ",EDATE(B191,1)))</f>
        <v>41122</v>
      </c>
      <c r="C192" s="149" t="n">
        <f aca="false">IF($B192&lt;&gt;" ",C191+1,C191)</f>
        <v>142</v>
      </c>
      <c r="D192" s="150" t="n">
        <f aca="false">C192/12</f>
        <v>11.8333333333333</v>
      </c>
      <c r="F192" s="157" t="n">
        <f aca="false">+SUM($T192:$U192)</f>
        <v>14883.5779284771</v>
      </c>
      <c r="G192" s="152" t="n">
        <f aca="false">-SUM($AA192,$AG192,$AM192,$AQ192,$AV192:$AX192)</f>
        <v>-16698.6133097296</v>
      </c>
      <c r="H192" s="152" t="n">
        <f aca="false">+SUM(F192:G192)</f>
        <v>-1815.0353812525</v>
      </c>
      <c r="I192" s="124"/>
      <c r="J192" s="153" t="n">
        <f aca="false">+IF($B192=" ",0,IF(AND($B192&gt;=J$26,$B192&lt;J$28),J$33,0))</f>
        <v>0</v>
      </c>
      <c r="K192" s="153" t="n">
        <f aca="false">+IF($B192=" ",0,IF(AND($B192&gt;=K$26,$B192&lt;K$28),K$33,0))</f>
        <v>0</v>
      </c>
      <c r="L192" s="153" t="n">
        <f aca="false">+IF($B192=" ",0,IF(AND($B192&gt;=L$26,$B192&lt;L$28),L$33,0))</f>
        <v>0</v>
      </c>
      <c r="M192" s="153" t="n">
        <f aca="false">+IF($B192=" ",0,IF(AND($B192&gt;=M$26,$B192&lt;M$28),M$33,0))</f>
        <v>0</v>
      </c>
      <c r="N192" s="153" t="n">
        <f aca="false">+IF($B192=" ",0,IF(AND($B192&gt;=N$26,$B192&lt;N$28),N$33,0))</f>
        <v>0</v>
      </c>
      <c r="O192" s="154" t="n">
        <f aca="false">+IF($B192=" ",0,IF(AND($B192&gt;=O$26,$B192&lt;O$28),O$33,0))</f>
        <v>5016515.625</v>
      </c>
      <c r="Q192" s="83" t="n">
        <f aca="false">IF($B192=" ",0,IF($B192&lt;=DATE(2003,12,31),3.55,2.9))</f>
        <v>2.9</v>
      </c>
      <c r="R192" s="155" t="n">
        <f aca="false">IF($B192=" ",0,R$25)</f>
        <v>-0.07</v>
      </c>
      <c r="S192" s="156" t="n">
        <f aca="false">IF($B192=" ",0,S$25)</f>
        <v>0.1</v>
      </c>
      <c r="T192" s="157" t="n">
        <f aca="false">+SUM($Q192,$S192)/1000*(SUM($J192*$J$37,$K192*$K$37,$L192*$L$37,$M192*$M$37,$N192*$N$37,$O192*$O$37))</f>
        <v>14883.5779284771</v>
      </c>
      <c r="U192" s="157" t="n">
        <f aca="false">+SUM($Q192,$R192)/1000*(SUM(0))</f>
        <v>0</v>
      </c>
      <c r="W192" s="158" t="n">
        <f aca="false">IF($B192=" ",0,1)*(IF($B192&gt;=W$25,1,0)*IF($B192&lt;=W$29,W$27,IF($B192&lt;=W$33,W$31,0))*($D192-$D191)*365/1000)</f>
        <v>486.66666666667</v>
      </c>
      <c r="X192" s="158" t="n">
        <f aca="false">IF($B192=" ",0,IF($B192&gt;=X$25,IF($B192&lt;=X$29,X$27,IF($B192&lt;=X$33,X$31,X$31*(1+X$38)^(IF(X$36&gt;$B192,-1,1)*(YEARFRAC($B192,X$36)))))*($D192-$D191)*365/1000,0))</f>
        <v>431.970441580938</v>
      </c>
      <c r="Y192" s="159" t="n">
        <f aca="false">IF($B192=" ",0,Y$25*(1+Y$30)^(IF(Y$28&gt;$B192,-1,1)*(YEARFRAC($B192,Y$28))))</f>
        <v>0.542974917908588</v>
      </c>
      <c r="Z192" s="159" t="n">
        <f aca="false">IF($B192=" ",0,Z$25*(1+Z$30)^(IF(Z$28&gt;$B192,-1,1)*(YEARFRAC($B192,Z$28))))</f>
        <v>0.51833957169942</v>
      </c>
      <c r="AA192" s="162" t="n">
        <f aca="false">+W192+X192+Z192*SUM($J192*$J$37,$L192*$L$37,$N192*$N$37)/1000</f>
        <v>918.637108247608</v>
      </c>
      <c r="AB192" s="161"/>
      <c r="AC192" s="158" t="n">
        <f aca="false">IF($B192=" ",0,1)*(IF($B192&gt;=AC$25,1,0)*IF($B192&lt;=AC$29,AC$27,IF($B192&lt;=AC$33,AC$31,0))*($D192-$D191)*365/1000)</f>
        <v>1591.66666666668</v>
      </c>
      <c r="AD192" s="158" t="n">
        <f aca="false">IF($B192=" ",0,IF($B192&gt;=AD$25,IF($B192&lt;=AD$29,AD$27,IF($B192&lt;=AD$33,AD$31,AD$31*(1+AD$38)^(IF(AD$36&gt;$B192,-1,1)*(YEARFRAC($B192,AD$36)))))*($D192-$D191)*365/1000,0))</f>
        <v>384.548144300826</v>
      </c>
      <c r="AE192" s="159" t="n">
        <f aca="false">IF($B192=" ",0,AE$25*(1+AE$30)^(IF(AE$28&gt;$B192,-1,1)*(YEARFRAC($B192,AE$28))))</f>
        <v>0.449851848692946</v>
      </c>
      <c r="AF192" s="159" t="n">
        <f aca="false">IF($B192=" ",0,AF$25*(1+AF$30)^(IF(AF$28&gt;$B192,-1,1)*(YEARFRAC($B192,AF$28))))</f>
        <v>0.16140582312609</v>
      </c>
      <c r="AG192" s="162" t="n">
        <f aca="false">+AC192+AD192+AF192*SUM($K192*$K$37,$M192*$M$37,$O192*$O$37)/1000</f>
        <v>2776.98019316989</v>
      </c>
      <c r="AI192" s="158" t="n">
        <f aca="false">IF($B192=" ",0,1)*IF($B192&gt;=AI$33,AI$25*($D192-$D191),0)</f>
        <v>485.186570908337</v>
      </c>
      <c r="AJ192" s="158" t="n">
        <f aca="false">IF($B192=" ",0,IF($B192&gt;=AJ$33,AJ$25*(1+AJ$30)^(IF(AJ$28&gt;$B192,-1,1)*(YEARFRAC($B192,AJ$28)))*($D192-$D191),0))</f>
        <v>541.1249175231</v>
      </c>
      <c r="AK192" s="159" t="n">
        <f aca="false">IF($B192=" ",0,AK$25*(1+AK$30)^(IF(AK$28&gt;$B192,-1,1)*(YEARFRAC($B192,AK$28))))</f>
        <v>0.0309260326022752</v>
      </c>
      <c r="AL192" s="159" t="n">
        <f aca="false">IF($B192=" ",0,AL$25*AL$28)</f>
        <v>0.0575</v>
      </c>
      <c r="AM192" s="162" t="n">
        <f aca="false">+AI192+AJ192+SUM(AK192:AL192)*SUM($J192*$J$37,$K192*$K$37,$L192*$L$37,$M192*$M$37,$N192*$N$37,$O192*$O$37)/1000</f>
        <v>1465.01007081211</v>
      </c>
      <c r="AO192" s="163" t="n">
        <f aca="false">IF($B192=" ",0,$AO$25)</f>
        <v>0.25</v>
      </c>
      <c r="AP192" s="159" t="n">
        <f aca="false">IF($B192=" ",0,AP$25*AP$28)</f>
        <v>0.03105</v>
      </c>
      <c r="AQ192" s="162" t="n">
        <f aca="false">SUM(AO192:AP192)*SUM(0)/1000</f>
        <v>0</v>
      </c>
      <c r="AS192" s="155" t="n">
        <f aca="false">IF($B192=" ",0,AS$25)</f>
        <v>1</v>
      </c>
      <c r="AT192" s="156" t="n">
        <f aca="false">IF($B192=" ",0,AT$25)</f>
        <v>1</v>
      </c>
      <c r="AU192" s="156" t="n">
        <f aca="false">IF($B192=" ",0,AU$25)</f>
        <v>2.3</v>
      </c>
      <c r="AV192" s="157" t="n">
        <f aca="false">+AS192*SUM(J192:K192)/1000</f>
        <v>0</v>
      </c>
      <c r="AW192" s="157" t="n">
        <f aca="false">+AT192*SUM(L192:M192)/1000</f>
        <v>0</v>
      </c>
      <c r="AX192" s="157" t="n">
        <f aca="false">+AU192*SUM(N192:O192)/1000</f>
        <v>11537.9859375</v>
      </c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</row>
    <row r="193" customFormat="false" ht="12.75" hidden="true" customHeight="false" outlineLevel="1" collapsed="false">
      <c r="A193" s="164" t="n">
        <f aca="false">+IF(B193=" ",A192,B193)</f>
        <v>41153</v>
      </c>
      <c r="B193" s="148" t="n">
        <f aca="false">IF(B192=" "," ",IF(EDATE(B192,1)&gt;=EndDate," ",EDATE(B192,1)))</f>
        <v>41153</v>
      </c>
      <c r="C193" s="149" t="n">
        <f aca="false">IF($B193&lt;&gt;" ",C192+1,C192)</f>
        <v>143</v>
      </c>
      <c r="D193" s="150" t="n">
        <f aca="false">C193/12</f>
        <v>11.9166666666667</v>
      </c>
      <c r="F193" s="157" t="n">
        <f aca="false">+SUM($T193:$U193)</f>
        <v>14883.5779284771</v>
      </c>
      <c r="G193" s="152" t="n">
        <f aca="false">-SUM($AA193,$AG193,$AM193,$AQ193,$AV193:$AX193)</f>
        <v>-16701.5619417887</v>
      </c>
      <c r="H193" s="152" t="n">
        <f aca="false">+SUM(F193:G193)</f>
        <v>-1817.98401331161</v>
      </c>
      <c r="I193" s="124"/>
      <c r="J193" s="153" t="n">
        <f aca="false">+IF($B193=" ",0,IF(AND($B193&gt;=J$26,$B193&lt;J$28),J$33,0))</f>
        <v>0</v>
      </c>
      <c r="K193" s="153" t="n">
        <f aca="false">+IF($B193=" ",0,IF(AND($B193&gt;=K$26,$B193&lt;K$28),K$33,0))</f>
        <v>0</v>
      </c>
      <c r="L193" s="153" t="n">
        <f aca="false">+IF($B193=" ",0,IF(AND($B193&gt;=L$26,$B193&lt;L$28),L$33,0))</f>
        <v>0</v>
      </c>
      <c r="M193" s="153" t="n">
        <f aca="false">+IF($B193=" ",0,IF(AND($B193&gt;=M$26,$B193&lt;M$28),M$33,0))</f>
        <v>0</v>
      </c>
      <c r="N193" s="153" t="n">
        <f aca="false">+IF($B193=" ",0,IF(AND($B193&gt;=N$26,$B193&lt;N$28),N$33,0))</f>
        <v>0</v>
      </c>
      <c r="O193" s="154" t="n">
        <f aca="false">+IF($B193=" ",0,IF(AND($B193&gt;=O$26,$B193&lt;O$28),O$33,0))</f>
        <v>5016515.625</v>
      </c>
      <c r="Q193" s="83" t="n">
        <f aca="false">IF($B193=" ",0,IF($B193&lt;=DATE(2003,12,31),3.55,2.9))</f>
        <v>2.9</v>
      </c>
      <c r="R193" s="155" t="n">
        <f aca="false">IF($B193=" ",0,R$25)</f>
        <v>-0.07</v>
      </c>
      <c r="S193" s="156" t="n">
        <f aca="false">IF($B193=" ",0,S$25)</f>
        <v>0.1</v>
      </c>
      <c r="T193" s="157" t="n">
        <f aca="false">+SUM($Q193,$S193)/1000*(SUM($J193*$J$37,$K193*$K$37,$L193*$L$37,$M193*$M$37,$N193*$N$37,$O193*$O$37))</f>
        <v>14883.5779284771</v>
      </c>
      <c r="U193" s="157" t="n">
        <f aca="false">+SUM($Q193,$R193)/1000*(SUM(0))</f>
        <v>0</v>
      </c>
      <c r="W193" s="158" t="n">
        <f aca="false">IF($B193=" ",0,1)*(IF($B193&gt;=W$25,1,0)*IF($B193&lt;=W$29,W$27,IF($B193&lt;=W$33,W$31,0))*($D193-$D192)*365/1000)</f>
        <v>486.66666666666</v>
      </c>
      <c r="X193" s="158" t="n">
        <f aca="false">IF($B193=" ",0,IF($B193&gt;=X$25,IF($B193&lt;=X$29,X$27,IF($B193&lt;=X$33,X$31,X$31*(1+X$38)^(IF(X$36&gt;$B193,-1,1)*(YEARFRAC($B193,X$36)))))*($D193-$D192)*365/1000,0))</f>
        <v>432.565865723086</v>
      </c>
      <c r="Y193" s="159" t="n">
        <f aca="false">IF($B193=" ",0,Y$25*(1+Y$30)^(IF(Y$28&gt;$B193,-1,1)*(YEARFRAC($B193,Y$28))))</f>
        <v>0.543723349614992</v>
      </c>
      <c r="Z193" s="159" t="n">
        <f aca="false">IF($B193=" ",0,Z$25*(1+Z$30)^(IF(Z$28&gt;$B193,-1,1)*(YEARFRAC($B193,Z$28))))</f>
        <v>0.519054046267855</v>
      </c>
      <c r="AA193" s="162" t="n">
        <f aca="false">+W193+X193+Z193*SUM($J193*$J$37,$L193*$L$37,$N193*$N$37)/1000</f>
        <v>919.232532389745</v>
      </c>
      <c r="AB193" s="161"/>
      <c r="AC193" s="158" t="n">
        <f aca="false">IF($B193=" ",0,1)*(IF($B193&gt;=AC$25,1,0)*IF($B193&lt;=AC$29,AC$27,IF($B193&lt;=AC$33,AC$31,0))*($D193-$D192)*365/1000)</f>
        <v>1591.66666666664</v>
      </c>
      <c r="AD193" s="158" t="n">
        <f aca="false">IF($B193=" ",0,IF($B193&gt;=AD$25,IF($B193&lt;=AD$29,AD$27,IF($B193&lt;=AD$33,AD$31,AD$31*(1+AD$38)^(IF(AD$36&gt;$B193,-1,1)*(YEARFRAC($B193,AD$36)))))*($D193-$D192)*365/1000,0))</f>
        <v>385.078201978144</v>
      </c>
      <c r="AE193" s="159" t="n">
        <f aca="false">IF($B193=" ",0,AE$25*(1+AE$30)^(IF(AE$28&gt;$B193,-1,1)*(YEARFRAC($B193,AE$28))))</f>
        <v>0.450471920404624</v>
      </c>
      <c r="AF193" s="159" t="n">
        <f aca="false">IF($B193=" ",0,AF$25*(1+AF$30)^(IF(AF$28&gt;$B193,-1,1)*(YEARFRAC($B193,AF$28))))</f>
        <v>0.161628303450027</v>
      </c>
      <c r="AG193" s="162" t="n">
        <f aca="false">+AC193+AD193+AF193*SUM($K193*$K$37,$M193*$M$37,$O193*$O$37)/1000</f>
        <v>2778.61401859346</v>
      </c>
      <c r="AI193" s="158" t="n">
        <f aca="false">IF($B193=" ",0,1)*IF($B193&gt;=AI$33,AI$25*($D193-$D192),0)</f>
        <v>485.186570908327</v>
      </c>
      <c r="AJ193" s="158" t="n">
        <f aca="false">IF($B193=" ",0,IF($B193&gt;=AJ$33,AJ$25*(1+AJ$30)^(IF(AJ$28&gt;$B193,-1,1)*(YEARFRAC($B193,AJ$28)))*($D193-$D192),0))</f>
        <v>541.685385499867</v>
      </c>
      <c r="AK193" s="159" t="n">
        <f aca="false">IF($B193=" ",0,AK$25*(1+AK$30)^(IF(AK$28&gt;$B193,-1,1)*(YEARFRAC($B193,AK$28))))</f>
        <v>0.0309580641172935</v>
      </c>
      <c r="AL193" s="159" t="n">
        <f aca="false">IF($B193=" ",0,AL$25*AL$28)</f>
        <v>0.0575</v>
      </c>
      <c r="AM193" s="162" t="n">
        <f aca="false">+AI193+AJ193+SUM(AK193:AL193)*SUM($J193*$J$37,$K193*$K$37,$L193*$L$37,$M193*$M$37,$N193*$N$37,$O193*$O$37)/1000</f>
        <v>1465.72945330551</v>
      </c>
      <c r="AO193" s="163" t="n">
        <f aca="false">IF($B193=" ",0,$AO$25)</f>
        <v>0.25</v>
      </c>
      <c r="AP193" s="159" t="n">
        <f aca="false">IF($B193=" ",0,AP$25*AP$28)</f>
        <v>0.03105</v>
      </c>
      <c r="AQ193" s="162" t="n">
        <f aca="false">SUM(AO193:AP193)*SUM(0)/1000</f>
        <v>0</v>
      </c>
      <c r="AS193" s="155" t="n">
        <f aca="false">IF($B193=" ",0,AS$25)</f>
        <v>1</v>
      </c>
      <c r="AT193" s="156" t="n">
        <f aca="false">IF($B193=" ",0,AT$25)</f>
        <v>1</v>
      </c>
      <c r="AU193" s="156" t="n">
        <f aca="false">IF($B193=" ",0,AU$25)</f>
        <v>2.3</v>
      </c>
      <c r="AV193" s="157" t="n">
        <f aca="false">+AS193*SUM(J193:K193)/1000</f>
        <v>0</v>
      </c>
      <c r="AW193" s="157" t="n">
        <f aca="false">+AT193*SUM(L193:M193)/1000</f>
        <v>0</v>
      </c>
      <c r="AX193" s="157" t="n">
        <f aca="false">+AU193*SUM(N193:O193)/1000</f>
        <v>11537.9859375</v>
      </c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</row>
    <row r="194" customFormat="false" ht="12.75" hidden="true" customHeight="false" outlineLevel="1" collapsed="false">
      <c r="A194" s="164" t="n">
        <f aca="false">+IF(B194=" ",A193,B194)</f>
        <v>41183</v>
      </c>
      <c r="B194" s="148" t="n">
        <f aca="false">IF(B193=" "," ",IF(EDATE(B193,1)&gt;=EndDate," ",EDATE(B193,1)))</f>
        <v>41183</v>
      </c>
      <c r="C194" s="149" t="n">
        <f aca="false">IF($B194&lt;&gt;" ",C193+1,C193)</f>
        <v>144</v>
      </c>
      <c r="D194" s="150" t="n">
        <f aca="false">C194/12</f>
        <v>12</v>
      </c>
      <c r="F194" s="157" t="n">
        <f aca="false">+SUM($T194:$U194)</f>
        <v>14883.5779284771</v>
      </c>
      <c r="G194" s="152" t="n">
        <f aca="false">-SUM($AA194,$AG194,$AM194,$AQ194,$AV194:$AX194)</f>
        <v>-16704.514391723</v>
      </c>
      <c r="H194" s="152" t="n">
        <f aca="false">+SUM(F194:G194)</f>
        <v>-1820.93646324584</v>
      </c>
      <c r="I194" s="124"/>
      <c r="J194" s="153" t="n">
        <f aca="false">+IF($B194=" ",0,IF(AND($B194&gt;=J$26,$B194&lt;J$28),J$33,0))</f>
        <v>0</v>
      </c>
      <c r="K194" s="153" t="n">
        <f aca="false">+IF($B194=" ",0,IF(AND($B194&gt;=K$26,$B194&lt;K$28),K$33,0))</f>
        <v>0</v>
      </c>
      <c r="L194" s="153" t="n">
        <f aca="false">+IF($B194=" ",0,IF(AND($B194&gt;=L$26,$B194&lt;L$28),L$33,0))</f>
        <v>0</v>
      </c>
      <c r="M194" s="153" t="n">
        <f aca="false">+IF($B194=" ",0,IF(AND($B194&gt;=M$26,$B194&lt;M$28),M$33,0))</f>
        <v>0</v>
      </c>
      <c r="N194" s="153" t="n">
        <f aca="false">+IF($B194=" ",0,IF(AND($B194&gt;=N$26,$B194&lt;N$28),N$33,0))</f>
        <v>0</v>
      </c>
      <c r="O194" s="154" t="n">
        <f aca="false">+IF($B194=" ",0,IF(AND($B194&gt;=O$26,$B194&lt;O$28),O$33,0))</f>
        <v>5016515.625</v>
      </c>
      <c r="Q194" s="83" t="n">
        <f aca="false">IF($B194=" ",0,IF($B194&lt;=DATE(2003,12,31),3.55,2.9))</f>
        <v>2.9</v>
      </c>
      <c r="R194" s="155" t="n">
        <f aca="false">IF($B194=" ",0,R$25)</f>
        <v>-0.07</v>
      </c>
      <c r="S194" s="156" t="n">
        <f aca="false">IF($B194=" ",0,S$25)</f>
        <v>0.1</v>
      </c>
      <c r="T194" s="157" t="n">
        <f aca="false">+SUM($Q194,$S194)/1000*(SUM($J194*$J$37,$K194*$K$37,$L194*$L$37,$M194*$M$37,$N194*$N$37,$O194*$O$37))</f>
        <v>14883.5779284771</v>
      </c>
      <c r="U194" s="157" t="n">
        <f aca="false">+SUM($Q194,$R194)/1000*(SUM(0))</f>
        <v>0</v>
      </c>
      <c r="W194" s="158" t="n">
        <f aca="false">IF($B194=" ",0,1)*(IF($B194&gt;=W$25,1,0)*IF($B194&lt;=W$29,W$27,IF($B194&lt;=W$33,W$31,0))*($D194-$D193)*365/1000)</f>
        <v>486.66666666667</v>
      </c>
      <c r="X194" s="158" t="n">
        <f aca="false">IF($B194=" ",0,IF($B194&gt;=X$25,IF($B194&lt;=X$29,X$27,IF($B194&lt;=X$33,X$31,X$31*(1+X$38)^(IF(X$36&gt;$B194,-1,1)*(YEARFRAC($B194,X$36)))))*($D194-$D193)*365/1000,0))</f>
        <v>433.162110592493</v>
      </c>
      <c r="Y194" s="159" t="n">
        <f aca="false">IF($B194=" ",0,Y$25*(1+Y$30)^(IF(Y$28&gt;$B194,-1,1)*(YEARFRAC($B194,Y$28))))</f>
        <v>0.544472812952877</v>
      </c>
      <c r="Z194" s="159" t="n">
        <f aca="false">IF($B194=" ",0,Z$25*(1+Z$30)^(IF(Z$28&gt;$B194,-1,1)*(YEARFRAC($B194,Z$28))))</f>
        <v>0.51976950566156</v>
      </c>
      <c r="AA194" s="162" t="n">
        <f aca="false">+W194+X194+Z194*SUM($J194*$J$37,$L194*$L$37,$N194*$N$37)/1000</f>
        <v>919.828777259163</v>
      </c>
      <c r="AB194" s="161"/>
      <c r="AC194" s="158" t="n">
        <f aca="false">IF($B194=" ",0,1)*(IF($B194&gt;=AC$25,1,0)*IF($B194&lt;=AC$29,AC$27,IF($B194&lt;=AC$33,AC$31,0))*($D194-$D193)*365/1000)</f>
        <v>1591.66666666668</v>
      </c>
      <c r="AD194" s="158" t="n">
        <f aca="false">IF($B194=" ",0,IF($B194&gt;=AD$25,IF($B194&lt;=AD$29,AD$27,IF($B194&lt;=AD$33,AD$31,AD$31*(1+AD$38)^(IF(AD$36&gt;$B194,-1,1)*(YEARFRAC($B194,AD$36)))))*($D194-$D193)*365/1000,0))</f>
        <v>385.608990282178</v>
      </c>
      <c r="AE194" s="159" t="n">
        <f aca="false">IF($B194=" ",0,AE$25*(1+AE$30)^(IF(AE$28&gt;$B194,-1,1)*(YEARFRAC($B194,AE$28))))</f>
        <v>0.451092846817531</v>
      </c>
      <c r="AF194" s="159" t="n">
        <f aca="false">IF($B194=" ",0,AF$25*(1+AF$30)^(IF(AF$28&gt;$B194,-1,1)*(YEARFRAC($B194,AF$28))))</f>
        <v>0.161851090438826</v>
      </c>
      <c r="AG194" s="162" t="n">
        <f aca="false">+AC194+AD194+AF194*SUM($K194*$K$37,$M194*$M$37,$O194*$O$37)/1000</f>
        <v>2780.25009606728</v>
      </c>
      <c r="AI194" s="158" t="n">
        <f aca="false">IF($B194=" ",0,1)*IF($B194&gt;=AI$33,AI$25*($D194-$D193),0)</f>
        <v>485.186570908337</v>
      </c>
      <c r="AJ194" s="158" t="n">
        <f aca="false">IF($B194=" ",0,IF($B194&gt;=AJ$33,AJ$25*(1+AJ$30)^(IF(AJ$28&gt;$B194,-1,1)*(YEARFRAC($B194,AJ$28)))*($D194-$D193),0))</f>
        <v>542.24643397913</v>
      </c>
      <c r="AK194" s="159" t="n">
        <f aca="false">IF($B194=" ",0,AK$25*(1+AK$30)^(IF(AK$28&gt;$B194,-1,1)*(YEARFRAC($B194,AK$28))))</f>
        <v>0.0309901288088257</v>
      </c>
      <c r="AL194" s="159" t="n">
        <f aca="false">IF($B194=" ",0,AL$25*AL$28)</f>
        <v>0.0575</v>
      </c>
      <c r="AM194" s="162" t="n">
        <f aca="false">+AI194+AJ194+SUM(AK194:AL194)*SUM($J194*$J$37,$K194*$K$37,$L194*$L$37,$M194*$M$37,$N194*$N$37,$O194*$O$37)/1000</f>
        <v>1466.44958089651</v>
      </c>
      <c r="AO194" s="163" t="n">
        <f aca="false">IF($B194=" ",0,$AO$25)</f>
        <v>0.25</v>
      </c>
      <c r="AP194" s="159" t="n">
        <f aca="false">IF($B194=" ",0,AP$25*AP$28)</f>
        <v>0.03105</v>
      </c>
      <c r="AQ194" s="162" t="n">
        <f aca="false">SUM(AO194:AP194)*SUM(0)/1000</f>
        <v>0</v>
      </c>
      <c r="AS194" s="155" t="n">
        <f aca="false">IF($B194=" ",0,AS$25)</f>
        <v>1</v>
      </c>
      <c r="AT194" s="156" t="n">
        <f aca="false">IF($B194=" ",0,AT$25)</f>
        <v>1</v>
      </c>
      <c r="AU194" s="156" t="n">
        <f aca="false">IF($B194=" ",0,AU$25)</f>
        <v>2.3</v>
      </c>
      <c r="AV194" s="157" t="n">
        <f aca="false">+AS194*SUM(J194:K194)/1000</f>
        <v>0</v>
      </c>
      <c r="AW194" s="157" t="n">
        <f aca="false">+AT194*SUM(L194:M194)/1000</f>
        <v>0</v>
      </c>
      <c r="AX194" s="157" t="n">
        <f aca="false">+AU194*SUM(N194:O194)/1000</f>
        <v>11537.9859375</v>
      </c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</row>
    <row r="195" customFormat="false" ht="12.75" hidden="true" customHeight="false" outlineLevel="1" collapsed="false">
      <c r="A195" s="164" t="n">
        <f aca="false">+IF(B195=" ",A194,B195)</f>
        <v>41214</v>
      </c>
      <c r="B195" s="148" t="n">
        <f aca="false">IF(B194=" "," ",IF(EDATE(B194,1)&gt;=EndDate," ",EDATE(B194,1)))</f>
        <v>41214</v>
      </c>
      <c r="C195" s="149" t="n">
        <f aca="false">IF($B195&lt;&gt;" ",C194+1,C194)</f>
        <v>145</v>
      </c>
      <c r="D195" s="150" t="n">
        <f aca="false">C195/12</f>
        <v>12.0833333333333</v>
      </c>
      <c r="F195" s="157" t="n">
        <f aca="false">+SUM($T195:$U195)</f>
        <v>14883.5779284771</v>
      </c>
      <c r="G195" s="152" t="n">
        <f aca="false">-SUM($AA195,$AG195,$AM195,$AQ195,$AV195:$AX195)</f>
        <v>-16707.4706645393</v>
      </c>
      <c r="H195" s="152" t="n">
        <f aca="false">+SUM(F195:G195)</f>
        <v>-1823.89273606216</v>
      </c>
      <c r="I195" s="124"/>
      <c r="J195" s="153" t="n">
        <f aca="false">+IF($B195=" ",0,IF(AND($B195&gt;=J$26,$B195&lt;J$28),J$33,0))</f>
        <v>0</v>
      </c>
      <c r="K195" s="153" t="n">
        <f aca="false">+IF($B195=" ",0,IF(AND($B195&gt;=K$26,$B195&lt;K$28),K$33,0))</f>
        <v>0</v>
      </c>
      <c r="L195" s="153" t="n">
        <f aca="false">+IF($B195=" ",0,IF(AND($B195&gt;=L$26,$B195&lt;L$28),L$33,0))</f>
        <v>0</v>
      </c>
      <c r="M195" s="153" t="n">
        <f aca="false">+IF($B195=" ",0,IF(AND($B195&gt;=M$26,$B195&lt;M$28),M$33,0))</f>
        <v>0</v>
      </c>
      <c r="N195" s="153" t="n">
        <f aca="false">+IF($B195=" ",0,IF(AND($B195&gt;=N$26,$B195&lt;N$28),N$33,0))</f>
        <v>0</v>
      </c>
      <c r="O195" s="154" t="n">
        <f aca="false">+IF($B195=" ",0,IF(AND($B195&gt;=O$26,$B195&lt;O$28),O$33,0))</f>
        <v>5016515.625</v>
      </c>
      <c r="Q195" s="83" t="n">
        <f aca="false">IF($B195=" ",0,IF($B195&lt;=DATE(2003,12,31),3.55,2.9))</f>
        <v>2.9</v>
      </c>
      <c r="R195" s="155" t="n">
        <f aca="false">IF($B195=" ",0,R$25)</f>
        <v>-0.07</v>
      </c>
      <c r="S195" s="156" t="n">
        <f aca="false">IF($B195=" ",0,S$25)</f>
        <v>0.1</v>
      </c>
      <c r="T195" s="157" t="n">
        <f aca="false">+SUM($Q195,$S195)/1000*(SUM($J195*$J$37,$K195*$K$37,$L195*$L$37,$M195*$M$37,$N195*$N$37,$O195*$O$37))</f>
        <v>14883.5779284771</v>
      </c>
      <c r="U195" s="157" t="n">
        <f aca="false">+SUM($Q195,$R195)/1000*(SUM(0))</f>
        <v>0</v>
      </c>
      <c r="W195" s="158" t="n">
        <f aca="false">IF($B195=" ",0,1)*(IF($B195&gt;=W$25,1,0)*IF($B195&lt;=W$29,W$27,IF($B195&lt;=W$33,W$31,0))*($D195-$D194)*365/1000)</f>
        <v>486.66666666667</v>
      </c>
      <c r="X195" s="158" t="n">
        <f aca="false">IF($B195=" ",0,IF($B195&gt;=X$25,IF($B195&lt;=X$29,X$27,IF($B195&lt;=X$33,X$31,X$31*(1+X$38)^(IF(X$36&gt;$B195,-1,1)*(YEARFRAC($B195,X$36)))))*($D195-$D194)*365/1000,0))</f>
        <v>433.759177320417</v>
      </c>
      <c r="Y195" s="159" t="n">
        <f aca="false">IF($B195=" ",0,Y$25*(1+Y$30)^(IF(Y$28&gt;$B195,-1,1)*(YEARFRAC($B195,Y$28))))</f>
        <v>0.545223309344236</v>
      </c>
      <c r="Z195" s="159" t="n">
        <f aca="false">IF($B195=" ",0,Z$25*(1+Z$30)^(IF(Z$28&gt;$B195,-1,1)*(YEARFRAC($B195,Z$28))))</f>
        <v>0.520485951238009</v>
      </c>
      <c r="AA195" s="162" t="n">
        <f aca="false">+W195+X195+Z195*SUM($J195*$J$37,$L195*$L$37,$N195*$N$37)/1000</f>
        <v>920.425843987087</v>
      </c>
      <c r="AB195" s="161"/>
      <c r="AC195" s="158" t="n">
        <f aca="false">IF($B195=" ",0,1)*(IF($B195&gt;=AC$25,1,0)*IF($B195&lt;=AC$29,AC$27,IF($B195&lt;=AC$33,AC$31,0))*($D195-$D194)*365/1000)</f>
        <v>1591.66666666668</v>
      </c>
      <c r="AD195" s="158" t="n">
        <f aca="false">IF($B195=" ",0,IF($B195&gt;=AD$25,IF($B195&lt;=AD$29,AD$27,IF($B195&lt;=AD$33,AD$31,AD$31*(1+AD$38)^(IF(AD$36&gt;$B195,-1,1)*(YEARFRAC($B195,AD$36)))))*($D195-$D194)*365/1000,0))</f>
        <v>386.140510219993</v>
      </c>
      <c r="AE195" s="159" t="n">
        <f aca="false">IF($B195=" ",0,AE$25*(1+AE$30)^(IF(AE$28&gt;$B195,-1,1)*(YEARFRAC($B195,AE$28))))</f>
        <v>0.451714629109779</v>
      </c>
      <c r="AF195" s="159" t="n">
        <f aca="false">IF($B195=" ",0,AF$25*(1+AF$30)^(IF(AF$28&gt;$B195,-1,1)*(YEARFRAC($B195,AF$28))))</f>
        <v>0.162074184515191</v>
      </c>
      <c r="AG195" s="162" t="n">
        <f aca="false">+AC195+AD195+AF195*SUM($K195*$K$37,$M195*$M$37,$O195*$O$37)/1000</f>
        <v>2781.88842869541</v>
      </c>
      <c r="AI195" s="158" t="n">
        <f aca="false">IF($B195=" ",0,1)*IF($B195&gt;=AI$33,AI$25*($D195-$D194),0)</f>
        <v>485.186570908337</v>
      </c>
      <c r="AJ195" s="158" t="n">
        <f aca="false">IF($B195=" ",0,IF($B195&gt;=AJ$33,AJ$25*(1+AJ$30)^(IF(AJ$28&gt;$B195,-1,1)*(YEARFRAC($B195,AJ$28)))*($D195-$D194),0))</f>
        <v>542.808063562109</v>
      </c>
      <c r="AK195" s="159" t="n">
        <f aca="false">IF($B195=" ",0,AK$25*(1+AK$30)^(IF(AK$28&gt;$B195,-1,1)*(YEARFRAC($B195,AK$28))))</f>
        <v>0.0310222267112345</v>
      </c>
      <c r="AL195" s="159" t="n">
        <f aca="false">IF($B195=" ",0,AL$25*AL$28)</f>
        <v>0.0575</v>
      </c>
      <c r="AM195" s="162" t="n">
        <f aca="false">+AI195+AJ195+SUM(AK195:AL195)*SUM($J195*$J$37,$K195*$K$37,$L195*$L$37,$M195*$M$37,$N195*$N$37,$O195*$O$37)/1000</f>
        <v>1467.17045435677</v>
      </c>
      <c r="AO195" s="163" t="n">
        <f aca="false">IF($B195=" ",0,$AO$25)</f>
        <v>0.25</v>
      </c>
      <c r="AP195" s="159" t="n">
        <f aca="false">IF($B195=" ",0,AP$25*AP$28)</f>
        <v>0.03105</v>
      </c>
      <c r="AQ195" s="162" t="n">
        <f aca="false">SUM(AO195:AP195)*SUM(0)/1000</f>
        <v>0</v>
      </c>
      <c r="AS195" s="155" t="n">
        <f aca="false">IF($B195=" ",0,AS$25)</f>
        <v>1</v>
      </c>
      <c r="AT195" s="156" t="n">
        <f aca="false">IF($B195=" ",0,AT$25)</f>
        <v>1</v>
      </c>
      <c r="AU195" s="156" t="n">
        <f aca="false">IF($B195=" ",0,AU$25)</f>
        <v>2.3</v>
      </c>
      <c r="AV195" s="157" t="n">
        <f aca="false">+AS195*SUM(J195:K195)/1000</f>
        <v>0</v>
      </c>
      <c r="AW195" s="157" t="n">
        <f aca="false">+AT195*SUM(L195:M195)/1000</f>
        <v>0</v>
      </c>
      <c r="AX195" s="157" t="n">
        <f aca="false">+AU195*SUM(N195:O195)/1000</f>
        <v>11537.9859375</v>
      </c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</row>
    <row r="196" customFormat="false" ht="12.75" hidden="true" customHeight="false" outlineLevel="1" collapsed="false">
      <c r="A196" s="164" t="n">
        <f aca="false">+IF(B196=" ",A195,B196)</f>
        <v>41244</v>
      </c>
      <c r="B196" s="148" t="n">
        <f aca="false">IF(B195=" "," ",IF(EDATE(B195,1)&gt;=EndDate," ",EDATE(B195,1)))</f>
        <v>41244</v>
      </c>
      <c r="C196" s="149" t="n">
        <f aca="false">IF($B196&lt;&gt;" ",C195+1,C195)</f>
        <v>146</v>
      </c>
      <c r="D196" s="150" t="n">
        <f aca="false">C196/12</f>
        <v>12.1666666666667</v>
      </c>
      <c r="F196" s="157" t="n">
        <f aca="false">+SUM($T196:$U196)</f>
        <v>14883.5779284771</v>
      </c>
      <c r="G196" s="152" t="n">
        <f aca="false">-SUM($AA196,$AG196,$AM196,$AQ196,$AV196:$AX196)</f>
        <v>-16710.4307652515</v>
      </c>
      <c r="H196" s="152" t="n">
        <f aca="false">+SUM(F196:G196)</f>
        <v>-1826.85283677442</v>
      </c>
      <c r="I196" s="124"/>
      <c r="J196" s="153" t="n">
        <f aca="false">+IF($B196=" ",0,IF(AND($B196&gt;=J$26,$B196&lt;J$28),J$33,0))</f>
        <v>0</v>
      </c>
      <c r="K196" s="153" t="n">
        <f aca="false">+IF($B196=" ",0,IF(AND($B196&gt;=K$26,$B196&lt;K$28),K$33,0))</f>
        <v>0</v>
      </c>
      <c r="L196" s="153" t="n">
        <f aca="false">+IF($B196=" ",0,IF(AND($B196&gt;=L$26,$B196&lt;L$28),L$33,0))</f>
        <v>0</v>
      </c>
      <c r="M196" s="153" t="n">
        <f aca="false">+IF($B196=" ",0,IF(AND($B196&gt;=M$26,$B196&lt;M$28),M$33,0))</f>
        <v>0</v>
      </c>
      <c r="N196" s="153" t="n">
        <f aca="false">+IF($B196=" ",0,IF(AND($B196&gt;=N$26,$B196&lt;N$28),N$33,0))</f>
        <v>0</v>
      </c>
      <c r="O196" s="154" t="n">
        <f aca="false">+IF($B196=" ",0,IF(AND($B196&gt;=O$26,$B196&lt;O$28),O$33,0))</f>
        <v>5016515.625</v>
      </c>
      <c r="Q196" s="83" t="n">
        <f aca="false">IF($B196=" ",0,IF($B196&lt;=DATE(2003,12,31),3.55,2.9))</f>
        <v>2.9</v>
      </c>
      <c r="R196" s="155" t="n">
        <f aca="false">IF($B196=" ",0,R$25)</f>
        <v>-0.07</v>
      </c>
      <c r="S196" s="156" t="n">
        <f aca="false">IF($B196=" ",0,S$25)</f>
        <v>0.1</v>
      </c>
      <c r="T196" s="157" t="n">
        <f aca="false">+SUM($Q196,$S196)/1000*(SUM($J196*$J$37,$K196*$K$37,$L196*$L$37,$M196*$M$37,$N196*$N$37,$O196*$O$37))</f>
        <v>14883.5779284771</v>
      </c>
      <c r="U196" s="157" t="n">
        <f aca="false">+SUM($Q196,$R196)/1000*(SUM(0))</f>
        <v>0</v>
      </c>
      <c r="W196" s="158" t="n">
        <f aca="false">IF($B196=" ",0,1)*(IF($B196&gt;=W$25,1,0)*IF($B196&lt;=W$29,W$27,IF($B196&lt;=W$33,W$31,0))*($D196-$D195)*365/1000)</f>
        <v>486.66666666666</v>
      </c>
      <c r="X196" s="158" t="n">
        <f aca="false">IF($B196=" ",0,IF($B196&gt;=X$25,IF($B196&lt;=X$29,X$27,IF($B196&lt;=X$33,X$31,X$31*(1+X$38)^(IF(X$36&gt;$B196,-1,1)*(YEARFRAC($B196,X$36)))))*($D196-$D195)*365/1000,0))</f>
        <v>434.357067039698</v>
      </c>
      <c r="Y196" s="159" t="n">
        <f aca="false">IF($B196=" ",0,Y$25*(1+Y$30)^(IF(Y$28&gt;$B196,-1,1)*(YEARFRAC($B196,Y$28))))</f>
        <v>0.54597484021302</v>
      </c>
      <c r="Z196" s="159" t="n">
        <f aca="false">IF($B196=" ",0,Z$25*(1+Z$30)^(IF(Z$28&gt;$B196,-1,1)*(YEARFRAC($B196,Z$28))))</f>
        <v>0.521203384356549</v>
      </c>
      <c r="AA196" s="162" t="n">
        <f aca="false">+W196+X196+Z196*SUM($J196*$J$37,$L196*$L$37,$N196*$N$37)/1000</f>
        <v>921.023733706358</v>
      </c>
      <c r="AB196" s="161"/>
      <c r="AC196" s="158" t="n">
        <f aca="false">IF($B196=" ",0,1)*(IF($B196&gt;=AC$25,1,0)*IF($B196&lt;=AC$29,AC$27,IF($B196&lt;=AC$33,AC$31,0))*($D196-$D195)*365/1000)</f>
        <v>1591.66666666664</v>
      </c>
      <c r="AD196" s="158" t="n">
        <f aca="false">IF($B196=" ",0,IF($B196&gt;=AD$25,IF($B196&lt;=AD$29,AD$27,IF($B196&lt;=AD$33,AD$31,AD$31*(1+AD$38)^(IF(AD$36&gt;$B196,-1,1)*(YEARFRAC($B196,AD$36)))))*($D196-$D195)*365/1000,0))</f>
        <v>386.672762800064</v>
      </c>
      <c r="AE196" s="159" t="n">
        <f aca="false">IF($B196=" ",0,AE$25*(1+AE$30)^(IF(AE$28&gt;$B196,-1,1)*(YEARFRAC($B196,AE$28))))</f>
        <v>0.452337268461103</v>
      </c>
      <c r="AF196" s="159" t="n">
        <f aca="false">IF($B196=" ",0,AF$25*(1+AF$30)^(IF(AF$28&gt;$B196,-1,1)*(YEARFRAC($B196,AF$28))))</f>
        <v>0.16229758610241</v>
      </c>
      <c r="AG196" s="162" t="n">
        <f aca="false">+AC196+AD196+AF196*SUM($K196*$K$37,$M196*$M$37,$O196*$O$37)/1000</f>
        <v>2783.52901958635</v>
      </c>
      <c r="AI196" s="158" t="n">
        <f aca="false">IF($B196=" ",0,1)*IF($B196&gt;=AI$33,AI$25*($D196-$D195),0)</f>
        <v>485.186570908327</v>
      </c>
      <c r="AJ196" s="158" t="n">
        <f aca="false">IF($B196=" ",0,IF($B196&gt;=AJ$33,AJ$25*(1+AJ$30)^(IF(AJ$28&gt;$B196,-1,1)*(YEARFRAC($B196,AJ$28)))*($D196-$D195),0))</f>
        <v>543.370274850677</v>
      </c>
      <c r="AK196" s="159" t="n">
        <f aca="false">IF($B196=" ",0,AK$25*(1+AK$30)^(IF(AK$28&gt;$B196,-1,1)*(YEARFRAC($B196,AK$28))))</f>
        <v>0.0310543578589177</v>
      </c>
      <c r="AL196" s="159" t="n">
        <f aca="false">IF($B196=" ",0,AL$25*AL$28)</f>
        <v>0.0575</v>
      </c>
      <c r="AM196" s="162" t="n">
        <f aca="false">+AI196+AJ196+SUM(AK196:AL196)*SUM($J196*$J$37,$K196*$K$37,$L196*$L$37,$M196*$M$37,$N196*$N$37,$O196*$O$37)/1000</f>
        <v>1467.89207445882</v>
      </c>
      <c r="AO196" s="163" t="n">
        <f aca="false">IF($B196=" ",0,$AO$25)</f>
        <v>0.25</v>
      </c>
      <c r="AP196" s="159" t="n">
        <f aca="false">IF($B196=" ",0,AP$25*AP$28)</f>
        <v>0.03105</v>
      </c>
      <c r="AQ196" s="162" t="n">
        <f aca="false">SUM(AO196:AP196)*SUM(0)/1000</f>
        <v>0</v>
      </c>
      <c r="AS196" s="155" t="n">
        <f aca="false">IF($B196=" ",0,AS$25)</f>
        <v>1</v>
      </c>
      <c r="AT196" s="156" t="n">
        <f aca="false">IF($B196=" ",0,AT$25)</f>
        <v>1</v>
      </c>
      <c r="AU196" s="156" t="n">
        <f aca="false">IF($B196=" ",0,AU$25)</f>
        <v>2.3</v>
      </c>
      <c r="AV196" s="157" t="n">
        <f aca="false">+AS196*SUM(J196:K196)/1000</f>
        <v>0</v>
      </c>
      <c r="AW196" s="157" t="n">
        <f aca="false">+AT196*SUM(L196:M196)/1000</f>
        <v>0</v>
      </c>
      <c r="AX196" s="157" t="n">
        <f aca="false">+AU196*SUM(N196:O196)/1000</f>
        <v>11537.9859375</v>
      </c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</row>
    <row r="197" customFormat="false" ht="12.75" hidden="true" customHeight="false" outlineLevel="1" collapsed="false">
      <c r="A197" s="164" t="n">
        <f aca="false">+IF(B197=" ",A196,B197)</f>
        <v>41275</v>
      </c>
      <c r="B197" s="148" t="n">
        <f aca="false">IF(B196=" "," ",IF(EDATE(B196,1)&gt;=EndDate," ",EDATE(B196,1)))</f>
        <v>41275</v>
      </c>
      <c r="C197" s="149" t="n">
        <f aca="false">IF($B197&lt;&gt;" ",C196+1,C196)</f>
        <v>147</v>
      </c>
      <c r="D197" s="150" t="n">
        <f aca="false">C197/12</f>
        <v>12.25</v>
      </c>
      <c r="F197" s="157" t="n">
        <f aca="false">+SUM($T197:$U197)</f>
        <v>14883.5779284771</v>
      </c>
      <c r="G197" s="152" t="n">
        <f aca="false">-SUM($AA197,$AG197,$AM197,$AQ197,$AV197:$AX197)</f>
        <v>-16713.3946988805</v>
      </c>
      <c r="H197" s="152" t="n">
        <f aca="false">+SUM(F197:G197)</f>
        <v>-1829.81677040338</v>
      </c>
      <c r="I197" s="124"/>
      <c r="J197" s="153" t="n">
        <f aca="false">+IF($B197=" ",0,IF(AND($B197&gt;=J$26,$B197&lt;J$28),J$33,0))</f>
        <v>0</v>
      </c>
      <c r="K197" s="153" t="n">
        <f aca="false">+IF($B197=" ",0,IF(AND($B197&gt;=K$26,$B197&lt;K$28),K$33,0))</f>
        <v>0</v>
      </c>
      <c r="L197" s="153" t="n">
        <f aca="false">+IF($B197=" ",0,IF(AND($B197&gt;=L$26,$B197&lt;L$28),L$33,0))</f>
        <v>0</v>
      </c>
      <c r="M197" s="153" t="n">
        <f aca="false">+IF($B197=" ",0,IF(AND($B197&gt;=M$26,$B197&lt;M$28),M$33,0))</f>
        <v>0</v>
      </c>
      <c r="N197" s="153" t="n">
        <f aca="false">+IF($B197=" ",0,IF(AND($B197&gt;=N$26,$B197&lt;N$28),N$33,0))</f>
        <v>0</v>
      </c>
      <c r="O197" s="154" t="n">
        <f aca="false">+IF($B197=" ",0,IF(AND($B197&gt;=O$26,$B197&lt;O$28),O$33,0))</f>
        <v>5016515.625</v>
      </c>
      <c r="Q197" s="83" t="n">
        <f aca="false">IF($B197=" ",0,IF($B197&lt;=DATE(2003,12,31),3.55,2.9))</f>
        <v>2.9</v>
      </c>
      <c r="R197" s="155" t="n">
        <f aca="false">IF($B197=" ",0,R$25)</f>
        <v>-0.07</v>
      </c>
      <c r="S197" s="156" t="n">
        <f aca="false">IF($B197=" ",0,S$25)</f>
        <v>0.1</v>
      </c>
      <c r="T197" s="157" t="n">
        <f aca="false">+SUM($Q197,$S197)/1000*(SUM($J197*$J$37,$K197*$K$37,$L197*$L$37,$M197*$M$37,$N197*$N$37,$O197*$O$37))</f>
        <v>14883.5779284771</v>
      </c>
      <c r="U197" s="157" t="n">
        <f aca="false">+SUM($Q197,$R197)/1000*(SUM(0))</f>
        <v>0</v>
      </c>
      <c r="W197" s="158" t="n">
        <f aca="false">IF($B197=" ",0,1)*(IF($B197&gt;=W$25,1,0)*IF($B197&lt;=W$29,W$27,IF($B197&lt;=W$33,W$31,0))*($D197-$D196)*365/1000)</f>
        <v>486.66666666667</v>
      </c>
      <c r="X197" s="158" t="n">
        <f aca="false">IF($B197=" ",0,IF($B197&gt;=X$25,IF($B197&lt;=X$29,X$27,IF($B197&lt;=X$33,X$31,X$31*(1+X$38)^(IF(X$36&gt;$B197,-1,1)*(YEARFRAC($B197,X$36)))))*($D197-$D196)*365/1000,0))</f>
        <v>434.955780884769</v>
      </c>
      <c r="Y197" s="159" t="n">
        <f aca="false">IF($B197=" ",0,Y$25*(1+Y$30)^(IF(Y$28&gt;$B197,-1,1)*(YEARFRAC($B197,Y$28))))</f>
        <v>0.546727406985142</v>
      </c>
      <c r="Z197" s="159" t="n">
        <f aca="false">IF($B197=" ",0,Z$25*(1+Z$30)^(IF(Z$28&gt;$B197,-1,1)*(YEARFRAC($B197,Z$28))))</f>
        <v>0.521921806378399</v>
      </c>
      <c r="AA197" s="162" t="n">
        <f aca="false">+W197+X197+Z197*SUM($J197*$J$37,$L197*$L$37,$N197*$N$37)/1000</f>
        <v>921.622447551439</v>
      </c>
      <c r="AB197" s="161"/>
      <c r="AC197" s="158" t="n">
        <f aca="false">IF($B197=" ",0,1)*(IF($B197&gt;=AC$25,1,0)*IF($B197&lt;=AC$29,AC$27,IF($B197&lt;=AC$33,AC$31,0))*($D197-$D196)*365/1000)</f>
        <v>1591.66666666668</v>
      </c>
      <c r="AD197" s="158" t="n">
        <f aca="false">IF($B197=" ",0,IF($B197&gt;=AD$25,IF($B197&lt;=AD$29,AD$27,IF($B197&lt;=AD$33,AD$31,AD$31*(1+AD$38)^(IF(AD$36&gt;$B197,-1,1)*(YEARFRAC($B197,AD$36)))))*($D197-$D196)*365/1000,0))</f>
        <v>387.205749032286</v>
      </c>
      <c r="AE197" s="159" t="n">
        <f aca="false">IF($B197=" ",0,AE$25*(1+AE$30)^(IF(AE$28&gt;$B197,-1,1)*(YEARFRAC($B197,AE$28))))</f>
        <v>0.452960766052867</v>
      </c>
      <c r="AF197" s="159" t="n">
        <f aca="false">IF($B197=" ",0,AF$25*(1+AF$30)^(IF(AF$28&gt;$B197,-1,1)*(YEARFRAC($B197,AF$28))))</f>
        <v>0.162521295624352</v>
      </c>
      <c r="AG197" s="162" t="n">
        <f aca="false">+AC197+AD197+AF197*SUM($K197*$K$37,$M197*$M$37,$O197*$O$37)/1000</f>
        <v>2785.171871853</v>
      </c>
      <c r="AI197" s="158" t="n">
        <f aca="false">IF($B197=" ",0,1)*IF($B197&gt;=AI$33,AI$25*($D197-$D196),0)</f>
        <v>485.186570908337</v>
      </c>
      <c r="AJ197" s="158" t="n">
        <f aca="false">IF($B197=" ",0,IF($B197&gt;=AJ$33,AJ$25*(1+AJ$30)^(IF(AJ$28&gt;$B197,-1,1)*(YEARFRAC($B197,AJ$28)))*($D197-$D196),0))</f>
        <v>543.933068447371</v>
      </c>
      <c r="AK197" s="159" t="n">
        <f aca="false">IF($B197=" ",0,AK$25*(1+AK$30)^(IF(AK$28&gt;$B197,-1,1)*(YEARFRAC($B197,AK$28))))</f>
        <v>0.0310865222863091</v>
      </c>
      <c r="AL197" s="159" t="n">
        <f aca="false">IF($B197=" ",0,AL$25*AL$28)</f>
        <v>0.0575</v>
      </c>
      <c r="AM197" s="162" t="n">
        <f aca="false">+AI197+AJ197+SUM(AK197:AL197)*SUM($J197*$J$37,$K197*$K$37,$L197*$L$37,$M197*$M$37,$N197*$N$37,$O197*$O$37)/1000</f>
        <v>1468.61444197606</v>
      </c>
      <c r="AO197" s="163" t="n">
        <f aca="false">IF($B197=" ",0,$AO$25)</f>
        <v>0.25</v>
      </c>
      <c r="AP197" s="159" t="n">
        <f aca="false">IF($B197=" ",0,AP$25*AP$28)</f>
        <v>0.03105</v>
      </c>
      <c r="AQ197" s="162" t="n">
        <f aca="false">SUM(AO197:AP197)*SUM(0)/1000</f>
        <v>0</v>
      </c>
      <c r="AS197" s="155" t="n">
        <f aca="false">IF($B197=" ",0,AS$25)</f>
        <v>1</v>
      </c>
      <c r="AT197" s="156" t="n">
        <f aca="false">IF($B197=" ",0,AT$25)</f>
        <v>1</v>
      </c>
      <c r="AU197" s="156" t="n">
        <f aca="false">IF($B197=" ",0,AU$25)</f>
        <v>2.3</v>
      </c>
      <c r="AV197" s="157" t="n">
        <f aca="false">+AS197*SUM(J197:K197)/1000</f>
        <v>0</v>
      </c>
      <c r="AW197" s="157" t="n">
        <f aca="false">+AT197*SUM(L197:M197)/1000</f>
        <v>0</v>
      </c>
      <c r="AX197" s="157" t="n">
        <f aca="false">+AU197*SUM(N197:O197)/1000</f>
        <v>11537.9859375</v>
      </c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</row>
    <row r="198" customFormat="false" ht="12.75" hidden="true" customHeight="false" outlineLevel="1" collapsed="false">
      <c r="A198" s="164" t="n">
        <f aca="false">+IF(B198=" ",A197,B198)</f>
        <v>41306</v>
      </c>
      <c r="B198" s="148" t="n">
        <f aca="false">IF(B197=" "," ",IF(EDATE(B197,1)&gt;=EndDate," ",EDATE(B197,1)))</f>
        <v>41306</v>
      </c>
      <c r="C198" s="149" t="n">
        <f aca="false">IF($B198&lt;&gt;" ",C197+1,C197)</f>
        <v>148</v>
      </c>
      <c r="D198" s="150" t="n">
        <f aca="false">C198/12</f>
        <v>12.3333333333333</v>
      </c>
      <c r="F198" s="157" t="n">
        <f aca="false">+SUM($T198:$U198)</f>
        <v>14883.5779284771</v>
      </c>
      <c r="G198" s="152" t="n">
        <f aca="false">-SUM($AA198,$AG198,$AM198,$AQ198,$AV198:$AX198)</f>
        <v>-16716.3624704531</v>
      </c>
      <c r="H198" s="152" t="n">
        <f aca="false">+SUM(F198:G198)</f>
        <v>-1832.78454197596</v>
      </c>
      <c r="I198" s="124"/>
      <c r="J198" s="153" t="n">
        <f aca="false">+IF($B198=" ",0,IF(AND($B198&gt;=J$26,$B198&lt;J$28),J$33,0))</f>
        <v>0</v>
      </c>
      <c r="K198" s="153" t="n">
        <f aca="false">+IF($B198=" ",0,IF(AND($B198&gt;=K$26,$B198&lt;K$28),K$33,0))</f>
        <v>0</v>
      </c>
      <c r="L198" s="153" t="n">
        <f aca="false">+IF($B198=" ",0,IF(AND($B198&gt;=L$26,$B198&lt;L$28),L$33,0))</f>
        <v>0</v>
      </c>
      <c r="M198" s="153" t="n">
        <f aca="false">+IF($B198=" ",0,IF(AND($B198&gt;=M$26,$B198&lt;M$28),M$33,0))</f>
        <v>0</v>
      </c>
      <c r="N198" s="153" t="n">
        <f aca="false">+IF($B198=" ",0,IF(AND($B198&gt;=N$26,$B198&lt;N$28),N$33,0))</f>
        <v>0</v>
      </c>
      <c r="O198" s="154" t="n">
        <f aca="false">+IF($B198=" ",0,IF(AND($B198&gt;=O$26,$B198&lt;O$28),O$33,0))</f>
        <v>5016515.625</v>
      </c>
      <c r="Q198" s="83" t="n">
        <f aca="false">IF($B198=" ",0,IF($B198&lt;=DATE(2003,12,31),3.55,2.9))</f>
        <v>2.9</v>
      </c>
      <c r="R198" s="155" t="n">
        <f aca="false">IF($B198=" ",0,R$25)</f>
        <v>-0.07</v>
      </c>
      <c r="S198" s="156" t="n">
        <f aca="false">IF($B198=" ",0,S$25)</f>
        <v>0.1</v>
      </c>
      <c r="T198" s="157" t="n">
        <f aca="false">+SUM($Q198,$S198)/1000*(SUM($J198*$J$37,$K198*$K$37,$L198*$L$37,$M198*$M$37,$N198*$N$37,$O198*$O$37))</f>
        <v>14883.5779284771</v>
      </c>
      <c r="U198" s="157" t="n">
        <f aca="false">+SUM($Q198,$R198)/1000*(SUM(0))</f>
        <v>0</v>
      </c>
      <c r="W198" s="158" t="n">
        <f aca="false">IF($B198=" ",0,1)*(IF($B198&gt;=W$25,1,0)*IF($B198&lt;=W$29,W$27,IF($B198&lt;=W$33,W$31,0))*($D198-$D197)*365/1000)</f>
        <v>486.66666666667</v>
      </c>
      <c r="X198" s="158" t="n">
        <f aca="false">IF($B198=" ",0,IF($B198&gt;=X$25,IF($B198&lt;=X$29,X$27,IF($B198&lt;=X$33,X$31,X$31*(1+X$38)^(IF(X$36&gt;$B198,-1,1)*(YEARFRAC($B198,X$36)))))*($D198-$D197)*365/1000,0))</f>
        <v>435.555319991569</v>
      </c>
      <c r="Y198" s="159" t="n">
        <f aca="false">IF($B198=" ",0,Y$25*(1+Y$30)^(IF(Y$28&gt;$B198,-1,1)*(YEARFRAC($B198,Y$28))))</f>
        <v>0.547481011088484</v>
      </c>
      <c r="Z198" s="159" t="n">
        <f aca="false">IF($B198=" ",0,Z$25*(1+Z$30)^(IF(Z$28&gt;$B198,-1,1)*(YEARFRAC($B198,Z$28))))</f>
        <v>0.522641218666653</v>
      </c>
      <c r="AA198" s="162" t="n">
        <f aca="false">+W198+X198+Z198*SUM($J198*$J$37,$L198*$L$37,$N198*$N$37)/1000</f>
        <v>922.221986658239</v>
      </c>
      <c r="AB198" s="161"/>
      <c r="AC198" s="158" t="n">
        <f aca="false">IF($B198=" ",0,1)*(IF($B198&gt;=AC$25,1,0)*IF($B198&lt;=AC$29,AC$27,IF($B198&lt;=AC$33,AC$31,0))*($D198-$D197)*365/1000)</f>
        <v>1591.66666666668</v>
      </c>
      <c r="AD198" s="158" t="n">
        <f aca="false">IF($B198=" ",0,IF($B198&gt;=AD$25,IF($B198&lt;=AD$29,AD$27,IF($B198&lt;=AD$33,AD$31,AD$31*(1+AD$38)^(IF(AD$36&gt;$B198,-1,1)*(YEARFRAC($B198,AD$36)))))*($D198-$D197)*365/1000,0))</f>
        <v>387.739469927891</v>
      </c>
      <c r="AE198" s="159" t="n">
        <f aca="false">IF($B198=" ",0,AE$25*(1+AE$30)^(IF(AE$28&gt;$B198,-1,1)*(YEARFRAC($B198,AE$28))))</f>
        <v>0.453585123068062</v>
      </c>
      <c r="AF198" s="159" t="n">
        <f aca="false">IF($B198=" ",0,AF$25*(1+AF$30)^(IF(AF$28&gt;$B198,-1,1)*(YEARFRAC($B198,AF$28))))</f>
        <v>0.162745313505471</v>
      </c>
      <c r="AG198" s="162" t="n">
        <f aca="false">+AC198+AD198+AF198*SUM($K198*$K$37,$M198*$M$37,$O198*$O$37)/1000</f>
        <v>2786.81698861228</v>
      </c>
      <c r="AI198" s="158" t="n">
        <f aca="false">IF($B198=" ",0,1)*IF($B198&gt;=AI$33,AI$25*($D198-$D197),0)</f>
        <v>485.186570908337</v>
      </c>
      <c r="AJ198" s="158" t="n">
        <f aca="false">IF($B198=" ",0,IF($B198&gt;=AJ$33,AJ$25*(1+AJ$30)^(IF(AJ$28&gt;$B198,-1,1)*(YEARFRAC($B198,AJ$28)))*($D198-$D197),0))</f>
        <v>544.496444955278</v>
      </c>
      <c r="AK198" s="159" t="n">
        <f aca="false">IF($B198=" ",0,AK$25*(1+AK$30)^(IF(AK$28&gt;$B198,-1,1)*(YEARFRAC($B198,AK$28))))</f>
        <v>0.031118720027878</v>
      </c>
      <c r="AL198" s="159" t="n">
        <f aca="false">IF($B198=" ",0,AL$25*AL$28)</f>
        <v>0.0575</v>
      </c>
      <c r="AM198" s="162" t="n">
        <f aca="false">+AI198+AJ198+SUM(AK198:AL198)*SUM($J198*$J$37,$K198*$K$37,$L198*$L$37,$M198*$M$37,$N198*$N$37,$O198*$O$37)/1000</f>
        <v>1469.33755768255</v>
      </c>
      <c r="AO198" s="163" t="n">
        <f aca="false">IF($B198=" ",0,$AO$25)</f>
        <v>0.25</v>
      </c>
      <c r="AP198" s="159" t="n">
        <f aca="false">IF($B198=" ",0,AP$25*AP$28)</f>
        <v>0.03105</v>
      </c>
      <c r="AQ198" s="162" t="n">
        <f aca="false">SUM(AO198:AP198)*SUM(0)/1000</f>
        <v>0</v>
      </c>
      <c r="AS198" s="155" t="n">
        <f aca="false">IF($B198=" ",0,AS$25)</f>
        <v>1</v>
      </c>
      <c r="AT198" s="156" t="n">
        <f aca="false">IF($B198=" ",0,AT$25)</f>
        <v>1</v>
      </c>
      <c r="AU198" s="156" t="n">
        <f aca="false">IF($B198=" ",0,AU$25)</f>
        <v>2.3</v>
      </c>
      <c r="AV198" s="157" t="n">
        <f aca="false">+AS198*SUM(J198:K198)/1000</f>
        <v>0</v>
      </c>
      <c r="AW198" s="157" t="n">
        <f aca="false">+AT198*SUM(L198:M198)/1000</f>
        <v>0</v>
      </c>
      <c r="AX198" s="157" t="n">
        <f aca="false">+AU198*SUM(N198:O198)/1000</f>
        <v>11537.9859375</v>
      </c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</row>
    <row r="199" customFormat="false" ht="12.75" hidden="true" customHeight="false" outlineLevel="1" collapsed="false">
      <c r="A199" s="164" t="n">
        <f aca="false">+IF(B199=" ",A198,B199)</f>
        <v>41334</v>
      </c>
      <c r="B199" s="148" t="n">
        <f aca="false">IF(B198=" "," ",IF(EDATE(B198,1)&gt;=EndDate," ",EDATE(B198,1)))</f>
        <v>41334</v>
      </c>
      <c r="C199" s="149" t="n">
        <f aca="false">IF($B199&lt;&gt;" ",C198+1,C198)</f>
        <v>149</v>
      </c>
      <c r="D199" s="150" t="n">
        <f aca="false">C199/12</f>
        <v>12.4166666666667</v>
      </c>
      <c r="F199" s="157" t="n">
        <f aca="false">+SUM($T199:$U199)</f>
        <v>14883.5779284771</v>
      </c>
      <c r="G199" s="152" t="n">
        <f aca="false">-SUM($AA199,$AG199,$AM199,$AQ199,$AV199:$AX199)</f>
        <v>-16719.3340850031</v>
      </c>
      <c r="H199" s="152" t="n">
        <f aca="false">+SUM(F199:G199)</f>
        <v>-1835.75615652596</v>
      </c>
      <c r="I199" s="124"/>
      <c r="J199" s="153" t="n">
        <f aca="false">+IF($B199=" ",0,IF(AND($B199&gt;=J$26,$B199&lt;J$28),J$33,0))</f>
        <v>0</v>
      </c>
      <c r="K199" s="153" t="n">
        <f aca="false">+IF($B199=" ",0,IF(AND($B199&gt;=K$26,$B199&lt;K$28),K$33,0))</f>
        <v>0</v>
      </c>
      <c r="L199" s="153" t="n">
        <f aca="false">+IF($B199=" ",0,IF(AND($B199&gt;=L$26,$B199&lt;L$28),L$33,0))</f>
        <v>0</v>
      </c>
      <c r="M199" s="153" t="n">
        <f aca="false">+IF($B199=" ",0,IF(AND($B199&gt;=M$26,$B199&lt;M$28),M$33,0))</f>
        <v>0</v>
      </c>
      <c r="N199" s="153" t="n">
        <f aca="false">+IF($B199=" ",0,IF(AND($B199&gt;=N$26,$B199&lt;N$28),N$33,0))</f>
        <v>0</v>
      </c>
      <c r="O199" s="154" t="n">
        <f aca="false">+IF($B199=" ",0,IF(AND($B199&gt;=O$26,$B199&lt;O$28),O$33,0))</f>
        <v>5016515.625</v>
      </c>
      <c r="Q199" s="83" t="n">
        <f aca="false">IF($B199=" ",0,IF($B199&lt;=DATE(2003,12,31),3.55,2.9))</f>
        <v>2.9</v>
      </c>
      <c r="R199" s="155" t="n">
        <f aca="false">IF($B199=" ",0,R$25)</f>
        <v>-0.07</v>
      </c>
      <c r="S199" s="156" t="n">
        <f aca="false">IF($B199=" ",0,S$25)</f>
        <v>0.1</v>
      </c>
      <c r="T199" s="157" t="n">
        <f aca="false">+SUM($Q199,$S199)/1000*(SUM($J199*$J$37,$K199*$K$37,$L199*$L$37,$M199*$M$37,$N199*$N$37,$O199*$O$37))</f>
        <v>14883.5779284771</v>
      </c>
      <c r="U199" s="157" t="n">
        <f aca="false">+SUM($Q199,$R199)/1000*(SUM(0))</f>
        <v>0</v>
      </c>
      <c r="W199" s="158" t="n">
        <f aca="false">IF($B199=" ",0,1)*(IF($B199&gt;=W$25,1,0)*IF($B199&lt;=W$29,W$27,IF($B199&lt;=W$33,W$31,0))*($D199-$D198)*365/1000)</f>
        <v>486.66666666666</v>
      </c>
      <c r="X199" s="158" t="n">
        <f aca="false">IF($B199=" ",0,IF($B199&gt;=X$25,IF($B199&lt;=X$29,X$27,IF($B199&lt;=X$33,X$31,X$31*(1+X$38)^(IF(X$36&gt;$B199,-1,1)*(YEARFRAC($B199,X$36)))))*($D199-$D198)*365/1000,0))</f>
        <v>436.155685497631</v>
      </c>
      <c r="Y199" s="159" t="n">
        <f aca="false">IF($B199=" ",0,Y$25*(1+Y$30)^(IF(Y$28&gt;$B199,-1,1)*(YEARFRAC($B199,Y$28))))</f>
        <v>0.548235653952893</v>
      </c>
      <c r="Z199" s="159" t="n">
        <f aca="false">IF($B199=" ",0,Z$25*(1+Z$30)^(IF(Z$28&gt;$B199,-1,1)*(YEARFRAC($B199,Z$28))))</f>
        <v>0.523361622586285</v>
      </c>
      <c r="AA199" s="162" t="n">
        <f aca="false">+W199+X199+Z199*SUM($J199*$J$37,$L199*$L$37,$N199*$N$37)/1000</f>
        <v>922.822352164291</v>
      </c>
      <c r="AB199" s="161"/>
      <c r="AC199" s="158" t="n">
        <f aca="false">IF($B199=" ",0,1)*(IF($B199&gt;=AC$25,1,0)*IF($B199&lt;=AC$29,AC$27,IF($B199&lt;=AC$33,AC$31,0))*($D199-$D198)*365/1000)</f>
        <v>1591.66666666664</v>
      </c>
      <c r="AD199" s="158" t="n">
        <f aca="false">IF($B199=" ",0,IF($B199&gt;=AD$25,IF($B199&lt;=AD$29,AD$27,IF($B199&lt;=AD$33,AD$31,AD$31*(1+AD$38)^(IF(AD$36&gt;$B199,-1,1)*(YEARFRAC($B199,AD$36)))))*($D199-$D198)*365/1000,0))</f>
        <v>388.273926499534</v>
      </c>
      <c r="AE199" s="159" t="n">
        <f aca="false">IF($B199=" ",0,AE$25*(1+AE$30)^(IF(AE$28&gt;$B199,-1,1)*(YEARFRAC($B199,AE$28))))</f>
        <v>0.454210340691308</v>
      </c>
      <c r="AF199" s="159" t="n">
        <f aca="false">IF($B199=" ",0,AF$25*(1+AF$30)^(IF(AF$28&gt;$B199,-1,1)*(YEARFRAC($B199,AF$28))))</f>
        <v>0.162969640170808</v>
      </c>
      <c r="AG199" s="162" t="n">
        <f aca="false">+AC199+AD199+AF199*SUM($K199*$K$37,$M199*$M$37,$O199*$O$37)/1000</f>
        <v>2788.46437298555</v>
      </c>
      <c r="AI199" s="158" t="n">
        <f aca="false">IF($B199=" ",0,1)*IF($B199&gt;=AI$33,AI$25*($D199-$D198),0)</f>
        <v>485.186570908327</v>
      </c>
      <c r="AJ199" s="158" t="n">
        <f aca="false">IF($B199=" ",0,IF($B199&gt;=AJ$33,AJ$25*(1+AJ$30)^(IF(AJ$28&gt;$B199,-1,1)*(YEARFRAC($B199,AJ$28)))*($D199-$D198),0))</f>
        <v>545.060404978146</v>
      </c>
      <c r="AK199" s="159" t="n">
        <f aca="false">IF($B199=" ",0,AK$25*(1+AK$30)^(IF(AK$28&gt;$B199,-1,1)*(YEARFRAC($B199,AK$28))))</f>
        <v>0.0311509511181293</v>
      </c>
      <c r="AL199" s="159" t="n">
        <f aca="false">IF($B199=" ",0,AL$25*AL$28)</f>
        <v>0.0575</v>
      </c>
      <c r="AM199" s="162" t="n">
        <f aca="false">+AI199+AJ199+SUM(AK199:AL199)*SUM($J199*$J$37,$K199*$K$37,$L199*$L$37,$M199*$M$37,$N199*$N$37,$O199*$O$37)/1000</f>
        <v>1470.06142235324</v>
      </c>
      <c r="AO199" s="163" t="n">
        <f aca="false">IF($B199=" ",0,$AO$25)</f>
        <v>0.25</v>
      </c>
      <c r="AP199" s="159" t="n">
        <f aca="false">IF($B199=" ",0,AP$25*AP$28)</f>
        <v>0.03105</v>
      </c>
      <c r="AQ199" s="162" t="n">
        <f aca="false">SUM(AO199:AP199)*SUM(0)/1000</f>
        <v>0</v>
      </c>
      <c r="AS199" s="155" t="n">
        <f aca="false">IF($B199=" ",0,AS$25)</f>
        <v>1</v>
      </c>
      <c r="AT199" s="156" t="n">
        <f aca="false">IF($B199=" ",0,AT$25)</f>
        <v>1</v>
      </c>
      <c r="AU199" s="156" t="n">
        <f aca="false">IF($B199=" ",0,AU$25)</f>
        <v>2.3</v>
      </c>
      <c r="AV199" s="157" t="n">
        <f aca="false">+AS199*SUM(J199:K199)/1000</f>
        <v>0</v>
      </c>
      <c r="AW199" s="157" t="n">
        <f aca="false">+AT199*SUM(L199:M199)/1000</f>
        <v>0</v>
      </c>
      <c r="AX199" s="157" t="n">
        <f aca="false">+AU199*SUM(N199:O199)/1000</f>
        <v>11537.9859375</v>
      </c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</row>
    <row r="200" customFormat="false" ht="12.75" hidden="true" customHeight="false" outlineLevel="1" collapsed="false">
      <c r="A200" s="164" t="n">
        <f aca="false">+IF(B200=" ",A199,B200)</f>
        <v>41365</v>
      </c>
      <c r="B200" s="148" t="n">
        <f aca="false">IF(B199=" "," ",IF(EDATE(B199,1)&gt;=EndDate," ",EDATE(B199,1)))</f>
        <v>41365</v>
      </c>
      <c r="C200" s="149" t="n">
        <f aca="false">IF($B200&lt;&gt;" ",C199+1,C199)</f>
        <v>150</v>
      </c>
      <c r="D200" s="150" t="n">
        <f aca="false">C200/12</f>
        <v>12.5</v>
      </c>
      <c r="F200" s="157" t="n">
        <f aca="false">+SUM($T200:$U200)</f>
        <v>14883.5779284771</v>
      </c>
      <c r="G200" s="152" t="n">
        <f aca="false">-SUM($AA200,$AG200,$AM200,$AQ200,$AV200:$AX200)</f>
        <v>-16722.3095475713</v>
      </c>
      <c r="H200" s="152" t="n">
        <f aca="false">+SUM(F200:G200)</f>
        <v>-1838.73161909415</v>
      </c>
      <c r="I200" s="124"/>
      <c r="J200" s="153" t="n">
        <f aca="false">+IF($B200=" ",0,IF(AND($B200&gt;=J$26,$B200&lt;J$28),J$33,0))</f>
        <v>0</v>
      </c>
      <c r="K200" s="153" t="n">
        <f aca="false">+IF($B200=" ",0,IF(AND($B200&gt;=K$26,$B200&lt;K$28),K$33,0))</f>
        <v>0</v>
      </c>
      <c r="L200" s="153" t="n">
        <f aca="false">+IF($B200=" ",0,IF(AND($B200&gt;=L$26,$B200&lt;L$28),L$33,0))</f>
        <v>0</v>
      </c>
      <c r="M200" s="153" t="n">
        <f aca="false">+IF($B200=" ",0,IF(AND($B200&gt;=M$26,$B200&lt;M$28),M$33,0))</f>
        <v>0</v>
      </c>
      <c r="N200" s="153" t="n">
        <f aca="false">+IF($B200=" ",0,IF(AND($B200&gt;=N$26,$B200&lt;N$28),N$33,0))</f>
        <v>0</v>
      </c>
      <c r="O200" s="154" t="n">
        <f aca="false">+IF($B200=" ",0,IF(AND($B200&gt;=O$26,$B200&lt;O$28),O$33,0))</f>
        <v>5016515.625</v>
      </c>
      <c r="Q200" s="83" t="n">
        <f aca="false">IF($B200=" ",0,IF($B200&lt;=DATE(2003,12,31),3.55,2.9))</f>
        <v>2.9</v>
      </c>
      <c r="R200" s="155" t="n">
        <f aca="false">IF($B200=" ",0,R$25)</f>
        <v>-0.07</v>
      </c>
      <c r="S200" s="156" t="n">
        <f aca="false">IF($B200=" ",0,S$25)</f>
        <v>0.1</v>
      </c>
      <c r="T200" s="157" t="n">
        <f aca="false">+SUM($Q200,$S200)/1000*(SUM($J200*$J$37,$K200*$K$37,$L200*$L$37,$M200*$M$37,$N200*$N$37,$O200*$O$37))</f>
        <v>14883.5779284771</v>
      </c>
      <c r="U200" s="157" t="n">
        <f aca="false">+SUM($Q200,$R200)/1000*(SUM(0))</f>
        <v>0</v>
      </c>
      <c r="W200" s="158" t="n">
        <f aca="false">IF($B200=" ",0,1)*(IF($B200&gt;=W$25,1,0)*IF($B200&lt;=W$29,W$27,IF($B200&lt;=W$33,W$31,0))*($D200-$D199)*365/1000)</f>
        <v>486.66666666667</v>
      </c>
      <c r="X200" s="158" t="n">
        <f aca="false">IF($B200=" ",0,IF($B200&gt;=X$25,IF($B200&lt;=X$29,X$27,IF($B200&lt;=X$33,X$31,X$31*(1+X$38)^(IF(X$36&gt;$B200,-1,1)*(YEARFRAC($B200,X$36)))))*($D200-$D199)*365/1000,0))</f>
        <v>436.756878542085</v>
      </c>
      <c r="Y200" s="159" t="n">
        <f aca="false">IF($B200=" ",0,Y$25*(1+Y$30)^(IF(Y$28&gt;$B200,-1,1)*(YEARFRAC($B200,Y$28))))</f>
        <v>0.548991337010187</v>
      </c>
      <c r="Z200" s="159" t="n">
        <f aca="false">IF($B200=" ",0,Z$25*(1+Z$30)^(IF(Z$28&gt;$B200,-1,1)*(YEARFRAC($B200,Z$28))))</f>
        <v>0.524083019504152</v>
      </c>
      <c r="AA200" s="162" t="n">
        <f aca="false">+W200+X200+Z200*SUM($J200*$J$37,$L200*$L$37,$N200*$N$37)/1000</f>
        <v>923.423545208755</v>
      </c>
      <c r="AB200" s="161"/>
      <c r="AC200" s="158" t="n">
        <f aca="false">IF($B200=" ",0,1)*(IF($B200&gt;=AC$25,1,0)*IF($B200&lt;=AC$29,AC$27,IF($B200&lt;=AC$33,AC$31,0))*($D200-$D199)*365/1000)</f>
        <v>1591.66666666668</v>
      </c>
      <c r="AD200" s="158" t="n">
        <f aca="false">IF($B200=" ",0,IF($B200&gt;=AD$25,IF($B200&lt;=AD$29,AD$27,IF($B200&lt;=AD$33,AD$31,AD$31*(1+AD$38)^(IF(AD$36&gt;$B200,-1,1)*(YEARFRAC($B200,AD$36)))))*($D200-$D199)*365/1000,0))</f>
        <v>388.809119761289</v>
      </c>
      <c r="AE200" s="159" t="n">
        <f aca="false">IF($B200=" ",0,AE$25*(1+AE$30)^(IF(AE$28&gt;$B200,-1,1)*(YEARFRAC($B200,AE$28))))</f>
        <v>0.45483642010886</v>
      </c>
      <c r="AF200" s="159" t="n">
        <f aca="false">IF($B200=" ",0,AF$25*(1+AF$30)^(IF(AF$28&gt;$B200,-1,1)*(YEARFRAC($B200,AF$28))))</f>
        <v>0.163194276045988</v>
      </c>
      <c r="AG200" s="162" t="n">
        <f aca="false">+AC200+AD200+AF200*SUM($K200*$K$37,$M200*$M$37,$O200*$O$37)/1000</f>
        <v>2790.11402809859</v>
      </c>
      <c r="AI200" s="158" t="n">
        <f aca="false">IF($B200=" ",0,1)*IF($B200&gt;=AI$33,AI$25*($D200-$D199),0)</f>
        <v>485.186570908337</v>
      </c>
      <c r="AJ200" s="158" t="n">
        <f aca="false">IF($B200=" ",0,IF($B200&gt;=AJ$33,AJ$25*(1+AJ$30)^(IF(AJ$28&gt;$B200,-1,1)*(YEARFRAC($B200,AJ$28)))*($D200-$D199),0))</f>
        <v>545.624949120384</v>
      </c>
      <c r="AK200" s="159" t="n">
        <f aca="false">IF($B200=" ",0,AK$25*(1+AK$30)^(IF(AK$28&gt;$B200,-1,1)*(YEARFRAC($B200,AK$28))))</f>
        <v>0.031183215591604</v>
      </c>
      <c r="AL200" s="159" t="n">
        <f aca="false">IF($B200=" ",0,AL$25*AL$28)</f>
        <v>0.0575</v>
      </c>
      <c r="AM200" s="162" t="n">
        <f aca="false">+AI200+AJ200+SUM(AK200:AL200)*SUM($J200*$J$37,$K200*$K$37,$L200*$L$37,$M200*$M$37,$N200*$N$37,$O200*$O$37)/1000</f>
        <v>1470.78603676391</v>
      </c>
      <c r="AO200" s="163" t="n">
        <f aca="false">IF($B200=" ",0,$AO$25)</f>
        <v>0.25</v>
      </c>
      <c r="AP200" s="159" t="n">
        <f aca="false">IF($B200=" ",0,AP$25*AP$28)</f>
        <v>0.03105</v>
      </c>
      <c r="AQ200" s="162" t="n">
        <f aca="false">SUM(AO200:AP200)*SUM(0)/1000</f>
        <v>0</v>
      </c>
      <c r="AS200" s="155" t="n">
        <f aca="false">IF($B200=" ",0,AS$25)</f>
        <v>1</v>
      </c>
      <c r="AT200" s="156" t="n">
        <f aca="false">IF($B200=" ",0,AT$25)</f>
        <v>1</v>
      </c>
      <c r="AU200" s="156" t="n">
        <f aca="false">IF($B200=" ",0,AU$25)</f>
        <v>2.3</v>
      </c>
      <c r="AV200" s="157" t="n">
        <f aca="false">+AS200*SUM(J200:K200)/1000</f>
        <v>0</v>
      </c>
      <c r="AW200" s="157" t="n">
        <f aca="false">+AT200*SUM(L200:M200)/1000</f>
        <v>0</v>
      </c>
      <c r="AX200" s="157" t="n">
        <f aca="false">+AU200*SUM(N200:O200)/1000</f>
        <v>11537.9859375</v>
      </c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</row>
    <row r="201" customFormat="false" ht="12.75" hidden="true" customHeight="false" outlineLevel="1" collapsed="false">
      <c r="A201" s="164" t="n">
        <f aca="false">+IF(B201=" ",A200,B201)</f>
        <v>41395</v>
      </c>
      <c r="B201" s="148" t="n">
        <f aca="false">IF(B200=" "," ",IF(EDATE(B200,1)&gt;=EndDate," ",EDATE(B200,1)))</f>
        <v>41395</v>
      </c>
      <c r="C201" s="149" t="n">
        <f aca="false">IF($B201&lt;&gt;" ",C200+1,C200)</f>
        <v>151</v>
      </c>
      <c r="D201" s="150" t="n">
        <f aca="false">C201/12</f>
        <v>12.5833333333333</v>
      </c>
      <c r="F201" s="157" t="n">
        <f aca="false">+SUM($T201:$U201)</f>
        <v>14883.5779284771</v>
      </c>
      <c r="G201" s="152" t="n">
        <f aca="false">-SUM($AA201,$AG201,$AM201,$AQ201,$AV201:$AX201)</f>
        <v>-16725.2888632046</v>
      </c>
      <c r="H201" s="152" t="n">
        <f aca="false">+SUM(F201:G201)</f>
        <v>-1841.71093472744</v>
      </c>
      <c r="I201" s="124"/>
      <c r="J201" s="153" t="n">
        <f aca="false">+IF($B201=" ",0,IF(AND($B201&gt;=J$26,$B201&lt;J$28),J$33,0))</f>
        <v>0</v>
      </c>
      <c r="K201" s="153" t="n">
        <f aca="false">+IF($B201=" ",0,IF(AND($B201&gt;=K$26,$B201&lt;K$28),K$33,0))</f>
        <v>0</v>
      </c>
      <c r="L201" s="153" t="n">
        <f aca="false">+IF($B201=" ",0,IF(AND($B201&gt;=L$26,$B201&lt;L$28),L$33,0))</f>
        <v>0</v>
      </c>
      <c r="M201" s="153" t="n">
        <f aca="false">+IF($B201=" ",0,IF(AND($B201&gt;=M$26,$B201&lt;M$28),M$33,0))</f>
        <v>0</v>
      </c>
      <c r="N201" s="153" t="n">
        <f aca="false">+IF($B201=" ",0,IF(AND($B201&gt;=N$26,$B201&lt;N$28),N$33,0))</f>
        <v>0</v>
      </c>
      <c r="O201" s="154" t="n">
        <f aca="false">+IF($B201=" ",0,IF(AND($B201&gt;=O$26,$B201&lt;O$28),O$33,0))</f>
        <v>5016515.625</v>
      </c>
      <c r="Q201" s="83" t="n">
        <f aca="false">IF($B201=" ",0,IF($B201&lt;=DATE(2003,12,31),3.55,2.9))</f>
        <v>2.9</v>
      </c>
      <c r="R201" s="155" t="n">
        <f aca="false">IF($B201=" ",0,R$25)</f>
        <v>-0.07</v>
      </c>
      <c r="S201" s="156" t="n">
        <f aca="false">IF($B201=" ",0,S$25)</f>
        <v>0.1</v>
      </c>
      <c r="T201" s="157" t="n">
        <f aca="false">+SUM($Q201,$S201)/1000*(SUM($J201*$J$37,$K201*$K$37,$L201*$L$37,$M201*$M$37,$N201*$N$37,$O201*$O$37))</f>
        <v>14883.5779284771</v>
      </c>
      <c r="U201" s="157" t="n">
        <f aca="false">+SUM($Q201,$R201)/1000*(SUM(0))</f>
        <v>0</v>
      </c>
      <c r="W201" s="158" t="n">
        <f aca="false">IF($B201=" ",0,1)*(IF($B201&gt;=W$25,1,0)*IF($B201&lt;=W$29,W$27,IF($B201&lt;=W$33,W$31,0))*($D201-$D200)*365/1000)</f>
        <v>486.66666666667</v>
      </c>
      <c r="X201" s="158" t="n">
        <f aca="false">IF($B201=" ",0,IF($B201&gt;=X$25,IF($B201&lt;=X$29,X$27,IF($B201&lt;=X$33,X$31,X$31*(1+X$38)^(IF(X$36&gt;$B201,-1,1)*(YEARFRAC($B201,X$36)))))*($D201-$D200)*365/1000,0))</f>
        <v>437.358900265575</v>
      </c>
      <c r="Y201" s="159" t="n">
        <f aca="false">IF($B201=" ",0,Y$25*(1+Y$30)^(IF(Y$28&gt;$B201,-1,1)*(YEARFRAC($B201,Y$28))))</f>
        <v>0.549748061694159</v>
      </c>
      <c r="Z201" s="159" t="n">
        <f aca="false">IF($B201=" ",0,Z$25*(1+Z$30)^(IF(Z$28&gt;$B201,-1,1)*(YEARFRAC($B201,Z$28))))</f>
        <v>0.524805410788994</v>
      </c>
      <c r="AA201" s="162" t="n">
        <f aca="false">+W201+X201+Z201*SUM($J201*$J$37,$L201*$L$37,$N201*$N$37)/1000</f>
        <v>924.025566932245</v>
      </c>
      <c r="AB201" s="161"/>
      <c r="AC201" s="158" t="n">
        <f aca="false">IF($B201=" ",0,1)*(IF($B201&gt;=AC$25,1,0)*IF($B201&lt;=AC$29,AC$27,IF($B201&lt;=AC$33,AC$31,0))*($D201-$D200)*365/1000)</f>
        <v>1591.66666666668</v>
      </c>
      <c r="AD201" s="158" t="n">
        <f aca="false">IF($B201=" ",0,IF($B201&gt;=AD$25,IF($B201&lt;=AD$29,AD$27,IF($B201&lt;=AD$33,AD$31,AD$31*(1+AD$38)^(IF(AD$36&gt;$B201,-1,1)*(YEARFRAC($B201,AD$36)))))*($D201-$D200)*365/1000,0))</f>
        <v>389.345050728578</v>
      </c>
      <c r="AE201" s="159" t="n">
        <f aca="false">IF($B201=" ",0,AE$25*(1+AE$30)^(IF(AE$28&gt;$B201,-1,1)*(YEARFRAC($B201,AE$28))))</f>
        <v>0.455463362508608</v>
      </c>
      <c r="AF201" s="159" t="n">
        <f aca="false">IF($B201=" ",0,AF$25*(1+AF$30)^(IF(AF$28&gt;$B201,-1,1)*(YEARFRAC($B201,AF$28))))</f>
        <v>0.163419221557223</v>
      </c>
      <c r="AG201" s="162" t="n">
        <f aca="false">+AC201+AD201+AF201*SUM($K201*$K$37,$M201*$M$37,$O201*$O$37)/1000</f>
        <v>2791.76595708125</v>
      </c>
      <c r="AI201" s="158" t="n">
        <f aca="false">IF($B201=" ",0,1)*IF($B201&gt;=AI$33,AI$25*($D201-$D200),0)</f>
        <v>485.186570908337</v>
      </c>
      <c r="AJ201" s="158" t="n">
        <f aca="false">IF($B201=" ",0,IF($B201&gt;=AJ$33,AJ$25*(1+AJ$30)^(IF(AJ$28&gt;$B201,-1,1)*(YEARFRAC($B201,AJ$28)))*($D201-$D200),0))</f>
        <v>546.190077986955</v>
      </c>
      <c r="AK201" s="159" t="n">
        <f aca="false">IF($B201=" ",0,AK$25*(1+AK$30)^(IF(AK$28&gt;$B201,-1,1)*(YEARFRAC($B201,AK$28))))</f>
        <v>0.0312155134828785</v>
      </c>
      <c r="AL201" s="159" t="n">
        <f aca="false">IF($B201=" ",0,AL$25*AL$28)</f>
        <v>0.0575</v>
      </c>
      <c r="AM201" s="162" t="n">
        <f aca="false">+AI201+AJ201+SUM(AK201:AL201)*SUM($J201*$J$37,$K201*$K$37,$L201*$L$37,$M201*$M$37,$N201*$N$37,$O201*$O$37)/1000</f>
        <v>1471.51140169105</v>
      </c>
      <c r="AO201" s="163" t="n">
        <f aca="false">IF($B201=" ",0,$AO$25)</f>
        <v>0.25</v>
      </c>
      <c r="AP201" s="159" t="n">
        <f aca="false">IF($B201=" ",0,AP$25*AP$28)</f>
        <v>0.03105</v>
      </c>
      <c r="AQ201" s="162" t="n">
        <f aca="false">SUM(AO201:AP201)*SUM(0)/1000</f>
        <v>0</v>
      </c>
      <c r="AS201" s="155" t="n">
        <f aca="false">IF($B201=" ",0,AS$25)</f>
        <v>1</v>
      </c>
      <c r="AT201" s="156" t="n">
        <f aca="false">IF($B201=" ",0,AT$25)</f>
        <v>1</v>
      </c>
      <c r="AU201" s="156" t="n">
        <f aca="false">IF($B201=" ",0,AU$25)</f>
        <v>2.3</v>
      </c>
      <c r="AV201" s="157" t="n">
        <f aca="false">+AS201*SUM(J201:K201)/1000</f>
        <v>0</v>
      </c>
      <c r="AW201" s="157" t="n">
        <f aca="false">+AT201*SUM(L201:M201)/1000</f>
        <v>0</v>
      </c>
      <c r="AX201" s="157" t="n">
        <f aca="false">+AU201*SUM(N201:O201)/1000</f>
        <v>11537.9859375</v>
      </c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</row>
    <row r="202" customFormat="false" ht="12.75" hidden="true" customHeight="false" outlineLevel="1" collapsed="false">
      <c r="A202" s="164" t="n">
        <f aca="false">+IF(B202=" ",A201,B202)</f>
        <v>41426</v>
      </c>
      <c r="B202" s="148" t="n">
        <f aca="false">IF(B201=" "," ",IF(EDATE(B201,1)&gt;=EndDate," ",EDATE(B201,1)))</f>
        <v>41426</v>
      </c>
      <c r="C202" s="149" t="n">
        <f aca="false">IF($B202&lt;&gt;" ",C201+1,C201)</f>
        <v>152</v>
      </c>
      <c r="D202" s="150" t="n">
        <f aca="false">C202/12</f>
        <v>12.6666666666667</v>
      </c>
      <c r="F202" s="157" t="n">
        <f aca="false">+SUM($T202:$U202)</f>
        <v>14883.5779284771</v>
      </c>
      <c r="G202" s="152" t="n">
        <f aca="false">-SUM($AA202,$AG202,$AM202,$AQ202,$AV202:$AX202)</f>
        <v>-16728.2720369568</v>
      </c>
      <c r="H202" s="152" t="n">
        <f aca="false">+SUM(F202:G202)</f>
        <v>-1844.69410847971</v>
      </c>
      <c r="I202" s="124"/>
      <c r="J202" s="153" t="n">
        <f aca="false">+IF($B202=" ",0,IF(AND($B202&gt;=J$26,$B202&lt;J$28),J$33,0))</f>
        <v>0</v>
      </c>
      <c r="K202" s="153" t="n">
        <f aca="false">+IF($B202=" ",0,IF(AND($B202&gt;=K$26,$B202&lt;K$28),K$33,0))</f>
        <v>0</v>
      </c>
      <c r="L202" s="153" t="n">
        <f aca="false">+IF($B202=" ",0,IF(AND($B202&gt;=L$26,$B202&lt;L$28),L$33,0))</f>
        <v>0</v>
      </c>
      <c r="M202" s="153" t="n">
        <f aca="false">+IF($B202=" ",0,IF(AND($B202&gt;=M$26,$B202&lt;M$28),M$33,0))</f>
        <v>0</v>
      </c>
      <c r="N202" s="153" t="n">
        <f aca="false">+IF($B202=" ",0,IF(AND($B202&gt;=N$26,$B202&lt;N$28),N$33,0))</f>
        <v>0</v>
      </c>
      <c r="O202" s="154" t="n">
        <f aca="false">+IF($B202=" ",0,IF(AND($B202&gt;=O$26,$B202&lt;O$28),O$33,0))</f>
        <v>5016515.625</v>
      </c>
      <c r="Q202" s="83" t="n">
        <f aca="false">IF($B202=" ",0,IF($B202&lt;=DATE(2003,12,31),3.55,2.9))</f>
        <v>2.9</v>
      </c>
      <c r="R202" s="155" t="n">
        <f aca="false">IF($B202=" ",0,R$25)</f>
        <v>-0.07</v>
      </c>
      <c r="S202" s="156" t="n">
        <f aca="false">IF($B202=" ",0,S$25)</f>
        <v>0.1</v>
      </c>
      <c r="T202" s="157" t="n">
        <f aca="false">+SUM($Q202,$S202)/1000*(SUM($J202*$J$37,$K202*$K$37,$L202*$L$37,$M202*$M$37,$N202*$N$37,$O202*$O$37))</f>
        <v>14883.5779284771</v>
      </c>
      <c r="U202" s="157" t="n">
        <f aca="false">+SUM($Q202,$R202)/1000*(SUM(0))</f>
        <v>0</v>
      </c>
      <c r="W202" s="158" t="n">
        <f aca="false">IF($B202=" ",0,1)*(IF($B202&gt;=W$25,1,0)*IF($B202&lt;=W$29,W$27,IF($B202&lt;=W$33,W$31,0))*($D202-$D201)*365/1000)</f>
        <v>486.66666666666</v>
      </c>
      <c r="X202" s="158" t="n">
        <f aca="false">IF($B202=" ",0,IF($B202&gt;=X$25,IF($B202&lt;=X$29,X$27,IF($B202&lt;=X$33,X$31,X$31*(1+X$38)^(IF(X$36&gt;$B202,-1,1)*(YEARFRAC($B202,X$36)))))*($D202-$D201)*365/1000,0))</f>
        <v>437.961751810343</v>
      </c>
      <c r="Y202" s="159" t="n">
        <f aca="false">IF($B202=" ",0,Y$25*(1+Y$30)^(IF(Y$28&gt;$B202,-1,1)*(YEARFRAC($B202,Y$28))))</f>
        <v>0.550505829440579</v>
      </c>
      <c r="Z202" s="159" t="n">
        <f aca="false">IF($B202=" ",0,Z$25*(1+Z$30)^(IF(Z$28&gt;$B202,-1,1)*(YEARFRAC($B202,Z$28))))</f>
        <v>0.525528797811436</v>
      </c>
      <c r="AA202" s="162" t="n">
        <f aca="false">+W202+X202+Z202*SUM($J202*$J$37,$L202*$L$37,$N202*$N$37)/1000</f>
        <v>924.628418477002</v>
      </c>
      <c r="AB202" s="161"/>
      <c r="AC202" s="158" t="n">
        <f aca="false">IF($B202=" ",0,1)*(IF($B202&gt;=AC$25,1,0)*IF($B202&lt;=AC$29,AC$27,IF($B202&lt;=AC$33,AC$31,0))*($D202-$D201)*365/1000)</f>
        <v>1591.66666666664</v>
      </c>
      <c r="AD202" s="158" t="n">
        <f aca="false">IF($B202=" ",0,IF($B202&gt;=AD$25,IF($B202&lt;=AD$29,AD$27,IF($B202&lt;=AD$33,AD$31,AD$31*(1+AD$38)^(IF(AD$36&gt;$B202,-1,1)*(YEARFRAC($B202,AD$36)))))*($D202-$D201)*365/1000,0))</f>
        <v>389.881720418247</v>
      </c>
      <c r="AE202" s="159" t="n">
        <f aca="false">IF($B202=" ",0,AE$25*(1+AE$30)^(IF(AE$28&gt;$B202,-1,1)*(YEARFRAC($B202,AE$28))))</f>
        <v>0.456091169080079</v>
      </c>
      <c r="AF202" s="159" t="n">
        <f aca="false">IF($B202=" ",0,AF$25*(1+AF$30)^(IF(AF$28&gt;$B202,-1,1)*(YEARFRAC($B202,AF$28))))</f>
        <v>0.163644477131311</v>
      </c>
      <c r="AG202" s="162" t="n">
        <f aca="false">+AC202+AD202+AF202*SUM($K202*$K$37,$M202*$M$37,$O202*$O$37)/1000</f>
        <v>2793.42016306781</v>
      </c>
      <c r="AI202" s="158" t="n">
        <f aca="false">IF($B202=" ",0,1)*IF($B202&gt;=AI$33,AI$25*($D202-$D201),0)</f>
        <v>485.186570908327</v>
      </c>
      <c r="AJ202" s="158" t="n">
        <f aca="false">IF($B202=" ",0,IF($B202&gt;=AJ$33,AJ$25*(1+AJ$30)^(IF(AJ$28&gt;$B202,-1,1)*(YEARFRAC($B202,AJ$28)))*($D202-$D201),0))</f>
        <v>546.755792183487</v>
      </c>
      <c r="AK202" s="159" t="n">
        <f aca="false">IF($B202=" ",0,AK$25*(1+AK$30)^(IF(AK$28&gt;$B202,-1,1)*(YEARFRAC($B202,AK$28))))</f>
        <v>0.0312478448265652</v>
      </c>
      <c r="AL202" s="159" t="n">
        <f aca="false">IF($B202=" ",0,AL$25*AL$28)</f>
        <v>0.0575</v>
      </c>
      <c r="AM202" s="162" t="n">
        <f aca="false">+AI202+AJ202+SUM(AK202:AL202)*SUM($J202*$J$37,$K202*$K$37,$L202*$L$37,$M202*$M$37,$N202*$N$37,$O202*$O$37)/1000</f>
        <v>1472.23751791201</v>
      </c>
      <c r="AO202" s="163" t="n">
        <f aca="false">IF($B202=" ",0,$AO$25)</f>
        <v>0.25</v>
      </c>
      <c r="AP202" s="159" t="n">
        <f aca="false">IF($B202=" ",0,AP$25*AP$28)</f>
        <v>0.03105</v>
      </c>
      <c r="AQ202" s="162" t="n">
        <f aca="false">SUM(AO202:AP202)*SUM(0)/1000</f>
        <v>0</v>
      </c>
      <c r="AS202" s="155" t="n">
        <f aca="false">IF($B202=" ",0,AS$25)</f>
        <v>1</v>
      </c>
      <c r="AT202" s="156" t="n">
        <f aca="false">IF($B202=" ",0,AT$25)</f>
        <v>1</v>
      </c>
      <c r="AU202" s="156" t="n">
        <f aca="false">IF($B202=" ",0,AU$25)</f>
        <v>2.3</v>
      </c>
      <c r="AV202" s="157" t="n">
        <f aca="false">+AS202*SUM(J202:K202)/1000</f>
        <v>0</v>
      </c>
      <c r="AW202" s="157" t="n">
        <f aca="false">+AT202*SUM(L202:M202)/1000</f>
        <v>0</v>
      </c>
      <c r="AX202" s="157" t="n">
        <f aca="false">+AU202*SUM(N202:O202)/1000</f>
        <v>11537.9859375</v>
      </c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</row>
    <row r="203" customFormat="false" ht="12.75" hidden="true" customHeight="false" outlineLevel="1" collapsed="false">
      <c r="A203" s="164" t="n">
        <f aca="false">+IF(B203=" ",A202,B203)</f>
        <v>41456</v>
      </c>
      <c r="B203" s="148" t="n">
        <f aca="false">IF(B202=" "," ",IF(EDATE(B202,1)&gt;=EndDate," ",EDATE(B202,1)))</f>
        <v>41456</v>
      </c>
      <c r="C203" s="149" t="n">
        <f aca="false">IF($B203&lt;&gt;" ",C202+1,C202)</f>
        <v>153</v>
      </c>
      <c r="D203" s="150" t="n">
        <f aca="false">C203/12</f>
        <v>12.75</v>
      </c>
      <c r="F203" s="157" t="n">
        <f aca="false">+SUM($T203:$U203)</f>
        <v>14883.5779284771</v>
      </c>
      <c r="G203" s="152" t="n">
        <f aca="false">-SUM($AA203,$AG203,$AM203,$AQ203,$AV203:$AX203)</f>
        <v>-16731.2590738889</v>
      </c>
      <c r="H203" s="152" t="n">
        <f aca="false">+SUM(F203:G203)</f>
        <v>-1847.68114541177</v>
      </c>
      <c r="I203" s="124"/>
      <c r="J203" s="153" t="n">
        <f aca="false">+IF($B203=" ",0,IF(AND($B203&gt;=J$26,$B203&lt;J$28),J$33,0))</f>
        <v>0</v>
      </c>
      <c r="K203" s="153" t="n">
        <f aca="false">+IF($B203=" ",0,IF(AND($B203&gt;=K$26,$B203&lt;K$28),K$33,0))</f>
        <v>0</v>
      </c>
      <c r="L203" s="153" t="n">
        <f aca="false">+IF($B203=" ",0,IF(AND($B203&gt;=L$26,$B203&lt;L$28),L$33,0))</f>
        <v>0</v>
      </c>
      <c r="M203" s="153" t="n">
        <f aca="false">+IF($B203=" ",0,IF(AND($B203&gt;=M$26,$B203&lt;M$28),M$33,0))</f>
        <v>0</v>
      </c>
      <c r="N203" s="153" t="n">
        <f aca="false">+IF($B203=" ",0,IF(AND($B203&gt;=N$26,$B203&lt;N$28),N$33,0))</f>
        <v>0</v>
      </c>
      <c r="O203" s="154" t="n">
        <f aca="false">+IF($B203=" ",0,IF(AND($B203&gt;=O$26,$B203&lt;O$28),O$33,0))</f>
        <v>5016515.625</v>
      </c>
      <c r="Q203" s="83" t="n">
        <f aca="false">IF($B203=" ",0,IF($B203&lt;=DATE(2003,12,31),3.55,2.9))</f>
        <v>2.9</v>
      </c>
      <c r="R203" s="155" t="n">
        <f aca="false">IF($B203=" ",0,R$25)</f>
        <v>-0.07</v>
      </c>
      <c r="S203" s="156" t="n">
        <f aca="false">IF($B203=" ",0,S$25)</f>
        <v>0.1</v>
      </c>
      <c r="T203" s="157" t="n">
        <f aca="false">+SUM($Q203,$S203)/1000*(SUM($J203*$J$37,$K203*$K$37,$L203*$L$37,$M203*$M$37,$N203*$N$37,$O203*$O$37))</f>
        <v>14883.5779284771</v>
      </c>
      <c r="U203" s="157" t="n">
        <f aca="false">+SUM($Q203,$R203)/1000*(SUM(0))</f>
        <v>0</v>
      </c>
      <c r="W203" s="158" t="n">
        <f aca="false">IF($B203=" ",0,1)*(IF($B203&gt;=W$25,1,0)*IF($B203&lt;=W$29,W$27,IF($B203&lt;=W$33,W$31,0))*($D203-$D202)*365/1000)</f>
        <v>486.66666666667</v>
      </c>
      <c r="X203" s="158" t="n">
        <f aca="false">IF($B203=" ",0,IF($B203&gt;=X$25,IF($B203&lt;=X$29,X$27,IF($B203&lt;=X$33,X$31,X$31*(1+X$38)^(IF(X$36&gt;$B203,-1,1)*(YEARFRAC($B203,X$36)))))*($D203-$D202)*365/1000,0))</f>
        <v>438.565434320236</v>
      </c>
      <c r="Y203" s="159" t="n">
        <f aca="false">IF($B203=" ",0,Y$25*(1+Y$30)^(IF(Y$28&gt;$B203,-1,1)*(YEARFRAC($B203,Y$28))))</f>
        <v>0.551264641687193</v>
      </c>
      <c r="Z203" s="159" t="n">
        <f aca="false">IF($B203=" ",0,Z$25*(1+Z$30)^(IF(Z$28&gt;$B203,-1,1)*(YEARFRAC($B203,Z$28))))</f>
        <v>0.526253181943994</v>
      </c>
      <c r="AA203" s="162" t="n">
        <f aca="false">+W203+X203+Z203*SUM($J203*$J$37,$L203*$L$37,$N203*$N$37)/1000</f>
        <v>925.232100986906</v>
      </c>
      <c r="AB203" s="161"/>
      <c r="AC203" s="158" t="n">
        <f aca="false">IF($B203=" ",0,1)*(IF($B203&gt;=AC$25,1,0)*IF($B203&lt;=AC$29,AC$27,IF($B203&lt;=AC$33,AC$31,0))*($D203-$D202)*365/1000)</f>
        <v>1591.66666666668</v>
      </c>
      <c r="AD203" s="158" t="n">
        <f aca="false">IF($B203=" ",0,IF($B203&gt;=AD$25,IF($B203&lt;=AD$29,AD$27,IF($B203&lt;=AD$33,AD$31,AD$31*(1+AD$38)^(IF(AD$36&gt;$B203,-1,1)*(YEARFRAC($B203,AD$36)))))*($D203-$D202)*365/1000,0))</f>
        <v>390.41912984857</v>
      </c>
      <c r="AE203" s="159" t="n">
        <f aca="false">IF($B203=" ",0,AE$25*(1+AE$30)^(IF(AE$28&gt;$B203,-1,1)*(YEARFRAC($B203,AE$28))))</f>
        <v>0.456719841014438</v>
      </c>
      <c r="AF203" s="159" t="n">
        <f aca="false">IF($B203=" ",0,AF$25*(1+AF$30)^(IF(AF$28&gt;$B203,-1,1)*(YEARFRAC($B203,AF$28))))</f>
        <v>0.163870043195642</v>
      </c>
      <c r="AG203" s="162" t="n">
        <f aca="false">+AC203+AD203+AF203*SUM($K203*$K$37,$M203*$M$37,$O203*$O$37)/1000</f>
        <v>2795.076649197</v>
      </c>
      <c r="AI203" s="158" t="n">
        <f aca="false">IF($B203=" ",0,1)*IF($B203&gt;=AI$33,AI$25*($D203-$D202),0)</f>
        <v>485.186570908337</v>
      </c>
      <c r="AJ203" s="158" t="n">
        <f aca="false">IF($B203=" ",0,IF($B203&gt;=AJ$33,AJ$25*(1+AJ$30)^(IF(AJ$28&gt;$B203,-1,1)*(YEARFRAC($B203,AJ$28)))*($D203-$D202),0))</f>
        <v>547.322092316266</v>
      </c>
      <c r="AK203" s="159" t="n">
        <f aca="false">IF($B203=" ",0,AK$25*(1+AK$30)^(IF(AK$28&gt;$B203,-1,1)*(YEARFRAC($B203,AK$28))))</f>
        <v>0.0312802096573122</v>
      </c>
      <c r="AL203" s="159" t="n">
        <f aca="false">IF($B203=" ",0,AL$25*AL$28)</f>
        <v>0.0575</v>
      </c>
      <c r="AM203" s="162" t="n">
        <f aca="false">+AI203+AJ203+SUM(AK203:AL203)*SUM($J203*$J$37,$K203*$K$37,$L203*$L$37,$M203*$M$37,$N203*$N$37,$O203*$O$37)/1000</f>
        <v>1472.96438620498</v>
      </c>
      <c r="AO203" s="163" t="n">
        <f aca="false">IF($B203=" ",0,$AO$25)</f>
        <v>0.25</v>
      </c>
      <c r="AP203" s="159" t="n">
        <f aca="false">IF($B203=" ",0,AP$25*AP$28)</f>
        <v>0.03105</v>
      </c>
      <c r="AQ203" s="162" t="n">
        <f aca="false">SUM(AO203:AP203)*SUM(0)/1000</f>
        <v>0</v>
      </c>
      <c r="AS203" s="155" t="n">
        <f aca="false">IF($B203=" ",0,AS$25)</f>
        <v>1</v>
      </c>
      <c r="AT203" s="156" t="n">
        <f aca="false">IF($B203=" ",0,AT$25)</f>
        <v>1</v>
      </c>
      <c r="AU203" s="156" t="n">
        <f aca="false">IF($B203=" ",0,AU$25)</f>
        <v>2.3</v>
      </c>
      <c r="AV203" s="157" t="n">
        <f aca="false">+AS203*SUM(J203:K203)/1000</f>
        <v>0</v>
      </c>
      <c r="AW203" s="157" t="n">
        <f aca="false">+AT203*SUM(L203:M203)/1000</f>
        <v>0</v>
      </c>
      <c r="AX203" s="157" t="n">
        <f aca="false">+AU203*SUM(N203:O203)/1000</f>
        <v>11537.9859375</v>
      </c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</row>
    <row r="204" customFormat="false" ht="12.75" hidden="true" customHeight="false" outlineLevel="1" collapsed="false">
      <c r="A204" s="164" t="n">
        <f aca="false">+IF(B204=" ",A203,B204)</f>
        <v>41487</v>
      </c>
      <c r="B204" s="148" t="n">
        <f aca="false">IF(B203=" "," ",IF(EDATE(B203,1)&gt;=EndDate," ",EDATE(B203,1)))</f>
        <v>41487</v>
      </c>
      <c r="C204" s="149" t="n">
        <f aca="false">IF($B204&lt;&gt;" ",C203+1,C203)</f>
        <v>154</v>
      </c>
      <c r="D204" s="150" t="n">
        <f aca="false">C204/12</f>
        <v>12.8333333333333</v>
      </c>
      <c r="F204" s="157" t="n">
        <f aca="false">+SUM($T204:$U204)</f>
        <v>14883.5779284771</v>
      </c>
      <c r="G204" s="152" t="n">
        <f aca="false">-SUM($AA204,$AG204,$AM204,$AQ204,$AV204:$AX204)</f>
        <v>-16734.2499790678</v>
      </c>
      <c r="H204" s="152" t="n">
        <f aca="false">+SUM(F204:G204)</f>
        <v>-1850.67205059066</v>
      </c>
      <c r="I204" s="124"/>
      <c r="J204" s="153" t="n">
        <f aca="false">+IF($B204=" ",0,IF(AND($B204&gt;=J$26,$B204&lt;J$28),J$33,0))</f>
        <v>0</v>
      </c>
      <c r="K204" s="153" t="n">
        <f aca="false">+IF($B204=" ",0,IF(AND($B204&gt;=K$26,$B204&lt;K$28),K$33,0))</f>
        <v>0</v>
      </c>
      <c r="L204" s="153" t="n">
        <f aca="false">+IF($B204=" ",0,IF(AND($B204&gt;=L$26,$B204&lt;L$28),L$33,0))</f>
        <v>0</v>
      </c>
      <c r="M204" s="153" t="n">
        <f aca="false">+IF($B204=" ",0,IF(AND($B204&gt;=M$26,$B204&lt;M$28),M$33,0))</f>
        <v>0</v>
      </c>
      <c r="N204" s="153" t="n">
        <f aca="false">+IF($B204=" ",0,IF(AND($B204&gt;=N$26,$B204&lt;N$28),N$33,0))</f>
        <v>0</v>
      </c>
      <c r="O204" s="154" t="n">
        <f aca="false">+IF($B204=" ",0,IF(AND($B204&gt;=O$26,$B204&lt;O$28),O$33,0))</f>
        <v>5016515.625</v>
      </c>
      <c r="Q204" s="83" t="n">
        <f aca="false">IF($B204=" ",0,IF($B204&lt;=DATE(2003,12,31),3.55,2.9))</f>
        <v>2.9</v>
      </c>
      <c r="R204" s="155" t="n">
        <f aca="false">IF($B204=" ",0,R$25)</f>
        <v>-0.07</v>
      </c>
      <c r="S204" s="156" t="n">
        <f aca="false">IF($B204=" ",0,S$25)</f>
        <v>0.1</v>
      </c>
      <c r="T204" s="157" t="n">
        <f aca="false">+SUM($Q204,$S204)/1000*(SUM($J204*$J$37,$K204*$K$37,$L204*$L$37,$M204*$M$37,$N204*$N$37,$O204*$O$37))</f>
        <v>14883.5779284771</v>
      </c>
      <c r="U204" s="157" t="n">
        <f aca="false">+SUM($Q204,$R204)/1000*(SUM(0))</f>
        <v>0</v>
      </c>
      <c r="W204" s="158" t="n">
        <f aca="false">IF($B204=" ",0,1)*(IF($B204&gt;=W$25,1,0)*IF($B204&lt;=W$29,W$27,IF($B204&lt;=W$33,W$31,0))*($D204-$D203)*365/1000)</f>
        <v>486.66666666667</v>
      </c>
      <c r="X204" s="158" t="n">
        <f aca="false">IF($B204=" ",0,IF($B204&gt;=X$25,IF($B204&lt;=X$29,X$27,IF($B204&lt;=X$33,X$31,X$31*(1+X$38)^(IF(X$36&gt;$B204,-1,1)*(YEARFRAC($B204,X$36)))))*($D204-$D203)*365/1000,0))</f>
        <v>439.16994894062</v>
      </c>
      <c r="Y204" s="159" t="n">
        <f aca="false">IF($B204=" ",0,Y$25*(1+Y$30)^(IF(Y$28&gt;$B204,-1,1)*(YEARFRAC($B204,Y$28))))</f>
        <v>0.552024499873731</v>
      </c>
      <c r="Z204" s="159" t="n">
        <f aca="false">IF($B204=" ",0,Z$25*(1+Z$30)^(IF(Z$28&gt;$B204,-1,1)*(YEARFRAC($B204,Z$28))))</f>
        <v>0.526978564561077</v>
      </c>
      <c r="AA204" s="162" t="n">
        <f aca="false">+W204+X204+Z204*SUM($J204*$J$37,$L204*$L$37,$N204*$N$37)/1000</f>
        <v>925.836615607291</v>
      </c>
      <c r="AB204" s="161"/>
      <c r="AC204" s="158" t="n">
        <f aca="false">IF($B204=" ",0,1)*(IF($B204&gt;=AC$25,1,0)*IF($B204&lt;=AC$29,AC$27,IF($B204&lt;=AC$33,AC$31,0))*($D204-$D203)*365/1000)</f>
        <v>1591.66666666668</v>
      </c>
      <c r="AD204" s="158" t="n">
        <f aca="false">IF($B204=" ",0,IF($B204&gt;=AD$25,IF($B204&lt;=AD$29,AD$27,IF($B204&lt;=AD$33,AD$31,AD$31*(1+AD$38)^(IF(AD$36&gt;$B204,-1,1)*(YEARFRAC($B204,AD$36)))))*($D204-$D203)*365/1000,0))</f>
        <v>390.957280039173</v>
      </c>
      <c r="AE204" s="159" t="n">
        <f aca="false">IF($B204=" ",0,AE$25*(1+AE$30)^(IF(AE$28&gt;$B204,-1,1)*(YEARFRAC($B204,AE$28))))</f>
        <v>0.457349379504495</v>
      </c>
      <c r="AF204" s="159" t="n">
        <f aca="false">IF($B204=" ",0,AF$25*(1+AF$30)^(IF(AF$28&gt;$B204,-1,1)*(YEARFRAC($B204,AF$28))))</f>
        <v>0.164095920178192</v>
      </c>
      <c r="AG204" s="162" t="n">
        <f aca="false">+AC204+AD204+AF204*SUM($K204*$K$37,$M204*$M$37,$O204*$O$37)/1000</f>
        <v>2796.73541861161</v>
      </c>
      <c r="AI204" s="158" t="n">
        <f aca="false">IF($B204=" ",0,1)*IF($B204&gt;=AI$33,AI$25*($D204-$D203),0)</f>
        <v>485.186570908337</v>
      </c>
      <c r="AJ204" s="158" t="n">
        <f aca="false">IF($B204=" ",0,IF($B204&gt;=AJ$33,AJ$25*(1+AJ$30)^(IF(AJ$28&gt;$B204,-1,1)*(YEARFRAC($B204,AJ$28)))*($D204-$D203),0))</f>
        <v>547.888978992138</v>
      </c>
      <c r="AK204" s="159" t="n">
        <f aca="false">IF($B204=" ",0,AK$25*(1+AK$30)^(IF(AK$28&gt;$B204,-1,1)*(YEARFRAC($B204,AK$28))))</f>
        <v>0.0313126080098037</v>
      </c>
      <c r="AL204" s="159" t="n">
        <f aca="false">IF($B204=" ",0,AL$25*AL$28)</f>
        <v>0.0575</v>
      </c>
      <c r="AM204" s="162" t="n">
        <f aca="false">+AI204+AJ204+SUM(AK204:AL204)*SUM($J204*$J$37,$K204*$K$37,$L204*$L$37,$M204*$M$37,$N204*$N$37,$O204*$O$37)/1000</f>
        <v>1473.69200734888</v>
      </c>
      <c r="AO204" s="163" t="n">
        <f aca="false">IF($B204=" ",0,$AO$25)</f>
        <v>0.25</v>
      </c>
      <c r="AP204" s="159" t="n">
        <f aca="false">IF($B204=" ",0,AP$25*AP$28)</f>
        <v>0.03105</v>
      </c>
      <c r="AQ204" s="162" t="n">
        <f aca="false">SUM(AO204:AP204)*SUM(0)/1000</f>
        <v>0</v>
      </c>
      <c r="AS204" s="155" t="n">
        <f aca="false">IF($B204=" ",0,AS$25)</f>
        <v>1</v>
      </c>
      <c r="AT204" s="156" t="n">
        <f aca="false">IF($B204=" ",0,AT$25)</f>
        <v>1</v>
      </c>
      <c r="AU204" s="156" t="n">
        <f aca="false">IF($B204=" ",0,AU$25)</f>
        <v>2.3</v>
      </c>
      <c r="AV204" s="157" t="n">
        <f aca="false">+AS204*SUM(J204:K204)/1000</f>
        <v>0</v>
      </c>
      <c r="AW204" s="157" t="n">
        <f aca="false">+AT204*SUM(L204:M204)/1000</f>
        <v>0</v>
      </c>
      <c r="AX204" s="157" t="n">
        <f aca="false">+AU204*SUM(N204:O204)/1000</f>
        <v>11537.9859375</v>
      </c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</row>
    <row r="205" customFormat="false" ht="12.75" hidden="true" customHeight="false" outlineLevel="1" collapsed="false">
      <c r="A205" s="164" t="n">
        <f aca="false">+IF(B205=" ",A204,B205)</f>
        <v>41518</v>
      </c>
      <c r="B205" s="148" t="n">
        <f aca="false">IF(B204=" "," ",IF(EDATE(B204,1)&gt;=EndDate," ",EDATE(B204,1)))</f>
        <v>41518</v>
      </c>
      <c r="C205" s="149" t="n">
        <f aca="false">IF($B205&lt;&gt;" ",C204+1,C204)</f>
        <v>155</v>
      </c>
      <c r="D205" s="150" t="n">
        <f aca="false">C205/12</f>
        <v>12.9166666666667</v>
      </c>
      <c r="F205" s="157" t="n">
        <f aca="false">+SUM($T205:$U205)</f>
        <v>14883.5779284771</v>
      </c>
      <c r="G205" s="152" t="n">
        <f aca="false">-SUM($AA205,$AG205,$AM205,$AQ205,$AV205:$AX205)</f>
        <v>-16737.2447575675</v>
      </c>
      <c r="H205" s="152" t="n">
        <f aca="false">+SUM(F205:G205)</f>
        <v>-1853.66682909037</v>
      </c>
      <c r="I205" s="124"/>
      <c r="J205" s="153" t="n">
        <f aca="false">+IF($B205=" ",0,IF(AND($B205&gt;=J$26,$B205&lt;J$28),J$33,0))</f>
        <v>0</v>
      </c>
      <c r="K205" s="153" t="n">
        <f aca="false">+IF($B205=" ",0,IF(AND($B205&gt;=K$26,$B205&lt;K$28),K$33,0))</f>
        <v>0</v>
      </c>
      <c r="L205" s="153" t="n">
        <f aca="false">+IF($B205=" ",0,IF(AND($B205&gt;=L$26,$B205&lt;L$28),L$33,0))</f>
        <v>0</v>
      </c>
      <c r="M205" s="153" t="n">
        <f aca="false">+IF($B205=" ",0,IF(AND($B205&gt;=M$26,$B205&lt;M$28),M$33,0))</f>
        <v>0</v>
      </c>
      <c r="N205" s="153" t="n">
        <f aca="false">+IF($B205=" ",0,IF(AND($B205&gt;=N$26,$B205&lt;N$28),N$33,0))</f>
        <v>0</v>
      </c>
      <c r="O205" s="154" t="n">
        <f aca="false">+IF($B205=" ",0,IF(AND($B205&gt;=O$26,$B205&lt;O$28),O$33,0))</f>
        <v>5016515.625</v>
      </c>
      <c r="Q205" s="83" t="n">
        <f aca="false">IF($B205=" ",0,IF($B205&lt;=DATE(2003,12,31),3.55,2.9))</f>
        <v>2.9</v>
      </c>
      <c r="R205" s="155" t="n">
        <f aca="false">IF($B205=" ",0,R$25)</f>
        <v>-0.07</v>
      </c>
      <c r="S205" s="156" t="n">
        <f aca="false">IF($B205=" ",0,S$25)</f>
        <v>0.1</v>
      </c>
      <c r="T205" s="157" t="n">
        <f aca="false">+SUM($Q205,$S205)/1000*(SUM($J205*$J$37,$K205*$K$37,$L205*$L$37,$M205*$M$37,$N205*$N$37,$O205*$O$37))</f>
        <v>14883.5779284771</v>
      </c>
      <c r="U205" s="157" t="n">
        <f aca="false">+SUM($Q205,$R205)/1000*(SUM(0))</f>
        <v>0</v>
      </c>
      <c r="W205" s="158" t="n">
        <f aca="false">IF($B205=" ",0,1)*(IF($B205&gt;=W$25,1,0)*IF($B205&lt;=W$29,W$27,IF($B205&lt;=W$33,W$31,0))*($D205-$D204)*365/1000)</f>
        <v>486.66666666666</v>
      </c>
      <c r="X205" s="158" t="n">
        <f aca="false">IF($B205=" ",0,IF($B205&gt;=X$25,IF($B205&lt;=X$29,X$27,IF($B205&lt;=X$33,X$31,X$31*(1+X$38)^(IF(X$36&gt;$B205,-1,1)*(YEARFRAC($B205,X$36)))))*($D205-$D204)*365/1000,0))</f>
        <v>439.77529681847</v>
      </c>
      <c r="Y205" s="159" t="n">
        <f aca="false">IF($B205=" ",0,Y$25*(1+Y$30)^(IF(Y$28&gt;$B205,-1,1)*(YEARFRAC($B205,Y$28))))</f>
        <v>0.552785405441908</v>
      </c>
      <c r="Z205" s="159" t="n">
        <f aca="false">IF($B205=" ",0,Z$25*(1+Z$30)^(IF(Z$28&gt;$B205,-1,1)*(YEARFRAC($B205,Z$28))))</f>
        <v>0.527704947038985</v>
      </c>
      <c r="AA205" s="162" t="n">
        <f aca="false">+W205+X205+Z205*SUM($J205*$J$37,$L205*$L$37,$N205*$N$37)/1000</f>
        <v>926.44196348513</v>
      </c>
      <c r="AB205" s="161"/>
      <c r="AC205" s="158" t="n">
        <f aca="false">IF($B205=" ",0,1)*(IF($B205&gt;=AC$25,1,0)*IF($B205&lt;=AC$29,AC$27,IF($B205&lt;=AC$33,AC$31,0))*($D205-$D204)*365/1000)</f>
        <v>1591.66666666664</v>
      </c>
      <c r="AD205" s="158" t="n">
        <f aca="false">IF($B205=" ",0,IF($B205&gt;=AD$25,IF($B205&lt;=AD$29,AD$27,IF($B205&lt;=AD$33,AD$31,AD$31*(1+AD$38)^(IF(AD$36&gt;$B205,-1,1)*(YEARFRAC($B205,AD$36)))))*($D205-$D204)*365/1000,0))</f>
        <v>391.496172011113</v>
      </c>
      <c r="AE205" s="159" t="n">
        <f aca="false">IF($B205=" ",0,AE$25*(1+AE$30)^(IF(AE$28&gt;$B205,-1,1)*(YEARFRAC($B205,AE$28))))</f>
        <v>0.457979785744701</v>
      </c>
      <c r="AF205" s="159" t="n">
        <f aca="false">IF($B205=" ",0,AF$25*(1+AF$30)^(IF(AF$28&gt;$B205,-1,1)*(YEARFRAC($B205,AF$28))))</f>
        <v>0.164322108507527</v>
      </c>
      <c r="AG205" s="162" t="n">
        <f aca="false">+AC205+AD205+AF205*SUM($K205*$K$37,$M205*$M$37,$O205*$O$37)/1000</f>
        <v>2798.39647445891</v>
      </c>
      <c r="AI205" s="158" t="n">
        <f aca="false">IF($B205=" ",0,1)*IF($B205&gt;=AI$33,AI$25*($D205-$D204),0)</f>
        <v>485.186570908327</v>
      </c>
      <c r="AJ205" s="158" t="n">
        <f aca="false">IF($B205=" ",0,IF($B205&gt;=AJ$33,AJ$25*(1+AJ$30)^(IF(AJ$28&gt;$B205,-1,1)*(YEARFRAC($B205,AJ$28)))*($D205-$D204),0))</f>
        <v>548.456452818615</v>
      </c>
      <c r="AK205" s="159" t="n">
        <f aca="false">IF($B205=" ",0,AK$25*(1+AK$30)^(IF(AK$28&gt;$B205,-1,1)*(YEARFRAC($B205,AK$28))))</f>
        <v>0.0313450399187596</v>
      </c>
      <c r="AL205" s="159" t="n">
        <f aca="false">IF($B205=" ",0,AL$25*AL$28)</f>
        <v>0.0575</v>
      </c>
      <c r="AM205" s="162" t="n">
        <f aca="false">+AI205+AJ205+SUM(AK205:AL205)*SUM($J205*$J$37,$K205*$K$37,$L205*$L$37,$M205*$M$37,$N205*$N$37,$O205*$O$37)/1000</f>
        <v>1474.42038212345</v>
      </c>
      <c r="AO205" s="163" t="n">
        <f aca="false">IF($B205=" ",0,$AO$25)</f>
        <v>0.25</v>
      </c>
      <c r="AP205" s="159" t="n">
        <f aca="false">IF($B205=" ",0,AP$25*AP$28)</f>
        <v>0.03105</v>
      </c>
      <c r="AQ205" s="162" t="n">
        <f aca="false">SUM(AO205:AP205)*SUM(0)/1000</f>
        <v>0</v>
      </c>
      <c r="AS205" s="155" t="n">
        <f aca="false">IF($B205=" ",0,AS$25)</f>
        <v>1</v>
      </c>
      <c r="AT205" s="156" t="n">
        <f aca="false">IF($B205=" ",0,AT$25)</f>
        <v>1</v>
      </c>
      <c r="AU205" s="156" t="n">
        <f aca="false">IF($B205=" ",0,AU$25)</f>
        <v>2.3</v>
      </c>
      <c r="AV205" s="157" t="n">
        <f aca="false">+AS205*SUM(J205:K205)/1000</f>
        <v>0</v>
      </c>
      <c r="AW205" s="157" t="n">
        <f aca="false">+AT205*SUM(L205:M205)/1000</f>
        <v>0</v>
      </c>
      <c r="AX205" s="157" t="n">
        <f aca="false">+AU205*SUM(N205:O205)/1000</f>
        <v>11537.9859375</v>
      </c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</row>
    <row r="206" customFormat="false" ht="12.75" hidden="true" customHeight="false" outlineLevel="1" collapsed="false">
      <c r="A206" s="164" t="n">
        <f aca="false">+IF(B206=" ",A205,B206)</f>
        <v>41548</v>
      </c>
      <c r="B206" s="148" t="n">
        <f aca="false">IF(B205=" "," ",IF(EDATE(B205,1)&gt;=EndDate," ",EDATE(B205,1)))</f>
        <v>41548</v>
      </c>
      <c r="C206" s="149" t="n">
        <f aca="false">IF($B206&lt;&gt;" ",C205+1,C205)</f>
        <v>156</v>
      </c>
      <c r="D206" s="150" t="n">
        <f aca="false">C206/12</f>
        <v>13</v>
      </c>
      <c r="F206" s="157" t="n">
        <f aca="false">+SUM($T206:$U206)</f>
        <v>14883.5779284771</v>
      </c>
      <c r="G206" s="152" t="n">
        <f aca="false">-SUM($AA206,$AG206,$AM206,$AQ206,$AV206:$AX206)</f>
        <v>-16740.243414469</v>
      </c>
      <c r="H206" s="152" t="n">
        <f aca="false">+SUM(F206:G206)</f>
        <v>-1856.66548599188</v>
      </c>
      <c r="I206" s="124"/>
      <c r="J206" s="153" t="n">
        <f aca="false">+IF($B206=" ",0,IF(AND($B206&gt;=J$26,$B206&lt;J$28),J$33,0))</f>
        <v>0</v>
      </c>
      <c r="K206" s="153" t="n">
        <f aca="false">+IF($B206=" ",0,IF(AND($B206&gt;=K$26,$B206&lt;K$28),K$33,0))</f>
        <v>0</v>
      </c>
      <c r="L206" s="153" t="n">
        <f aca="false">+IF($B206=" ",0,IF(AND($B206&gt;=L$26,$B206&lt;L$28),L$33,0))</f>
        <v>0</v>
      </c>
      <c r="M206" s="153" t="n">
        <f aca="false">+IF($B206=" ",0,IF(AND($B206&gt;=M$26,$B206&lt;M$28),M$33,0))</f>
        <v>0</v>
      </c>
      <c r="N206" s="153" t="n">
        <f aca="false">+IF($B206=" ",0,IF(AND($B206&gt;=N$26,$B206&lt;N$28),N$33,0))</f>
        <v>0</v>
      </c>
      <c r="O206" s="154" t="n">
        <f aca="false">+IF($B206=" ",0,IF(AND($B206&gt;=O$26,$B206&lt;O$28),O$33,0))</f>
        <v>5016515.625</v>
      </c>
      <c r="Q206" s="83" t="n">
        <f aca="false">IF($B206=" ",0,IF($B206&lt;=DATE(2003,12,31),3.55,2.9))</f>
        <v>2.9</v>
      </c>
      <c r="R206" s="155" t="n">
        <f aca="false">IF($B206=" ",0,R$25)</f>
        <v>-0.07</v>
      </c>
      <c r="S206" s="156" t="n">
        <f aca="false">IF($B206=" ",0,S$25)</f>
        <v>0.1</v>
      </c>
      <c r="T206" s="157" t="n">
        <f aca="false">+SUM($Q206,$S206)/1000*(SUM($J206*$J$37,$K206*$K$37,$L206*$L$37,$M206*$M$37,$N206*$N$37,$O206*$O$37))</f>
        <v>14883.5779284771</v>
      </c>
      <c r="U206" s="157" t="n">
        <f aca="false">+SUM($Q206,$R206)/1000*(SUM(0))</f>
        <v>0</v>
      </c>
      <c r="W206" s="158" t="n">
        <f aca="false">IF($B206=" ",0,1)*(IF($B206&gt;=W$25,1,0)*IF($B206&lt;=W$29,W$27,IF($B206&lt;=W$33,W$31,0))*($D206-$D205)*365/1000)</f>
        <v>486.66666666667</v>
      </c>
      <c r="X206" s="158" t="n">
        <f aca="false">IF($B206=" ",0,IF($B206&gt;=X$25,IF($B206&lt;=X$29,X$27,IF($B206&lt;=X$33,X$31,X$31*(1+X$38)^(IF(X$36&gt;$B206,-1,1)*(YEARFRAC($B206,X$36)))))*($D206-$D205)*365/1000,0))</f>
        <v>440.381479102368</v>
      </c>
      <c r="Y206" s="159" t="n">
        <f aca="false">IF($B206=" ",0,Y$25*(1+Y$30)^(IF(Y$28&gt;$B206,-1,1)*(YEARFRAC($B206,Y$28))))</f>
        <v>0.553547359835425</v>
      </c>
      <c r="Z206" s="159" t="n">
        <f aca="false">IF($B206=" ",0,Z$25*(1+Z$30)^(IF(Z$28&gt;$B206,-1,1)*(YEARFRAC($B206,Z$28))))</f>
        <v>0.528432330755919</v>
      </c>
      <c r="AA206" s="162" t="n">
        <f aca="false">+W206+X206+Z206*SUM($J206*$J$37,$L206*$L$37,$N206*$N$37)/1000</f>
        <v>927.048145769038</v>
      </c>
      <c r="AB206" s="161"/>
      <c r="AC206" s="158" t="n">
        <f aca="false">IF($B206=" ",0,1)*(IF($B206&gt;=AC$25,1,0)*IF($B206&lt;=AC$29,AC$27,IF($B206&lt;=AC$33,AC$31,0))*($D206-$D205)*365/1000)</f>
        <v>1591.66666666668</v>
      </c>
      <c r="AD206" s="158" t="n">
        <f aca="false">IF($B206=" ",0,IF($B206&gt;=AD$25,IF($B206&lt;=AD$29,AD$27,IF($B206&lt;=AD$33,AD$31,AD$31*(1+AD$38)^(IF(AD$36&gt;$B206,-1,1)*(YEARFRAC($B206,AD$36)))))*($D206-$D205)*365/1000,0))</f>
        <v>392.035806786882</v>
      </c>
      <c r="AE206" s="159" t="n">
        <f aca="false">IF($B206=" ",0,AE$25*(1+AE$30)^(IF(AE$28&gt;$B206,-1,1)*(YEARFRAC($B206,AE$28))))</f>
        <v>0.458611060931157</v>
      </c>
      <c r="AF206" s="159" t="n">
        <f aca="false">IF($B206=" ",0,AF$25*(1+AF$30)^(IF(AF$28&gt;$B206,-1,1)*(YEARFRAC($B206,AF$28))))</f>
        <v>0.164548608612806</v>
      </c>
      <c r="AG206" s="162" t="n">
        <f aca="false">+AC206+AD206+AF206*SUM($K206*$K$37,$M206*$M$37,$O206*$O$37)/1000</f>
        <v>2800.05981989062</v>
      </c>
      <c r="AI206" s="158" t="n">
        <f aca="false">IF($B206=" ",0,1)*IF($B206&gt;=AI$33,AI$25*($D206-$D205),0)</f>
        <v>485.186570908337</v>
      </c>
      <c r="AJ206" s="158" t="n">
        <f aca="false">IF($B206=" ",0,IF($B206&gt;=AJ$33,AJ$25*(1+AJ$30)^(IF(AJ$28&gt;$B206,-1,1)*(YEARFRAC($B206,AJ$28)))*($D206-$D205),0))</f>
        <v>549.024514403869</v>
      </c>
      <c r="AK206" s="159" t="n">
        <f aca="false">IF($B206=" ",0,AK$25*(1+AK$30)^(IF(AK$28&gt;$B206,-1,1)*(YEARFRAC($B206,AK$28))))</f>
        <v>0.031377505418936</v>
      </c>
      <c r="AL206" s="159" t="n">
        <f aca="false">IF($B206=" ",0,AL$25*AL$28)</f>
        <v>0.0575</v>
      </c>
      <c r="AM206" s="162" t="n">
        <f aca="false">+AI206+AJ206+SUM(AK206:AL206)*SUM($J206*$J$37,$K206*$K$37,$L206*$L$37,$M206*$M$37,$N206*$N$37,$O206*$O$37)/1000</f>
        <v>1475.14951130933</v>
      </c>
      <c r="AO206" s="163" t="n">
        <f aca="false">IF($B206=" ",0,$AO$25)</f>
        <v>0.25</v>
      </c>
      <c r="AP206" s="159" t="n">
        <f aca="false">IF($B206=" ",0,AP$25*AP$28)</f>
        <v>0.03105</v>
      </c>
      <c r="AQ206" s="162" t="n">
        <f aca="false">SUM(AO206:AP206)*SUM(0)/1000</f>
        <v>0</v>
      </c>
      <c r="AS206" s="155" t="n">
        <f aca="false">IF($B206=" ",0,AS$25)</f>
        <v>1</v>
      </c>
      <c r="AT206" s="156" t="n">
        <f aca="false">IF($B206=" ",0,AT$25)</f>
        <v>1</v>
      </c>
      <c r="AU206" s="156" t="n">
        <f aca="false">IF($B206=" ",0,AU$25)</f>
        <v>2.3</v>
      </c>
      <c r="AV206" s="157" t="n">
        <f aca="false">+AS206*SUM(J206:K206)/1000</f>
        <v>0</v>
      </c>
      <c r="AW206" s="157" t="n">
        <f aca="false">+AT206*SUM(L206:M206)/1000</f>
        <v>0</v>
      </c>
      <c r="AX206" s="157" t="n">
        <f aca="false">+AU206*SUM(N206:O206)/1000</f>
        <v>11537.9859375</v>
      </c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</row>
    <row r="207" customFormat="false" ht="12.75" hidden="true" customHeight="false" outlineLevel="1" collapsed="false">
      <c r="A207" s="164" t="n">
        <f aca="false">+IF(B207=" ",A206,B207)</f>
        <v>41579</v>
      </c>
      <c r="B207" s="148" t="n">
        <f aca="false">IF(B206=" "," ",IF(EDATE(B206,1)&gt;=EndDate," ",EDATE(B206,1)))</f>
        <v>41579</v>
      </c>
      <c r="C207" s="149" t="n">
        <f aca="false">IF($B207&lt;&gt;" ",C206+1,C206)</f>
        <v>157</v>
      </c>
      <c r="D207" s="150" t="n">
        <f aca="false">C207/12</f>
        <v>13.0833333333333</v>
      </c>
      <c r="F207" s="157" t="n">
        <f aca="false">+SUM($T207:$U207)</f>
        <v>14883.5779284771</v>
      </c>
      <c r="G207" s="152" t="n">
        <f aca="false">-SUM($AA207,$AG207,$AM207,$AQ207,$AV207:$AX207)</f>
        <v>-16743.2459548595</v>
      </c>
      <c r="H207" s="152" t="n">
        <f aca="false">+SUM(F207:G207)</f>
        <v>-1859.66802638238</v>
      </c>
      <c r="I207" s="124"/>
      <c r="J207" s="153" t="n">
        <f aca="false">+IF($B207=" ",0,IF(AND($B207&gt;=J$26,$B207&lt;J$28),J$33,0))</f>
        <v>0</v>
      </c>
      <c r="K207" s="153" t="n">
        <f aca="false">+IF($B207=" ",0,IF(AND($B207&gt;=K$26,$B207&lt;K$28),K$33,0))</f>
        <v>0</v>
      </c>
      <c r="L207" s="153" t="n">
        <f aca="false">+IF($B207=" ",0,IF(AND($B207&gt;=L$26,$B207&lt;L$28),L$33,0))</f>
        <v>0</v>
      </c>
      <c r="M207" s="153" t="n">
        <f aca="false">+IF($B207=" ",0,IF(AND($B207&gt;=M$26,$B207&lt;M$28),M$33,0))</f>
        <v>0</v>
      </c>
      <c r="N207" s="153" t="n">
        <f aca="false">+IF($B207=" ",0,IF(AND($B207&gt;=N$26,$B207&lt;N$28),N$33,0))</f>
        <v>0</v>
      </c>
      <c r="O207" s="154" t="n">
        <f aca="false">+IF($B207=" ",0,IF(AND($B207&gt;=O$26,$B207&lt;O$28),O$33,0))</f>
        <v>5016515.625</v>
      </c>
      <c r="Q207" s="83" t="n">
        <f aca="false">IF($B207=" ",0,IF($B207&lt;=DATE(2003,12,31),3.55,2.9))</f>
        <v>2.9</v>
      </c>
      <c r="R207" s="155" t="n">
        <f aca="false">IF($B207=" ",0,R$25)</f>
        <v>-0.07</v>
      </c>
      <c r="S207" s="156" t="n">
        <f aca="false">IF($B207=" ",0,S$25)</f>
        <v>0.1</v>
      </c>
      <c r="T207" s="157" t="n">
        <f aca="false">+SUM($Q207,$S207)/1000*(SUM($J207*$J$37,$K207*$K$37,$L207*$L$37,$M207*$M$37,$N207*$N$37,$O207*$O$37))</f>
        <v>14883.5779284771</v>
      </c>
      <c r="U207" s="157" t="n">
        <f aca="false">+SUM($Q207,$R207)/1000*(SUM(0))</f>
        <v>0</v>
      </c>
      <c r="W207" s="158" t="n">
        <f aca="false">IF($B207=" ",0,1)*(IF($B207&gt;=W$25,1,0)*IF($B207&lt;=W$29,W$27,IF($B207&lt;=W$33,W$31,0))*($D207-$D206)*365/1000)</f>
        <v>486.66666666667</v>
      </c>
      <c r="X207" s="158" t="n">
        <f aca="false">IF($B207=" ",0,IF($B207&gt;=X$25,IF($B207&lt;=X$29,X$27,IF($B207&lt;=X$33,X$31,X$31*(1+X$38)^(IF(X$36&gt;$B207,-1,1)*(YEARFRAC($B207,X$36)))))*($D207-$D206)*365/1000,0))</f>
        <v>440.988496942424</v>
      </c>
      <c r="Y207" s="159" t="n">
        <f aca="false">IF($B207=" ",0,Y$25*(1+Y$30)^(IF(Y$28&gt;$B207,-1,1)*(YEARFRAC($B207,Y$28))))</f>
        <v>0.554310364499973</v>
      </c>
      <c r="Z207" s="159" t="n">
        <f aca="false">IF($B207=" ",0,Z$25*(1+Z$30)^(IF(Z$28&gt;$B207,-1,1)*(YEARFRAC($B207,Z$28))))</f>
        <v>0.529160717091976</v>
      </c>
      <c r="AA207" s="162" t="n">
        <f aca="false">+W207+X207+Z207*SUM($J207*$J$37,$L207*$L$37,$N207*$N$37)/1000</f>
        <v>927.655163609094</v>
      </c>
      <c r="AB207" s="161"/>
      <c r="AC207" s="158" t="n">
        <f aca="false">IF($B207=" ",0,1)*(IF($B207&gt;=AC$25,1,0)*IF($B207&lt;=AC$29,AC$27,IF($B207&lt;=AC$33,AC$31,0))*($D207-$D206)*365/1000)</f>
        <v>1591.66666666668</v>
      </c>
      <c r="AD207" s="158" t="n">
        <f aca="false">IF($B207=" ",0,IF($B207&gt;=AD$25,IF($B207&lt;=AD$29,AD$27,IF($B207&lt;=AD$33,AD$31,AD$31*(1+AD$38)^(IF(AD$36&gt;$B207,-1,1)*(YEARFRAC($B207,AD$36)))))*($D207-$D206)*365/1000,0))</f>
        <v>392.576185390326</v>
      </c>
      <c r="AE207" s="159" t="n">
        <f aca="false">IF($B207=" ",0,AE$25*(1+AE$30)^(IF(AE$28&gt;$B207,-1,1)*(YEARFRAC($B207,AE$28))))</f>
        <v>0.459243206261608</v>
      </c>
      <c r="AF207" s="159" t="n">
        <f aca="false">IF($B207=" ",0,AF$25*(1+AF$30)^(IF(AF$28&gt;$B207,-1,1)*(YEARFRAC($B207,AF$28))))</f>
        <v>0.164775420923778</v>
      </c>
      <c r="AG207" s="162" t="n">
        <f aca="false">+AC207+AD207+AF207*SUM($K207*$K$37,$M207*$M$37,$O207*$O$37)/1000</f>
        <v>2801.72545806256</v>
      </c>
      <c r="AI207" s="158" t="n">
        <f aca="false">IF($B207=" ",0,1)*IF($B207&gt;=AI$33,AI$25*($D207-$D206),0)</f>
        <v>485.186570908337</v>
      </c>
      <c r="AJ207" s="158" t="n">
        <f aca="false">IF($B207=" ",0,IF($B207&gt;=AJ$33,AJ$25*(1+AJ$30)^(IF(AJ$28&gt;$B207,-1,1)*(YEARFRAC($B207,AJ$28)))*($D207-$D206),0))</f>
        <v>549.593164356635</v>
      </c>
      <c r="AK207" s="159" t="n">
        <f aca="false">IF($B207=" ",0,AK$25*(1+AK$30)^(IF(AK$28&gt;$B207,-1,1)*(YEARFRAC($B207,AK$28))))</f>
        <v>0.0314100045451249</v>
      </c>
      <c r="AL207" s="159" t="n">
        <f aca="false">IF($B207=" ",0,AL$25*AL$28)</f>
        <v>0.0575</v>
      </c>
      <c r="AM207" s="162" t="n">
        <f aca="false">+AI207+AJ207+SUM(AK207:AL207)*SUM($J207*$J$37,$K207*$K$37,$L207*$L$37,$M207*$M$37,$N207*$N$37,$O207*$O$37)/1000</f>
        <v>1475.87939568785</v>
      </c>
      <c r="AO207" s="163" t="n">
        <f aca="false">IF($B207=" ",0,$AO$25)</f>
        <v>0.25</v>
      </c>
      <c r="AP207" s="159" t="n">
        <f aca="false">IF($B207=" ",0,AP$25*AP$28)</f>
        <v>0.03105</v>
      </c>
      <c r="AQ207" s="162" t="n">
        <f aca="false">SUM(AO207:AP207)*SUM(0)/1000</f>
        <v>0</v>
      </c>
      <c r="AS207" s="155" t="n">
        <f aca="false">IF($B207=" ",0,AS$25)</f>
        <v>1</v>
      </c>
      <c r="AT207" s="156" t="n">
        <f aca="false">IF($B207=" ",0,AT$25)</f>
        <v>1</v>
      </c>
      <c r="AU207" s="156" t="n">
        <f aca="false">IF($B207=" ",0,AU$25)</f>
        <v>2.3</v>
      </c>
      <c r="AV207" s="157" t="n">
        <f aca="false">+AS207*SUM(J207:K207)/1000</f>
        <v>0</v>
      </c>
      <c r="AW207" s="157" t="n">
        <f aca="false">+AT207*SUM(L207:M207)/1000</f>
        <v>0</v>
      </c>
      <c r="AX207" s="157" t="n">
        <f aca="false">+AU207*SUM(N207:O207)/1000</f>
        <v>11537.9859375</v>
      </c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</row>
    <row r="208" customFormat="false" ht="12.75" hidden="true" customHeight="false" outlineLevel="1" collapsed="false">
      <c r="A208" s="164" t="n">
        <f aca="false">+IF(B208=" ",A207,B208)</f>
        <v>41609</v>
      </c>
      <c r="B208" s="148" t="n">
        <f aca="false">IF(B207=" "," ",IF(EDATE(B207,1)&gt;=EndDate," ",EDATE(B207,1)))</f>
        <v>41609</v>
      </c>
      <c r="C208" s="149" t="n">
        <f aca="false">IF($B208&lt;&gt;" ",C207+1,C207)</f>
        <v>158</v>
      </c>
      <c r="D208" s="150" t="n">
        <f aca="false">C208/12</f>
        <v>13.1666666666667</v>
      </c>
      <c r="F208" s="157" t="n">
        <f aca="false">+SUM($T208:$U208)</f>
        <v>14883.5779284771</v>
      </c>
      <c r="G208" s="152" t="n">
        <f aca="false">-SUM($AA208,$AG208,$AM208,$AQ208,$AV208:$AX208)</f>
        <v>-16746.2523838332</v>
      </c>
      <c r="H208" s="152" t="n">
        <f aca="false">+SUM(F208:G208)</f>
        <v>-1862.67445535609</v>
      </c>
      <c r="I208" s="124"/>
      <c r="J208" s="153" t="n">
        <f aca="false">+IF($B208=" ",0,IF(AND($B208&gt;=J$26,$B208&lt;J$28),J$33,0))</f>
        <v>0</v>
      </c>
      <c r="K208" s="153" t="n">
        <f aca="false">+IF($B208=" ",0,IF(AND($B208&gt;=K$26,$B208&lt;K$28),K$33,0))</f>
        <v>0</v>
      </c>
      <c r="L208" s="153" t="n">
        <f aca="false">+IF($B208=" ",0,IF(AND($B208&gt;=L$26,$B208&lt;L$28),L$33,0))</f>
        <v>0</v>
      </c>
      <c r="M208" s="153" t="n">
        <f aca="false">+IF($B208=" ",0,IF(AND($B208&gt;=M$26,$B208&lt;M$28),M$33,0))</f>
        <v>0</v>
      </c>
      <c r="N208" s="153" t="n">
        <f aca="false">+IF($B208=" ",0,IF(AND($B208&gt;=N$26,$B208&lt;N$28),N$33,0))</f>
        <v>0</v>
      </c>
      <c r="O208" s="154" t="n">
        <f aca="false">+IF($B208=" ",0,IF(AND($B208&gt;=O$26,$B208&lt;O$28),O$33,0))</f>
        <v>5016515.625</v>
      </c>
      <c r="Q208" s="83" t="n">
        <f aca="false">IF($B208=" ",0,IF($B208&lt;=DATE(2003,12,31),3.55,2.9))</f>
        <v>2.9</v>
      </c>
      <c r="R208" s="155" t="n">
        <f aca="false">IF($B208=" ",0,R$25)</f>
        <v>-0.07</v>
      </c>
      <c r="S208" s="156" t="n">
        <f aca="false">IF($B208=" ",0,S$25)</f>
        <v>0.1</v>
      </c>
      <c r="T208" s="157" t="n">
        <f aca="false">+SUM($Q208,$S208)/1000*(SUM($J208*$J$37,$K208*$K$37,$L208*$L$37,$M208*$M$37,$N208*$N$37,$O208*$O$37))</f>
        <v>14883.5779284771</v>
      </c>
      <c r="U208" s="157" t="n">
        <f aca="false">+SUM($Q208,$R208)/1000*(SUM(0))</f>
        <v>0</v>
      </c>
      <c r="W208" s="158" t="n">
        <f aca="false">IF($B208=" ",0,1)*(IF($B208&gt;=W$25,1,0)*IF($B208&lt;=W$29,W$27,IF($B208&lt;=W$33,W$31,0))*($D208-$D207)*365/1000)</f>
        <v>486.66666666666</v>
      </c>
      <c r="X208" s="158" t="n">
        <f aca="false">IF($B208=" ",0,IF($B208&gt;=X$25,IF($B208&lt;=X$29,X$27,IF($B208&lt;=X$33,X$31,X$31*(1+X$38)^(IF(X$36&gt;$B208,-1,1)*(YEARFRAC($B208,X$36)))))*($D208-$D207)*365/1000,0))</f>
        <v>441.59635149036</v>
      </c>
      <c r="Y208" s="159" t="n">
        <f aca="false">IF($B208=" ",0,Y$25*(1+Y$30)^(IF(Y$28&gt;$B208,-1,1)*(YEARFRAC($B208,Y$28))))</f>
        <v>0.555074420883237</v>
      </c>
      <c r="Z208" s="159" t="n">
        <f aca="false">IF($B208=" ",0,Z$25*(1+Z$30)^(IF(Z$28&gt;$B208,-1,1)*(YEARFRAC($B208,Z$28))))</f>
        <v>0.529890107429159</v>
      </c>
      <c r="AA208" s="162" t="n">
        <f aca="false">+W208+X208+Z208*SUM($J208*$J$37,$L208*$L$37,$N208*$N$37)/1000</f>
        <v>928.263018157019</v>
      </c>
      <c r="AB208" s="161"/>
      <c r="AC208" s="158" t="n">
        <f aca="false">IF($B208=" ",0,1)*(IF($B208&gt;=AC$25,1,0)*IF($B208&lt;=AC$29,AC$27,IF($B208&lt;=AC$33,AC$31,0))*($D208-$D207)*365/1000)</f>
        <v>1591.66666666664</v>
      </c>
      <c r="AD208" s="158" t="n">
        <f aca="false">IF($B208=" ",0,IF($B208&gt;=AD$25,IF($B208&lt;=AD$29,AD$27,IF($B208&lt;=AD$33,AD$31,AD$31*(1+AD$38)^(IF(AD$36&gt;$B208,-1,1)*(YEARFRAC($B208,AD$36)))))*($D208-$D207)*365/1000,0))</f>
        <v>393.117308846732</v>
      </c>
      <c r="AE208" s="159" t="n">
        <f aca="false">IF($B208=" ",0,AE$25*(1+AE$30)^(IF(AE$28&gt;$B208,-1,1)*(YEARFRAC($B208,AE$28))))</f>
        <v>0.459876222935455</v>
      </c>
      <c r="AF208" s="159" t="n">
        <f aca="false">IF($B208=" ",0,AF$25*(1+AF$30)^(IF(AF$28&gt;$B208,-1,1)*(YEARFRAC($B208,AF$28))))</f>
        <v>0.165002545870783</v>
      </c>
      <c r="AG208" s="162" t="n">
        <f aca="false">+AC208+AD208+AF208*SUM($K208*$K$37,$M208*$M$37,$O208*$O$37)/1000</f>
        <v>2803.39339213502</v>
      </c>
      <c r="AI208" s="158" t="n">
        <f aca="false">IF($B208=" ",0,1)*IF($B208&gt;=AI$33,AI$25*($D208-$D207),0)</f>
        <v>485.186570908327</v>
      </c>
      <c r="AJ208" s="158" t="n">
        <f aca="false">IF($B208=" ",0,IF($B208&gt;=AJ$33,AJ$25*(1+AJ$30)^(IF(AJ$28&gt;$B208,-1,1)*(YEARFRAC($B208,AJ$28)))*($D208-$D207),0))</f>
        <v>550.162403286311</v>
      </c>
      <c r="AK208" s="159" t="n">
        <f aca="false">IF($B208=" ",0,AK$25*(1+AK$30)^(IF(AK$28&gt;$B208,-1,1)*(YEARFRAC($B208,AK$28))))</f>
        <v>0.0314425373321542</v>
      </c>
      <c r="AL208" s="159" t="n">
        <f aca="false">IF($B208=" ",0,AL$25*AL$28)</f>
        <v>0.0575</v>
      </c>
      <c r="AM208" s="162" t="n">
        <f aca="false">+AI208+AJ208+SUM(AK208:AL208)*SUM($J208*$J$37,$K208*$K$37,$L208*$L$37,$M208*$M$37,$N208*$N$37,$O208*$O$37)/1000</f>
        <v>1476.61003604117</v>
      </c>
      <c r="AO208" s="163" t="n">
        <f aca="false">IF($B208=" ",0,$AO$25)</f>
        <v>0.25</v>
      </c>
      <c r="AP208" s="159" t="n">
        <f aca="false">IF($B208=" ",0,AP$25*AP$28)</f>
        <v>0.03105</v>
      </c>
      <c r="AQ208" s="162" t="n">
        <f aca="false">SUM(AO208:AP208)*SUM(0)/1000</f>
        <v>0</v>
      </c>
      <c r="AS208" s="155" t="n">
        <f aca="false">IF($B208=" ",0,AS$25)</f>
        <v>1</v>
      </c>
      <c r="AT208" s="156" t="n">
        <f aca="false">IF($B208=" ",0,AT$25)</f>
        <v>1</v>
      </c>
      <c r="AU208" s="156" t="n">
        <f aca="false">IF($B208=" ",0,AU$25)</f>
        <v>2.3</v>
      </c>
      <c r="AV208" s="157" t="n">
        <f aca="false">+AS208*SUM(J208:K208)/1000</f>
        <v>0</v>
      </c>
      <c r="AW208" s="157" t="n">
        <f aca="false">+AT208*SUM(L208:M208)/1000</f>
        <v>0</v>
      </c>
      <c r="AX208" s="157" t="n">
        <f aca="false">+AU208*SUM(N208:O208)/1000</f>
        <v>11537.9859375</v>
      </c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</row>
    <row r="209" customFormat="false" ht="12.75" hidden="true" customHeight="false" outlineLevel="1" collapsed="false">
      <c r="A209" s="164" t="n">
        <f aca="false">+IF(B209=" ",A208,B209)</f>
        <v>41640</v>
      </c>
      <c r="B209" s="148" t="n">
        <f aca="false">IF(B208=" "," ",IF(EDATE(B208,1)&gt;=EndDate," ",EDATE(B208,1)))</f>
        <v>41640</v>
      </c>
      <c r="C209" s="149" t="n">
        <f aca="false">IF($B209&lt;&gt;" ",C208+1,C208)</f>
        <v>159</v>
      </c>
      <c r="D209" s="150" t="n">
        <f aca="false">C209/12</f>
        <v>13.25</v>
      </c>
      <c r="F209" s="157" t="n">
        <f aca="false">+SUM($T209:$U209)</f>
        <v>14883.5779284771</v>
      </c>
      <c r="G209" s="152" t="n">
        <f aca="false">-SUM($AA209,$AG209,$AM209,$AQ209,$AV209:$AX209)</f>
        <v>-16749.2627064913</v>
      </c>
      <c r="H209" s="152" t="n">
        <f aca="false">+SUM(F209:G209)</f>
        <v>-1865.68477801422</v>
      </c>
      <c r="I209" s="124"/>
      <c r="J209" s="153" t="n">
        <f aca="false">+IF($B209=" ",0,IF(AND($B209&gt;=J$26,$B209&lt;J$28),J$33,0))</f>
        <v>0</v>
      </c>
      <c r="K209" s="153" t="n">
        <f aca="false">+IF($B209=" ",0,IF(AND($B209&gt;=K$26,$B209&lt;K$28),K$33,0))</f>
        <v>0</v>
      </c>
      <c r="L209" s="153" t="n">
        <f aca="false">+IF($B209=" ",0,IF(AND($B209&gt;=L$26,$B209&lt;L$28),L$33,0))</f>
        <v>0</v>
      </c>
      <c r="M209" s="153" t="n">
        <f aca="false">+IF($B209=" ",0,IF(AND($B209&gt;=M$26,$B209&lt;M$28),M$33,0))</f>
        <v>0</v>
      </c>
      <c r="N209" s="153" t="n">
        <f aca="false">+IF($B209=" ",0,IF(AND($B209&gt;=N$26,$B209&lt;N$28),N$33,0))</f>
        <v>0</v>
      </c>
      <c r="O209" s="154" t="n">
        <f aca="false">+IF($B209=" ",0,IF(AND($B209&gt;=O$26,$B209&lt;O$28),O$33,0))</f>
        <v>5016515.625</v>
      </c>
      <c r="Q209" s="83" t="n">
        <f aca="false">IF($B209=" ",0,IF($B209&lt;=DATE(2003,12,31),3.55,2.9))</f>
        <v>2.9</v>
      </c>
      <c r="R209" s="155" t="n">
        <f aca="false">IF($B209=" ",0,R$25)</f>
        <v>-0.07</v>
      </c>
      <c r="S209" s="156" t="n">
        <f aca="false">IF($B209=" ",0,S$25)</f>
        <v>0.1</v>
      </c>
      <c r="T209" s="157" t="n">
        <f aca="false">+SUM($Q209,$S209)/1000*(SUM($J209*$J$37,$K209*$K$37,$L209*$L$37,$M209*$M$37,$N209*$N$37,$O209*$O$37))</f>
        <v>14883.5779284771</v>
      </c>
      <c r="U209" s="157" t="n">
        <f aca="false">+SUM($Q209,$R209)/1000*(SUM(0))</f>
        <v>0</v>
      </c>
      <c r="W209" s="158" t="n">
        <f aca="false">IF($B209=" ",0,1)*(IF($B209&gt;=W$25,1,0)*IF($B209&lt;=W$29,W$27,IF($B209&lt;=W$33,W$31,0))*($D209-$D208)*365/1000)</f>
        <v>486.66666666667</v>
      </c>
      <c r="X209" s="158" t="n">
        <f aca="false">IF($B209=" ",0,IF($B209&gt;=X$25,IF($B209&lt;=X$29,X$27,IF($B209&lt;=X$33,X$31,X$31*(1+X$38)^(IF(X$36&gt;$B209,-1,1)*(YEARFRAC($B209,X$36)))))*($D209-$D208)*365/1000,0))</f>
        <v>442.205043899515</v>
      </c>
      <c r="Y209" s="159" t="n">
        <f aca="false">IF($B209=" ",0,Y$25*(1+Y$30)^(IF(Y$28&gt;$B209,-1,1)*(YEARFRAC($B209,Y$28))))</f>
        <v>0.555839530434895</v>
      </c>
      <c r="Z209" s="159" t="n">
        <f aca="false">IF($B209=" ",0,Z$25*(1+Z$30)^(IF(Z$28&gt;$B209,-1,1)*(YEARFRAC($B209,Z$28))))</f>
        <v>0.530620503151372</v>
      </c>
      <c r="AA209" s="162" t="n">
        <f aca="false">+W209+X209+Z209*SUM($J209*$J$37,$L209*$L$37,$N209*$N$37)/1000</f>
        <v>928.871710566185</v>
      </c>
      <c r="AB209" s="161"/>
      <c r="AC209" s="158" t="n">
        <f aca="false">IF($B209=" ",0,1)*(IF($B209&gt;=AC$25,1,0)*IF($B209&lt;=AC$29,AC$27,IF($B209&lt;=AC$33,AC$31,0))*($D209-$D208)*365/1000)</f>
        <v>1591.66666666668</v>
      </c>
      <c r="AD209" s="158" t="n">
        <f aca="false">IF($B209=" ",0,IF($B209&gt;=AD$25,IF($B209&lt;=AD$29,AD$27,IF($B209&lt;=AD$33,AD$31,AD$31*(1+AD$38)^(IF(AD$36&gt;$B209,-1,1)*(YEARFRAC($B209,AD$36)))))*($D209-$D208)*365/1000,0))</f>
        <v>393.659178182824</v>
      </c>
      <c r="AE209" s="159" t="n">
        <f aca="false">IF($B209=" ",0,AE$25*(1+AE$30)^(IF(AE$28&gt;$B209,-1,1)*(YEARFRAC($B209,AE$28))))</f>
        <v>0.460510112153748</v>
      </c>
      <c r="AF209" s="159" t="n">
        <f aca="false">IF($B209=" ",0,AF$25*(1+AF$30)^(IF(AF$28&gt;$B209,-1,1)*(YEARFRAC($B209,AF$28))))</f>
        <v>0.165229983884758</v>
      </c>
      <c r="AG209" s="162" t="n">
        <f aca="false">+AC209+AD209+AF209*SUM($K209*$K$37,$M209*$M$37,$O209*$O$37)/1000</f>
        <v>2805.06362527277</v>
      </c>
      <c r="AI209" s="158" t="n">
        <f aca="false">IF($B209=" ",0,1)*IF($B209&gt;=AI$33,AI$25*($D209-$D208),0)</f>
        <v>485.186570908337</v>
      </c>
      <c r="AJ209" s="158" t="n">
        <f aca="false">IF($B209=" ",0,IF($B209&gt;=AJ$33,AJ$25*(1+AJ$30)^(IF(AJ$28&gt;$B209,-1,1)*(YEARFRAC($B209,AJ$28)))*($D209-$D208),0))</f>
        <v>550.732231802963</v>
      </c>
      <c r="AK209" s="159" t="n">
        <f aca="false">IF($B209=" ",0,AK$25*(1+AK$30)^(IF(AK$28&gt;$B209,-1,1)*(YEARFRAC($B209,AK$28))))</f>
        <v>0.0314751038148879</v>
      </c>
      <c r="AL209" s="159" t="n">
        <f aca="false">IF($B209=" ",0,AL$25*AL$28)</f>
        <v>0.0575</v>
      </c>
      <c r="AM209" s="162" t="n">
        <f aca="false">+AI209+AJ209+SUM(AK209:AL209)*SUM($J209*$J$37,$K209*$K$37,$L209*$L$37,$M209*$M$37,$N209*$N$37,$O209*$O$37)/1000</f>
        <v>1477.34143315238</v>
      </c>
      <c r="AO209" s="163" t="n">
        <f aca="false">IF($B209=" ",0,$AO$25)</f>
        <v>0.25</v>
      </c>
      <c r="AP209" s="159" t="n">
        <f aca="false">IF($B209=" ",0,AP$25*AP$28)</f>
        <v>0.03105</v>
      </c>
      <c r="AQ209" s="162" t="n">
        <f aca="false">SUM(AO209:AP209)*SUM(0)/1000</f>
        <v>0</v>
      </c>
      <c r="AS209" s="155" t="n">
        <f aca="false">IF($B209=" ",0,AS$25)</f>
        <v>1</v>
      </c>
      <c r="AT209" s="156" t="n">
        <f aca="false">IF($B209=" ",0,AT$25)</f>
        <v>1</v>
      </c>
      <c r="AU209" s="156" t="n">
        <f aca="false">IF($B209=" ",0,AU$25)</f>
        <v>2.3</v>
      </c>
      <c r="AV209" s="157" t="n">
        <f aca="false">+AS209*SUM(J209:K209)/1000</f>
        <v>0</v>
      </c>
      <c r="AW209" s="157" t="n">
        <f aca="false">+AT209*SUM(L209:M209)/1000</f>
        <v>0</v>
      </c>
      <c r="AX209" s="157" t="n">
        <f aca="false">+AU209*SUM(N209:O209)/1000</f>
        <v>11537.9859375</v>
      </c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</row>
    <row r="210" customFormat="false" ht="12.75" hidden="true" customHeight="false" outlineLevel="1" collapsed="false">
      <c r="A210" s="164" t="n">
        <f aca="false">+IF(B210=" ",A209,B210)</f>
        <v>41671</v>
      </c>
      <c r="B210" s="148" t="n">
        <f aca="false">IF(B209=" "," ",IF(EDATE(B209,1)&gt;=EndDate," ",EDATE(B209,1)))</f>
        <v>41671</v>
      </c>
      <c r="C210" s="149" t="n">
        <f aca="false">IF($B210&lt;&gt;" ",C209+1,C209)</f>
        <v>160</v>
      </c>
      <c r="D210" s="150" t="n">
        <f aca="false">C210/12</f>
        <v>13.3333333333333</v>
      </c>
      <c r="F210" s="157" t="n">
        <f aca="false">+SUM($T210:$U210)</f>
        <v>14883.5779284771</v>
      </c>
      <c r="G210" s="152" t="n">
        <f aca="false">-SUM($AA210,$AG210,$AM210,$AQ210,$AV210:$AX210)</f>
        <v>-16752.2769279413</v>
      </c>
      <c r="H210" s="152" t="n">
        <f aca="false">+SUM(F210:G210)</f>
        <v>-1868.69899946422</v>
      </c>
      <c r="I210" s="124"/>
      <c r="J210" s="153" t="n">
        <f aca="false">+IF($B210=" ",0,IF(AND($B210&gt;=J$26,$B210&lt;J$28),J$33,0))</f>
        <v>0</v>
      </c>
      <c r="K210" s="153" t="n">
        <f aca="false">+IF($B210=" ",0,IF(AND($B210&gt;=K$26,$B210&lt;K$28),K$33,0))</f>
        <v>0</v>
      </c>
      <c r="L210" s="153" t="n">
        <f aca="false">+IF($B210=" ",0,IF(AND($B210&gt;=L$26,$B210&lt;L$28),L$33,0))</f>
        <v>0</v>
      </c>
      <c r="M210" s="153" t="n">
        <f aca="false">+IF($B210=" ",0,IF(AND($B210&gt;=M$26,$B210&lt;M$28),M$33,0))</f>
        <v>0</v>
      </c>
      <c r="N210" s="153" t="n">
        <f aca="false">+IF($B210=" ",0,IF(AND($B210&gt;=N$26,$B210&lt;N$28),N$33,0))</f>
        <v>0</v>
      </c>
      <c r="O210" s="154" t="n">
        <f aca="false">+IF($B210=" ",0,IF(AND($B210&gt;=O$26,$B210&lt;O$28),O$33,0))</f>
        <v>5016515.625</v>
      </c>
      <c r="Q210" s="83" t="n">
        <f aca="false">IF($B210=" ",0,IF($B210&lt;=DATE(2003,12,31),3.55,2.9))</f>
        <v>2.9</v>
      </c>
      <c r="R210" s="155" t="n">
        <f aca="false">IF($B210=" ",0,R$25)</f>
        <v>-0.07</v>
      </c>
      <c r="S210" s="156" t="n">
        <f aca="false">IF($B210=" ",0,S$25)</f>
        <v>0.1</v>
      </c>
      <c r="T210" s="157" t="n">
        <f aca="false">+SUM($Q210,$S210)/1000*(SUM($J210*$J$37,$K210*$K$37,$L210*$L$37,$M210*$M$37,$N210*$N$37,$O210*$O$37))</f>
        <v>14883.5779284771</v>
      </c>
      <c r="U210" s="157" t="n">
        <f aca="false">+SUM($Q210,$R210)/1000*(SUM(0))</f>
        <v>0</v>
      </c>
      <c r="W210" s="158" t="n">
        <f aca="false">IF($B210=" ",0,1)*(IF($B210&gt;=W$25,1,0)*IF($B210&lt;=W$29,W$27,IF($B210&lt;=W$33,W$31,0))*($D210-$D209)*365/1000)</f>
        <v>486.66666666667</v>
      </c>
      <c r="X210" s="158" t="n">
        <f aca="false">IF($B210=" ",0,IF($B210&gt;=X$25,IF($B210&lt;=X$29,X$27,IF($B210&lt;=X$33,X$31,X$31*(1+X$38)^(IF(X$36&gt;$B210,-1,1)*(YEARFRAC($B210,X$36)))))*($D210-$D209)*365/1000,0))</f>
        <v>442.814575324761</v>
      </c>
      <c r="Y210" s="159" t="n">
        <f aca="false">IF($B210=" ",0,Y$25*(1+Y$30)^(IF(Y$28&gt;$B210,-1,1)*(YEARFRAC($B210,Y$28))))</f>
        <v>0.556605694606625</v>
      </c>
      <c r="Z210" s="159" t="n">
        <f aca="false">IF($B210=" ",0,Z$25*(1+Z$30)^(IF(Z$28&gt;$B210,-1,1)*(YEARFRAC($B210,Z$28))))</f>
        <v>0.53135190564443</v>
      </c>
      <c r="AA210" s="162" t="n">
        <f aca="false">+W210+X210+Z210*SUM($J210*$J$37,$L210*$L$37,$N210*$N$37)/1000</f>
        <v>929.481241991432</v>
      </c>
      <c r="AB210" s="161"/>
      <c r="AC210" s="158" t="n">
        <f aca="false">IF($B210=" ",0,1)*(IF($B210&gt;=AC$25,1,0)*IF($B210&lt;=AC$29,AC$27,IF($B210&lt;=AC$33,AC$31,0))*($D210-$D209)*365/1000)</f>
        <v>1591.66666666668</v>
      </c>
      <c r="AD210" s="158" t="n">
        <f aca="false">IF($B210=" ",0,IF($B210&gt;=AD$25,IF($B210&lt;=AD$29,AD$27,IF($B210&lt;=AD$33,AD$31,AD$31*(1+AD$38)^(IF(AD$36&gt;$B210,-1,1)*(YEARFRAC($B210,AD$36)))))*($D210-$D209)*365/1000,0))</f>
        <v>394.201794426689</v>
      </c>
      <c r="AE210" s="159" t="n">
        <f aca="false">IF($B210=" ",0,AE$25*(1+AE$30)^(IF(AE$28&gt;$B210,-1,1)*(YEARFRAC($B210,AE$28))))</f>
        <v>0.461144875119196</v>
      </c>
      <c r="AF210" s="159" t="n">
        <f aca="false">IF($B210=" ",0,AF$25*(1+AF$30)^(IF(AF$28&gt;$B210,-1,1)*(YEARFRAC($B210,AF$28))))</f>
        <v>0.165457735397229</v>
      </c>
      <c r="AG210" s="162" t="n">
        <f aca="false">+AC210+AD210+AF210*SUM($K210*$K$37,$M210*$M$37,$O210*$O$37)/1000</f>
        <v>2806.7361606447</v>
      </c>
      <c r="AI210" s="158" t="n">
        <f aca="false">IF($B210=" ",0,1)*IF($B210&gt;=AI$33,AI$25*($D210-$D209),0)</f>
        <v>485.186570908337</v>
      </c>
      <c r="AJ210" s="158" t="n">
        <f aca="false">IF($B210=" ",0,IF($B210&gt;=AJ$33,AJ$25*(1+AJ$30)^(IF(AJ$28&gt;$B210,-1,1)*(YEARFRAC($B210,AJ$28)))*($D210-$D209),0))</f>
        <v>551.302650517219</v>
      </c>
      <c r="AK210" s="159" t="n">
        <f aca="false">IF($B210=" ",0,AK$25*(1+AK$30)^(IF(AK$28&gt;$B210,-1,1)*(YEARFRAC($B210,AK$28))))</f>
        <v>0.0315077040282264</v>
      </c>
      <c r="AL210" s="159" t="n">
        <f aca="false">IF($B210=" ",0,AL$25*AL$28)</f>
        <v>0.0575</v>
      </c>
      <c r="AM210" s="162" t="n">
        <f aca="false">+AI210+AJ210+SUM(AK210:AL210)*SUM($J210*$J$37,$K210*$K$37,$L210*$L$37,$M210*$M$37,$N210*$N$37,$O210*$O$37)/1000</f>
        <v>1478.0735878052</v>
      </c>
      <c r="AO210" s="163" t="n">
        <f aca="false">IF($B210=" ",0,$AO$25)</f>
        <v>0.25</v>
      </c>
      <c r="AP210" s="159" t="n">
        <f aca="false">IF($B210=" ",0,AP$25*AP$28)</f>
        <v>0.03105</v>
      </c>
      <c r="AQ210" s="162" t="n">
        <f aca="false">SUM(AO210:AP210)*SUM(0)/1000</f>
        <v>0</v>
      </c>
      <c r="AS210" s="155" t="n">
        <f aca="false">IF($B210=" ",0,AS$25)</f>
        <v>1</v>
      </c>
      <c r="AT210" s="156" t="n">
        <f aca="false">IF($B210=" ",0,AT$25)</f>
        <v>1</v>
      </c>
      <c r="AU210" s="156" t="n">
        <f aca="false">IF($B210=" ",0,AU$25)</f>
        <v>2.3</v>
      </c>
      <c r="AV210" s="157" t="n">
        <f aca="false">+AS210*SUM(J210:K210)/1000</f>
        <v>0</v>
      </c>
      <c r="AW210" s="157" t="n">
        <f aca="false">+AT210*SUM(L210:M210)/1000</f>
        <v>0</v>
      </c>
      <c r="AX210" s="157" t="n">
        <f aca="false">+AU210*SUM(N210:O210)/1000</f>
        <v>11537.9859375</v>
      </c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</row>
    <row r="211" customFormat="false" ht="12.75" hidden="true" customHeight="false" outlineLevel="1" collapsed="false">
      <c r="A211" s="164" t="n">
        <f aca="false">+IF(B211=" ",A210,B211)</f>
        <v>41699</v>
      </c>
      <c r="B211" s="148" t="n">
        <f aca="false">IF(B210=" "," ",IF(EDATE(B210,1)&gt;=EndDate," ",EDATE(B210,1)))</f>
        <v>41699</v>
      </c>
      <c r="C211" s="149" t="n">
        <f aca="false">IF($B211&lt;&gt;" ",C210+1,C210)</f>
        <v>161</v>
      </c>
      <c r="D211" s="150" t="n">
        <f aca="false">C211/12</f>
        <v>13.4166666666667</v>
      </c>
      <c r="F211" s="157" t="n">
        <f aca="false">+SUM($T211:$U211)</f>
        <v>14883.5779284771</v>
      </c>
      <c r="G211" s="152" t="n">
        <f aca="false">-SUM($AA211,$AG211,$AM211,$AQ211,$AV211:$AX211)</f>
        <v>-16755.2950532977</v>
      </c>
      <c r="H211" s="152" t="n">
        <f aca="false">+SUM(F211:G211)</f>
        <v>-1871.7171248206</v>
      </c>
      <c r="I211" s="124"/>
      <c r="J211" s="153" t="n">
        <f aca="false">+IF($B211=" ",0,IF(AND($B211&gt;=J$26,$B211&lt;J$28),J$33,0))</f>
        <v>0</v>
      </c>
      <c r="K211" s="153" t="n">
        <f aca="false">+IF($B211=" ",0,IF(AND($B211&gt;=K$26,$B211&lt;K$28),K$33,0))</f>
        <v>0</v>
      </c>
      <c r="L211" s="153" t="n">
        <f aca="false">+IF($B211=" ",0,IF(AND($B211&gt;=L$26,$B211&lt;L$28),L$33,0))</f>
        <v>0</v>
      </c>
      <c r="M211" s="153" t="n">
        <f aca="false">+IF($B211=" ",0,IF(AND($B211&gt;=M$26,$B211&lt;M$28),M$33,0))</f>
        <v>0</v>
      </c>
      <c r="N211" s="153" t="n">
        <f aca="false">+IF($B211=" ",0,IF(AND($B211&gt;=N$26,$B211&lt;N$28),N$33,0))</f>
        <v>0</v>
      </c>
      <c r="O211" s="154" t="n">
        <f aca="false">+IF($B211=" ",0,IF(AND($B211&gt;=O$26,$B211&lt;O$28),O$33,0))</f>
        <v>5016515.625</v>
      </c>
      <c r="Q211" s="83" t="n">
        <f aca="false">IF($B211=" ",0,IF($B211&lt;=DATE(2003,12,31),3.55,2.9))</f>
        <v>2.9</v>
      </c>
      <c r="R211" s="155" t="n">
        <f aca="false">IF($B211=" ",0,R$25)</f>
        <v>-0.07</v>
      </c>
      <c r="S211" s="156" t="n">
        <f aca="false">IF($B211=" ",0,S$25)</f>
        <v>0.1</v>
      </c>
      <c r="T211" s="157" t="n">
        <f aca="false">+SUM($Q211,$S211)/1000*(SUM($J211*$J$37,$K211*$K$37,$L211*$L$37,$M211*$M$37,$N211*$N$37,$O211*$O$37))</f>
        <v>14883.5779284771</v>
      </c>
      <c r="U211" s="157" t="n">
        <f aca="false">+SUM($Q211,$R211)/1000*(SUM(0))</f>
        <v>0</v>
      </c>
      <c r="W211" s="158" t="n">
        <f aca="false">IF($B211=" ",0,1)*(IF($B211&gt;=W$25,1,0)*IF($B211&lt;=W$29,W$27,IF($B211&lt;=W$33,W$31,0))*($D211-$D210)*365/1000)</f>
        <v>486.66666666666</v>
      </c>
      <c r="X211" s="158" t="n">
        <f aca="false">IF($B211=" ",0,IF($B211&gt;=X$25,IF($B211&lt;=X$29,X$27,IF($B211&lt;=X$33,X$31,X$31*(1+X$38)^(IF(X$36&gt;$B211,-1,1)*(YEARFRAC($B211,X$36)))))*($D211-$D210)*365/1000,0))</f>
        <v>443.424946922592</v>
      </c>
      <c r="Y211" s="159" t="n">
        <f aca="false">IF($B211=" ",0,Y$25*(1+Y$30)^(IF(Y$28&gt;$B211,-1,1)*(YEARFRAC($B211,Y$28))))</f>
        <v>0.557372914852108</v>
      </c>
      <c r="Z211" s="159" t="n">
        <f aca="false">IF($B211=" ",0,Z$25*(1+Z$30)^(IF(Z$28&gt;$B211,-1,1)*(YEARFRAC($B211,Z$28))))</f>
        <v>0.532084316296057</v>
      </c>
      <c r="AA211" s="162" t="n">
        <f aca="false">+W211+X211+Z211*SUM($J211*$J$37,$L211*$L$37,$N211*$N$37)/1000</f>
        <v>930.091613589251</v>
      </c>
      <c r="AB211" s="161"/>
      <c r="AC211" s="158" t="n">
        <f aca="false">IF($B211=" ",0,1)*(IF($B211&gt;=AC$25,1,0)*IF($B211&lt;=AC$29,AC$27,IF($B211&lt;=AC$33,AC$31,0))*($D211-$D210)*365/1000)</f>
        <v>1591.66666666664</v>
      </c>
      <c r="AD211" s="158" t="n">
        <f aca="false">IF($B211=" ",0,IF($B211&gt;=AD$25,IF($B211&lt;=AD$29,AD$27,IF($B211&lt;=AD$33,AD$31,AD$31*(1+AD$38)^(IF(AD$36&gt;$B211,-1,1)*(YEARFRAC($B211,AD$36)))))*($D211-$D210)*365/1000,0))</f>
        <v>394.74515860786</v>
      </c>
      <c r="AE211" s="159" t="n">
        <f aca="false">IF($B211=" ",0,AE$25*(1+AE$30)^(IF(AE$28&gt;$B211,-1,1)*(YEARFRAC($B211,AE$28))))</f>
        <v>0.461780513036163</v>
      </c>
      <c r="AF211" s="159" t="n">
        <f aca="false">IF($B211=" ",0,AF$25*(1+AF$30)^(IF(AF$28&gt;$B211,-1,1)*(YEARFRAC($B211,AF$28))))</f>
        <v>0.165685800840322</v>
      </c>
      <c r="AG211" s="162" t="n">
        <f aca="false">+AC211+AD211+AF211*SUM($K211*$K$37,$M211*$M$37,$O211*$O$37)/1000</f>
        <v>2808.41100142419</v>
      </c>
      <c r="AI211" s="158" t="n">
        <f aca="false">IF($B211=" ",0,1)*IF($B211&gt;=AI$33,AI$25*($D211-$D210),0)</f>
        <v>485.186570908327</v>
      </c>
      <c r="AJ211" s="158" t="n">
        <f aca="false">IF($B211=" ",0,IF($B211&gt;=AJ$33,AJ$25*(1+AJ$30)^(IF(AJ$28&gt;$B211,-1,1)*(YEARFRAC($B211,AJ$28)))*($D211-$D210),0))</f>
        <v>551.873660040373</v>
      </c>
      <c r="AK211" s="159" t="n">
        <f aca="false">IF($B211=" ",0,AK$25*(1+AK$30)^(IF(AK$28&gt;$B211,-1,1)*(YEARFRAC($B211,AK$28))))</f>
        <v>0.031540338007106</v>
      </c>
      <c r="AL211" s="159" t="n">
        <f aca="false">IF($B211=" ",0,AL$25*AL$28)</f>
        <v>0.0575</v>
      </c>
      <c r="AM211" s="162" t="n">
        <f aca="false">+AI211+AJ211+SUM(AK211:AL211)*SUM($J211*$J$37,$K211*$K$37,$L211*$L$37,$M211*$M$37,$N211*$N$37,$O211*$O$37)/1000</f>
        <v>1478.80650078427</v>
      </c>
      <c r="AO211" s="163" t="n">
        <f aca="false">IF($B211=" ",0,$AO$25)</f>
        <v>0.25</v>
      </c>
      <c r="AP211" s="159" t="n">
        <f aca="false">IF($B211=" ",0,AP$25*AP$28)</f>
        <v>0.03105</v>
      </c>
      <c r="AQ211" s="162" t="n">
        <f aca="false">SUM(AO211:AP211)*SUM(0)/1000</f>
        <v>0</v>
      </c>
      <c r="AS211" s="155" t="n">
        <f aca="false">IF($B211=" ",0,AS$25)</f>
        <v>1</v>
      </c>
      <c r="AT211" s="156" t="n">
        <f aca="false">IF($B211=" ",0,AT$25)</f>
        <v>1</v>
      </c>
      <c r="AU211" s="156" t="n">
        <f aca="false">IF($B211=" ",0,AU$25)</f>
        <v>2.3</v>
      </c>
      <c r="AV211" s="157" t="n">
        <f aca="false">+AS211*SUM(J211:K211)/1000</f>
        <v>0</v>
      </c>
      <c r="AW211" s="157" t="n">
        <f aca="false">+AT211*SUM(L211:M211)/1000</f>
        <v>0</v>
      </c>
      <c r="AX211" s="157" t="n">
        <f aca="false">+AU211*SUM(N211:O211)/1000</f>
        <v>11537.9859375</v>
      </c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</row>
    <row r="212" customFormat="false" ht="12.75" hidden="true" customHeight="false" outlineLevel="1" collapsed="false">
      <c r="A212" s="164" t="n">
        <f aca="false">+IF(B212=" ",A211,B212)</f>
        <v>41730</v>
      </c>
      <c r="B212" s="148" t="n">
        <f aca="false">IF(B211=" "," ",IF(EDATE(B211,1)&gt;=EndDate," ",EDATE(B211,1)))</f>
        <v>41730</v>
      </c>
      <c r="C212" s="149" t="n">
        <f aca="false">IF($B212&lt;&gt;" ",C211+1,C211)</f>
        <v>162</v>
      </c>
      <c r="D212" s="150" t="n">
        <f aca="false">C212/12</f>
        <v>13.5</v>
      </c>
      <c r="F212" s="157" t="n">
        <f aca="false">+SUM($T212:$U212)</f>
        <v>14883.5779284771</v>
      </c>
      <c r="G212" s="152" t="n">
        <f aca="false">-SUM($AA212,$AG212,$AM212,$AQ212,$AV212:$AX212)</f>
        <v>-16758.317087682</v>
      </c>
      <c r="H212" s="152" t="n">
        <f aca="false">+SUM(F212:G212)</f>
        <v>-1874.73915920488</v>
      </c>
      <c r="I212" s="124"/>
      <c r="J212" s="153" t="n">
        <f aca="false">+IF($B212=" ",0,IF(AND($B212&gt;=J$26,$B212&lt;J$28),J$33,0))</f>
        <v>0</v>
      </c>
      <c r="K212" s="153" t="n">
        <f aca="false">+IF($B212=" ",0,IF(AND($B212&gt;=K$26,$B212&lt;K$28),K$33,0))</f>
        <v>0</v>
      </c>
      <c r="L212" s="153" t="n">
        <f aca="false">+IF($B212=" ",0,IF(AND($B212&gt;=L$26,$B212&lt;L$28),L$33,0))</f>
        <v>0</v>
      </c>
      <c r="M212" s="153" t="n">
        <f aca="false">+IF($B212=" ",0,IF(AND($B212&gt;=M$26,$B212&lt;M$28),M$33,0))</f>
        <v>0</v>
      </c>
      <c r="N212" s="153" t="n">
        <f aca="false">+IF($B212=" ",0,IF(AND($B212&gt;=N$26,$B212&lt;N$28),N$33,0))</f>
        <v>0</v>
      </c>
      <c r="O212" s="154" t="n">
        <f aca="false">+IF($B212=" ",0,IF(AND($B212&gt;=O$26,$B212&lt;O$28),O$33,0))</f>
        <v>5016515.625</v>
      </c>
      <c r="Q212" s="83" t="n">
        <f aca="false">IF($B212=" ",0,IF($B212&lt;=DATE(2003,12,31),3.55,2.9))</f>
        <v>2.9</v>
      </c>
      <c r="R212" s="155" t="n">
        <f aca="false">IF($B212=" ",0,R$25)</f>
        <v>-0.07</v>
      </c>
      <c r="S212" s="156" t="n">
        <f aca="false">IF($B212=" ",0,S$25)</f>
        <v>0.1</v>
      </c>
      <c r="T212" s="157" t="n">
        <f aca="false">+SUM($Q212,$S212)/1000*(SUM($J212*$J$37,$K212*$K$37,$L212*$L$37,$M212*$M$37,$N212*$N$37,$O212*$O$37))</f>
        <v>14883.5779284771</v>
      </c>
      <c r="U212" s="157" t="n">
        <f aca="false">+SUM($Q212,$R212)/1000*(SUM(0))</f>
        <v>0</v>
      </c>
      <c r="W212" s="158" t="n">
        <f aca="false">IF($B212=" ",0,1)*(IF($B212&gt;=W$25,1,0)*IF($B212&lt;=W$29,W$27,IF($B212&lt;=W$33,W$31,0))*($D212-$D211)*365/1000)</f>
        <v>486.66666666667</v>
      </c>
      <c r="X212" s="158" t="n">
        <f aca="false">IF($B212=" ",0,IF($B212&gt;=X$25,IF($B212&lt;=X$29,X$27,IF($B212&lt;=X$33,X$31,X$31*(1+X$38)^(IF(X$36&gt;$B212,-1,1)*(YEARFRAC($B212,X$36)))))*($D212-$D211)*365/1000,0))</f>
        <v>444.03615985112</v>
      </c>
      <c r="Y212" s="159" t="n">
        <f aca="false">IF($B212=" ",0,Y$25*(1+Y$30)^(IF(Y$28&gt;$B212,-1,1)*(YEARFRAC($B212,Y$28))))</f>
        <v>0.558141192627023</v>
      </c>
      <c r="Z212" s="159" t="n">
        <f aca="false">IF($B212=" ",0,Z$25*(1+Z$30)^(IF(Z$28&gt;$B212,-1,1)*(YEARFRAC($B212,Z$28))))</f>
        <v>0.532817736495888</v>
      </c>
      <c r="AA212" s="162" t="n">
        <f aca="false">+W212+X212+Z212*SUM($J212*$J$37,$L212*$L$37,$N212*$N$37)/1000</f>
        <v>930.70282651779</v>
      </c>
      <c r="AB212" s="161"/>
      <c r="AC212" s="158" t="n">
        <f aca="false">IF($B212=" ",0,1)*(IF($B212&gt;=AC$25,1,0)*IF($B212&lt;=AC$29,AC$27,IF($B212&lt;=AC$33,AC$31,0))*($D212-$D211)*365/1000)</f>
        <v>1591.66666666668</v>
      </c>
      <c r="AD212" s="158" t="n">
        <f aca="false">IF($B212=" ",0,IF($B212&gt;=AD$25,IF($B212&lt;=AD$29,AD$27,IF($B212&lt;=AD$33,AD$31,AD$31*(1+AD$38)^(IF(AD$36&gt;$B212,-1,1)*(YEARFRAC($B212,AD$36)))))*($D212-$D211)*365/1000,0))</f>
        <v>395.289271757311</v>
      </c>
      <c r="AE212" s="159" t="n">
        <f aca="false">IF($B212=" ",0,AE$25*(1+AE$30)^(IF(AE$28&gt;$B212,-1,1)*(YEARFRAC($B212,AE$28))))</f>
        <v>0.462417027110675</v>
      </c>
      <c r="AF212" s="159" t="n">
        <f aca="false">IF($B212=" ",0,AF$25*(1+AF$30)^(IF(AF$28&gt;$B212,-1,1)*(YEARFRAC($B212,AF$28))))</f>
        <v>0.165914180646755</v>
      </c>
      <c r="AG212" s="162" t="n">
        <f aca="false">+AC212+AD212+AF212*SUM($K212*$K$37,$M212*$M$37,$O212*$O$37)/1000</f>
        <v>2810.08815078912</v>
      </c>
      <c r="AI212" s="158" t="n">
        <f aca="false">IF($B212=" ",0,1)*IF($B212&gt;=AI$33,AI$25*($D212-$D211),0)</f>
        <v>485.186570908337</v>
      </c>
      <c r="AJ212" s="158" t="n">
        <f aca="false">IF($B212=" ",0,IF($B212&gt;=AJ$33,AJ$25*(1+AJ$30)^(IF(AJ$28&gt;$B212,-1,1)*(YEARFRAC($B212,AJ$28)))*($D212-$D211),0))</f>
        <v>552.445260984389</v>
      </c>
      <c r="AK212" s="159" t="n">
        <f aca="false">IF($B212=" ",0,AK$25*(1+AK$30)^(IF(AK$28&gt;$B212,-1,1)*(YEARFRAC($B212,AK$28))))</f>
        <v>0.0315730057864991</v>
      </c>
      <c r="AL212" s="159" t="n">
        <f aca="false">IF($B212=" ",0,AL$25*AL$28)</f>
        <v>0.0575</v>
      </c>
      <c r="AM212" s="162" t="n">
        <f aca="false">+AI212+AJ212+SUM(AK212:AL212)*SUM($J212*$J$37,$K212*$K$37,$L212*$L$37,$M212*$M$37,$N212*$N$37,$O212*$O$37)/1000</f>
        <v>1479.54017287508</v>
      </c>
      <c r="AO212" s="163" t="n">
        <f aca="false">IF($B212=" ",0,$AO$25)</f>
        <v>0.25</v>
      </c>
      <c r="AP212" s="159" t="n">
        <f aca="false">IF($B212=" ",0,AP$25*AP$28)</f>
        <v>0.03105</v>
      </c>
      <c r="AQ212" s="162" t="n">
        <f aca="false">SUM(AO212:AP212)*SUM(0)/1000</f>
        <v>0</v>
      </c>
      <c r="AS212" s="155" t="n">
        <f aca="false">IF($B212=" ",0,AS$25)</f>
        <v>1</v>
      </c>
      <c r="AT212" s="156" t="n">
        <f aca="false">IF($B212=" ",0,AT$25)</f>
        <v>1</v>
      </c>
      <c r="AU212" s="156" t="n">
        <f aca="false">IF($B212=" ",0,AU$25)</f>
        <v>2.3</v>
      </c>
      <c r="AV212" s="157" t="n">
        <f aca="false">+AS212*SUM(J212:K212)/1000</f>
        <v>0</v>
      </c>
      <c r="AW212" s="157" t="n">
        <f aca="false">+AT212*SUM(L212:M212)/1000</f>
        <v>0</v>
      </c>
      <c r="AX212" s="157" t="n">
        <f aca="false">+AU212*SUM(N212:O212)/1000</f>
        <v>11537.9859375</v>
      </c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</row>
    <row r="213" customFormat="false" ht="12.75" hidden="true" customHeight="false" outlineLevel="1" collapsed="false">
      <c r="A213" s="164" t="n">
        <f aca="false">+IF(B213=" ",A212,B213)</f>
        <v>41760</v>
      </c>
      <c r="B213" s="148" t="n">
        <f aca="false">IF(B212=" "," ",IF(EDATE(B212,1)&gt;=EndDate," ",EDATE(B212,1)))</f>
        <v>41760</v>
      </c>
      <c r="C213" s="149" t="n">
        <f aca="false">IF($B213&lt;&gt;" ",C212+1,C212)</f>
        <v>163</v>
      </c>
      <c r="D213" s="150" t="n">
        <f aca="false">C213/12</f>
        <v>13.5833333333333</v>
      </c>
      <c r="F213" s="157" t="n">
        <f aca="false">+SUM($T213:$U213)</f>
        <v>14883.5779284771</v>
      </c>
      <c r="G213" s="152" t="n">
        <f aca="false">-SUM($AA213,$AG213,$AM213,$AQ213,$AV213:$AX213)</f>
        <v>-16761.343036222</v>
      </c>
      <c r="H213" s="152" t="n">
        <f aca="false">+SUM(F213:G213)</f>
        <v>-1877.76510774486</v>
      </c>
      <c r="I213" s="124"/>
      <c r="J213" s="153" t="n">
        <f aca="false">+IF($B213=" ",0,IF(AND($B213&gt;=J$26,$B213&lt;J$28),J$33,0))</f>
        <v>0</v>
      </c>
      <c r="K213" s="153" t="n">
        <f aca="false">+IF($B213=" ",0,IF(AND($B213&gt;=K$26,$B213&lt;K$28),K$33,0))</f>
        <v>0</v>
      </c>
      <c r="L213" s="153" t="n">
        <f aca="false">+IF($B213=" ",0,IF(AND($B213&gt;=L$26,$B213&lt;L$28),L$33,0))</f>
        <v>0</v>
      </c>
      <c r="M213" s="153" t="n">
        <f aca="false">+IF($B213=" ",0,IF(AND($B213&gt;=M$26,$B213&lt;M$28),M$33,0))</f>
        <v>0</v>
      </c>
      <c r="N213" s="153" t="n">
        <f aca="false">+IF($B213=" ",0,IF(AND($B213&gt;=N$26,$B213&lt;N$28),N$33,0))</f>
        <v>0</v>
      </c>
      <c r="O213" s="154" t="n">
        <f aca="false">+IF($B213=" ",0,IF(AND($B213&gt;=O$26,$B213&lt;O$28),O$33,0))</f>
        <v>5016515.625</v>
      </c>
      <c r="Q213" s="83" t="n">
        <f aca="false">IF($B213=" ",0,IF($B213&lt;=DATE(2003,12,31),3.55,2.9))</f>
        <v>2.9</v>
      </c>
      <c r="R213" s="155" t="n">
        <f aca="false">IF($B213=" ",0,R$25)</f>
        <v>-0.07</v>
      </c>
      <c r="S213" s="156" t="n">
        <f aca="false">IF($B213=" ",0,S$25)</f>
        <v>0.1</v>
      </c>
      <c r="T213" s="157" t="n">
        <f aca="false">+SUM($Q213,$S213)/1000*(SUM($J213*$J$37,$K213*$K$37,$L213*$L$37,$M213*$M$37,$N213*$N$37,$O213*$O$37))</f>
        <v>14883.5779284771</v>
      </c>
      <c r="U213" s="157" t="n">
        <f aca="false">+SUM($Q213,$R213)/1000*(SUM(0))</f>
        <v>0</v>
      </c>
      <c r="W213" s="158" t="n">
        <f aca="false">IF($B213=" ",0,1)*(IF($B213&gt;=W$25,1,0)*IF($B213&lt;=W$29,W$27,IF($B213&lt;=W$33,W$31,0))*($D213-$D212)*365/1000)</f>
        <v>486.66666666667</v>
      </c>
      <c r="X213" s="158" t="n">
        <f aca="false">IF($B213=" ",0,IF($B213&gt;=X$25,IF($B213&lt;=X$29,X$27,IF($B213&lt;=X$33,X$31,X$31*(1+X$38)^(IF(X$36&gt;$B213,-1,1)*(YEARFRAC($B213,X$36)))))*($D213-$D212)*365/1000,0))</f>
        <v>444.648215270001</v>
      </c>
      <c r="Y213" s="159" t="n">
        <f aca="false">IF($B213=" ",0,Y$25*(1+Y$30)^(IF(Y$28&gt;$B213,-1,1)*(YEARFRAC($B213,Y$28))))</f>
        <v>0.558910529389062</v>
      </c>
      <c r="Z213" s="159" t="n">
        <f aca="false">IF($B213=" ",0,Z$25*(1+Z$30)^(IF(Z$28&gt;$B213,-1,1)*(YEARFRAC($B213,Z$28))))</f>
        <v>0.533552167635477</v>
      </c>
      <c r="AA213" s="162" t="n">
        <f aca="false">+W213+X213+Z213*SUM($J213*$J$37,$L213*$L$37,$N213*$N$37)/1000</f>
        <v>931.314881936671</v>
      </c>
      <c r="AB213" s="161"/>
      <c r="AC213" s="158" t="n">
        <f aca="false">IF($B213=" ",0,1)*(IF($B213&gt;=AC$25,1,0)*IF($B213&lt;=AC$29,AC$27,IF($B213&lt;=AC$33,AC$31,0))*($D213-$D212)*365/1000)</f>
        <v>1591.66666666668</v>
      </c>
      <c r="AD213" s="158" t="n">
        <f aca="false">IF($B213=" ",0,IF($B213&gt;=AD$25,IF($B213&lt;=AD$29,AD$27,IF($B213&lt;=AD$33,AD$31,AD$31*(1+AD$38)^(IF(AD$36&gt;$B213,-1,1)*(YEARFRAC($B213,AD$36)))))*($D213-$D212)*365/1000,0))</f>
        <v>395.834134907388</v>
      </c>
      <c r="AE213" s="159" t="n">
        <f aca="false">IF($B213=" ",0,AE$25*(1+AE$30)^(IF(AE$28&gt;$B213,-1,1)*(YEARFRAC($B213,AE$28))))</f>
        <v>0.463054418550418</v>
      </c>
      <c r="AF213" s="159" t="n">
        <f aca="false">IF($B213=" ",0,AF$25*(1+AF$30)^(IF(AF$28&gt;$B213,-1,1)*(YEARFRAC($B213,AF$28))))</f>
        <v>0.166142875249843</v>
      </c>
      <c r="AG213" s="162" t="n">
        <f aca="false">+AC213+AD213+AF213*SUM($K213*$K$37,$M213*$M$37,$O213*$O$37)/1000</f>
        <v>2811.7676119215</v>
      </c>
      <c r="AI213" s="158" t="n">
        <f aca="false">IF($B213=" ",0,1)*IF($B213&gt;=AI$33,AI$25*($D213-$D212),0)</f>
        <v>485.186570908337</v>
      </c>
      <c r="AJ213" s="158" t="n">
        <f aca="false">IF($B213=" ",0,IF($B213&gt;=AJ$33,AJ$25*(1+AJ$30)^(IF(AJ$28&gt;$B213,-1,1)*(YEARFRAC($B213,AJ$28)))*($D213-$D212),0))</f>
        <v>553.017453961792</v>
      </c>
      <c r="AK213" s="159" t="n">
        <f aca="false">IF($B213=" ",0,AK$25*(1+AK$30)^(IF(AK$28&gt;$B213,-1,1)*(YEARFRAC($B213,AK$28))))</f>
        <v>0.0316057074014145</v>
      </c>
      <c r="AL213" s="159" t="n">
        <f aca="false">IF($B213=" ",0,AL$25*AL$28)</f>
        <v>0.0575</v>
      </c>
      <c r="AM213" s="162" t="n">
        <f aca="false">+AI213+AJ213+SUM(AK213:AL213)*SUM($J213*$J$37,$K213*$K$37,$L213*$L$37,$M213*$M$37,$N213*$N$37,$O213*$O$37)/1000</f>
        <v>1480.27460486381</v>
      </c>
      <c r="AO213" s="163" t="n">
        <f aca="false">IF($B213=" ",0,$AO$25)</f>
        <v>0.25</v>
      </c>
      <c r="AP213" s="159" t="n">
        <f aca="false">IF($B213=" ",0,AP$25*AP$28)</f>
        <v>0.03105</v>
      </c>
      <c r="AQ213" s="162" t="n">
        <f aca="false">SUM(AO213:AP213)*SUM(0)/1000</f>
        <v>0</v>
      </c>
      <c r="AS213" s="155" t="n">
        <f aca="false">IF($B213=" ",0,AS$25)</f>
        <v>1</v>
      </c>
      <c r="AT213" s="156" t="n">
        <f aca="false">IF($B213=" ",0,AT$25)</f>
        <v>1</v>
      </c>
      <c r="AU213" s="156" t="n">
        <f aca="false">IF($B213=" ",0,AU$25)</f>
        <v>2.3</v>
      </c>
      <c r="AV213" s="157" t="n">
        <f aca="false">+AS213*SUM(J213:K213)/1000</f>
        <v>0</v>
      </c>
      <c r="AW213" s="157" t="n">
        <f aca="false">+AT213*SUM(L213:M213)/1000</f>
        <v>0</v>
      </c>
      <c r="AX213" s="157" t="n">
        <f aca="false">+AU213*SUM(N213:O213)/1000</f>
        <v>11537.9859375</v>
      </c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</row>
    <row r="214" customFormat="false" ht="12.75" hidden="true" customHeight="false" outlineLevel="1" collapsed="false">
      <c r="A214" s="164" t="n">
        <f aca="false">+IF(B214=" ",A213,B214)</f>
        <v>41791</v>
      </c>
      <c r="B214" s="148" t="n">
        <f aca="false">IF(B213=" "," ",IF(EDATE(B213,1)&gt;=EndDate," ",EDATE(B213,1)))</f>
        <v>41791</v>
      </c>
      <c r="C214" s="149" t="n">
        <f aca="false">IF($B214&lt;&gt;" ",C213+1,C213)</f>
        <v>164</v>
      </c>
      <c r="D214" s="150" t="n">
        <f aca="false">C214/12</f>
        <v>13.6666666666667</v>
      </c>
      <c r="F214" s="157" t="n">
        <f aca="false">+SUM($T214:$U214)</f>
        <v>14883.5779284771</v>
      </c>
      <c r="G214" s="152" t="n">
        <f aca="false">-SUM($AA214,$AG214,$AM214,$AQ214,$AV214:$AX214)</f>
        <v>-16764.3729040525</v>
      </c>
      <c r="H214" s="152" t="n">
        <f aca="false">+SUM(F214:G214)</f>
        <v>-1880.79497557541</v>
      </c>
      <c r="I214" s="124"/>
      <c r="J214" s="153" t="n">
        <f aca="false">+IF($B214=" ",0,IF(AND($B214&gt;=J$26,$B214&lt;J$28),J$33,0))</f>
        <v>0</v>
      </c>
      <c r="K214" s="153" t="n">
        <f aca="false">+IF($B214=" ",0,IF(AND($B214&gt;=K$26,$B214&lt;K$28),K$33,0))</f>
        <v>0</v>
      </c>
      <c r="L214" s="153" t="n">
        <f aca="false">+IF($B214=" ",0,IF(AND($B214&gt;=L$26,$B214&lt;L$28),L$33,0))</f>
        <v>0</v>
      </c>
      <c r="M214" s="153" t="n">
        <f aca="false">+IF($B214=" ",0,IF(AND($B214&gt;=M$26,$B214&lt;M$28),M$33,0))</f>
        <v>0</v>
      </c>
      <c r="N214" s="153" t="n">
        <f aca="false">+IF($B214=" ",0,IF(AND($B214&gt;=N$26,$B214&lt;N$28),N$33,0))</f>
        <v>0</v>
      </c>
      <c r="O214" s="154" t="n">
        <f aca="false">+IF($B214=" ",0,IF(AND($B214&gt;=O$26,$B214&lt;O$28),O$33,0))</f>
        <v>5016515.625</v>
      </c>
      <c r="Q214" s="83" t="n">
        <f aca="false">IF($B214=" ",0,IF($B214&lt;=DATE(2003,12,31),3.55,2.9))</f>
        <v>2.9</v>
      </c>
      <c r="R214" s="155" t="n">
        <f aca="false">IF($B214=" ",0,R$25)</f>
        <v>-0.07</v>
      </c>
      <c r="S214" s="156" t="n">
        <f aca="false">IF($B214=" ",0,S$25)</f>
        <v>0.1</v>
      </c>
      <c r="T214" s="157" t="n">
        <f aca="false">+SUM($Q214,$S214)/1000*(SUM($J214*$J$37,$K214*$K$37,$L214*$L$37,$M214*$M$37,$N214*$N$37,$O214*$O$37))</f>
        <v>14883.5779284771</v>
      </c>
      <c r="U214" s="157" t="n">
        <f aca="false">+SUM($Q214,$R214)/1000*(SUM(0))</f>
        <v>0</v>
      </c>
      <c r="W214" s="158" t="n">
        <f aca="false">IF($B214=" ",0,1)*(IF($B214&gt;=W$25,1,0)*IF($B214&lt;=W$29,W$27,IF($B214&lt;=W$33,W$31,0))*($D214-$D213)*365/1000)</f>
        <v>486.66666666666</v>
      </c>
      <c r="X214" s="158" t="n">
        <f aca="false">IF($B214=" ",0,IF($B214&gt;=X$25,IF($B214&lt;=X$29,X$27,IF($B214&lt;=X$33,X$31,X$31*(1+X$38)^(IF(X$36&gt;$B214,-1,1)*(YEARFRAC($B214,X$36)))))*($D214-$D213)*365/1000,0))</f>
        <v>445.261114340515</v>
      </c>
      <c r="Y214" s="159" t="n">
        <f aca="false">IF($B214=" ",0,Y$25*(1+Y$30)^(IF(Y$28&gt;$B214,-1,1)*(YEARFRAC($B214,Y$28))))</f>
        <v>0.559680926597922</v>
      </c>
      <c r="Z214" s="159" t="n">
        <f aca="false">IF($B214=" ",0,Z$25*(1+Z$30)^(IF(Z$28&gt;$B214,-1,1)*(YEARFRAC($B214,Z$28))))</f>
        <v>0.534287611108293</v>
      </c>
      <c r="AA214" s="162" t="n">
        <f aca="false">+W214+X214+Z214*SUM($J214*$J$37,$L214*$L$37,$N214*$N$37)/1000</f>
        <v>931.927781007175</v>
      </c>
      <c r="AB214" s="161"/>
      <c r="AC214" s="158" t="n">
        <f aca="false">IF($B214=" ",0,1)*(IF($B214&gt;=AC$25,1,0)*IF($B214&lt;=AC$29,AC$27,IF($B214&lt;=AC$33,AC$31,0))*($D214-$D213)*365/1000)</f>
        <v>1591.66666666664</v>
      </c>
      <c r="AD214" s="158" t="n">
        <f aca="false">IF($B214=" ",0,IF($B214&gt;=AD$25,IF($B214&lt;=AD$29,AD$27,IF($B214&lt;=AD$33,AD$31,AD$31*(1+AD$38)^(IF(AD$36&gt;$B214,-1,1)*(YEARFRAC($B214,AD$36)))))*($D214-$D213)*365/1000,0))</f>
        <v>396.379749091884</v>
      </c>
      <c r="AE214" s="159" t="n">
        <f aca="false">IF($B214=" ",0,AE$25*(1+AE$30)^(IF(AE$28&gt;$B214,-1,1)*(YEARFRAC($B214,AE$28))))</f>
        <v>0.463692688564747</v>
      </c>
      <c r="AF214" s="159" t="n">
        <f aca="false">IF($B214=" ",0,AF$25*(1+AF$30)^(IF(AF$28&gt;$B214,-1,1)*(YEARFRAC($B214,AF$28))))</f>
        <v>0.1663718850835</v>
      </c>
      <c r="AG214" s="162" t="n">
        <f aca="false">+AC214+AD214+AF214*SUM($K214*$K$37,$M214*$M$37,$O214*$O$37)/1000</f>
        <v>2813.44938800783</v>
      </c>
      <c r="AI214" s="158" t="n">
        <f aca="false">IF($B214=" ",0,1)*IF($B214&gt;=AI$33,AI$25*($D214-$D213),0)</f>
        <v>485.186570908327</v>
      </c>
      <c r="AJ214" s="158" t="n">
        <f aca="false">IF($B214=" ",0,IF($B214&gt;=AJ$33,AJ$25*(1+AJ$30)^(IF(AJ$28&gt;$B214,-1,1)*(YEARFRAC($B214,AJ$28)))*($D214-$D213),0))</f>
        <v>553.59023958578</v>
      </c>
      <c r="AK214" s="159" t="n">
        <f aca="false">IF($B214=" ",0,AK$25*(1+AK$30)^(IF(AK$28&gt;$B214,-1,1)*(YEARFRAC($B214,AK$28))))</f>
        <v>0.0316384428868972</v>
      </c>
      <c r="AL214" s="159" t="n">
        <f aca="false">IF($B214=" ",0,AL$25*AL$28)</f>
        <v>0.0575</v>
      </c>
      <c r="AM214" s="162" t="n">
        <f aca="false">+AI214+AJ214+SUM(AK214:AL214)*SUM($J214*$J$37,$K214*$K$37,$L214*$L$37,$M214*$M$37,$N214*$N$37,$O214*$O$37)/1000</f>
        <v>1481.00979753752</v>
      </c>
      <c r="AO214" s="163" t="n">
        <f aca="false">IF($B214=" ",0,$AO$25)</f>
        <v>0.25</v>
      </c>
      <c r="AP214" s="159" t="n">
        <f aca="false">IF($B214=" ",0,AP$25*AP$28)</f>
        <v>0.03105</v>
      </c>
      <c r="AQ214" s="162" t="n">
        <f aca="false">SUM(AO214:AP214)*SUM(0)/1000</f>
        <v>0</v>
      </c>
      <c r="AS214" s="155" t="n">
        <f aca="false">IF($B214=" ",0,AS$25)</f>
        <v>1</v>
      </c>
      <c r="AT214" s="156" t="n">
        <f aca="false">IF($B214=" ",0,AT$25)</f>
        <v>1</v>
      </c>
      <c r="AU214" s="156" t="n">
        <f aca="false">IF($B214=" ",0,AU$25)</f>
        <v>2.3</v>
      </c>
      <c r="AV214" s="157" t="n">
        <f aca="false">+AS214*SUM(J214:K214)/1000</f>
        <v>0</v>
      </c>
      <c r="AW214" s="157" t="n">
        <f aca="false">+AT214*SUM(L214:M214)/1000</f>
        <v>0</v>
      </c>
      <c r="AX214" s="157" t="n">
        <f aca="false">+AU214*SUM(N214:O214)/1000</f>
        <v>11537.9859375</v>
      </c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</row>
    <row r="215" customFormat="false" ht="12.75" hidden="true" customHeight="false" outlineLevel="1" collapsed="false">
      <c r="A215" s="164" t="n">
        <f aca="false">+IF(B215=" ",A214,B215)</f>
        <v>41821</v>
      </c>
      <c r="B215" s="148" t="n">
        <f aca="false">IF(B214=" "," ",IF(EDATE(B214,1)&gt;=EndDate," ",EDATE(B214,1)))</f>
        <v>41821</v>
      </c>
      <c r="C215" s="149" t="n">
        <f aca="false">IF($B215&lt;&gt;" ",C214+1,C214)</f>
        <v>165</v>
      </c>
      <c r="D215" s="150" t="n">
        <f aca="false">C215/12</f>
        <v>13.75</v>
      </c>
      <c r="F215" s="157" t="n">
        <f aca="false">+SUM($T215:$U215)</f>
        <v>14883.5779284771</v>
      </c>
      <c r="G215" s="152" t="n">
        <f aca="false">-SUM($AA215,$AG215,$AM215,$AQ215,$AV215:$AX215)</f>
        <v>-16767.4066963156</v>
      </c>
      <c r="H215" s="152" t="n">
        <f aca="false">+SUM(F215:G215)</f>
        <v>-1883.82876783846</v>
      </c>
      <c r="I215" s="124"/>
      <c r="J215" s="153" t="n">
        <f aca="false">+IF($B215=" ",0,IF(AND($B215&gt;=J$26,$B215&lt;J$28),J$33,0))</f>
        <v>0</v>
      </c>
      <c r="K215" s="153" t="n">
        <f aca="false">+IF($B215=" ",0,IF(AND($B215&gt;=K$26,$B215&lt;K$28),K$33,0))</f>
        <v>0</v>
      </c>
      <c r="L215" s="153" t="n">
        <f aca="false">+IF($B215=" ",0,IF(AND($B215&gt;=L$26,$B215&lt;L$28),L$33,0))</f>
        <v>0</v>
      </c>
      <c r="M215" s="153" t="n">
        <f aca="false">+IF($B215=" ",0,IF(AND($B215&gt;=M$26,$B215&lt;M$28),M$33,0))</f>
        <v>0</v>
      </c>
      <c r="N215" s="153" t="n">
        <f aca="false">+IF($B215=" ",0,IF(AND($B215&gt;=N$26,$B215&lt;N$28),N$33,0))</f>
        <v>0</v>
      </c>
      <c r="O215" s="154" t="n">
        <f aca="false">+IF($B215=" ",0,IF(AND($B215&gt;=O$26,$B215&lt;O$28),O$33,0))</f>
        <v>5016515.625</v>
      </c>
      <c r="Q215" s="83" t="n">
        <f aca="false">IF($B215=" ",0,IF($B215&lt;=DATE(2003,12,31),3.55,2.9))</f>
        <v>2.9</v>
      </c>
      <c r="R215" s="155" t="n">
        <f aca="false">IF($B215=" ",0,R$25)</f>
        <v>-0.07</v>
      </c>
      <c r="S215" s="156" t="n">
        <f aca="false">IF($B215=" ",0,S$25)</f>
        <v>0.1</v>
      </c>
      <c r="T215" s="157" t="n">
        <f aca="false">+SUM($Q215,$S215)/1000*(SUM($J215*$J$37,$K215*$K$37,$L215*$L$37,$M215*$M$37,$N215*$N$37,$O215*$O$37))</f>
        <v>14883.5779284771</v>
      </c>
      <c r="U215" s="157" t="n">
        <f aca="false">+SUM($Q215,$R215)/1000*(SUM(0))</f>
        <v>0</v>
      </c>
      <c r="W215" s="158" t="n">
        <f aca="false">IF($B215=" ",0,1)*(IF($B215&gt;=W$25,1,0)*IF($B215&lt;=W$29,W$27,IF($B215&lt;=W$33,W$31,0))*($D215-$D214)*365/1000)</f>
        <v>486.66666666667</v>
      </c>
      <c r="X215" s="158" t="n">
        <f aca="false">IF($B215=" ",0,IF($B215&gt;=X$25,IF($B215&lt;=X$29,X$27,IF($B215&lt;=X$33,X$31,X$31*(1+X$38)^(IF(X$36&gt;$B215,-1,1)*(YEARFRAC($B215,X$36)))))*($D215-$D214)*365/1000,0))</f>
        <v>445.874858225573</v>
      </c>
      <c r="Y215" s="159" t="n">
        <f aca="false">IF($B215=" ",0,Y$25*(1+Y$30)^(IF(Y$28&gt;$B215,-1,1)*(YEARFRAC($B215,Y$28))))</f>
        <v>0.560452385715313</v>
      </c>
      <c r="Z215" s="159" t="n">
        <f aca="false">IF($B215=" ",0,Z$25*(1+Z$30)^(IF(Z$28&gt;$B215,-1,1)*(YEARFRAC($B215,Z$28))))</f>
        <v>0.535024068309728</v>
      </c>
      <c r="AA215" s="162" t="n">
        <f aca="false">+W215+X215+Z215*SUM($J215*$J$37,$L215*$L$37,$N215*$N$37)/1000</f>
        <v>932.541524892243</v>
      </c>
      <c r="AB215" s="161"/>
      <c r="AC215" s="158" t="n">
        <f aca="false">IF($B215=" ",0,1)*(IF($B215&gt;=AC$25,1,0)*IF($B215&lt;=AC$29,AC$27,IF($B215&lt;=AC$33,AC$31,0))*($D215-$D214)*365/1000)</f>
        <v>1591.66666666668</v>
      </c>
      <c r="AD215" s="158" t="n">
        <f aca="false">IF($B215=" ",0,IF($B215&gt;=AD$25,IF($B215&lt;=AD$29,AD$27,IF($B215&lt;=AD$33,AD$31,AD$31*(1+AD$38)^(IF(AD$36&gt;$B215,-1,1)*(YEARFRAC($B215,AD$36)))))*($D215-$D214)*365/1000,0))</f>
        <v>396.926115346046</v>
      </c>
      <c r="AE215" s="159" t="n">
        <f aca="false">IF($B215=" ",0,AE$25*(1+AE$30)^(IF(AE$28&gt;$B215,-1,1)*(YEARFRAC($B215,AE$28))))</f>
        <v>0.464331838364679</v>
      </c>
      <c r="AF215" s="159" t="n">
        <f aca="false">IF($B215=" ",0,AF$25*(1+AF$30)^(IF(AF$28&gt;$B215,-1,1)*(YEARFRAC($B215,AF$28))))</f>
        <v>0.166601210582236</v>
      </c>
      <c r="AG215" s="162" t="n">
        <f aca="false">+AC215+AD215+AF215*SUM($K215*$K$37,$M215*$M$37,$O215*$O$37)/1000</f>
        <v>2815.13348223917</v>
      </c>
      <c r="AI215" s="158" t="n">
        <f aca="false">IF($B215=" ",0,1)*IF($B215&gt;=AI$33,AI$25*($D215-$D214),0)</f>
        <v>485.186570908337</v>
      </c>
      <c r="AJ215" s="158" t="n">
        <f aca="false">IF($B215=" ",0,IF($B215&gt;=AJ$33,AJ$25*(1+AJ$30)^(IF(AJ$28&gt;$B215,-1,1)*(YEARFRAC($B215,AJ$28)))*($D215-$D214),0))</f>
        <v>554.163618470219</v>
      </c>
      <c r="AK215" s="159" t="n">
        <f aca="false">IF($B215=" ",0,AK$25*(1+AK$30)^(IF(AK$28&gt;$B215,-1,1)*(YEARFRAC($B215,AK$28))))</f>
        <v>0.0316712122780286</v>
      </c>
      <c r="AL215" s="159" t="n">
        <f aca="false">IF($B215=" ",0,AL$25*AL$28)</f>
        <v>0.0575</v>
      </c>
      <c r="AM215" s="162" t="n">
        <f aca="false">+AI215+AJ215+SUM(AK215:AL215)*SUM($J215*$J$37,$K215*$K$37,$L215*$L$37,$M215*$M$37,$N215*$N$37,$O215*$O$37)/1000</f>
        <v>1481.74575168416</v>
      </c>
      <c r="AO215" s="163" t="n">
        <f aca="false">IF($B215=" ",0,$AO$25)</f>
        <v>0.25</v>
      </c>
      <c r="AP215" s="159" t="n">
        <f aca="false">IF($B215=" ",0,AP$25*AP$28)</f>
        <v>0.03105</v>
      </c>
      <c r="AQ215" s="162" t="n">
        <f aca="false">SUM(AO215:AP215)*SUM(0)/1000</f>
        <v>0</v>
      </c>
      <c r="AS215" s="155" t="n">
        <f aca="false">IF($B215=" ",0,AS$25)</f>
        <v>1</v>
      </c>
      <c r="AT215" s="156" t="n">
        <f aca="false">IF($B215=" ",0,AT$25)</f>
        <v>1</v>
      </c>
      <c r="AU215" s="156" t="n">
        <f aca="false">IF($B215=" ",0,AU$25)</f>
        <v>2.3</v>
      </c>
      <c r="AV215" s="157" t="n">
        <f aca="false">+AS215*SUM(J215:K215)/1000</f>
        <v>0</v>
      </c>
      <c r="AW215" s="157" t="n">
        <f aca="false">+AT215*SUM(L215:M215)/1000</f>
        <v>0</v>
      </c>
      <c r="AX215" s="157" t="n">
        <f aca="false">+AU215*SUM(N215:O215)/1000</f>
        <v>11537.9859375</v>
      </c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</row>
    <row r="216" customFormat="false" ht="12.75" hidden="true" customHeight="false" outlineLevel="1" collapsed="false">
      <c r="A216" s="164" t="n">
        <f aca="false">+IF(B216=" ",A215,B216)</f>
        <v>41852</v>
      </c>
      <c r="B216" s="148" t="n">
        <f aca="false">IF(B215=" "," ",IF(EDATE(B215,1)&gt;=EndDate," ",EDATE(B215,1)))</f>
        <v>41852</v>
      </c>
      <c r="C216" s="149" t="n">
        <f aca="false">IF($B216&lt;&gt;" ",C215+1,C215)</f>
        <v>166</v>
      </c>
      <c r="D216" s="150" t="n">
        <f aca="false">C216/12</f>
        <v>13.8333333333333</v>
      </c>
      <c r="F216" s="157" t="n">
        <f aca="false">+SUM($T216:$U216)</f>
        <v>14883.5779284771</v>
      </c>
      <c r="G216" s="152" t="n">
        <f aca="false">-SUM($AA216,$AG216,$AM216,$AQ216,$AV216:$AX216)</f>
        <v>-16770.4444181593</v>
      </c>
      <c r="H216" s="152" t="n">
        <f aca="false">+SUM(F216:G216)</f>
        <v>-1886.86648968223</v>
      </c>
      <c r="I216" s="124"/>
      <c r="J216" s="153" t="n">
        <f aca="false">+IF($B216=" ",0,IF(AND($B216&gt;=J$26,$B216&lt;J$28),J$33,0))</f>
        <v>0</v>
      </c>
      <c r="K216" s="153" t="n">
        <f aca="false">+IF($B216=" ",0,IF(AND($B216&gt;=K$26,$B216&lt;K$28),K$33,0))</f>
        <v>0</v>
      </c>
      <c r="L216" s="153" t="n">
        <f aca="false">+IF($B216=" ",0,IF(AND($B216&gt;=L$26,$B216&lt;L$28),L$33,0))</f>
        <v>0</v>
      </c>
      <c r="M216" s="153" t="n">
        <f aca="false">+IF($B216=" ",0,IF(AND($B216&gt;=M$26,$B216&lt;M$28),M$33,0))</f>
        <v>0</v>
      </c>
      <c r="N216" s="153" t="n">
        <f aca="false">+IF($B216=" ",0,IF(AND($B216&gt;=N$26,$B216&lt;N$28),N$33,0))</f>
        <v>0</v>
      </c>
      <c r="O216" s="154" t="n">
        <f aca="false">+IF($B216=" ",0,IF(AND($B216&gt;=O$26,$B216&lt;O$28),O$33,0))</f>
        <v>5016515.625</v>
      </c>
      <c r="Q216" s="83" t="n">
        <f aca="false">IF($B216=" ",0,IF($B216&lt;=DATE(2003,12,31),3.55,2.9))</f>
        <v>2.9</v>
      </c>
      <c r="R216" s="155" t="n">
        <f aca="false">IF($B216=" ",0,R$25)</f>
        <v>-0.07</v>
      </c>
      <c r="S216" s="156" t="n">
        <f aca="false">IF($B216=" ",0,S$25)</f>
        <v>0.1</v>
      </c>
      <c r="T216" s="157" t="n">
        <f aca="false">+SUM($Q216,$S216)/1000*(SUM($J216*$J$37,$K216*$K$37,$L216*$L$37,$M216*$M$37,$N216*$N$37,$O216*$O$37))</f>
        <v>14883.5779284771</v>
      </c>
      <c r="U216" s="157" t="n">
        <f aca="false">+SUM($Q216,$R216)/1000*(SUM(0))</f>
        <v>0</v>
      </c>
      <c r="W216" s="158" t="n">
        <f aca="false">IF($B216=" ",0,1)*(IF($B216&gt;=W$25,1,0)*IF($B216&lt;=W$29,W$27,IF($B216&lt;=W$33,W$31,0))*($D216-$D215)*365/1000)</f>
        <v>486.66666666667</v>
      </c>
      <c r="X216" s="158" t="n">
        <f aca="false">IF($B216=" ",0,IF($B216&gt;=X$25,IF($B216&lt;=X$29,X$27,IF($B216&lt;=X$33,X$31,X$31*(1+X$38)^(IF(X$36&gt;$B216,-1,1)*(YEARFRAC($B216,X$36)))))*($D216-$D215)*365/1000,0))</f>
        <v>446.489448089631</v>
      </c>
      <c r="Y216" s="159" t="n">
        <f aca="false">IF($B216=" ",0,Y$25*(1+Y$30)^(IF(Y$28&gt;$B216,-1,1)*(YEARFRAC($B216,Y$28))))</f>
        <v>0.56122490820496</v>
      </c>
      <c r="Z216" s="159" t="n">
        <f aca="false">IF($B216=" ",0,Z$25*(1+Z$30)^(IF(Z$28&gt;$B216,-1,1)*(YEARFRAC($B216,Z$28))))</f>
        <v>0.535761540637095</v>
      </c>
      <c r="AA216" s="162" t="n">
        <f aca="false">+W216+X216+Z216*SUM($J216*$J$37,$L216*$L$37,$N216*$N$37)/1000</f>
        <v>933.156114756301</v>
      </c>
      <c r="AB216" s="161"/>
      <c r="AC216" s="158" t="n">
        <f aca="false">IF($B216=" ",0,1)*(IF($B216&gt;=AC$25,1,0)*IF($B216&lt;=AC$29,AC$27,IF($B216&lt;=AC$33,AC$31,0))*($D216-$D215)*365/1000)</f>
        <v>1591.66666666668</v>
      </c>
      <c r="AD216" s="158" t="n">
        <f aca="false">IF($B216=" ",0,IF($B216&gt;=AD$25,IF($B216&lt;=AD$29,AD$27,IF($B216&lt;=AD$33,AD$31,AD$31*(1+AD$38)^(IF(AD$36&gt;$B216,-1,1)*(YEARFRAC($B216,AD$36)))))*($D216-$D215)*365/1000,0))</f>
        <v>397.473234706492</v>
      </c>
      <c r="AE216" s="159" t="n">
        <f aca="false">IF($B216=" ",0,AE$25*(1+AE$30)^(IF(AE$28&gt;$B216,-1,1)*(YEARFRAC($B216,AE$28))))</f>
        <v>0.464971869162903</v>
      </c>
      <c r="AF216" s="159" t="n">
        <f aca="false">IF($B216=" ",0,AF$25*(1+AF$30)^(IF(AF$28&gt;$B216,-1,1)*(YEARFRAC($B216,AF$28))))</f>
        <v>0.166830852181161</v>
      </c>
      <c r="AG216" s="162" t="n">
        <f aca="false">+AC216+AD216+AF216*SUM($K216*$K$37,$M216*$M$37,$O216*$O$37)/1000</f>
        <v>2816.81989781069</v>
      </c>
      <c r="AI216" s="158" t="n">
        <f aca="false">IF($B216=" ",0,1)*IF($B216&gt;=AI$33,AI$25*($D216-$D215),0)</f>
        <v>485.186570908337</v>
      </c>
      <c r="AJ216" s="158" t="n">
        <f aca="false">IF($B216=" ",0,IF($B216&gt;=AJ$33,AJ$25*(1+AJ$30)^(IF(AJ$28&gt;$B216,-1,1)*(YEARFRAC($B216,AJ$28)))*($D216-$D215),0))</f>
        <v>554.73759122954</v>
      </c>
      <c r="AK216" s="159" t="n">
        <f aca="false">IF($B216=" ",0,AK$25*(1+AK$30)^(IF(AK$28&gt;$B216,-1,1)*(YEARFRAC($B216,AK$28))))</f>
        <v>0.0317040156099262</v>
      </c>
      <c r="AL216" s="159" t="n">
        <f aca="false">IF($B216=" ",0,AL$25*AL$28)</f>
        <v>0.0575</v>
      </c>
      <c r="AM216" s="162" t="n">
        <f aca="false">+AI216+AJ216+SUM(AK216:AL216)*SUM($J216*$J$37,$K216*$K$37,$L216*$L$37,$M216*$M$37,$N216*$N$37,$O216*$O$37)/1000</f>
        <v>1482.48246809235</v>
      </c>
      <c r="AO216" s="163" t="n">
        <f aca="false">IF($B216=" ",0,$AO$25)</f>
        <v>0.25</v>
      </c>
      <c r="AP216" s="159" t="n">
        <f aca="false">IF($B216=" ",0,AP$25*AP$28)</f>
        <v>0.03105</v>
      </c>
      <c r="AQ216" s="162" t="n">
        <f aca="false">SUM(AO216:AP216)*SUM(0)/1000</f>
        <v>0</v>
      </c>
      <c r="AS216" s="155" t="n">
        <f aca="false">IF($B216=" ",0,AS$25)</f>
        <v>1</v>
      </c>
      <c r="AT216" s="156" t="n">
        <f aca="false">IF($B216=" ",0,AT$25)</f>
        <v>1</v>
      </c>
      <c r="AU216" s="156" t="n">
        <f aca="false">IF($B216=" ",0,AU$25)</f>
        <v>2.3</v>
      </c>
      <c r="AV216" s="157" t="n">
        <f aca="false">+AS216*SUM(J216:K216)/1000</f>
        <v>0</v>
      </c>
      <c r="AW216" s="157" t="n">
        <f aca="false">+AT216*SUM(L216:M216)/1000</f>
        <v>0</v>
      </c>
      <c r="AX216" s="157" t="n">
        <f aca="false">+AU216*SUM(N216:O216)/1000</f>
        <v>11537.9859375</v>
      </c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</row>
    <row r="217" customFormat="false" ht="12.75" hidden="true" customHeight="false" outlineLevel="1" collapsed="false">
      <c r="A217" s="164" t="n">
        <f aca="false">+IF(B217=" ",A216,B217)</f>
        <v>41883</v>
      </c>
      <c r="B217" s="148" t="n">
        <f aca="false">IF(B216=" "," ",IF(EDATE(B216,1)&gt;=EndDate," ",EDATE(B216,1)))</f>
        <v>41883</v>
      </c>
      <c r="C217" s="149" t="n">
        <f aca="false">IF($B217&lt;&gt;" ",C216+1,C216)</f>
        <v>167</v>
      </c>
      <c r="D217" s="150" t="n">
        <f aca="false">C217/12</f>
        <v>13.9166666666667</v>
      </c>
      <c r="F217" s="157" t="n">
        <f aca="false">+SUM($T217:$U217)</f>
        <v>14883.5779284771</v>
      </c>
      <c r="G217" s="152" t="n">
        <f aca="false">-SUM($AA217,$AG217,$AM217,$AQ217,$AV217:$AX217)</f>
        <v>-16773.4860747392</v>
      </c>
      <c r="H217" s="152" t="n">
        <f aca="false">+SUM(F217:G217)</f>
        <v>-1889.90814626204</v>
      </c>
      <c r="I217" s="124"/>
      <c r="J217" s="153" t="n">
        <f aca="false">+IF($B217=" ",0,IF(AND($B217&gt;=J$26,$B217&lt;J$28),J$33,0))</f>
        <v>0</v>
      </c>
      <c r="K217" s="153" t="n">
        <f aca="false">+IF($B217=" ",0,IF(AND($B217&gt;=K$26,$B217&lt;K$28),K$33,0))</f>
        <v>0</v>
      </c>
      <c r="L217" s="153" t="n">
        <f aca="false">+IF($B217=" ",0,IF(AND($B217&gt;=L$26,$B217&lt;L$28),L$33,0))</f>
        <v>0</v>
      </c>
      <c r="M217" s="153" t="n">
        <f aca="false">+IF($B217=" ",0,IF(AND($B217&gt;=M$26,$B217&lt;M$28),M$33,0))</f>
        <v>0</v>
      </c>
      <c r="N217" s="153" t="n">
        <f aca="false">+IF($B217=" ",0,IF(AND($B217&gt;=N$26,$B217&lt;N$28),N$33,0))</f>
        <v>0</v>
      </c>
      <c r="O217" s="154" t="n">
        <f aca="false">+IF($B217=" ",0,IF(AND($B217&gt;=O$26,$B217&lt;O$28),O$33,0))</f>
        <v>5016515.625</v>
      </c>
      <c r="Q217" s="83" t="n">
        <f aca="false">IF($B217=" ",0,IF($B217&lt;=DATE(2003,12,31),3.55,2.9))</f>
        <v>2.9</v>
      </c>
      <c r="R217" s="155" t="n">
        <f aca="false">IF($B217=" ",0,R$25)</f>
        <v>-0.07</v>
      </c>
      <c r="S217" s="156" t="n">
        <f aca="false">IF($B217=" ",0,S$25)</f>
        <v>0.1</v>
      </c>
      <c r="T217" s="157" t="n">
        <f aca="false">+SUM($Q217,$S217)/1000*(SUM($J217*$J$37,$K217*$K$37,$L217*$L$37,$M217*$M$37,$N217*$N$37,$O217*$O$37))</f>
        <v>14883.5779284771</v>
      </c>
      <c r="U217" s="157" t="n">
        <f aca="false">+SUM($Q217,$R217)/1000*(SUM(0))</f>
        <v>0</v>
      </c>
      <c r="W217" s="158" t="n">
        <f aca="false">IF($B217=" ",0,1)*(IF($B217&gt;=W$25,1,0)*IF($B217&lt;=W$29,W$27,IF($B217&lt;=W$33,W$31,0))*($D217-$D216)*365/1000)</f>
        <v>486.66666666666</v>
      </c>
      <c r="X217" s="158" t="n">
        <f aca="false">IF($B217=" ",0,IF($B217&gt;=X$25,IF($B217&lt;=X$29,X$27,IF($B217&lt;=X$33,X$31,X$31*(1+X$38)^(IF(X$36&gt;$B217,-1,1)*(YEARFRAC($B217,X$36)))))*($D217-$D216)*365/1000,0))</f>
        <v>447.104885098778</v>
      </c>
      <c r="Y217" s="159" t="n">
        <f aca="false">IF($B217=" ",0,Y$25*(1+Y$30)^(IF(Y$28&gt;$B217,-1,1)*(YEARFRAC($B217,Y$28))))</f>
        <v>0.561998495532607</v>
      </c>
      <c r="Z217" s="159" t="n">
        <f aca="false">IF($B217=" ",0,Z$25*(1+Z$30)^(IF(Z$28&gt;$B217,-1,1)*(YEARFRAC($B217,Z$28))))</f>
        <v>0.536500029489635</v>
      </c>
      <c r="AA217" s="162" t="n">
        <f aca="false">+W217+X217+Z217*SUM($J217*$J$37,$L217*$L$37,$N217*$N$37)/1000</f>
        <v>933.771551765438</v>
      </c>
      <c r="AB217" s="161"/>
      <c r="AC217" s="158" t="n">
        <f aca="false">IF($B217=" ",0,1)*(IF($B217&gt;=AC$25,1,0)*IF($B217&lt;=AC$29,AC$27,IF($B217&lt;=AC$33,AC$31,0))*($D217-$D216)*365/1000)</f>
        <v>1591.66666666664</v>
      </c>
      <c r="AD217" s="158" t="n">
        <f aca="false">IF($B217=" ",0,IF($B217&gt;=AD$25,IF($B217&lt;=AD$29,AD$27,IF($B217&lt;=AD$33,AD$31,AD$31*(1+AD$38)^(IF(AD$36&gt;$B217,-1,1)*(YEARFRAC($B217,AD$36)))))*($D217-$D216)*365/1000,0))</f>
        <v>398.021108211299</v>
      </c>
      <c r="AE217" s="159" t="n">
        <f aca="false">IF($B217=" ",0,AE$25*(1+AE$30)^(IF(AE$28&gt;$B217,-1,1)*(YEARFRAC($B217,AE$28))))</f>
        <v>0.46561278217378</v>
      </c>
      <c r="AF217" s="159" t="n">
        <f aca="false">IF($B217=" ",0,AF$25*(1+AF$30)^(IF(AF$28&gt;$B217,-1,1)*(YEARFRAC($B217,AF$28))))</f>
        <v>0.167060810315986</v>
      </c>
      <c r="AG217" s="162" t="n">
        <f aca="false">+AC217+AD217+AF217*SUM($K217*$K$37,$M217*$M$37,$O217*$O$37)/1000</f>
        <v>2818.50863792211</v>
      </c>
      <c r="AI217" s="158" t="n">
        <f aca="false">IF($B217=" ",0,1)*IF($B217&gt;=AI$33,AI$25*($D217-$D216),0)</f>
        <v>485.186570908327</v>
      </c>
      <c r="AJ217" s="158" t="n">
        <f aca="false">IF($B217=" ",0,IF($B217&gt;=AJ$33,AJ$25*(1+AJ$30)^(IF(AJ$28&gt;$B217,-1,1)*(YEARFRAC($B217,AJ$28)))*($D217-$D216),0))</f>
        <v>555.312158478848</v>
      </c>
      <c r="AK217" s="159" t="n">
        <f aca="false">IF($B217=" ",0,AK$25*(1+AK$30)^(IF(AK$28&gt;$B217,-1,1)*(YEARFRAC($B217,AK$28))))</f>
        <v>0.0317368529177441</v>
      </c>
      <c r="AL217" s="159" t="n">
        <f aca="false">IF($B217=" ",0,AL$25*AL$28)</f>
        <v>0.0575</v>
      </c>
      <c r="AM217" s="162" t="n">
        <f aca="false">+AI217+AJ217+SUM(AK217:AL217)*SUM($J217*$J$37,$K217*$K$37,$L217*$L$37,$M217*$M$37,$N217*$N$37,$O217*$O$37)/1000</f>
        <v>1483.21994755161</v>
      </c>
      <c r="AO217" s="163" t="n">
        <f aca="false">IF($B217=" ",0,$AO$25)</f>
        <v>0.25</v>
      </c>
      <c r="AP217" s="159" t="n">
        <f aca="false">IF($B217=" ",0,AP$25*AP$28)</f>
        <v>0.03105</v>
      </c>
      <c r="AQ217" s="162" t="n">
        <f aca="false">SUM(AO217:AP217)*SUM(0)/1000</f>
        <v>0</v>
      </c>
      <c r="AS217" s="155" t="n">
        <f aca="false">IF($B217=" ",0,AS$25)</f>
        <v>1</v>
      </c>
      <c r="AT217" s="156" t="n">
        <f aca="false">IF($B217=" ",0,AT$25)</f>
        <v>1</v>
      </c>
      <c r="AU217" s="156" t="n">
        <f aca="false">IF($B217=" ",0,AU$25)</f>
        <v>2.3</v>
      </c>
      <c r="AV217" s="157" t="n">
        <f aca="false">+AS217*SUM(J217:K217)/1000</f>
        <v>0</v>
      </c>
      <c r="AW217" s="157" t="n">
        <f aca="false">+AT217*SUM(L217:M217)/1000</f>
        <v>0</v>
      </c>
      <c r="AX217" s="157" t="n">
        <f aca="false">+AU217*SUM(N217:O217)/1000</f>
        <v>11537.9859375</v>
      </c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</row>
    <row r="218" customFormat="false" ht="12.75" hidden="true" customHeight="false" outlineLevel="1" collapsed="false">
      <c r="A218" s="164" t="n">
        <f aca="false">+IF(B218=" ",A217,B218)</f>
        <v>41913</v>
      </c>
      <c r="B218" s="148" t="n">
        <f aca="false">IF(B217=" "," ",IF(EDATE(B217,1)&gt;=EndDate," ",EDATE(B217,1)))</f>
        <v>41913</v>
      </c>
      <c r="C218" s="149" t="n">
        <f aca="false">IF($B218&lt;&gt;" ",C217+1,C217)</f>
        <v>168</v>
      </c>
      <c r="D218" s="150" t="n">
        <f aca="false">C218/12</f>
        <v>14</v>
      </c>
      <c r="F218" s="157" t="n">
        <f aca="false">+SUM($T218:$U218)</f>
        <v>14883.5779284771</v>
      </c>
      <c r="G218" s="152" t="n">
        <f aca="false">-SUM($AA218,$AG218,$AM218,$AQ218,$AV218:$AX218)</f>
        <v>-16776.5316712174</v>
      </c>
      <c r="H218" s="152" t="n">
        <f aca="false">+SUM(F218:G218)</f>
        <v>-1892.9537427403</v>
      </c>
      <c r="I218" s="124"/>
      <c r="J218" s="153" t="n">
        <f aca="false">+IF($B218=" ",0,IF(AND($B218&gt;=J$26,$B218&lt;J$28),J$33,0))</f>
        <v>0</v>
      </c>
      <c r="K218" s="153" t="n">
        <f aca="false">+IF($B218=" ",0,IF(AND($B218&gt;=K$26,$B218&lt;K$28),K$33,0))</f>
        <v>0</v>
      </c>
      <c r="L218" s="153" t="n">
        <f aca="false">+IF($B218=" ",0,IF(AND($B218&gt;=L$26,$B218&lt;L$28),L$33,0))</f>
        <v>0</v>
      </c>
      <c r="M218" s="153" t="n">
        <f aca="false">+IF($B218=" ",0,IF(AND($B218&gt;=M$26,$B218&lt;M$28),M$33,0))</f>
        <v>0</v>
      </c>
      <c r="N218" s="153" t="n">
        <f aca="false">+IF($B218=" ",0,IF(AND($B218&gt;=N$26,$B218&lt;N$28),N$33,0))</f>
        <v>0</v>
      </c>
      <c r="O218" s="154" t="n">
        <f aca="false">+IF($B218=" ",0,IF(AND($B218&gt;=O$26,$B218&lt;O$28),O$33,0))</f>
        <v>5016515.625</v>
      </c>
      <c r="Q218" s="83" t="n">
        <f aca="false">IF($B218=" ",0,IF($B218&lt;=DATE(2003,12,31),3.55,2.9))</f>
        <v>2.9</v>
      </c>
      <c r="R218" s="155" t="n">
        <f aca="false">IF($B218=" ",0,R$25)</f>
        <v>-0.07</v>
      </c>
      <c r="S218" s="156" t="n">
        <f aca="false">IF($B218=" ",0,S$25)</f>
        <v>0.1</v>
      </c>
      <c r="T218" s="157" t="n">
        <f aca="false">+SUM($Q218,$S218)/1000*(SUM($J218*$J$37,$K218*$K$37,$L218*$L$37,$M218*$M$37,$N218*$N$37,$O218*$O$37))</f>
        <v>14883.5779284771</v>
      </c>
      <c r="U218" s="157" t="n">
        <f aca="false">+SUM($Q218,$R218)/1000*(SUM(0))</f>
        <v>0</v>
      </c>
      <c r="W218" s="158" t="n">
        <f aca="false">IF($B218=" ",0,1)*(IF($B218&gt;=W$25,1,0)*IF($B218&lt;=W$29,W$27,IF($B218&lt;=W$33,W$31,0))*($D218-$D217)*365/1000)</f>
        <v>486.66666666667</v>
      </c>
      <c r="X218" s="158" t="n">
        <f aca="false">IF($B218=" ",0,IF($B218&gt;=X$25,IF($B218&lt;=X$29,X$27,IF($B218&lt;=X$33,X$31,X$31*(1+X$38)^(IF(X$36&gt;$B218,-1,1)*(YEARFRAC($B218,X$36)))))*($D218-$D217)*365/1000,0))</f>
        <v>447.721170420741</v>
      </c>
      <c r="Y218" s="159" t="n">
        <f aca="false">IF($B218=" ",0,Y$25*(1+Y$30)^(IF(Y$28&gt;$B218,-1,1)*(YEARFRAC($B218,Y$28))))</f>
        <v>0.562773149166016</v>
      </c>
      <c r="Z218" s="159" t="n">
        <f aca="false">IF($B218=" ",0,Z$25*(1+Z$30)^(IF(Z$28&gt;$B218,-1,1)*(YEARFRAC($B218,Z$28))))</f>
        <v>0.537239536268517</v>
      </c>
      <c r="AA218" s="162" t="n">
        <f aca="false">+W218+X218+Z218*SUM($J218*$J$37,$L218*$L$37,$N218*$N$37)/1000</f>
        <v>934.387837087411</v>
      </c>
      <c r="AB218" s="161"/>
      <c r="AC218" s="158" t="n">
        <f aca="false">IF($B218=" ",0,1)*(IF($B218&gt;=AC$25,1,0)*IF($B218&lt;=AC$29,AC$27,IF($B218&lt;=AC$33,AC$31,0))*($D218-$D217)*365/1000)</f>
        <v>1591.66666666668</v>
      </c>
      <c r="AD218" s="158" t="n">
        <f aca="false">IF($B218=" ",0,IF($B218&gt;=AD$25,IF($B218&lt;=AD$29,AD$27,IF($B218&lt;=AD$33,AD$31,AD$31*(1+AD$38)^(IF(AD$36&gt;$B218,-1,1)*(YEARFRAC($B218,AD$36)))))*($D218-$D217)*365/1000,0))</f>
        <v>398.569736899996</v>
      </c>
      <c r="AE218" s="159" t="n">
        <f aca="false">IF($B218=" ",0,AE$25*(1+AE$30)^(IF(AE$28&gt;$B218,-1,1)*(YEARFRAC($B218,AE$28))))</f>
        <v>0.466254578613342</v>
      </c>
      <c r="AF218" s="159" t="n">
        <f aca="false">IF($B218=" ",0,AF$25*(1+AF$30)^(IF(AF$28&gt;$B218,-1,1)*(YEARFRAC($B218,AF$28))))</f>
        <v>0.167291085423019</v>
      </c>
      <c r="AG218" s="162" t="n">
        <f aca="false">+AC218+AD218+AF218*SUM($K218*$K$37,$M218*$M$37,$O218*$O$37)/1000</f>
        <v>2820.19970577768</v>
      </c>
      <c r="AI218" s="158" t="n">
        <f aca="false">IF($B218=" ",0,1)*IF($B218&gt;=AI$33,AI$25*($D218-$D217),0)</f>
        <v>485.186570908337</v>
      </c>
      <c r="AJ218" s="158" t="n">
        <f aca="false">IF($B218=" ",0,IF($B218&gt;=AJ$33,AJ$25*(1+AJ$30)^(IF(AJ$28&gt;$B218,-1,1)*(YEARFRAC($B218,AJ$28)))*($D218-$D217),0))</f>
        <v>555.887320833918</v>
      </c>
      <c r="AK218" s="159" t="n">
        <f aca="false">IF($B218=" ",0,AK$25*(1+AK$30)^(IF(AK$28&gt;$B218,-1,1)*(YEARFRAC($B218,AK$28))))</f>
        <v>0.0317697242366728</v>
      </c>
      <c r="AL218" s="159" t="n">
        <f aca="false">IF($B218=" ",0,AL$25*AL$28)</f>
        <v>0.0575</v>
      </c>
      <c r="AM218" s="162" t="n">
        <f aca="false">+AI218+AJ218+SUM(AK218:AL218)*SUM($J218*$J$37,$K218*$K$37,$L218*$L$37,$M218*$M$37,$N218*$N$37,$O218*$O$37)/1000</f>
        <v>1483.95819085231</v>
      </c>
      <c r="AO218" s="163" t="n">
        <f aca="false">IF($B218=" ",0,$AO$25)</f>
        <v>0.25</v>
      </c>
      <c r="AP218" s="159" t="n">
        <f aca="false">IF($B218=" ",0,AP$25*AP$28)</f>
        <v>0.03105</v>
      </c>
      <c r="AQ218" s="162" t="n">
        <f aca="false">SUM(AO218:AP218)*SUM(0)/1000</f>
        <v>0</v>
      </c>
      <c r="AS218" s="155" t="n">
        <f aca="false">IF($B218=" ",0,AS$25)</f>
        <v>1</v>
      </c>
      <c r="AT218" s="156" t="n">
        <f aca="false">IF($B218=" ",0,AT$25)</f>
        <v>1</v>
      </c>
      <c r="AU218" s="156" t="n">
        <f aca="false">IF($B218=" ",0,AU$25)</f>
        <v>2.3</v>
      </c>
      <c r="AV218" s="157" t="n">
        <f aca="false">+AS218*SUM(J218:K218)/1000</f>
        <v>0</v>
      </c>
      <c r="AW218" s="157" t="n">
        <f aca="false">+AT218*SUM(L218:M218)/1000</f>
        <v>0</v>
      </c>
      <c r="AX218" s="157" t="n">
        <f aca="false">+AU218*SUM(N218:O218)/1000</f>
        <v>11537.9859375</v>
      </c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</row>
    <row r="219" customFormat="false" ht="12.75" hidden="true" customHeight="false" outlineLevel="1" collapsed="false">
      <c r="A219" s="164" t="n">
        <f aca="false">+IF(B219=" ",A218,B219)</f>
        <v>41944</v>
      </c>
      <c r="B219" s="148" t="n">
        <f aca="false">IF(B218=" "," ",IF(EDATE(B218,1)&gt;=EndDate," ",EDATE(B218,1)))</f>
        <v>41944</v>
      </c>
      <c r="C219" s="149" t="n">
        <f aca="false">IF($B219&lt;&gt;" ",C218+1,C218)</f>
        <v>169</v>
      </c>
      <c r="D219" s="150" t="n">
        <f aca="false">C219/12</f>
        <v>14.0833333333333</v>
      </c>
      <c r="F219" s="157" t="n">
        <f aca="false">+SUM($T219:$U219)</f>
        <v>14883.5779284771</v>
      </c>
      <c r="G219" s="152" t="n">
        <f aca="false">-SUM($AA219,$AG219,$AM219,$AQ219,$AV219:$AX219)</f>
        <v>-16779.5812127629</v>
      </c>
      <c r="H219" s="152" t="n">
        <f aca="false">+SUM(F219:G219)</f>
        <v>-1896.00328428574</v>
      </c>
      <c r="I219" s="124"/>
      <c r="J219" s="153" t="n">
        <f aca="false">+IF($B219=" ",0,IF(AND($B219&gt;=J$26,$B219&lt;J$28),J$33,0))</f>
        <v>0</v>
      </c>
      <c r="K219" s="153" t="n">
        <f aca="false">+IF($B219=" ",0,IF(AND($B219&gt;=K$26,$B219&lt;K$28),K$33,0))</f>
        <v>0</v>
      </c>
      <c r="L219" s="153" t="n">
        <f aca="false">+IF($B219=" ",0,IF(AND($B219&gt;=L$26,$B219&lt;L$28),L$33,0))</f>
        <v>0</v>
      </c>
      <c r="M219" s="153" t="n">
        <f aca="false">+IF($B219=" ",0,IF(AND($B219&gt;=M$26,$B219&lt;M$28),M$33,0))</f>
        <v>0</v>
      </c>
      <c r="N219" s="153" t="n">
        <f aca="false">+IF($B219=" ",0,IF(AND($B219&gt;=N$26,$B219&lt;N$28),N$33,0))</f>
        <v>0</v>
      </c>
      <c r="O219" s="154" t="n">
        <f aca="false">+IF($B219=" ",0,IF(AND($B219&gt;=O$26,$B219&lt;O$28),O$33,0))</f>
        <v>5016515.625</v>
      </c>
      <c r="Q219" s="83" t="n">
        <f aca="false">IF($B219=" ",0,IF($B219&lt;=DATE(2003,12,31),3.55,2.9))</f>
        <v>2.9</v>
      </c>
      <c r="R219" s="155" t="n">
        <f aca="false">IF($B219=" ",0,R$25)</f>
        <v>-0.07</v>
      </c>
      <c r="S219" s="156" t="n">
        <f aca="false">IF($B219=" ",0,S$25)</f>
        <v>0.1</v>
      </c>
      <c r="T219" s="157" t="n">
        <f aca="false">+SUM($Q219,$S219)/1000*(SUM($J219*$J$37,$K219*$K$37,$L219*$L$37,$M219*$M$37,$N219*$N$37,$O219*$O$37))</f>
        <v>14883.5779284771</v>
      </c>
      <c r="U219" s="157" t="n">
        <f aca="false">+SUM($Q219,$R219)/1000*(SUM(0))</f>
        <v>0</v>
      </c>
      <c r="W219" s="158" t="n">
        <f aca="false">IF($B219=" ",0,1)*(IF($B219&gt;=W$25,1,0)*IF($B219&lt;=W$29,W$27,IF($B219&lt;=W$33,W$31,0))*($D219-$D218)*365/1000)</f>
        <v>486.66666666667</v>
      </c>
      <c r="X219" s="158" t="n">
        <f aca="false">IF($B219=" ",0,IF($B219&gt;=X$25,IF($B219&lt;=X$29,X$27,IF($B219&lt;=X$33,X$31,X$31*(1+X$38)^(IF(X$36&gt;$B219,-1,1)*(YEARFRAC($B219,X$36)))))*($D219-$D218)*365/1000,0))</f>
        <v>448.338305224797</v>
      </c>
      <c r="Y219" s="159" t="n">
        <f aca="false">IF($B219=" ",0,Y$25*(1+Y$30)^(IF(Y$28&gt;$B219,-1,1)*(YEARFRAC($B219,Y$28))))</f>
        <v>0.563548870574973</v>
      </c>
      <c r="Z219" s="159" t="n">
        <f aca="false">IF($B219=" ",0,Z$25*(1+Z$30)^(IF(Z$28&gt;$B219,-1,1)*(YEARFRAC($B219,Z$28))))</f>
        <v>0.537980062376843</v>
      </c>
      <c r="AA219" s="162" t="n">
        <f aca="false">+W219+X219+Z219*SUM($J219*$J$37,$L219*$L$37,$N219*$N$37)/1000</f>
        <v>935.004971891467</v>
      </c>
      <c r="AB219" s="161"/>
      <c r="AC219" s="158" t="n">
        <f aca="false">IF($B219=" ",0,1)*(IF($B219&gt;=AC$25,1,0)*IF($B219&lt;=AC$29,AC$27,IF($B219&lt;=AC$33,AC$31,0))*($D219-$D218)*365/1000)</f>
        <v>1591.66666666668</v>
      </c>
      <c r="AD219" s="158" t="n">
        <f aca="false">IF($B219=" ",0,IF($B219&gt;=AD$25,IF($B219&lt;=AD$29,AD$27,IF($B219&lt;=AD$33,AD$31,AD$31*(1+AD$38)^(IF(AD$36&gt;$B219,-1,1)*(YEARFRAC($B219,AD$36)))))*($D219-$D218)*365/1000,0))</f>
        <v>399.119121813498</v>
      </c>
      <c r="AE219" s="159" t="n">
        <f aca="false">IF($B219=" ",0,AE$25*(1+AE$30)^(IF(AE$28&gt;$B219,-1,1)*(YEARFRAC($B219,AE$28))))</f>
        <v>0.466897259699302</v>
      </c>
      <c r="AF219" s="159" t="n">
        <f aca="false">IF($B219=" ",0,AF$25*(1+AF$30)^(IF(AF$28&gt;$B219,-1,1)*(YEARFRAC($B219,AF$28))))</f>
        <v>0.167521677939174</v>
      </c>
      <c r="AG219" s="162" t="n">
        <f aca="false">+AC219+AD219+AF219*SUM($K219*$K$37,$M219*$M$37,$O219*$O$37)/1000</f>
        <v>2821.89310458582</v>
      </c>
      <c r="AI219" s="158" t="n">
        <f aca="false">IF($B219=" ",0,1)*IF($B219&gt;=AI$33,AI$25*($D219-$D218),0)</f>
        <v>485.186570908337</v>
      </c>
      <c r="AJ219" s="158" t="n">
        <f aca="false">IF($B219=" ",0,IF($B219&gt;=AJ$33,AJ$25*(1+AJ$30)^(IF(AJ$28&gt;$B219,-1,1)*(YEARFRAC($B219,AJ$28)))*($D219-$D218),0))</f>
        <v>556.463078911093</v>
      </c>
      <c r="AK219" s="159" t="n">
        <f aca="false">IF($B219=" ",0,AK$25*(1+AK$30)^(IF(AK$28&gt;$B219,-1,1)*(YEARFRAC($B219,AK$28))))</f>
        <v>0.031802629601939</v>
      </c>
      <c r="AL219" s="159" t="n">
        <f aca="false">IF($B219=" ",0,AL$25*AL$28)</f>
        <v>0.0575</v>
      </c>
      <c r="AM219" s="162" t="n">
        <f aca="false">+AI219+AJ219+SUM(AK219:AL219)*SUM($J219*$J$37,$K219*$K$37,$L219*$L$37,$M219*$M$37,$N219*$N$37,$O219*$O$37)/1000</f>
        <v>1484.69719878556</v>
      </c>
      <c r="AO219" s="163" t="n">
        <f aca="false">IF($B219=" ",0,$AO$25)</f>
        <v>0.25</v>
      </c>
      <c r="AP219" s="159" t="n">
        <f aca="false">IF($B219=" ",0,AP$25*AP$28)</f>
        <v>0.03105</v>
      </c>
      <c r="AQ219" s="162" t="n">
        <f aca="false">SUM(AO219:AP219)*SUM(0)/1000</f>
        <v>0</v>
      </c>
      <c r="AS219" s="155" t="n">
        <f aca="false">IF($B219=" ",0,AS$25)</f>
        <v>1</v>
      </c>
      <c r="AT219" s="156" t="n">
        <f aca="false">IF($B219=" ",0,AT$25)</f>
        <v>1</v>
      </c>
      <c r="AU219" s="156" t="n">
        <f aca="false">IF($B219=" ",0,AU$25)</f>
        <v>2.3</v>
      </c>
      <c r="AV219" s="157" t="n">
        <f aca="false">+AS219*SUM(J219:K219)/1000</f>
        <v>0</v>
      </c>
      <c r="AW219" s="157" t="n">
        <f aca="false">+AT219*SUM(L219:M219)/1000</f>
        <v>0</v>
      </c>
      <c r="AX219" s="157" t="n">
        <f aca="false">+AU219*SUM(N219:O219)/1000</f>
        <v>11537.9859375</v>
      </c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</row>
    <row r="220" customFormat="false" ht="12.75" hidden="true" customHeight="false" outlineLevel="1" collapsed="false">
      <c r="A220" s="164" t="n">
        <f aca="false">+IF(B220=" ",A219,B220)</f>
        <v>41974</v>
      </c>
      <c r="B220" s="148" t="n">
        <f aca="false">IF(B219=" "," ",IF(EDATE(B219,1)&gt;=EndDate," ",EDATE(B219,1)))</f>
        <v>41974</v>
      </c>
      <c r="C220" s="149" t="n">
        <f aca="false">IF($B220&lt;&gt;" ",C219+1,C219)</f>
        <v>170</v>
      </c>
      <c r="D220" s="150" t="n">
        <f aca="false">C220/12</f>
        <v>14.1666666666667</v>
      </c>
      <c r="F220" s="157" t="n">
        <f aca="false">+SUM($T220:$U220)</f>
        <v>14883.5779284771</v>
      </c>
      <c r="G220" s="152" t="n">
        <f aca="false">-SUM($AA220,$AG220,$AM220,$AQ220,$AV220:$AX220)</f>
        <v>-16782.6347045513</v>
      </c>
      <c r="H220" s="152" t="n">
        <f aca="false">+SUM(F220:G220)</f>
        <v>-1899.0567760742</v>
      </c>
      <c r="I220" s="124"/>
      <c r="J220" s="153" t="n">
        <f aca="false">+IF($B220=" ",0,IF(AND($B220&gt;=J$26,$B220&lt;J$28),J$33,0))</f>
        <v>0</v>
      </c>
      <c r="K220" s="153" t="n">
        <f aca="false">+IF($B220=" ",0,IF(AND($B220&gt;=K$26,$B220&lt;K$28),K$33,0))</f>
        <v>0</v>
      </c>
      <c r="L220" s="153" t="n">
        <f aca="false">+IF($B220=" ",0,IF(AND($B220&gt;=L$26,$B220&lt;L$28),L$33,0))</f>
        <v>0</v>
      </c>
      <c r="M220" s="153" t="n">
        <f aca="false">+IF($B220=" ",0,IF(AND($B220&gt;=M$26,$B220&lt;M$28),M$33,0))</f>
        <v>0</v>
      </c>
      <c r="N220" s="153" t="n">
        <f aca="false">+IF($B220=" ",0,IF(AND($B220&gt;=N$26,$B220&lt;N$28),N$33,0))</f>
        <v>0</v>
      </c>
      <c r="O220" s="154" t="n">
        <f aca="false">+IF($B220=" ",0,IF(AND($B220&gt;=O$26,$B220&lt;O$28),O$33,0))</f>
        <v>5016515.625</v>
      </c>
      <c r="Q220" s="83" t="n">
        <f aca="false">IF($B220=" ",0,IF($B220&lt;=DATE(2003,12,31),3.55,2.9))</f>
        <v>2.9</v>
      </c>
      <c r="R220" s="155" t="n">
        <f aca="false">IF($B220=" ",0,R$25)</f>
        <v>-0.07</v>
      </c>
      <c r="S220" s="156" t="n">
        <f aca="false">IF($B220=" ",0,S$25)</f>
        <v>0.1</v>
      </c>
      <c r="T220" s="157" t="n">
        <f aca="false">+SUM($Q220,$S220)/1000*(SUM($J220*$J$37,$K220*$K$37,$L220*$L$37,$M220*$M$37,$N220*$N$37,$O220*$O$37))</f>
        <v>14883.5779284771</v>
      </c>
      <c r="U220" s="157" t="n">
        <f aca="false">+SUM($Q220,$R220)/1000*(SUM(0))</f>
        <v>0</v>
      </c>
      <c r="W220" s="158" t="n">
        <f aca="false">IF($B220=" ",0,1)*(IF($B220&gt;=W$25,1,0)*IF($B220&lt;=W$29,W$27,IF($B220&lt;=W$33,W$31,0))*($D220-$D219)*365/1000)</f>
        <v>486.66666666666</v>
      </c>
      <c r="X220" s="158" t="n">
        <f aca="false">IF($B220=" ",0,IF($B220&gt;=X$25,IF($B220&lt;=X$29,X$27,IF($B220&lt;=X$33,X$31,X$31*(1+X$38)^(IF(X$36&gt;$B220,-1,1)*(YEARFRAC($B220,X$36)))))*($D220-$D219)*365/1000,0))</f>
        <v>448.956290681866</v>
      </c>
      <c r="Y220" s="159" t="n">
        <f aca="false">IF($B220=" ",0,Y$25*(1+Y$30)^(IF(Y$28&gt;$B220,-1,1)*(YEARFRAC($B220,Y$28))))</f>
        <v>0.564325661231291</v>
      </c>
      <c r="Z220" s="159" t="n">
        <f aca="false">IF($B220=" ",0,Z$25*(1+Z$30)^(IF(Z$28&gt;$B220,-1,1)*(YEARFRAC($B220,Z$28))))</f>
        <v>0.538721609219645</v>
      </c>
      <c r="AA220" s="162" t="n">
        <f aca="false">+W220+X220+Z220*SUM($J220*$J$37,$L220*$L$37,$N220*$N$37)/1000</f>
        <v>935.622957348525</v>
      </c>
      <c r="AB220" s="161"/>
      <c r="AC220" s="158" t="n">
        <f aca="false">IF($B220=" ",0,1)*(IF($B220&gt;=AC$25,1,0)*IF($B220&lt;=AC$29,AC$27,IF($B220&lt;=AC$33,AC$31,0))*($D220-$D219)*365/1000)</f>
        <v>1591.66666666664</v>
      </c>
      <c r="AD220" s="158" t="n">
        <f aca="false">IF($B220=" ",0,IF($B220&gt;=AD$25,IF($B220&lt;=AD$29,AD$27,IF($B220&lt;=AD$33,AD$31,AD$31*(1+AD$38)^(IF(AD$36&gt;$B220,-1,1)*(YEARFRAC($B220,AD$36)))))*($D220-$D219)*365/1000,0))</f>
        <v>399.669263994178</v>
      </c>
      <c r="AE220" s="159" t="n">
        <f aca="false">IF($B220=" ",0,AE$25*(1+AE$30)^(IF(AE$28&gt;$B220,-1,1)*(YEARFRAC($B220,AE$28))))</f>
        <v>0.467540826651046</v>
      </c>
      <c r="AF220" s="159" t="n">
        <f aca="false">IF($B220=" ",0,AF$25*(1+AF$30)^(IF(AF$28&gt;$B220,-1,1)*(YEARFRAC($B220,AF$28))))</f>
        <v>0.167752588301963</v>
      </c>
      <c r="AG220" s="162" t="n">
        <f aca="false">+AC220+AD220+AF220*SUM($K220*$K$37,$M220*$M$37,$O220*$O$37)/1000</f>
        <v>2823.58883755949</v>
      </c>
      <c r="AI220" s="158" t="n">
        <f aca="false">IF($B220=" ",0,1)*IF($B220&gt;=AI$33,AI$25*($D220-$D219),0)</f>
        <v>485.186570908327</v>
      </c>
      <c r="AJ220" s="158" t="n">
        <f aca="false">IF($B220=" ",0,IF($B220&gt;=AJ$33,AJ$25*(1+AJ$30)^(IF(AJ$28&gt;$B220,-1,1)*(YEARFRAC($B220,AJ$28)))*($D220-$D219),0))</f>
        <v>557.03943332739</v>
      </c>
      <c r="AK220" s="159" t="n">
        <f aca="false">IF($B220=" ",0,AK$25*(1+AK$30)^(IF(AK$28&gt;$B220,-1,1)*(YEARFRAC($B220,AK$28))))</f>
        <v>0.0318355690488061</v>
      </c>
      <c r="AL220" s="159" t="n">
        <f aca="false">IF($B220=" ",0,AL$25*AL$28)</f>
        <v>0.0575</v>
      </c>
      <c r="AM220" s="162" t="n">
        <f aca="false">+AI220+AJ220+SUM(AK220:AL220)*SUM($J220*$J$37,$K220*$K$37,$L220*$L$37,$M220*$M$37,$N220*$N$37,$O220*$O$37)/1000</f>
        <v>1485.4369721433</v>
      </c>
      <c r="AO220" s="163" t="n">
        <f aca="false">IF($B220=" ",0,$AO$25)</f>
        <v>0.25</v>
      </c>
      <c r="AP220" s="159" t="n">
        <f aca="false">IF($B220=" ",0,AP$25*AP$28)</f>
        <v>0.03105</v>
      </c>
      <c r="AQ220" s="162" t="n">
        <f aca="false">SUM(AO220:AP220)*SUM(0)/1000</f>
        <v>0</v>
      </c>
      <c r="AS220" s="155" t="n">
        <f aca="false">IF($B220=" ",0,AS$25)</f>
        <v>1</v>
      </c>
      <c r="AT220" s="156" t="n">
        <f aca="false">IF($B220=" ",0,AT$25)</f>
        <v>1</v>
      </c>
      <c r="AU220" s="156" t="n">
        <f aca="false">IF($B220=" ",0,AU$25)</f>
        <v>2.3</v>
      </c>
      <c r="AV220" s="157" t="n">
        <f aca="false">+AS220*SUM(J220:K220)/1000</f>
        <v>0</v>
      </c>
      <c r="AW220" s="157" t="n">
        <f aca="false">+AT220*SUM(L220:M220)/1000</f>
        <v>0</v>
      </c>
      <c r="AX220" s="157" t="n">
        <f aca="false">+AU220*SUM(N220:O220)/1000</f>
        <v>11537.9859375</v>
      </c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</row>
    <row r="221" customFormat="false" ht="12.75" hidden="true" customHeight="false" outlineLevel="1" collapsed="false">
      <c r="A221" s="164" t="n">
        <f aca="false">+IF(B221=" ",A220,B221)</f>
        <v>42005</v>
      </c>
      <c r="B221" s="148" t="n">
        <f aca="false">IF(B220=" "," ",IF(EDATE(B220,1)&gt;=EndDate," ",EDATE(B220,1)))</f>
        <v>42005</v>
      </c>
      <c r="C221" s="149" t="n">
        <f aca="false">IF($B221&lt;&gt;" ",C220+1,C220)</f>
        <v>171</v>
      </c>
      <c r="D221" s="150" t="n">
        <f aca="false">C221/12</f>
        <v>14.25</v>
      </c>
      <c r="F221" s="157" t="n">
        <f aca="false">+SUM($T221:$U221)</f>
        <v>14883.5779284771</v>
      </c>
      <c r="G221" s="152" t="n">
        <f aca="false">-SUM($AA221,$AG221,$AM221,$AQ221,$AV221:$AX221)</f>
        <v>-16785.6921517658</v>
      </c>
      <c r="H221" s="152" t="n">
        <f aca="false">+SUM(F221:G221)</f>
        <v>-1902.11422328866</v>
      </c>
      <c r="I221" s="124"/>
      <c r="J221" s="153" t="n">
        <f aca="false">+IF($B221=" ",0,IF(AND($B221&gt;=J$26,$B221&lt;J$28),J$33,0))</f>
        <v>0</v>
      </c>
      <c r="K221" s="153" t="n">
        <f aca="false">+IF($B221=" ",0,IF(AND($B221&gt;=K$26,$B221&lt;K$28),K$33,0))</f>
        <v>0</v>
      </c>
      <c r="L221" s="153" t="n">
        <f aca="false">+IF($B221=" ",0,IF(AND($B221&gt;=L$26,$B221&lt;L$28),L$33,0))</f>
        <v>0</v>
      </c>
      <c r="M221" s="153" t="n">
        <f aca="false">+IF($B221=" ",0,IF(AND($B221&gt;=M$26,$B221&lt;M$28),M$33,0))</f>
        <v>0</v>
      </c>
      <c r="N221" s="153" t="n">
        <f aca="false">+IF($B221=" ",0,IF(AND($B221&gt;=N$26,$B221&lt;N$28),N$33,0))</f>
        <v>0</v>
      </c>
      <c r="O221" s="154" t="n">
        <f aca="false">+IF($B221=" ",0,IF(AND($B221&gt;=O$26,$B221&lt;O$28),O$33,0))</f>
        <v>5016515.625</v>
      </c>
      <c r="Q221" s="83" t="n">
        <f aca="false">IF($B221=" ",0,IF($B221&lt;=DATE(2003,12,31),3.55,2.9))</f>
        <v>2.9</v>
      </c>
      <c r="R221" s="155" t="n">
        <f aca="false">IF($B221=" ",0,R$25)</f>
        <v>-0.07</v>
      </c>
      <c r="S221" s="156" t="n">
        <f aca="false">IF($B221=" ",0,S$25)</f>
        <v>0.1</v>
      </c>
      <c r="T221" s="157" t="n">
        <f aca="false">+SUM($Q221,$S221)/1000*(SUM($J221*$J$37,$K221*$K$37,$L221*$L$37,$M221*$M$37,$N221*$N$37,$O221*$O$37))</f>
        <v>14883.5779284771</v>
      </c>
      <c r="U221" s="157" t="n">
        <f aca="false">+SUM($Q221,$R221)/1000*(SUM(0))</f>
        <v>0</v>
      </c>
      <c r="W221" s="158" t="n">
        <f aca="false">IF($B221=" ",0,1)*(IF($B221&gt;=W$25,1,0)*IF($B221&lt;=W$29,W$27,IF($B221&lt;=W$33,W$31,0))*($D221-$D220)*365/1000)</f>
        <v>486.66666666667</v>
      </c>
      <c r="X221" s="158" t="n">
        <f aca="false">IF($B221=" ",0,IF($B221&gt;=X$25,IF($B221&lt;=X$29,X$27,IF($B221&lt;=X$33,X$31,X$31*(1+X$38)^(IF(X$36&gt;$B221,-1,1)*(YEARFRAC($B221,X$36)))))*($D221-$D220)*365/1000,0))</f>
        <v>449.575127964507</v>
      </c>
      <c r="Y221" s="159" t="n">
        <f aca="false">IF($B221=" ",0,Y$25*(1+Y$30)^(IF(Y$28&gt;$B221,-1,1)*(YEARFRAC($B221,Y$28))))</f>
        <v>0.56510352260881</v>
      </c>
      <c r="Z221" s="159" t="n">
        <f aca="false">IF($B221=" ",0,Z$25*(1+Z$30)^(IF(Z$28&gt;$B221,-1,1)*(YEARFRAC($B221,Z$28))))</f>
        <v>0.539464178203895</v>
      </c>
      <c r="AA221" s="162" t="n">
        <f aca="false">+W221+X221+Z221*SUM($J221*$J$37,$L221*$L$37,$N221*$N$37)/1000</f>
        <v>936.241794631177</v>
      </c>
      <c r="AB221" s="161"/>
      <c r="AC221" s="158" t="n">
        <f aca="false">IF($B221=" ",0,1)*(IF($B221&gt;=AC$25,1,0)*IF($B221&lt;=AC$29,AC$27,IF($B221&lt;=AC$33,AC$31,0))*($D221-$D220)*365/1000)</f>
        <v>1591.66666666668</v>
      </c>
      <c r="AD221" s="158" t="n">
        <f aca="false">IF($B221=" ",0,IF($B221&gt;=AD$25,IF($B221&lt;=AD$29,AD$27,IF($B221&lt;=AD$33,AD$31,AD$31*(1+AD$38)^(IF(AD$36&gt;$B221,-1,1)*(YEARFRAC($B221,AD$36)))))*($D221-$D220)*365/1000,0))</f>
        <v>400.220164485871</v>
      </c>
      <c r="AE221" s="159" t="n">
        <f aca="false">IF($B221=" ",0,AE$25*(1+AE$30)^(IF(AE$28&gt;$B221,-1,1)*(YEARFRAC($B221,AE$28))))</f>
        <v>0.468185280689644</v>
      </c>
      <c r="AF221" s="159" t="n">
        <f aca="false">IF($B221=" ",0,AF$25*(1+AF$30)^(IF(AF$28&gt;$B221,-1,1)*(YEARFRAC($B221,AF$28))))</f>
        <v>0.167983816949503</v>
      </c>
      <c r="AG221" s="162" t="n">
        <f aca="false">+AC221+AD221+AF221*SUM($K221*$K$37,$M221*$M$37,$O221*$O$37)/1000</f>
        <v>2825.28690791621</v>
      </c>
      <c r="AI221" s="158" t="n">
        <f aca="false">IF($B221=" ",0,1)*IF($B221&gt;=AI$33,AI$25*($D221-$D220),0)</f>
        <v>485.186570908337</v>
      </c>
      <c r="AJ221" s="158" t="n">
        <f aca="false">IF($B221=" ",0,IF($B221&gt;=AJ$33,AJ$25*(1+AJ$30)^(IF(AJ$28&gt;$B221,-1,1)*(YEARFRAC($B221,AJ$28)))*($D221-$D220),0))</f>
        <v>557.6163847005</v>
      </c>
      <c r="AK221" s="159" t="n">
        <f aca="false">IF($B221=" ",0,AK$25*(1+AK$30)^(IF(AK$28&gt;$B221,-1,1)*(YEARFRAC($B221,AK$28))))</f>
        <v>0.031868542612574</v>
      </c>
      <c r="AL221" s="159" t="n">
        <f aca="false">IF($B221=" ",0,AL$25*AL$28)</f>
        <v>0.0575</v>
      </c>
      <c r="AM221" s="162" t="n">
        <f aca="false">+AI221+AJ221+SUM(AK221:AL221)*SUM($J221*$J$37,$K221*$K$37,$L221*$L$37,$M221*$M$37,$N221*$N$37,$O221*$O$37)/1000</f>
        <v>1486.17751171839</v>
      </c>
      <c r="AO221" s="163" t="n">
        <f aca="false">IF($B221=" ",0,$AO$25)</f>
        <v>0.25</v>
      </c>
      <c r="AP221" s="159" t="n">
        <f aca="false">IF($B221=" ",0,AP$25*AP$28)</f>
        <v>0.03105</v>
      </c>
      <c r="AQ221" s="162" t="n">
        <f aca="false">SUM(AO221:AP221)*SUM(0)/1000</f>
        <v>0</v>
      </c>
      <c r="AS221" s="155" t="n">
        <f aca="false">IF($B221=" ",0,AS$25)</f>
        <v>1</v>
      </c>
      <c r="AT221" s="156" t="n">
        <f aca="false">IF($B221=" ",0,AT$25)</f>
        <v>1</v>
      </c>
      <c r="AU221" s="156" t="n">
        <f aca="false">IF($B221=" ",0,AU$25)</f>
        <v>2.3</v>
      </c>
      <c r="AV221" s="157" t="n">
        <f aca="false">+AS221*SUM(J221:K221)/1000</f>
        <v>0</v>
      </c>
      <c r="AW221" s="157" t="n">
        <f aca="false">+AT221*SUM(L221:M221)/1000</f>
        <v>0</v>
      </c>
      <c r="AX221" s="157" t="n">
        <f aca="false">+AU221*SUM(N221:O221)/1000</f>
        <v>11537.9859375</v>
      </c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</row>
    <row r="222" customFormat="false" ht="12.75" hidden="true" customHeight="false" outlineLevel="1" collapsed="false">
      <c r="A222" s="164" t="n">
        <f aca="false">+IF(B222=" ",A221,B222)</f>
        <v>42036</v>
      </c>
      <c r="B222" s="148" t="n">
        <f aca="false">IF(B221=" "," ",IF(EDATE(B221,1)&gt;=EndDate," ",EDATE(B221,1)))</f>
        <v>42036</v>
      </c>
      <c r="C222" s="149" t="n">
        <f aca="false">IF($B222&lt;&gt;" ",C221+1,C221)</f>
        <v>172</v>
      </c>
      <c r="D222" s="150" t="n">
        <f aca="false">C222/12</f>
        <v>14.3333333333333</v>
      </c>
      <c r="F222" s="157" t="n">
        <f aca="false">+SUM($T222:$U222)</f>
        <v>14883.5779284771</v>
      </c>
      <c r="G222" s="152" t="n">
        <f aca="false">-SUM($AA222,$AG222,$AM222,$AQ222,$AV222:$AX222)</f>
        <v>-16788.7535595956</v>
      </c>
      <c r="H222" s="152" t="n">
        <f aca="false">+SUM(F222:G222)</f>
        <v>-1905.17563111845</v>
      </c>
      <c r="I222" s="124"/>
      <c r="J222" s="153" t="n">
        <f aca="false">+IF($B222=" ",0,IF(AND($B222&gt;=J$26,$B222&lt;J$28),J$33,0))</f>
        <v>0</v>
      </c>
      <c r="K222" s="153" t="n">
        <f aca="false">+IF($B222=" ",0,IF(AND($B222&gt;=K$26,$B222&lt;K$28),K$33,0))</f>
        <v>0</v>
      </c>
      <c r="L222" s="153" t="n">
        <f aca="false">+IF($B222=" ",0,IF(AND($B222&gt;=L$26,$B222&lt;L$28),L$33,0))</f>
        <v>0</v>
      </c>
      <c r="M222" s="153" t="n">
        <f aca="false">+IF($B222=" ",0,IF(AND($B222&gt;=M$26,$B222&lt;M$28),M$33,0))</f>
        <v>0</v>
      </c>
      <c r="N222" s="153" t="n">
        <f aca="false">+IF($B222=" ",0,IF(AND($B222&gt;=N$26,$B222&lt;N$28),N$33,0))</f>
        <v>0</v>
      </c>
      <c r="O222" s="154" t="n">
        <f aca="false">+IF($B222=" ",0,IF(AND($B222&gt;=O$26,$B222&lt;O$28),O$33,0))</f>
        <v>5016515.625</v>
      </c>
      <c r="Q222" s="83" t="n">
        <f aca="false">IF($B222=" ",0,IF($B222&lt;=DATE(2003,12,31),3.55,2.9))</f>
        <v>2.9</v>
      </c>
      <c r="R222" s="155" t="n">
        <f aca="false">IF($B222=" ",0,R$25)</f>
        <v>-0.07</v>
      </c>
      <c r="S222" s="156" t="n">
        <f aca="false">IF($B222=" ",0,S$25)</f>
        <v>0.1</v>
      </c>
      <c r="T222" s="157" t="n">
        <f aca="false">+SUM($Q222,$S222)/1000*(SUM($J222*$J$37,$K222*$K$37,$L222*$L$37,$M222*$M$37,$N222*$N$37,$O222*$O$37))</f>
        <v>14883.5779284771</v>
      </c>
      <c r="U222" s="157" t="n">
        <f aca="false">+SUM($Q222,$R222)/1000*(SUM(0))</f>
        <v>0</v>
      </c>
      <c r="W222" s="158" t="n">
        <f aca="false">IF($B222=" ",0,1)*(IF($B222&gt;=W$25,1,0)*IF($B222&lt;=W$29,W$27,IF($B222&lt;=W$33,W$31,0))*($D222-$D221)*365/1000)</f>
        <v>486.66666666667</v>
      </c>
      <c r="X222" s="158" t="n">
        <f aca="false">IF($B222=" ",0,IF($B222&gt;=X$25,IF($B222&lt;=X$29,X$27,IF($B222&lt;=X$33,X$31,X$31*(1+X$38)^(IF(X$36&gt;$B222,-1,1)*(YEARFRAC($B222,X$36)))))*($D222-$D221)*365/1000,0))</f>
        <v>450.194818246841</v>
      </c>
      <c r="Y222" s="159" t="n">
        <f aca="false">IF($B222=" ",0,Y$25*(1+Y$30)^(IF(Y$28&gt;$B222,-1,1)*(YEARFRAC($B222,Y$28))))</f>
        <v>0.565882456183403</v>
      </c>
      <c r="Z222" s="159" t="n">
        <f aca="false">IF($B222=" ",0,Z$25*(1+Z$30)^(IF(Z$28&gt;$B222,-1,1)*(YEARFRAC($B222,Z$28))))</f>
        <v>0.540207770738504</v>
      </c>
      <c r="AA222" s="162" t="n">
        <f aca="false">+W222+X222+Z222*SUM($J222*$J$37,$L222*$L$37,$N222*$N$37)/1000</f>
        <v>936.861484913511</v>
      </c>
      <c r="AB222" s="161"/>
      <c r="AC222" s="158" t="n">
        <f aca="false">IF($B222=" ",0,1)*(IF($B222&gt;=AC$25,1,0)*IF($B222&lt;=AC$29,AC$27,IF($B222&lt;=AC$33,AC$31,0))*($D222-$D221)*365/1000)</f>
        <v>1591.66666666668</v>
      </c>
      <c r="AD222" s="158" t="n">
        <f aca="false">IF($B222=" ",0,IF($B222&gt;=AD$25,IF($B222&lt;=AD$29,AD$27,IF($B222&lt;=AD$33,AD$31,AD$31*(1+AD$38)^(IF(AD$36&gt;$B222,-1,1)*(YEARFRAC($B222,AD$36)))))*($D222-$D221)*365/1000,0))</f>
        <v>400.771824333801</v>
      </c>
      <c r="AE222" s="159" t="n">
        <f aca="false">IF($B222=" ",0,AE$25*(1+AE$30)^(IF(AE$28&gt;$B222,-1,1)*(YEARFRAC($B222,AE$28))))</f>
        <v>0.468830623037849</v>
      </c>
      <c r="AF222" s="159" t="n">
        <f aca="false">IF($B222=" ",0,AF$25*(1+AF$30)^(IF(AF$28&gt;$B222,-1,1)*(YEARFRAC($B222,AF$28))))</f>
        <v>0.168215364320516</v>
      </c>
      <c r="AG222" s="162" t="n">
        <f aca="false">+AC222+AD222+AF222*SUM($K222*$K$37,$M222*$M$37,$O222*$O$37)/1000</f>
        <v>2826.98731887767</v>
      </c>
      <c r="AI222" s="158" t="n">
        <f aca="false">IF($B222=" ",0,1)*IF($B222&gt;=AI$33,AI$25*($D222-$D221),0)</f>
        <v>485.186570908337</v>
      </c>
      <c r="AJ222" s="158" t="n">
        <f aca="false">IF($B222=" ",0,IF($B222&gt;=AJ$33,AJ$25*(1+AJ$30)^(IF(AJ$28&gt;$B222,-1,1)*(YEARFRAC($B222,AJ$28)))*($D222-$D221),0))</f>
        <v>558.193933648684</v>
      </c>
      <c r="AK222" s="159" t="n">
        <f aca="false">IF($B222=" ",0,AK$25*(1+AK$30)^(IF(AK$28&gt;$B222,-1,1)*(YEARFRAC($B222,AK$28))))</f>
        <v>0.0319015503285793</v>
      </c>
      <c r="AL222" s="159" t="n">
        <f aca="false">IF($B222=" ",0,AL$25*AL$28)</f>
        <v>0.0575</v>
      </c>
      <c r="AM222" s="162" t="n">
        <f aca="false">+AI222+AJ222+SUM(AK222:AL222)*SUM($J222*$J$37,$K222*$K$37,$L222*$L$37,$M222*$M$37,$N222*$N$37,$O222*$O$37)/1000</f>
        <v>1486.91881830438</v>
      </c>
      <c r="AO222" s="163" t="n">
        <f aca="false">IF($B222=" ",0,$AO$25)</f>
        <v>0.25</v>
      </c>
      <c r="AP222" s="159" t="n">
        <f aca="false">IF($B222=" ",0,AP$25*AP$28)</f>
        <v>0.03105</v>
      </c>
      <c r="AQ222" s="162" t="n">
        <f aca="false">SUM(AO222:AP222)*SUM(0)/1000</f>
        <v>0</v>
      </c>
      <c r="AS222" s="155" t="n">
        <f aca="false">IF($B222=" ",0,AS$25)</f>
        <v>1</v>
      </c>
      <c r="AT222" s="156" t="n">
        <f aca="false">IF($B222=" ",0,AT$25)</f>
        <v>1</v>
      </c>
      <c r="AU222" s="156" t="n">
        <f aca="false">IF($B222=" ",0,AU$25)</f>
        <v>2.3</v>
      </c>
      <c r="AV222" s="157" t="n">
        <f aca="false">+AS222*SUM(J222:K222)/1000</f>
        <v>0</v>
      </c>
      <c r="AW222" s="157" t="n">
        <f aca="false">+AT222*SUM(L222:M222)/1000</f>
        <v>0</v>
      </c>
      <c r="AX222" s="157" t="n">
        <f aca="false">+AU222*SUM(N222:O222)/1000</f>
        <v>11537.9859375</v>
      </c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</row>
    <row r="223" customFormat="false" ht="12.75" hidden="true" customHeight="false" outlineLevel="1" collapsed="false">
      <c r="A223" s="164" t="n">
        <f aca="false">+IF(B223=" ",A222,B223)</f>
        <v>42064</v>
      </c>
      <c r="B223" s="148" t="n">
        <f aca="false">IF(B222=" "," ",IF(EDATE(B222,1)&gt;=EndDate," ",EDATE(B222,1)))</f>
        <v>42064</v>
      </c>
      <c r="C223" s="149" t="n">
        <f aca="false">IF($B223&lt;&gt;" ",C222+1,C222)</f>
        <v>173</v>
      </c>
      <c r="D223" s="150" t="n">
        <f aca="false">C223/12</f>
        <v>14.4166666666667</v>
      </c>
      <c r="F223" s="157" t="n">
        <f aca="false">+SUM($T223:$U223)</f>
        <v>14883.5779284771</v>
      </c>
      <c r="G223" s="152" t="n">
        <f aca="false">-SUM($AA223,$AG223,$AM223,$AQ223,$AV223:$AX223)</f>
        <v>-16791.8189332371</v>
      </c>
      <c r="H223" s="152" t="n">
        <f aca="false">+SUM(F223:G223)</f>
        <v>-1908.24100476002</v>
      </c>
      <c r="I223" s="124"/>
      <c r="J223" s="153" t="n">
        <f aca="false">+IF($B223=" ",0,IF(AND($B223&gt;=J$26,$B223&lt;J$28),J$33,0))</f>
        <v>0</v>
      </c>
      <c r="K223" s="153" t="n">
        <f aca="false">+IF($B223=" ",0,IF(AND($B223&gt;=K$26,$B223&lt;K$28),K$33,0))</f>
        <v>0</v>
      </c>
      <c r="L223" s="153" t="n">
        <f aca="false">+IF($B223=" ",0,IF(AND($B223&gt;=L$26,$B223&lt;L$28),L$33,0))</f>
        <v>0</v>
      </c>
      <c r="M223" s="153" t="n">
        <f aca="false">+IF($B223=" ",0,IF(AND($B223&gt;=M$26,$B223&lt;M$28),M$33,0))</f>
        <v>0</v>
      </c>
      <c r="N223" s="153" t="n">
        <f aca="false">+IF($B223=" ",0,IF(AND($B223&gt;=N$26,$B223&lt;N$28),N$33,0))</f>
        <v>0</v>
      </c>
      <c r="O223" s="154" t="n">
        <f aca="false">+IF($B223=" ",0,IF(AND($B223&gt;=O$26,$B223&lt;O$28),O$33,0))</f>
        <v>5016515.625</v>
      </c>
      <c r="Q223" s="83" t="n">
        <f aca="false">IF($B223=" ",0,IF($B223&lt;=DATE(2003,12,31),3.55,2.9))</f>
        <v>2.9</v>
      </c>
      <c r="R223" s="155" t="n">
        <f aca="false">IF($B223=" ",0,R$25)</f>
        <v>-0.07</v>
      </c>
      <c r="S223" s="156" t="n">
        <f aca="false">IF($B223=" ",0,S$25)</f>
        <v>0.1</v>
      </c>
      <c r="T223" s="157" t="n">
        <f aca="false">+SUM($Q223,$S223)/1000*(SUM($J223*$J$37,$K223*$K$37,$L223*$L$37,$M223*$M$37,$N223*$N$37,$O223*$O$37))</f>
        <v>14883.5779284771</v>
      </c>
      <c r="U223" s="157" t="n">
        <f aca="false">+SUM($Q223,$R223)/1000*(SUM(0))</f>
        <v>0</v>
      </c>
      <c r="W223" s="158" t="n">
        <f aca="false">IF($B223=" ",0,1)*(IF($B223&gt;=W$25,1,0)*IF($B223&lt;=W$29,W$27,IF($B223&lt;=W$33,W$31,0))*($D223-$D222)*365/1000)</f>
        <v>486.66666666666</v>
      </c>
      <c r="X223" s="158" t="n">
        <f aca="false">IF($B223=" ",0,IF($B223&gt;=X$25,IF($B223&lt;=X$29,X$27,IF($B223&lt;=X$33,X$31,X$31*(1+X$38)^(IF(X$36&gt;$B223,-1,1)*(YEARFRAC($B223,X$36)))))*($D223-$D222)*365/1000,0))</f>
        <v>450.815362704635</v>
      </c>
      <c r="Y223" s="159" t="n">
        <f aca="false">IF($B223=" ",0,Y$25*(1+Y$30)^(IF(Y$28&gt;$B223,-1,1)*(YEARFRAC($B223,Y$28))))</f>
        <v>0.566662463432976</v>
      </c>
      <c r="Z223" s="159" t="n">
        <f aca="false">IF($B223=" ",0,Z$25*(1+Z$30)^(IF(Z$28&gt;$B223,-1,1)*(YEARFRAC($B223,Z$28))))</f>
        <v>0.540952388234324</v>
      </c>
      <c r="AA223" s="162" t="n">
        <f aca="false">+W223+X223+Z223*SUM($J223*$J$37,$L223*$L$37,$N223*$N$37)/1000</f>
        <v>937.482029371295</v>
      </c>
      <c r="AB223" s="161"/>
      <c r="AC223" s="158" t="n">
        <f aca="false">IF($B223=" ",0,1)*(IF($B223&gt;=AC$25,1,0)*IF($B223&lt;=AC$29,AC$27,IF($B223&lt;=AC$33,AC$31,0))*($D223-$D222)*365/1000)</f>
        <v>1591.66666666664</v>
      </c>
      <c r="AD223" s="158" t="n">
        <f aca="false">IF($B223=" ",0,IF($B223&gt;=AD$25,IF($B223&lt;=AD$29,AD$27,IF($B223&lt;=AD$33,AD$31,AD$31*(1+AD$38)^(IF(AD$36&gt;$B223,-1,1)*(YEARFRAC($B223,AD$36)))))*($D223-$D222)*365/1000,0))</f>
        <v>401.324244584658</v>
      </c>
      <c r="AE223" s="159" t="n">
        <f aca="false">IF($B223=" ",0,AE$25*(1+AE$30)^(IF(AE$28&gt;$B223,-1,1)*(YEARFRAC($B223,AE$28))))</f>
        <v>0.469476854920099</v>
      </c>
      <c r="AF223" s="159" t="n">
        <f aca="false">IF($B223=" ",0,AF$25*(1+AF$30)^(IF(AF$28&gt;$B223,-1,1)*(YEARFRAC($B223,AF$28))))</f>
        <v>0.168447230854327</v>
      </c>
      <c r="AG223" s="162" t="n">
        <f aca="false">+AC223+AD223+AF223*SUM($K223*$K$37,$M223*$M$37,$O223*$O$37)/1000</f>
        <v>2828.69007367015</v>
      </c>
      <c r="AI223" s="158" t="n">
        <f aca="false">IF($B223=" ",0,1)*IF($B223&gt;=AI$33,AI$25*($D223-$D222),0)</f>
        <v>485.186570908327</v>
      </c>
      <c r="AJ223" s="158" t="n">
        <f aca="false">IF($B223=" ",0,IF($B223&gt;=AJ$33,AJ$25*(1+AJ$30)^(IF(AJ$28&gt;$B223,-1,1)*(YEARFRAC($B223,AJ$28)))*($D223-$D222),0))</f>
        <v>558.772080790878</v>
      </c>
      <c r="AK223" s="159" t="n">
        <f aca="false">IF($B223=" ",0,AK$25*(1+AK$30)^(IF(AK$28&gt;$B223,-1,1)*(YEARFRAC($B223,AK$28))))</f>
        <v>0.0319345922321948</v>
      </c>
      <c r="AL223" s="159" t="n">
        <f aca="false">IF($B223=" ",0,AL$25*AL$28)</f>
        <v>0.0575</v>
      </c>
      <c r="AM223" s="162" t="n">
        <f aca="false">+AI223+AJ223+SUM(AK223:AL223)*SUM($J223*$J$37,$K223*$K$37,$L223*$L$37,$M223*$M$37,$N223*$N$37,$O223*$O$37)/1000</f>
        <v>1487.66089269569</v>
      </c>
      <c r="AO223" s="163" t="n">
        <f aca="false">IF($B223=" ",0,$AO$25)</f>
        <v>0.25</v>
      </c>
      <c r="AP223" s="159" t="n">
        <f aca="false">IF($B223=" ",0,AP$25*AP$28)</f>
        <v>0.03105</v>
      </c>
      <c r="AQ223" s="162" t="n">
        <f aca="false">SUM(AO223:AP223)*SUM(0)/1000</f>
        <v>0</v>
      </c>
      <c r="AS223" s="155" t="n">
        <f aca="false">IF($B223=" ",0,AS$25)</f>
        <v>1</v>
      </c>
      <c r="AT223" s="156" t="n">
        <f aca="false">IF($B223=" ",0,AT$25)</f>
        <v>1</v>
      </c>
      <c r="AU223" s="156" t="n">
        <f aca="false">IF($B223=" ",0,AU$25)</f>
        <v>2.3</v>
      </c>
      <c r="AV223" s="157" t="n">
        <f aca="false">+AS223*SUM(J223:K223)/1000</f>
        <v>0</v>
      </c>
      <c r="AW223" s="157" t="n">
        <f aca="false">+AT223*SUM(L223:M223)/1000</f>
        <v>0</v>
      </c>
      <c r="AX223" s="157" t="n">
        <f aca="false">+AU223*SUM(N223:O223)/1000</f>
        <v>11537.9859375</v>
      </c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</row>
    <row r="224" customFormat="false" ht="12.75" hidden="true" customHeight="false" outlineLevel="1" collapsed="false">
      <c r="A224" s="164" t="n">
        <f aca="false">+IF(B224=" ",A223,B224)</f>
        <v>42095</v>
      </c>
      <c r="B224" s="148" t="n">
        <f aca="false">IF(B223=" "," ",IF(EDATE(B223,1)&gt;=EndDate," ",EDATE(B223,1)))</f>
        <v>42095</v>
      </c>
      <c r="C224" s="149" t="n">
        <f aca="false">IF($B224&lt;&gt;" ",C223+1,C223)</f>
        <v>174</v>
      </c>
      <c r="D224" s="150" t="n">
        <f aca="false">C224/12</f>
        <v>14.5</v>
      </c>
      <c r="F224" s="157" t="n">
        <f aca="false">+SUM($T224:$U224)</f>
        <v>14883.5779284771</v>
      </c>
      <c r="G224" s="152" t="n">
        <f aca="false">-SUM($AA224,$AG224,$AM224,$AQ224,$AV224:$AX224)</f>
        <v>-16794.8882778941</v>
      </c>
      <c r="H224" s="152" t="n">
        <f aca="false">+SUM(F224:G224)</f>
        <v>-1911.31034941699</v>
      </c>
      <c r="I224" s="124"/>
      <c r="J224" s="153" t="n">
        <f aca="false">+IF($B224=" ",0,IF(AND($B224&gt;=J$26,$B224&lt;J$28),J$33,0))</f>
        <v>0</v>
      </c>
      <c r="K224" s="153" t="n">
        <f aca="false">+IF($B224=" ",0,IF(AND($B224&gt;=K$26,$B224&lt;K$28),K$33,0))</f>
        <v>0</v>
      </c>
      <c r="L224" s="153" t="n">
        <f aca="false">+IF($B224=" ",0,IF(AND($B224&gt;=L$26,$B224&lt;L$28),L$33,0))</f>
        <v>0</v>
      </c>
      <c r="M224" s="153" t="n">
        <f aca="false">+IF($B224=" ",0,IF(AND($B224&gt;=M$26,$B224&lt;M$28),M$33,0))</f>
        <v>0</v>
      </c>
      <c r="N224" s="153" t="n">
        <f aca="false">+IF($B224=" ",0,IF(AND($B224&gt;=N$26,$B224&lt;N$28),N$33,0))</f>
        <v>0</v>
      </c>
      <c r="O224" s="154" t="n">
        <f aca="false">+IF($B224=" ",0,IF(AND($B224&gt;=O$26,$B224&lt;O$28),O$33,0))</f>
        <v>5016515.625</v>
      </c>
      <c r="Q224" s="83" t="n">
        <f aca="false">IF($B224=" ",0,IF($B224&lt;=DATE(2003,12,31),3.55,2.9))</f>
        <v>2.9</v>
      </c>
      <c r="R224" s="155" t="n">
        <f aca="false">IF($B224=" ",0,R$25)</f>
        <v>-0.07</v>
      </c>
      <c r="S224" s="156" t="n">
        <f aca="false">IF($B224=" ",0,S$25)</f>
        <v>0.1</v>
      </c>
      <c r="T224" s="157" t="n">
        <f aca="false">+SUM($Q224,$S224)/1000*(SUM($J224*$J$37,$K224*$K$37,$L224*$L$37,$M224*$M$37,$N224*$N$37,$O224*$O$37))</f>
        <v>14883.5779284771</v>
      </c>
      <c r="U224" s="157" t="n">
        <f aca="false">+SUM($Q224,$R224)/1000*(SUM(0))</f>
        <v>0</v>
      </c>
      <c r="W224" s="158" t="n">
        <f aca="false">IF($B224=" ",0,1)*(IF($B224&gt;=W$25,1,0)*IF($B224&lt;=W$29,W$27,IF($B224&lt;=W$33,W$31,0))*($D224-$D223)*365/1000)</f>
        <v>486.66666666667</v>
      </c>
      <c r="X224" s="158" t="n">
        <f aca="false">IF($B224=" ",0,IF($B224&gt;=X$25,IF($B224&lt;=X$29,X$27,IF($B224&lt;=X$33,X$31,X$31*(1+X$38)^(IF(X$36&gt;$B224,-1,1)*(YEARFRAC($B224,X$36)))))*($D224-$D223)*365/1000,0))</f>
        <v>451.436762515305</v>
      </c>
      <c r="Y224" s="159" t="n">
        <f aca="false">IF($B224=" ",0,Y$25*(1+Y$30)^(IF(Y$28&gt;$B224,-1,1)*(YEARFRAC($B224,Y$28))))</f>
        <v>0.567443545837474</v>
      </c>
      <c r="Z224" s="159" t="n">
        <f aca="false">IF($B224=" ",0,Z$25*(1+Z$30)^(IF(Z$28&gt;$B224,-1,1)*(YEARFRAC($B224,Z$28))))</f>
        <v>0.541698032104153</v>
      </c>
      <c r="AA224" s="162" t="n">
        <f aca="false">+W224+X224+Z224*SUM($J224*$J$37,$L224*$L$37,$N224*$N$37)/1000</f>
        <v>938.103429181975</v>
      </c>
      <c r="AB224" s="161"/>
      <c r="AC224" s="158" t="n">
        <f aca="false">IF($B224=" ",0,1)*(IF($B224&gt;=AC$25,1,0)*IF($B224&lt;=AC$29,AC$27,IF($B224&lt;=AC$33,AC$31,0))*($D224-$D223)*365/1000)</f>
        <v>1591.66666666668</v>
      </c>
      <c r="AD224" s="158" t="n">
        <f aca="false">IF($B224=" ",0,IF($B224&gt;=AD$25,IF($B224&lt;=AD$29,AD$27,IF($B224&lt;=AD$33,AD$31,AD$31*(1+AD$38)^(IF(AD$36&gt;$B224,-1,1)*(YEARFRAC($B224,AD$36)))))*($D224-$D223)*365/1000,0))</f>
        <v>401.877426286599</v>
      </c>
      <c r="AE224" s="159" t="n">
        <f aca="false">IF($B224=" ",0,AE$25*(1+AE$30)^(IF(AE$28&gt;$B224,-1,1)*(YEARFRAC($B224,AE$28))))</f>
        <v>0.470123977562519</v>
      </c>
      <c r="AF224" s="159" t="n">
        <f aca="false">IF($B224=" ",0,AF$25*(1+AF$30)^(IF(AF$28&gt;$B224,-1,1)*(YEARFRAC($B224,AF$28))))</f>
        <v>0.168679416990867</v>
      </c>
      <c r="AG224" s="162" t="n">
        <f aca="false">+AC224+AD224+AF224*SUM($K224*$K$37,$M224*$M$37,$O224*$O$37)/1000</f>
        <v>2830.3951755245</v>
      </c>
      <c r="AI224" s="158" t="n">
        <f aca="false">IF($B224=" ",0,1)*IF($B224&gt;=AI$33,AI$25*($D224-$D223),0)</f>
        <v>485.186570908337</v>
      </c>
      <c r="AJ224" s="158" t="n">
        <f aca="false">IF($B224=" ",0,IF($B224&gt;=AJ$33,AJ$25*(1+AJ$30)^(IF(AJ$28&gt;$B224,-1,1)*(YEARFRAC($B224,AJ$28)))*($D224-$D223),0))</f>
        <v>559.350826746694</v>
      </c>
      <c r="AK224" s="159" t="n">
        <f aca="false">IF($B224=" ",0,AK$25*(1+AK$30)^(IF(AK$28&gt;$B224,-1,1)*(YEARFRAC($B224,AK$28))))</f>
        <v>0.0319676683588303</v>
      </c>
      <c r="AL224" s="159" t="n">
        <f aca="false">IF($B224=" ",0,AL$25*AL$28)</f>
        <v>0.0575</v>
      </c>
      <c r="AM224" s="162" t="n">
        <f aca="false">+AI224+AJ224+SUM(AK224:AL224)*SUM($J224*$J$37,$K224*$K$37,$L224*$L$37,$M224*$M$37,$N224*$N$37,$O224*$O$37)/1000</f>
        <v>1488.40373568763</v>
      </c>
      <c r="AO224" s="163" t="n">
        <f aca="false">IF($B224=" ",0,$AO$25)</f>
        <v>0.25</v>
      </c>
      <c r="AP224" s="159" t="n">
        <f aca="false">IF($B224=" ",0,AP$25*AP$28)</f>
        <v>0.03105</v>
      </c>
      <c r="AQ224" s="162" t="n">
        <f aca="false">SUM(AO224:AP224)*SUM(0)/1000</f>
        <v>0</v>
      </c>
      <c r="AS224" s="155" t="n">
        <f aca="false">IF($B224=" ",0,AS$25)</f>
        <v>1</v>
      </c>
      <c r="AT224" s="156" t="n">
        <f aca="false">IF($B224=" ",0,AT$25)</f>
        <v>1</v>
      </c>
      <c r="AU224" s="156" t="n">
        <f aca="false">IF($B224=" ",0,AU$25)</f>
        <v>2.3</v>
      </c>
      <c r="AV224" s="157" t="n">
        <f aca="false">+AS224*SUM(J224:K224)/1000</f>
        <v>0</v>
      </c>
      <c r="AW224" s="157" t="n">
        <f aca="false">+AT224*SUM(L224:M224)/1000</f>
        <v>0</v>
      </c>
      <c r="AX224" s="157" t="n">
        <f aca="false">+AU224*SUM(N224:O224)/1000</f>
        <v>11537.9859375</v>
      </c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</row>
    <row r="225" customFormat="false" ht="12.75" hidden="true" customHeight="false" outlineLevel="1" collapsed="false">
      <c r="A225" s="164" t="n">
        <f aca="false">+IF(B225=" ",A224,B225)</f>
        <v>42125</v>
      </c>
      <c r="B225" s="148" t="n">
        <f aca="false">IF(B224=" "," ",IF(EDATE(B224,1)&gt;=EndDate," ",EDATE(B224,1)))</f>
        <v>42125</v>
      </c>
      <c r="C225" s="149" t="n">
        <f aca="false">IF($B225&lt;&gt;" ",C224+1,C224)</f>
        <v>175</v>
      </c>
      <c r="D225" s="150" t="n">
        <f aca="false">C225/12</f>
        <v>14.5833333333333</v>
      </c>
      <c r="F225" s="157" t="n">
        <f aca="false">+SUM($T225:$U225)</f>
        <v>14883.5779284771</v>
      </c>
      <c r="G225" s="152" t="n">
        <f aca="false">-SUM($AA225,$AG225,$AM225,$AQ225,$AV225:$AX225)</f>
        <v>-16797.9615987765</v>
      </c>
      <c r="H225" s="152" t="n">
        <f aca="false">+SUM(F225:G225)</f>
        <v>-1914.38367029935</v>
      </c>
      <c r="I225" s="124"/>
      <c r="J225" s="153" t="n">
        <f aca="false">+IF($B225=" ",0,IF(AND($B225&gt;=J$26,$B225&lt;J$28),J$33,0))</f>
        <v>0</v>
      </c>
      <c r="K225" s="153" t="n">
        <f aca="false">+IF($B225=" ",0,IF(AND($B225&gt;=K$26,$B225&lt;K$28),K$33,0))</f>
        <v>0</v>
      </c>
      <c r="L225" s="153" t="n">
        <f aca="false">+IF($B225=" ",0,IF(AND($B225&gt;=L$26,$B225&lt;L$28),L$33,0))</f>
        <v>0</v>
      </c>
      <c r="M225" s="153" t="n">
        <f aca="false">+IF($B225=" ",0,IF(AND($B225&gt;=M$26,$B225&lt;M$28),M$33,0))</f>
        <v>0</v>
      </c>
      <c r="N225" s="153" t="n">
        <f aca="false">+IF($B225=" ",0,IF(AND($B225&gt;=N$26,$B225&lt;N$28),N$33,0))</f>
        <v>0</v>
      </c>
      <c r="O225" s="154" t="n">
        <f aca="false">+IF($B225=" ",0,IF(AND($B225&gt;=O$26,$B225&lt;O$28),O$33,0))</f>
        <v>5016515.625</v>
      </c>
      <c r="Q225" s="83" t="n">
        <f aca="false">IF($B225=" ",0,IF($B225&lt;=DATE(2003,12,31),3.55,2.9))</f>
        <v>2.9</v>
      </c>
      <c r="R225" s="155" t="n">
        <f aca="false">IF($B225=" ",0,R$25)</f>
        <v>-0.07</v>
      </c>
      <c r="S225" s="156" t="n">
        <f aca="false">IF($B225=" ",0,S$25)</f>
        <v>0.1</v>
      </c>
      <c r="T225" s="157" t="n">
        <f aca="false">+SUM($Q225,$S225)/1000*(SUM($J225*$J$37,$K225*$K$37,$L225*$L$37,$M225*$M$37,$N225*$N$37,$O225*$O$37))</f>
        <v>14883.5779284771</v>
      </c>
      <c r="U225" s="157" t="n">
        <f aca="false">+SUM($Q225,$R225)/1000*(SUM(0))</f>
        <v>0</v>
      </c>
      <c r="W225" s="158" t="n">
        <f aca="false">IF($B225=" ",0,1)*(IF($B225&gt;=W$25,1,0)*IF($B225&lt;=W$29,W$27,IF($B225&lt;=W$33,W$31,0))*($D225-$D224)*365/1000)</f>
        <v>486.66666666667</v>
      </c>
      <c r="X225" s="158" t="n">
        <f aca="false">IF($B225=" ",0,IF($B225&gt;=X$25,IF($B225&lt;=X$29,X$27,IF($B225&lt;=X$33,X$31,X$31*(1+X$38)^(IF(X$36&gt;$B225,-1,1)*(YEARFRAC($B225,X$36)))))*($D225-$D224)*365/1000,0))</f>
        <v>452.059018857834</v>
      </c>
      <c r="Y225" s="159" t="n">
        <f aca="false">IF($B225=" ",0,Y$25*(1+Y$30)^(IF(Y$28&gt;$B225,-1,1)*(YEARFRAC($B225,Y$28))))</f>
        <v>0.56822570487888</v>
      </c>
      <c r="Z225" s="159" t="n">
        <f aca="false">IF($B225=" ",0,Z$25*(1+Z$30)^(IF(Z$28&gt;$B225,-1,1)*(YEARFRAC($B225,Z$28))))</f>
        <v>0.542444703762735</v>
      </c>
      <c r="AA225" s="162" t="n">
        <f aca="false">+W225+X225+Z225*SUM($J225*$J$37,$L225*$L$37,$N225*$N$37)/1000</f>
        <v>938.725685524504</v>
      </c>
      <c r="AB225" s="161"/>
      <c r="AC225" s="158" t="n">
        <f aca="false">IF($B225=" ",0,1)*(IF($B225&gt;=AC$25,1,0)*IF($B225&lt;=AC$29,AC$27,IF($B225&lt;=AC$33,AC$31,0))*($D225-$D224)*365/1000)</f>
        <v>1591.66666666668</v>
      </c>
      <c r="AD225" s="158" t="n">
        <f aca="false">IF($B225=" ",0,IF($B225&gt;=AD$25,IF($B225&lt;=AD$29,AD$27,IF($B225&lt;=AD$33,AD$31,AD$31*(1+AD$38)^(IF(AD$36&gt;$B225,-1,1)*(YEARFRAC($B225,AD$36)))))*($D225-$D224)*365/1000,0))</f>
        <v>402.431370489177</v>
      </c>
      <c r="AE225" s="159" t="n">
        <f aca="false">IF($B225=" ",0,AE$25*(1+AE$30)^(IF(AE$28&gt;$B225,-1,1)*(YEARFRAC($B225,AE$28))))</f>
        <v>0.470771992192925</v>
      </c>
      <c r="AF225" s="159" t="n">
        <f aca="false">IF($B225=" ",0,AF$25*(1+AF$30)^(IF(AF$28&gt;$B225,-1,1)*(YEARFRAC($B225,AF$28))))</f>
        <v>0.168911923170674</v>
      </c>
      <c r="AG225" s="162" t="n">
        <f aca="false">+AC225+AD225+AF225*SUM($K225*$K$37,$M225*$M$37,$O225*$O$37)/1000</f>
        <v>2832.10262767574</v>
      </c>
      <c r="AI225" s="158" t="n">
        <f aca="false">IF($B225=" ",0,1)*IF($B225&gt;=AI$33,AI$25*($D225-$D224),0)</f>
        <v>485.186570908337</v>
      </c>
      <c r="AJ225" s="158" t="n">
        <f aca="false">IF($B225=" ",0,IF($B225&gt;=AJ$33,AJ$25*(1+AJ$30)^(IF(AJ$28&gt;$B225,-1,1)*(YEARFRAC($B225,AJ$28)))*($D225-$D224),0))</f>
        <v>559.930172136315</v>
      </c>
      <c r="AK225" s="159" t="n">
        <f aca="false">IF($B225=" ",0,AK$25*(1+AK$30)^(IF(AK$28&gt;$B225,-1,1)*(YEARFRAC($B225,AK$28))))</f>
        <v>0.0320007787439322</v>
      </c>
      <c r="AL225" s="159" t="n">
        <f aca="false">IF($B225=" ",0,AL$25*AL$28)</f>
        <v>0.0575</v>
      </c>
      <c r="AM225" s="162" t="n">
        <f aca="false">+AI225+AJ225+SUM(AK225:AL225)*SUM($J225*$J$37,$K225*$K$37,$L225*$L$37,$M225*$M$37,$N225*$N$37,$O225*$O$37)/1000</f>
        <v>1489.14734807622</v>
      </c>
      <c r="AO225" s="163" t="n">
        <f aca="false">IF($B225=" ",0,$AO$25)</f>
        <v>0.25</v>
      </c>
      <c r="AP225" s="159" t="n">
        <f aca="false">IF($B225=" ",0,AP$25*AP$28)</f>
        <v>0.03105</v>
      </c>
      <c r="AQ225" s="162" t="n">
        <f aca="false">SUM(AO225:AP225)*SUM(0)/1000</f>
        <v>0</v>
      </c>
      <c r="AS225" s="155" t="n">
        <f aca="false">IF($B225=" ",0,AS$25)</f>
        <v>1</v>
      </c>
      <c r="AT225" s="156" t="n">
        <f aca="false">IF($B225=" ",0,AT$25)</f>
        <v>1</v>
      </c>
      <c r="AU225" s="156" t="n">
        <f aca="false">IF($B225=" ",0,AU$25)</f>
        <v>2.3</v>
      </c>
      <c r="AV225" s="157" t="n">
        <f aca="false">+AS225*SUM(J225:K225)/1000</f>
        <v>0</v>
      </c>
      <c r="AW225" s="157" t="n">
        <f aca="false">+AT225*SUM(L225:M225)/1000</f>
        <v>0</v>
      </c>
      <c r="AX225" s="157" t="n">
        <f aca="false">+AU225*SUM(N225:O225)/1000</f>
        <v>11537.9859375</v>
      </c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</row>
    <row r="226" customFormat="false" ht="12.75" hidden="true" customHeight="false" outlineLevel="1" collapsed="false">
      <c r="A226" s="164" t="n">
        <f aca="false">+IF(B226=" ",A225,B226)</f>
        <v>42156</v>
      </c>
      <c r="B226" s="148" t="n">
        <f aca="false">IF(B225=" "," ",IF(EDATE(B225,1)&gt;=EndDate," ",EDATE(B225,1)))</f>
        <v>42156</v>
      </c>
      <c r="C226" s="149" t="n">
        <f aca="false">IF($B226&lt;&gt;" ",C225+1,C225)</f>
        <v>176</v>
      </c>
      <c r="D226" s="150" t="n">
        <f aca="false">C226/12</f>
        <v>14.6666666666667</v>
      </c>
      <c r="F226" s="157" t="n">
        <f aca="false">+SUM($T226:$U226)</f>
        <v>14883.5779284771</v>
      </c>
      <c r="G226" s="152" t="n">
        <f aca="false">-SUM($AA226,$AG226,$AM226,$AQ226,$AV226:$AX226)</f>
        <v>-16801.0389011014</v>
      </c>
      <c r="H226" s="152" t="n">
        <f aca="false">+SUM(F226:G226)</f>
        <v>-1917.46097262427</v>
      </c>
      <c r="I226" s="124"/>
      <c r="J226" s="153" t="n">
        <f aca="false">+IF($B226=" ",0,IF(AND($B226&gt;=J$26,$B226&lt;J$28),J$33,0))</f>
        <v>0</v>
      </c>
      <c r="K226" s="153" t="n">
        <f aca="false">+IF($B226=" ",0,IF(AND($B226&gt;=K$26,$B226&lt;K$28),K$33,0))</f>
        <v>0</v>
      </c>
      <c r="L226" s="153" t="n">
        <f aca="false">+IF($B226=" ",0,IF(AND($B226&gt;=L$26,$B226&lt;L$28),L$33,0))</f>
        <v>0</v>
      </c>
      <c r="M226" s="153" t="n">
        <f aca="false">+IF($B226=" ",0,IF(AND($B226&gt;=M$26,$B226&lt;M$28),M$33,0))</f>
        <v>0</v>
      </c>
      <c r="N226" s="153" t="n">
        <f aca="false">+IF($B226=" ",0,IF(AND($B226&gt;=N$26,$B226&lt;N$28),N$33,0))</f>
        <v>0</v>
      </c>
      <c r="O226" s="154" t="n">
        <f aca="false">+IF($B226=" ",0,IF(AND($B226&gt;=O$26,$B226&lt;O$28),O$33,0))</f>
        <v>5016515.625</v>
      </c>
      <c r="Q226" s="83" t="n">
        <f aca="false">IF($B226=" ",0,IF($B226&lt;=DATE(2003,12,31),3.55,2.9))</f>
        <v>2.9</v>
      </c>
      <c r="R226" s="155" t="n">
        <f aca="false">IF($B226=" ",0,R$25)</f>
        <v>-0.07</v>
      </c>
      <c r="S226" s="156" t="n">
        <f aca="false">IF($B226=" ",0,S$25)</f>
        <v>0.1</v>
      </c>
      <c r="T226" s="157" t="n">
        <f aca="false">+SUM($Q226,$S226)/1000*(SUM($J226*$J$37,$K226*$K$37,$L226*$L$37,$M226*$M$37,$N226*$N$37,$O226*$O$37))</f>
        <v>14883.5779284771</v>
      </c>
      <c r="U226" s="157" t="n">
        <f aca="false">+SUM($Q226,$R226)/1000*(SUM(0))</f>
        <v>0</v>
      </c>
      <c r="W226" s="158" t="n">
        <f aca="false">IF($B226=" ",0,1)*(IF($B226&gt;=W$25,1,0)*IF($B226&lt;=W$29,W$27,IF($B226&lt;=W$33,W$31,0))*($D226-$D225)*365/1000)</f>
        <v>486.66666666666</v>
      </c>
      <c r="X226" s="158" t="n">
        <f aca="false">IF($B226=" ",0,IF($B226&gt;=X$25,IF($B226&lt;=X$29,X$27,IF($B226&lt;=X$33,X$31,X$31*(1+X$38)^(IF(X$36&gt;$B226,-1,1)*(YEARFRAC($B226,X$36)))))*($D226-$D225)*365/1000,0))</f>
        <v>452.682132912857</v>
      </c>
      <c r="Y226" s="159" t="n">
        <f aca="false">IF($B226=" ",0,Y$25*(1+Y$30)^(IF(Y$28&gt;$B226,-1,1)*(YEARFRAC($B226,Y$28))))</f>
        <v>0.56900894204122</v>
      </c>
      <c r="Z226" s="159" t="n">
        <f aca="false">IF($B226=" ",0,Z$25*(1+Z$30)^(IF(Z$28&gt;$B226,-1,1)*(YEARFRAC($B226,Z$28))))</f>
        <v>0.543192404626765</v>
      </c>
      <c r="AA226" s="162" t="n">
        <f aca="false">+W226+X226+Z226*SUM($J226*$J$37,$L226*$L$37,$N226*$N$37)/1000</f>
        <v>939.348799579517</v>
      </c>
      <c r="AB226" s="161"/>
      <c r="AC226" s="158" t="n">
        <f aca="false">IF($B226=" ",0,1)*(IF($B226&gt;=AC$25,1,0)*IF($B226&lt;=AC$29,AC$27,IF($B226&lt;=AC$33,AC$31,0))*($D226-$D225)*365/1000)</f>
        <v>1591.66666666664</v>
      </c>
      <c r="AD226" s="158" t="n">
        <f aca="false">IF($B226=" ",0,IF($B226&gt;=AD$25,IF($B226&lt;=AD$29,AD$27,IF($B226&lt;=AD$33,AD$31,AD$31*(1+AD$38)^(IF(AD$36&gt;$B226,-1,1)*(YEARFRAC($B226,AD$36)))))*($D226-$D225)*365/1000,0))</f>
        <v>402.986078243416</v>
      </c>
      <c r="AE226" s="159" t="n">
        <f aca="false">IF($B226=" ",0,AE$25*(1+AE$30)^(IF(AE$28&gt;$B226,-1,1)*(YEARFRAC($B226,AE$28))))</f>
        <v>0.471420900040826</v>
      </c>
      <c r="AF226" s="159" t="n">
        <f aca="false">IF($B226=" ",0,AF$25*(1+AF$30)^(IF(AF$28&gt;$B226,-1,1)*(YEARFRAC($B226,AF$28))))</f>
        <v>0.169144749834891</v>
      </c>
      <c r="AG226" s="162" t="n">
        <f aca="false">+AC226+AD226+AF226*SUM($K226*$K$37,$M226*$M$37,$O226*$O$37)/1000</f>
        <v>2833.81243336352</v>
      </c>
      <c r="AI226" s="158" t="n">
        <f aca="false">IF($B226=" ",0,1)*IF($B226&gt;=AI$33,AI$25*($D226-$D225),0)</f>
        <v>485.186570908327</v>
      </c>
      <c r="AJ226" s="158" t="n">
        <f aca="false">IF($B226=" ",0,IF($B226&gt;=AJ$33,AJ$25*(1+AJ$30)^(IF(AJ$28&gt;$B226,-1,1)*(YEARFRAC($B226,AJ$28)))*($D226-$D225),0))</f>
        <v>560.510117580602</v>
      </c>
      <c r="AK226" s="159" t="n">
        <f aca="false">IF($B226=" ",0,AK$25*(1+AK$30)^(IF(AK$28&gt;$B226,-1,1)*(YEARFRAC($B226,AK$28))))</f>
        <v>0.0320339234229834</v>
      </c>
      <c r="AL226" s="159" t="n">
        <f aca="false">IF($B226=" ",0,AL$25*AL$28)</f>
        <v>0.0575</v>
      </c>
      <c r="AM226" s="162" t="n">
        <f aca="false">+AI226+AJ226+SUM(AK226:AL226)*SUM($J226*$J$37,$K226*$K$37,$L226*$L$37,$M226*$M$37,$N226*$N$37,$O226*$O$37)/1000</f>
        <v>1489.89173065835</v>
      </c>
      <c r="AO226" s="163" t="n">
        <f aca="false">IF($B226=" ",0,$AO$25)</f>
        <v>0.25</v>
      </c>
      <c r="AP226" s="159" t="n">
        <f aca="false">IF($B226=" ",0,AP$25*AP$28)</f>
        <v>0.03105</v>
      </c>
      <c r="AQ226" s="162" t="n">
        <f aca="false">SUM(AO226:AP226)*SUM(0)/1000</f>
        <v>0</v>
      </c>
      <c r="AS226" s="155" t="n">
        <f aca="false">IF($B226=" ",0,AS$25)</f>
        <v>1</v>
      </c>
      <c r="AT226" s="156" t="n">
        <f aca="false">IF($B226=" ",0,AT$25)</f>
        <v>1</v>
      </c>
      <c r="AU226" s="156" t="n">
        <f aca="false">IF($B226=" ",0,AU$25)</f>
        <v>2.3</v>
      </c>
      <c r="AV226" s="157" t="n">
        <f aca="false">+AS226*SUM(J226:K226)/1000</f>
        <v>0</v>
      </c>
      <c r="AW226" s="157" t="n">
        <f aca="false">+AT226*SUM(L226:M226)/1000</f>
        <v>0</v>
      </c>
      <c r="AX226" s="157" t="n">
        <f aca="false">+AU226*SUM(N226:O226)/1000</f>
        <v>11537.9859375</v>
      </c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</row>
    <row r="227" customFormat="false" ht="12.75" hidden="true" customHeight="false" outlineLevel="1" collapsed="false">
      <c r="A227" s="164" t="n">
        <f aca="false">+IF(B227=" ",A226,B227)</f>
        <v>42186</v>
      </c>
      <c r="B227" s="148" t="n">
        <f aca="false">IF(B226=" "," ",IF(EDATE(B226,1)&gt;=EndDate," ",EDATE(B226,1)))</f>
        <v>42186</v>
      </c>
      <c r="C227" s="149" t="n">
        <f aca="false">IF($B227&lt;&gt;" ",C226+1,C226)</f>
        <v>177</v>
      </c>
      <c r="D227" s="150" t="n">
        <f aca="false">C227/12</f>
        <v>14.75</v>
      </c>
      <c r="F227" s="157" t="n">
        <f aca="false">+SUM($T227:$U227)</f>
        <v>14883.5779284771</v>
      </c>
      <c r="G227" s="152" t="n">
        <f aca="false">-SUM($AA227,$AG227,$AM227,$AQ227,$AV227:$AX227)</f>
        <v>-16804.1201900932</v>
      </c>
      <c r="H227" s="152" t="n">
        <f aca="false">+SUM(F227:G227)</f>
        <v>-1920.54226161609</v>
      </c>
      <c r="I227" s="124"/>
      <c r="J227" s="153" t="n">
        <f aca="false">+IF($B227=" ",0,IF(AND($B227&gt;=J$26,$B227&lt;J$28),J$33,0))</f>
        <v>0</v>
      </c>
      <c r="K227" s="153" t="n">
        <f aca="false">+IF($B227=" ",0,IF(AND($B227&gt;=K$26,$B227&lt;K$28),K$33,0))</f>
        <v>0</v>
      </c>
      <c r="L227" s="153" t="n">
        <f aca="false">+IF($B227=" ",0,IF(AND($B227&gt;=L$26,$B227&lt;L$28),L$33,0))</f>
        <v>0</v>
      </c>
      <c r="M227" s="153" t="n">
        <f aca="false">+IF($B227=" ",0,IF(AND($B227&gt;=M$26,$B227&lt;M$28),M$33,0))</f>
        <v>0</v>
      </c>
      <c r="N227" s="153" t="n">
        <f aca="false">+IF($B227=" ",0,IF(AND($B227&gt;=N$26,$B227&lt;N$28),N$33,0))</f>
        <v>0</v>
      </c>
      <c r="O227" s="154" t="n">
        <f aca="false">+IF($B227=" ",0,IF(AND($B227&gt;=O$26,$B227&lt;O$28),O$33,0))</f>
        <v>5016515.625</v>
      </c>
      <c r="Q227" s="83" t="n">
        <f aca="false">IF($B227=" ",0,IF($B227&lt;=DATE(2003,12,31),3.55,2.9))</f>
        <v>2.9</v>
      </c>
      <c r="R227" s="155" t="n">
        <f aca="false">IF($B227=" ",0,R$25)</f>
        <v>-0.07</v>
      </c>
      <c r="S227" s="156" t="n">
        <f aca="false">IF($B227=" ",0,S$25)</f>
        <v>0.1</v>
      </c>
      <c r="T227" s="157" t="n">
        <f aca="false">+SUM($Q227,$S227)/1000*(SUM($J227*$J$37,$K227*$K$37,$L227*$L$37,$M227*$M$37,$N227*$N$37,$O227*$O$37))</f>
        <v>14883.5779284771</v>
      </c>
      <c r="U227" s="157" t="n">
        <f aca="false">+SUM($Q227,$R227)/1000*(SUM(0))</f>
        <v>0</v>
      </c>
      <c r="W227" s="158" t="n">
        <f aca="false">IF($B227=" ",0,1)*(IF($B227&gt;=W$25,1,0)*IF($B227&lt;=W$29,W$27,IF($B227&lt;=W$33,W$31,0))*($D227-$D226)*365/1000)</f>
        <v>486.66666666667</v>
      </c>
      <c r="X227" s="158" t="n">
        <f aca="false">IF($B227=" ",0,IF($B227&gt;=X$25,IF($B227&lt;=X$29,X$27,IF($B227&lt;=X$33,X$31,X$31*(1+X$38)^(IF(X$36&gt;$B227,-1,1)*(YEARFRAC($B227,X$36)))))*($D227-$D226)*365/1000,0))</f>
        <v>453.306105862666</v>
      </c>
      <c r="Y227" s="159" t="n">
        <f aca="false">IF($B227=" ",0,Y$25*(1+Y$30)^(IF(Y$28&gt;$B227,-1,1)*(YEARFRAC($B227,Y$28))))</f>
        <v>0.569793258810568</v>
      </c>
      <c r="Z227" s="159" t="n">
        <f aca="false">IF($B227=" ",0,Z$25*(1+Z$30)^(IF(Z$28&gt;$B227,-1,1)*(YEARFRAC($B227,Z$28))))</f>
        <v>0.54394113611489</v>
      </c>
      <c r="AA227" s="162" t="n">
        <f aca="false">+W227+X227+Z227*SUM($J227*$J$37,$L227*$L$37,$N227*$N$37)/1000</f>
        <v>939.972772529336</v>
      </c>
      <c r="AB227" s="161"/>
      <c r="AC227" s="158" t="n">
        <f aca="false">IF($B227=" ",0,1)*(IF($B227&gt;=AC$25,1,0)*IF($B227&lt;=AC$29,AC$27,IF($B227&lt;=AC$33,AC$31,0))*($D227-$D226)*365/1000)</f>
        <v>1591.66666666668</v>
      </c>
      <c r="AD227" s="158" t="n">
        <f aca="false">IF($B227=" ",0,IF($B227&gt;=AD$25,IF($B227&lt;=AD$29,AD$27,IF($B227&lt;=AD$33,AD$31,AD$31*(1+AD$38)^(IF(AD$36&gt;$B227,-1,1)*(YEARFRAC($B227,AD$36)))))*($D227-$D226)*365/1000,0))</f>
        <v>403.541550601813</v>
      </c>
      <c r="AE227" s="159" t="n">
        <f aca="false">IF($B227=" ",0,AE$25*(1+AE$30)^(IF(AE$28&gt;$B227,-1,1)*(YEARFRAC($B227,AE$28))))</f>
        <v>0.472070702337423</v>
      </c>
      <c r="AF227" s="159" t="n">
        <f aca="false">IF($B227=" ",0,AF$25*(1+AF$30)^(IF(AF$28&gt;$B227,-1,1)*(YEARFRAC($B227,AF$28))))</f>
        <v>0.169377897425273</v>
      </c>
      <c r="AG227" s="162" t="n">
        <f aca="false">+AC227+AD227+AF227*SUM($K227*$K$37,$M227*$M$37,$O227*$O$37)/1000</f>
        <v>2835.52459583204</v>
      </c>
      <c r="AI227" s="158" t="n">
        <f aca="false">IF($B227=" ",0,1)*IF($B227&gt;=AI$33,AI$25*($D227-$D226),0)</f>
        <v>485.186570908337</v>
      </c>
      <c r="AJ227" s="158" t="n">
        <f aca="false">IF($B227=" ",0,IF($B227&gt;=AJ$33,AJ$25*(1+AJ$30)^(IF(AJ$28&gt;$B227,-1,1)*(YEARFRAC($B227,AJ$28)))*($D227-$D226),0))</f>
        <v>561.090663701096</v>
      </c>
      <c r="AK227" s="159" t="n">
        <f aca="false">IF($B227=" ",0,AK$25*(1+AK$30)^(IF(AK$28&gt;$B227,-1,1)*(YEARFRAC($B227,AK$28))))</f>
        <v>0.0320671024315039</v>
      </c>
      <c r="AL227" s="159" t="n">
        <f aca="false">IF($B227=" ",0,AL$25*AL$28)</f>
        <v>0.0575</v>
      </c>
      <c r="AM227" s="162" t="n">
        <f aca="false">+AI227+AJ227+SUM(AK227:AL227)*SUM($J227*$J$37,$K227*$K$37,$L227*$L$37,$M227*$M$37,$N227*$N$37,$O227*$O$37)/1000</f>
        <v>1490.63688423183</v>
      </c>
      <c r="AO227" s="163" t="n">
        <f aca="false">IF($B227=" ",0,$AO$25)</f>
        <v>0.25</v>
      </c>
      <c r="AP227" s="159" t="n">
        <f aca="false">IF($B227=" ",0,AP$25*AP$28)</f>
        <v>0.03105</v>
      </c>
      <c r="AQ227" s="162" t="n">
        <f aca="false">SUM(AO227:AP227)*SUM(0)/1000</f>
        <v>0</v>
      </c>
      <c r="AS227" s="155" t="n">
        <f aca="false">IF($B227=" ",0,AS$25)</f>
        <v>1</v>
      </c>
      <c r="AT227" s="156" t="n">
        <f aca="false">IF($B227=" ",0,AT$25)</f>
        <v>1</v>
      </c>
      <c r="AU227" s="156" t="n">
        <f aca="false">IF($B227=" ",0,AU$25)</f>
        <v>2.3</v>
      </c>
      <c r="AV227" s="157" t="n">
        <f aca="false">+AS227*SUM(J227:K227)/1000</f>
        <v>0</v>
      </c>
      <c r="AW227" s="157" t="n">
        <f aca="false">+AT227*SUM(L227:M227)/1000</f>
        <v>0</v>
      </c>
      <c r="AX227" s="157" t="n">
        <f aca="false">+AU227*SUM(N227:O227)/1000</f>
        <v>11537.9859375</v>
      </c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</row>
    <row r="228" customFormat="false" ht="12.75" hidden="true" customHeight="false" outlineLevel="1" collapsed="false">
      <c r="A228" s="164" t="n">
        <f aca="false">+IF(B228=" ",A227,B228)</f>
        <v>42217</v>
      </c>
      <c r="B228" s="148" t="n">
        <f aca="false">IF(B227=" "," ",IF(EDATE(B227,1)&gt;=EndDate," ",EDATE(B227,1)))</f>
        <v>42217</v>
      </c>
      <c r="C228" s="149" t="n">
        <f aca="false">IF($B228&lt;&gt;" ",C227+1,C227)</f>
        <v>178</v>
      </c>
      <c r="D228" s="150" t="n">
        <f aca="false">C228/12</f>
        <v>14.8333333333333</v>
      </c>
      <c r="F228" s="157" t="n">
        <f aca="false">+SUM($T228:$U228)</f>
        <v>14883.5779284771</v>
      </c>
      <c r="G228" s="152" t="n">
        <f aca="false">-SUM($AA228,$AG228,$AM228,$AQ228,$AV228:$AX228)</f>
        <v>-16807.2054709827</v>
      </c>
      <c r="H228" s="152" t="n">
        <f aca="false">+SUM(F228:G228)</f>
        <v>-1923.62754250556</v>
      </c>
      <c r="I228" s="124"/>
      <c r="J228" s="153" t="n">
        <f aca="false">+IF($B228=" ",0,IF(AND($B228&gt;=J$26,$B228&lt;J$28),J$33,0))</f>
        <v>0</v>
      </c>
      <c r="K228" s="153" t="n">
        <f aca="false">+IF($B228=" ",0,IF(AND($B228&gt;=K$26,$B228&lt;K$28),K$33,0))</f>
        <v>0</v>
      </c>
      <c r="L228" s="153" t="n">
        <f aca="false">+IF($B228=" ",0,IF(AND($B228&gt;=L$26,$B228&lt;L$28),L$33,0))</f>
        <v>0</v>
      </c>
      <c r="M228" s="153" t="n">
        <f aca="false">+IF($B228=" ",0,IF(AND($B228&gt;=M$26,$B228&lt;M$28),M$33,0))</f>
        <v>0</v>
      </c>
      <c r="N228" s="153" t="n">
        <f aca="false">+IF($B228=" ",0,IF(AND($B228&gt;=N$26,$B228&lt;N$28),N$33,0))</f>
        <v>0</v>
      </c>
      <c r="O228" s="154" t="n">
        <f aca="false">+IF($B228=" ",0,IF(AND($B228&gt;=O$26,$B228&lt;O$28),O$33,0))</f>
        <v>5016515.625</v>
      </c>
      <c r="Q228" s="83" t="n">
        <f aca="false">IF($B228=" ",0,IF($B228&lt;=DATE(2003,12,31),3.55,2.9))</f>
        <v>2.9</v>
      </c>
      <c r="R228" s="155" t="n">
        <f aca="false">IF($B228=" ",0,R$25)</f>
        <v>-0.07</v>
      </c>
      <c r="S228" s="156" t="n">
        <f aca="false">IF($B228=" ",0,S$25)</f>
        <v>0.1</v>
      </c>
      <c r="T228" s="157" t="n">
        <f aca="false">+SUM($Q228,$S228)/1000*(SUM($J228*$J$37,$K228*$K$37,$L228*$L$37,$M228*$M$37,$N228*$N$37,$O228*$O$37))</f>
        <v>14883.5779284771</v>
      </c>
      <c r="U228" s="157" t="n">
        <f aca="false">+SUM($Q228,$R228)/1000*(SUM(0))</f>
        <v>0</v>
      </c>
      <c r="W228" s="158" t="n">
        <f aca="false">IF($B228=" ",0,1)*(IF($B228&gt;=W$25,1,0)*IF($B228&lt;=W$29,W$27,IF($B228&lt;=W$33,W$31,0))*($D228-$D227)*365/1000)</f>
        <v>486.66666666667</v>
      </c>
      <c r="X228" s="158" t="n">
        <f aca="false">IF($B228=" ",0,IF($B228&gt;=X$25,IF($B228&lt;=X$29,X$27,IF($B228&lt;=X$33,X$31,X$31*(1+X$38)^(IF(X$36&gt;$B228,-1,1)*(YEARFRAC($B228,X$36)))))*($D228-$D227)*365/1000,0))</f>
        <v>453.930938891125</v>
      </c>
      <c r="Y228" s="159" t="n">
        <f aca="false">IF($B228=" ",0,Y$25*(1+Y$30)^(IF(Y$28&gt;$B228,-1,1)*(YEARFRAC($B228,Y$28))))</f>
        <v>0.570578656675043</v>
      </c>
      <c r="Z228" s="159" t="n">
        <f aca="false">IF($B228=" ",0,Z$25*(1+Z$30)^(IF(Z$28&gt;$B228,-1,1)*(YEARFRAC($B228,Z$28))))</f>
        <v>0.544690899647713</v>
      </c>
      <c r="AA228" s="162" t="n">
        <f aca="false">+W228+X228+Z228*SUM($J228*$J$37,$L228*$L$37,$N228*$N$37)/1000</f>
        <v>940.597605557795</v>
      </c>
      <c r="AB228" s="161"/>
      <c r="AC228" s="158" t="n">
        <f aca="false">IF($B228=" ",0,1)*(IF($B228&gt;=AC$25,1,0)*IF($B228&lt;=AC$29,AC$27,IF($B228&lt;=AC$33,AC$31,0))*($D228-$D227)*365/1000)</f>
        <v>1591.66666666668</v>
      </c>
      <c r="AD228" s="158" t="n">
        <f aca="false">IF($B228=" ",0,IF($B228&gt;=AD$25,IF($B228&lt;=AD$29,AD$27,IF($B228&lt;=AD$33,AD$31,AD$31*(1+AD$38)^(IF(AD$36&gt;$B228,-1,1)*(YEARFRAC($B228,AD$36)))))*($D228-$D227)*365/1000,0))</f>
        <v>404.097788618267</v>
      </c>
      <c r="AE228" s="159" t="n">
        <f aca="false">IF($B228=" ",0,AE$25*(1+AE$30)^(IF(AE$28&gt;$B228,-1,1)*(YEARFRAC($B228,AE$28))))</f>
        <v>0.472721400315618</v>
      </c>
      <c r="AF228" s="159" t="n">
        <f aca="false">IF($B228=" ",0,AF$25*(1+AF$30)^(IF(AF$28&gt;$B228,-1,1)*(YEARFRAC($B228,AF$28))))</f>
        <v>0.169611366384181</v>
      </c>
      <c r="AG228" s="162" t="n">
        <f aca="false">+AC228+AD228+AF228*SUM($K228*$K$37,$M228*$M$37,$O228*$O$37)/1000</f>
        <v>2837.23911832976</v>
      </c>
      <c r="AI228" s="158" t="n">
        <f aca="false">IF($B228=" ",0,1)*IF($B228&gt;=AI$33,AI$25*($D228-$D227),0)</f>
        <v>485.186570908337</v>
      </c>
      <c r="AJ228" s="158" t="n">
        <f aca="false">IF($B228=" ",0,IF($B228&gt;=AJ$33,AJ$25*(1+AJ$30)^(IF(AJ$28&gt;$B228,-1,1)*(YEARFRAC($B228,AJ$28)))*($D228-$D227),0))</f>
        <v>561.671811119909</v>
      </c>
      <c r="AK228" s="159" t="n">
        <f aca="false">IF($B228=" ",0,AK$25*(1+AK$30)^(IF(AK$28&gt;$B228,-1,1)*(YEARFRAC($B228,AK$28))))</f>
        <v>0.0321003158050503</v>
      </c>
      <c r="AL228" s="159" t="n">
        <f aca="false">IF($B228=" ",0,AL$25*AL$28)</f>
        <v>0.0575</v>
      </c>
      <c r="AM228" s="162" t="n">
        <f aca="false">+AI228+AJ228+SUM(AK228:AL228)*SUM($J228*$J$37,$K228*$K$37,$L228*$L$37,$M228*$M$37,$N228*$N$37,$O228*$O$37)/1000</f>
        <v>1491.38280959512</v>
      </c>
      <c r="AO228" s="163" t="n">
        <f aca="false">IF($B228=" ",0,$AO$25)</f>
        <v>0.25</v>
      </c>
      <c r="AP228" s="159" t="n">
        <f aca="false">IF($B228=" ",0,AP$25*AP$28)</f>
        <v>0.03105</v>
      </c>
      <c r="AQ228" s="162" t="n">
        <f aca="false">SUM(AO228:AP228)*SUM(0)/1000</f>
        <v>0</v>
      </c>
      <c r="AS228" s="155" t="n">
        <f aca="false">IF($B228=" ",0,AS$25)</f>
        <v>1</v>
      </c>
      <c r="AT228" s="156" t="n">
        <f aca="false">IF($B228=" ",0,AT$25)</f>
        <v>1</v>
      </c>
      <c r="AU228" s="156" t="n">
        <f aca="false">IF($B228=" ",0,AU$25)</f>
        <v>2.3</v>
      </c>
      <c r="AV228" s="157" t="n">
        <f aca="false">+AS228*SUM(J228:K228)/1000</f>
        <v>0</v>
      </c>
      <c r="AW228" s="157" t="n">
        <f aca="false">+AT228*SUM(L228:M228)/1000</f>
        <v>0</v>
      </c>
      <c r="AX228" s="157" t="n">
        <f aca="false">+AU228*SUM(N228:O228)/1000</f>
        <v>11537.9859375</v>
      </c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</row>
    <row r="229" customFormat="false" ht="12.75" hidden="true" customHeight="false" outlineLevel="1" collapsed="false">
      <c r="A229" s="164" t="n">
        <f aca="false">+IF(B229=" ",A228,B229)</f>
        <v>42248</v>
      </c>
      <c r="B229" s="148" t="n">
        <f aca="false">IF(B228=" "," ",IF(EDATE(B228,1)&gt;=EndDate," ",EDATE(B228,1)))</f>
        <v>42248</v>
      </c>
      <c r="C229" s="149" t="n">
        <f aca="false">IF($B229&lt;&gt;" ",C228+1,C228)</f>
        <v>179</v>
      </c>
      <c r="D229" s="150" t="n">
        <f aca="false">C229/12</f>
        <v>14.9166666666667</v>
      </c>
      <c r="F229" s="157" t="n">
        <f aca="false">+SUM($T229:$U229)</f>
        <v>14883.5779284771</v>
      </c>
      <c r="G229" s="152" t="n">
        <f aca="false">-SUM($AA229,$AG229,$AM229,$AQ229,$AV229:$AX229)</f>
        <v>-16810.2947490077</v>
      </c>
      <c r="H229" s="152" t="n">
        <f aca="false">+SUM(F229:G229)</f>
        <v>-1926.71682053062</v>
      </c>
      <c r="I229" s="124"/>
      <c r="J229" s="153" t="n">
        <f aca="false">+IF($B229=" ",0,IF(AND($B229&gt;=J$26,$B229&lt;J$28),J$33,0))</f>
        <v>0</v>
      </c>
      <c r="K229" s="153" t="n">
        <f aca="false">+IF($B229=" ",0,IF(AND($B229&gt;=K$26,$B229&lt;K$28),K$33,0))</f>
        <v>0</v>
      </c>
      <c r="L229" s="153" t="n">
        <f aca="false">+IF($B229=" ",0,IF(AND($B229&gt;=L$26,$B229&lt;L$28),L$33,0))</f>
        <v>0</v>
      </c>
      <c r="M229" s="153" t="n">
        <f aca="false">+IF($B229=" ",0,IF(AND($B229&gt;=M$26,$B229&lt;M$28),M$33,0))</f>
        <v>0</v>
      </c>
      <c r="N229" s="153" t="n">
        <f aca="false">+IF($B229=" ",0,IF(AND($B229&gt;=N$26,$B229&lt;N$28),N$33,0))</f>
        <v>0</v>
      </c>
      <c r="O229" s="154" t="n">
        <f aca="false">+IF($B229=" ",0,IF(AND($B229&gt;=O$26,$B229&lt;O$28),O$33,0))</f>
        <v>5016515.625</v>
      </c>
      <c r="Q229" s="83" t="n">
        <f aca="false">IF($B229=" ",0,IF($B229&lt;=DATE(2003,12,31),3.55,2.9))</f>
        <v>2.9</v>
      </c>
      <c r="R229" s="155" t="n">
        <f aca="false">IF($B229=" ",0,R$25)</f>
        <v>-0.07</v>
      </c>
      <c r="S229" s="156" t="n">
        <f aca="false">IF($B229=" ",0,S$25)</f>
        <v>0.1</v>
      </c>
      <c r="T229" s="157" t="n">
        <f aca="false">+SUM($Q229,$S229)/1000*(SUM($J229*$J$37,$K229*$K$37,$L229*$L$37,$M229*$M$37,$N229*$N$37,$O229*$O$37))</f>
        <v>14883.5779284771</v>
      </c>
      <c r="U229" s="157" t="n">
        <f aca="false">+SUM($Q229,$R229)/1000*(SUM(0))</f>
        <v>0</v>
      </c>
      <c r="W229" s="158" t="n">
        <f aca="false">IF($B229=" ",0,1)*(IF($B229&gt;=W$25,1,0)*IF($B229&lt;=W$29,W$27,IF($B229&lt;=W$33,W$31,0))*($D229-$D228)*365/1000)</f>
        <v>486.66666666666</v>
      </c>
      <c r="X229" s="158" t="n">
        <f aca="false">IF($B229=" ",0,IF($B229&gt;=X$25,IF($B229&lt;=X$29,X$27,IF($B229&lt;=X$33,X$31,X$31*(1+X$38)^(IF(X$36&gt;$B229,-1,1)*(YEARFRAC($B229,X$36)))))*($D229-$D228)*365/1000,0))</f>
        <v>454.556633183758</v>
      </c>
      <c r="Y229" s="159" t="n">
        <f aca="false">IF($B229=" ",0,Y$25*(1+Y$30)^(IF(Y$28&gt;$B229,-1,1)*(YEARFRAC($B229,Y$28))))</f>
        <v>0.571365137124817</v>
      </c>
      <c r="Z229" s="159" t="n">
        <f aca="false">IF($B229=" ",0,Z$25*(1+Z$30)^(IF(Z$28&gt;$B229,-1,1)*(YEARFRAC($B229,Z$28))))</f>
        <v>0.545441696647796</v>
      </c>
      <c r="AA229" s="162" t="n">
        <f aca="false">+W229+X229+Z229*SUM($J229*$J$37,$L229*$L$37,$N229*$N$37)/1000</f>
        <v>941.223299850417</v>
      </c>
      <c r="AB229" s="161"/>
      <c r="AC229" s="158" t="n">
        <f aca="false">IF($B229=" ",0,1)*(IF($B229&gt;=AC$25,1,0)*IF($B229&lt;=AC$29,AC$27,IF($B229&lt;=AC$33,AC$31,0))*($D229-$D228)*365/1000)</f>
        <v>1591.66666666664</v>
      </c>
      <c r="AD229" s="158" t="n">
        <f aca="false">IF($B229=" ",0,IF($B229&gt;=AD$25,IF($B229&lt;=AD$29,AD$27,IF($B229&lt;=AD$33,AD$31,AD$31*(1+AD$38)^(IF(AD$36&gt;$B229,-1,1)*(YEARFRAC($B229,AD$36)))))*($D229-$D228)*365/1000,0))</f>
        <v>404.654793348154</v>
      </c>
      <c r="AE229" s="159" t="n">
        <f aca="false">IF($B229=" ",0,AE$25*(1+AE$30)^(IF(AE$28&gt;$B229,-1,1)*(YEARFRAC($B229,AE$28))))</f>
        <v>0.473372995210009</v>
      </c>
      <c r="AF229" s="159" t="n">
        <f aca="false">IF($B229=" ",0,AF$25*(1+AF$30)^(IF(AF$28&gt;$B229,-1,1)*(YEARFRAC($B229,AF$28))))</f>
        <v>0.169845157154586</v>
      </c>
      <c r="AG229" s="162" t="n">
        <f aca="false">+AC229+AD229+AF229*SUM($K229*$K$37,$M229*$M$37,$O229*$O$37)/1000</f>
        <v>2838.9560041097</v>
      </c>
      <c r="AI229" s="158" t="n">
        <f aca="false">IF($B229=" ",0,1)*IF($B229&gt;=AI$33,AI$25*($D229-$D228),0)</f>
        <v>485.186570908327</v>
      </c>
      <c r="AJ229" s="158" t="n">
        <f aca="false">IF($B229=" ",0,IF($B229&gt;=AJ$33,AJ$25*(1+AJ$30)^(IF(AJ$28&gt;$B229,-1,1)*(YEARFRAC($B229,AJ$28)))*($D229-$D228),0))</f>
        <v>562.253560459833</v>
      </c>
      <c r="AK229" s="159" t="n">
        <f aca="false">IF($B229=" ",0,AK$25*(1+AK$30)^(IF(AK$28&gt;$B229,-1,1)*(YEARFRAC($B229,AK$28))))</f>
        <v>0.0321335635792159</v>
      </c>
      <c r="AL229" s="159" t="n">
        <f aca="false">IF($B229=" ",0,AL$25*AL$28)</f>
        <v>0.0575</v>
      </c>
      <c r="AM229" s="162" t="n">
        <f aca="false">+AI229+AJ229+SUM(AK229:AL229)*SUM($J229*$J$37,$K229*$K$37,$L229*$L$37,$M229*$M$37,$N229*$N$37,$O229*$O$37)/1000</f>
        <v>1492.12950754762</v>
      </c>
      <c r="AO229" s="163" t="n">
        <f aca="false">IF($B229=" ",0,$AO$25)</f>
        <v>0.25</v>
      </c>
      <c r="AP229" s="159" t="n">
        <f aca="false">IF($B229=" ",0,AP$25*AP$28)</f>
        <v>0.03105</v>
      </c>
      <c r="AQ229" s="162" t="n">
        <f aca="false">SUM(AO229:AP229)*SUM(0)/1000</f>
        <v>0</v>
      </c>
      <c r="AS229" s="155" t="n">
        <f aca="false">IF($B229=" ",0,AS$25)</f>
        <v>1</v>
      </c>
      <c r="AT229" s="156" t="n">
        <f aca="false">IF($B229=" ",0,AT$25)</f>
        <v>1</v>
      </c>
      <c r="AU229" s="156" t="n">
        <f aca="false">IF($B229=" ",0,AU$25)</f>
        <v>2.3</v>
      </c>
      <c r="AV229" s="157" t="n">
        <f aca="false">+AS229*SUM(J229:K229)/1000</f>
        <v>0</v>
      </c>
      <c r="AW229" s="157" t="n">
        <f aca="false">+AT229*SUM(L229:M229)/1000</f>
        <v>0</v>
      </c>
      <c r="AX229" s="157" t="n">
        <f aca="false">+AU229*SUM(N229:O229)/1000</f>
        <v>11537.9859375</v>
      </c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</row>
    <row r="230" customFormat="false" ht="12.75" hidden="true" customHeight="false" outlineLevel="1" collapsed="false">
      <c r="A230" s="164" t="n">
        <f aca="false">+IF(B230=" ",A229,B230)</f>
        <v>42278</v>
      </c>
      <c r="B230" s="148" t="n">
        <f aca="false">IF(B229=" "," ",IF(EDATE(B229,1)&gt;=EndDate," ",EDATE(B229,1)))</f>
        <v>42278</v>
      </c>
      <c r="C230" s="149" t="n">
        <f aca="false">IF($B230&lt;&gt;" ",C229+1,C229)</f>
        <v>180</v>
      </c>
      <c r="D230" s="150" t="n">
        <f aca="false">C230/12</f>
        <v>15</v>
      </c>
      <c r="F230" s="157" t="n">
        <f aca="false">+SUM($T230:$U230)</f>
        <v>14883.5779284771</v>
      </c>
      <c r="G230" s="152" t="n">
        <f aca="false">-SUM($AA230,$AG230,$AM230,$AQ230,$AV230:$AX230)</f>
        <v>-16813.3880294135</v>
      </c>
      <c r="H230" s="152" t="n">
        <f aca="false">+SUM(F230:G230)</f>
        <v>-1929.81010093643</v>
      </c>
      <c r="I230" s="124"/>
      <c r="J230" s="153" t="n">
        <f aca="false">+IF($B230=" ",0,IF(AND($B230&gt;=J$26,$B230&lt;J$28),J$33,0))</f>
        <v>0</v>
      </c>
      <c r="K230" s="153" t="n">
        <f aca="false">+IF($B230=" ",0,IF(AND($B230&gt;=K$26,$B230&lt;K$28),K$33,0))</f>
        <v>0</v>
      </c>
      <c r="L230" s="153" t="n">
        <f aca="false">+IF($B230=" ",0,IF(AND($B230&gt;=L$26,$B230&lt;L$28),L$33,0))</f>
        <v>0</v>
      </c>
      <c r="M230" s="153" t="n">
        <f aca="false">+IF($B230=" ",0,IF(AND($B230&gt;=M$26,$B230&lt;M$28),M$33,0))</f>
        <v>0</v>
      </c>
      <c r="N230" s="153" t="n">
        <f aca="false">+IF($B230=" ",0,IF(AND($B230&gt;=N$26,$B230&lt;N$28),N$33,0))</f>
        <v>0</v>
      </c>
      <c r="O230" s="154" t="n">
        <f aca="false">+IF($B230=" ",0,IF(AND($B230&gt;=O$26,$B230&lt;O$28),O$33,0))</f>
        <v>5016515.625</v>
      </c>
      <c r="Q230" s="83" t="n">
        <f aca="false">IF($B230=" ",0,IF($B230&lt;=DATE(2003,12,31),3.55,2.9))</f>
        <v>2.9</v>
      </c>
      <c r="R230" s="155" t="n">
        <f aca="false">IF($B230=" ",0,R$25)</f>
        <v>-0.07</v>
      </c>
      <c r="S230" s="156" t="n">
        <f aca="false">IF($B230=" ",0,S$25)</f>
        <v>0.1</v>
      </c>
      <c r="T230" s="157" t="n">
        <f aca="false">+SUM($Q230,$S230)/1000*(SUM($J230*$J$37,$K230*$K$37,$L230*$L$37,$M230*$M$37,$N230*$N$37,$O230*$O$37))</f>
        <v>14883.5779284771</v>
      </c>
      <c r="U230" s="157" t="n">
        <f aca="false">+SUM($Q230,$R230)/1000*(SUM(0))</f>
        <v>0</v>
      </c>
      <c r="W230" s="158" t="n">
        <f aca="false">IF($B230=" ",0,1)*(IF($B230&gt;=W$25,1,0)*IF($B230&lt;=W$29,W$27,IF($B230&lt;=W$33,W$31,0))*($D230-$D229)*365/1000)</f>
        <v>486.66666666667</v>
      </c>
      <c r="X230" s="158" t="n">
        <f aca="false">IF($B230=" ",0,IF($B230&gt;=X$25,IF($B230&lt;=X$29,X$27,IF($B230&lt;=X$33,X$31,X$31*(1+X$38)^(IF(X$36&gt;$B230,-1,1)*(YEARFRAC($B230,X$36)))))*($D230-$D229)*365/1000,0))</f>
        <v>455.183189927753</v>
      </c>
      <c r="Y230" s="159" t="n">
        <f aca="false">IF($B230=" ",0,Y$25*(1+Y$30)^(IF(Y$28&gt;$B230,-1,1)*(YEARFRAC($B230,Y$28))))</f>
        <v>0.572152701652116</v>
      </c>
      <c r="Z230" s="159" t="n">
        <f aca="false">IF($B230=" ",0,Z$25*(1+Z$30)^(IF(Z$28&gt;$B230,-1,1)*(YEARFRAC($B230,Z$28))))</f>
        <v>0.546193528539659</v>
      </c>
      <c r="AA230" s="162" t="n">
        <f aca="false">+W230+X230+Z230*SUM($J230*$J$37,$L230*$L$37,$N230*$N$37)/1000</f>
        <v>941.849856594424</v>
      </c>
      <c r="AB230" s="161"/>
      <c r="AC230" s="158" t="n">
        <f aca="false">IF($B230=" ",0,1)*(IF($B230&gt;=AC$25,1,0)*IF($B230&lt;=AC$29,AC$27,IF($B230&lt;=AC$33,AC$31,0))*($D230-$D229)*365/1000)</f>
        <v>1591.66666666668</v>
      </c>
      <c r="AD230" s="158" t="n">
        <f aca="false">IF($B230=" ",0,IF($B230&gt;=AD$25,IF($B230&lt;=AD$29,AD$27,IF($B230&lt;=AD$33,AD$31,AD$31*(1+AD$38)^(IF(AD$36&gt;$B230,-1,1)*(YEARFRAC($B230,AD$36)))))*($D230-$D229)*365/1000,0))</f>
        <v>405.212565848329</v>
      </c>
      <c r="AE230" s="159" t="n">
        <f aca="false">IF($B230=" ",0,AE$25*(1+AE$30)^(IF(AE$28&gt;$B230,-1,1)*(YEARFRAC($B230,AE$28))))</f>
        <v>0.474025488256898</v>
      </c>
      <c r="AF230" s="159" t="n">
        <f aca="false">IF($B230=" ",0,AF$25*(1+AF$30)^(IF(AF$28&gt;$B230,-1,1)*(YEARFRAC($B230,AF$28))))</f>
        <v>0.17007927018007</v>
      </c>
      <c r="AG230" s="162" t="n">
        <f aca="false">+AC230+AD230+AF230*SUM($K230*$K$37,$M230*$M$37,$O230*$O$37)/1000</f>
        <v>2840.67525642954</v>
      </c>
      <c r="AI230" s="158" t="n">
        <f aca="false">IF($B230=" ",0,1)*IF($B230&gt;=AI$33,AI$25*($D230-$D229),0)</f>
        <v>485.186570908337</v>
      </c>
      <c r="AJ230" s="158" t="n">
        <f aca="false">IF($B230=" ",0,IF($B230&gt;=AJ$33,AJ$25*(1+AJ$30)^(IF(AJ$28&gt;$B230,-1,1)*(YEARFRAC($B230,AJ$28)))*($D230-$D229),0))</f>
        <v>562.835912344342</v>
      </c>
      <c r="AK230" s="159" t="n">
        <f aca="false">IF($B230=" ",0,AK$25*(1+AK$30)^(IF(AK$28&gt;$B230,-1,1)*(YEARFRAC($B230,AK$28))))</f>
        <v>0.0321668457896312</v>
      </c>
      <c r="AL230" s="159" t="n">
        <f aca="false">IF($B230=" ",0,AL$25*AL$28)</f>
        <v>0.0575</v>
      </c>
      <c r="AM230" s="162" t="n">
        <f aca="false">+AI230+AJ230+SUM(AK230:AL230)*SUM($J230*$J$37,$K230*$K$37,$L230*$L$37,$M230*$M$37,$N230*$N$37,$O230*$O$37)/1000</f>
        <v>1492.87697888958</v>
      </c>
      <c r="AO230" s="163" t="n">
        <f aca="false">IF($B230=" ",0,$AO$25)</f>
        <v>0.25</v>
      </c>
      <c r="AP230" s="159" t="n">
        <f aca="false">IF($B230=" ",0,AP$25*AP$28)</f>
        <v>0.03105</v>
      </c>
      <c r="AQ230" s="162" t="n">
        <f aca="false">SUM(AO230:AP230)*SUM(0)/1000</f>
        <v>0</v>
      </c>
      <c r="AS230" s="155" t="n">
        <f aca="false">IF($B230=" ",0,AS$25)</f>
        <v>1</v>
      </c>
      <c r="AT230" s="156" t="n">
        <f aca="false">IF($B230=" ",0,AT$25)</f>
        <v>1</v>
      </c>
      <c r="AU230" s="156" t="n">
        <f aca="false">IF($B230=" ",0,AU$25)</f>
        <v>2.3</v>
      </c>
      <c r="AV230" s="157" t="n">
        <f aca="false">+AS230*SUM(J230:K230)/1000</f>
        <v>0</v>
      </c>
      <c r="AW230" s="157" t="n">
        <f aca="false">+AT230*SUM(L230:M230)/1000</f>
        <v>0</v>
      </c>
      <c r="AX230" s="157" t="n">
        <f aca="false">+AU230*SUM(N230:O230)/1000</f>
        <v>11537.9859375</v>
      </c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</row>
    <row r="231" customFormat="false" ht="12.75" hidden="true" customHeight="false" outlineLevel="1" collapsed="false">
      <c r="A231" s="164" t="n">
        <f aca="false">+IF(B231=" ",A230,B231)</f>
        <v>42309</v>
      </c>
      <c r="B231" s="148" t="n">
        <f aca="false">IF(B230=" "," ",IF(EDATE(B230,1)&gt;=EndDate," ",EDATE(B230,1)))</f>
        <v>42309</v>
      </c>
      <c r="C231" s="149" t="n">
        <f aca="false">IF($B231&lt;&gt;" ",C230+1,C230)</f>
        <v>181</v>
      </c>
      <c r="D231" s="150" t="n">
        <f aca="false">C231/12</f>
        <v>15.0833333333333</v>
      </c>
      <c r="F231" s="157" t="n">
        <f aca="false">+SUM($T231:$U231)</f>
        <v>14883.5779284771</v>
      </c>
      <c r="G231" s="152" t="n">
        <f aca="false">-SUM($AA231,$AG231,$AM231,$AQ231,$AV231:$AX231)</f>
        <v>-16816.4853174517</v>
      </c>
      <c r="H231" s="152" t="n">
        <f aca="false">+SUM(F231:G231)</f>
        <v>-1932.90738897457</v>
      </c>
      <c r="I231" s="124"/>
      <c r="J231" s="153" t="n">
        <f aca="false">+IF($B231=" ",0,IF(AND($B231&gt;=J$26,$B231&lt;J$28),J$33,0))</f>
        <v>0</v>
      </c>
      <c r="K231" s="153" t="n">
        <f aca="false">+IF($B231=" ",0,IF(AND($B231&gt;=K$26,$B231&lt;K$28),K$33,0))</f>
        <v>0</v>
      </c>
      <c r="L231" s="153" t="n">
        <f aca="false">+IF($B231=" ",0,IF(AND($B231&gt;=L$26,$B231&lt;L$28),L$33,0))</f>
        <v>0</v>
      </c>
      <c r="M231" s="153" t="n">
        <f aca="false">+IF($B231=" ",0,IF(AND($B231&gt;=M$26,$B231&lt;M$28),M$33,0))</f>
        <v>0</v>
      </c>
      <c r="N231" s="153" t="n">
        <f aca="false">+IF($B231=" ",0,IF(AND($B231&gt;=N$26,$B231&lt;N$28),N$33,0))</f>
        <v>0</v>
      </c>
      <c r="O231" s="154" t="n">
        <f aca="false">+IF($B231=" ",0,IF(AND($B231&gt;=O$26,$B231&lt;O$28),O$33,0))</f>
        <v>5016515.625</v>
      </c>
      <c r="Q231" s="83" t="n">
        <f aca="false">IF($B231=" ",0,IF($B231&lt;=DATE(2003,12,31),3.55,2.9))</f>
        <v>2.9</v>
      </c>
      <c r="R231" s="155" t="n">
        <f aca="false">IF($B231=" ",0,R$25)</f>
        <v>-0.07</v>
      </c>
      <c r="S231" s="156" t="n">
        <f aca="false">IF($B231=" ",0,S$25)</f>
        <v>0.1</v>
      </c>
      <c r="T231" s="157" t="n">
        <f aca="false">+SUM($Q231,$S231)/1000*(SUM($J231*$J$37,$K231*$K$37,$L231*$L$37,$M231*$M$37,$N231*$N$37,$O231*$O$37))</f>
        <v>14883.5779284771</v>
      </c>
      <c r="U231" s="157" t="n">
        <f aca="false">+SUM($Q231,$R231)/1000*(SUM(0))</f>
        <v>0</v>
      </c>
      <c r="W231" s="158" t="n">
        <f aca="false">IF($B231=" ",0,1)*(IF($B231&gt;=W$25,1,0)*IF($B231&lt;=W$29,W$27,IF($B231&lt;=W$33,W$31,0))*($D231-$D230)*365/1000)</f>
        <v>486.66666666667</v>
      </c>
      <c r="X231" s="158" t="n">
        <f aca="false">IF($B231=" ",0,IF($B231&gt;=X$25,IF($B231&lt;=X$29,X$27,IF($B231&lt;=X$33,X$31,X$31*(1+X$38)^(IF(X$36&gt;$B231,-1,1)*(YEARFRAC($B231,X$36)))))*($D231-$D230)*365/1000,0))</f>
        <v>455.810610311877</v>
      </c>
      <c r="Y231" s="159" t="n">
        <f aca="false">IF($B231=" ",0,Y$25*(1+Y$30)^(IF(Y$28&gt;$B231,-1,1)*(YEARFRAC($B231,Y$28))))</f>
        <v>0.572941351751222</v>
      </c>
      <c r="Z231" s="159" t="n">
        <f aca="false">IF($B231=" ",0,Z$25*(1+Z$30)^(IF(Z$28&gt;$B231,-1,1)*(YEARFRAC($B231,Z$28))))</f>
        <v>0.54694639674979</v>
      </c>
      <c r="AA231" s="162" t="n">
        <f aca="false">+W231+X231+Z231*SUM($J231*$J$37,$L231*$L$37,$N231*$N$37)/1000</f>
        <v>942.477276978547</v>
      </c>
      <c r="AB231" s="161"/>
      <c r="AC231" s="158" t="n">
        <f aca="false">IF($B231=" ",0,1)*(IF($B231&gt;=AC$25,1,0)*IF($B231&lt;=AC$29,AC$27,IF($B231&lt;=AC$33,AC$31,0))*($D231-$D230)*365/1000)</f>
        <v>1591.66666666668</v>
      </c>
      <c r="AD231" s="158" t="n">
        <f aca="false">IF($B231=" ",0,IF($B231&gt;=AD$25,IF($B231&lt;=AD$29,AD$27,IF($B231&lt;=AD$33,AD$31,AD$31*(1+AD$38)^(IF(AD$36&gt;$B231,-1,1)*(YEARFRAC($B231,AD$36)))))*($D231-$D230)*365/1000,0))</f>
        <v>405.771107177056</v>
      </c>
      <c r="AE231" s="159" t="n">
        <f aca="false">IF($B231=" ",0,AE$25*(1+AE$30)^(IF(AE$28&gt;$B231,-1,1)*(YEARFRAC($B231,AE$28))))</f>
        <v>0.47467888069429</v>
      </c>
      <c r="AF231" s="159" t="n">
        <f aca="false">IF($B231=" ",0,AF$25*(1+AF$30)^(IF(AF$28&gt;$B231,-1,1)*(YEARFRAC($B231,AF$28))))</f>
        <v>0.170313705904827</v>
      </c>
      <c r="AG231" s="162" t="n">
        <f aca="false">+AC231+AD231+AF231*SUM($K231*$K$37,$M231*$M$37,$O231*$O$37)/1000</f>
        <v>2842.39687855114</v>
      </c>
      <c r="AI231" s="158" t="n">
        <f aca="false">IF($B231=" ",0,1)*IF($B231&gt;=AI$33,AI$25*($D231-$D230),0)</f>
        <v>485.186570908337</v>
      </c>
      <c r="AJ231" s="158" t="n">
        <f aca="false">IF($B231=" ",0,IF($B231&gt;=AJ$33,AJ$25*(1+AJ$30)^(IF(AJ$28&gt;$B231,-1,1)*(YEARFRAC($B231,AJ$28)))*($D231-$D230),0))</f>
        <v>563.418867397481</v>
      </c>
      <c r="AK231" s="159" t="n">
        <f aca="false">IF($B231=" ",0,AK$25*(1+AK$30)^(IF(AK$28&gt;$B231,-1,1)*(YEARFRAC($B231,AK$28))))</f>
        <v>0.0322001624719632</v>
      </c>
      <c r="AL231" s="159" t="n">
        <f aca="false">IF($B231=" ",0,AL$25*AL$28)</f>
        <v>0.0575</v>
      </c>
      <c r="AM231" s="162" t="n">
        <f aca="false">+AI231+AJ231+SUM(AK231:AL231)*SUM($J231*$J$37,$K231*$K$37,$L231*$L$37,$M231*$M$37,$N231*$N$37,$O231*$O$37)/1000</f>
        <v>1493.62522442199</v>
      </c>
      <c r="AO231" s="163" t="n">
        <f aca="false">IF($B231=" ",0,$AO$25)</f>
        <v>0.25</v>
      </c>
      <c r="AP231" s="159" t="n">
        <f aca="false">IF($B231=" ",0,AP$25*AP$28)</f>
        <v>0.03105</v>
      </c>
      <c r="AQ231" s="162" t="n">
        <f aca="false">SUM(AO231:AP231)*SUM(0)/1000</f>
        <v>0</v>
      </c>
      <c r="AS231" s="155" t="n">
        <f aca="false">IF($B231=" ",0,AS$25)</f>
        <v>1</v>
      </c>
      <c r="AT231" s="156" t="n">
        <f aca="false">IF($B231=" ",0,AT$25)</f>
        <v>1</v>
      </c>
      <c r="AU231" s="156" t="n">
        <f aca="false">IF($B231=" ",0,AU$25)</f>
        <v>2.3</v>
      </c>
      <c r="AV231" s="157" t="n">
        <f aca="false">+AS231*SUM(J231:K231)/1000</f>
        <v>0</v>
      </c>
      <c r="AW231" s="157" t="n">
        <f aca="false">+AT231*SUM(L231:M231)/1000</f>
        <v>0</v>
      </c>
      <c r="AX231" s="157" t="n">
        <f aca="false">+AU231*SUM(N231:O231)/1000</f>
        <v>11537.9859375</v>
      </c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</row>
    <row r="232" customFormat="false" ht="12.75" hidden="true" customHeight="false" outlineLevel="1" collapsed="false">
      <c r="A232" s="164" t="n">
        <f aca="false">+IF(B232=" ",A231,B232)</f>
        <v>42339</v>
      </c>
      <c r="B232" s="148" t="n">
        <f aca="false">IF(B231=" "," ",IF(EDATE(B231,1)&gt;=EndDate," ",EDATE(B231,1)))</f>
        <v>42339</v>
      </c>
      <c r="C232" s="149" t="n">
        <f aca="false">IF($B232&lt;&gt;" ",C231+1,C231)</f>
        <v>182</v>
      </c>
      <c r="D232" s="150" t="n">
        <f aca="false">C232/12</f>
        <v>15.1666666666667</v>
      </c>
      <c r="F232" s="157" t="n">
        <f aca="false">+SUM($T232:$U232)</f>
        <v>14883.5779284771</v>
      </c>
      <c r="G232" s="152" t="n">
        <f aca="false">-SUM($AA232,$AG232,$AM232,$AQ232,$AV232:$AX232)</f>
        <v>-16819.586618381</v>
      </c>
      <c r="H232" s="152" t="n">
        <f aca="false">+SUM(F232:G232)</f>
        <v>-1936.00868990385</v>
      </c>
      <c r="I232" s="124"/>
      <c r="J232" s="153" t="n">
        <f aca="false">+IF($B232=" ",0,IF(AND($B232&gt;=J$26,$B232&lt;J$28),J$33,0))</f>
        <v>0</v>
      </c>
      <c r="K232" s="153" t="n">
        <f aca="false">+IF($B232=" ",0,IF(AND($B232&gt;=K$26,$B232&lt;K$28),K$33,0))</f>
        <v>0</v>
      </c>
      <c r="L232" s="153" t="n">
        <f aca="false">+IF($B232=" ",0,IF(AND($B232&gt;=L$26,$B232&lt;L$28),L$33,0))</f>
        <v>0</v>
      </c>
      <c r="M232" s="153" t="n">
        <f aca="false">+IF($B232=" ",0,IF(AND($B232&gt;=M$26,$B232&lt;M$28),M$33,0))</f>
        <v>0</v>
      </c>
      <c r="N232" s="153" t="n">
        <f aca="false">+IF($B232=" ",0,IF(AND($B232&gt;=N$26,$B232&lt;N$28),N$33,0))</f>
        <v>0</v>
      </c>
      <c r="O232" s="154" t="n">
        <f aca="false">+IF($B232=" ",0,IF(AND($B232&gt;=O$26,$B232&lt;O$28),O$33,0))</f>
        <v>5016515.625</v>
      </c>
      <c r="Q232" s="83" t="n">
        <f aca="false">IF($B232=" ",0,IF($B232&lt;=DATE(2003,12,31),3.55,2.9))</f>
        <v>2.9</v>
      </c>
      <c r="R232" s="155" t="n">
        <f aca="false">IF($B232=" ",0,R$25)</f>
        <v>-0.07</v>
      </c>
      <c r="S232" s="156" t="n">
        <f aca="false">IF($B232=" ",0,S$25)</f>
        <v>0.1</v>
      </c>
      <c r="T232" s="157" t="n">
        <f aca="false">+SUM($Q232,$S232)/1000*(SUM($J232*$J$37,$K232*$K$37,$L232*$L$37,$M232*$M$37,$N232*$N$37,$O232*$O$37))</f>
        <v>14883.5779284771</v>
      </c>
      <c r="U232" s="157" t="n">
        <f aca="false">+SUM($Q232,$R232)/1000*(SUM(0))</f>
        <v>0</v>
      </c>
      <c r="W232" s="158" t="n">
        <f aca="false">IF($B232=" ",0,1)*(IF($B232&gt;=W$25,1,0)*IF($B232&lt;=W$29,W$27,IF($B232&lt;=W$33,W$31,0))*($D232-$D231)*365/1000)</f>
        <v>486.66666666666</v>
      </c>
      <c r="X232" s="158" t="n">
        <f aca="false">IF($B232=" ",0,IF($B232&gt;=X$25,IF($B232&lt;=X$29,X$27,IF($B232&lt;=X$33,X$31,X$31*(1+X$38)^(IF(X$36&gt;$B232,-1,1)*(YEARFRAC($B232,X$36)))))*($D232-$D231)*365/1000,0))</f>
        <v>456.438895526563</v>
      </c>
      <c r="Y232" s="159" t="n">
        <f aca="false">IF($B232=" ",0,Y$25*(1+Y$30)^(IF(Y$28&gt;$B232,-1,1)*(YEARFRAC($B232,Y$28))))</f>
        <v>0.573731088918479</v>
      </c>
      <c r="Z232" s="159" t="n">
        <f aca="false">IF($B232=" ",0,Z$25*(1+Z$30)^(IF(Z$28&gt;$B232,-1,1)*(YEARFRAC($B232,Z$28))))</f>
        <v>0.547700302706639</v>
      </c>
      <c r="AA232" s="162" t="n">
        <f aca="false">+W232+X232+Z232*SUM($J232*$J$37,$L232*$L$37,$N232*$N$37)/1000</f>
        <v>943.105562193223</v>
      </c>
      <c r="AB232" s="161"/>
      <c r="AC232" s="158" t="n">
        <f aca="false">IF($B232=" ",0,1)*(IF($B232&gt;=AC$25,1,0)*IF($B232&lt;=AC$29,AC$27,IF($B232&lt;=AC$33,AC$31,0))*($D232-$D231)*365/1000)</f>
        <v>1591.66666666664</v>
      </c>
      <c r="AD232" s="158" t="n">
        <f aca="false">IF($B232=" ",0,IF($B232&gt;=AD$25,IF($B232&lt;=AD$29,AD$27,IF($B232&lt;=AD$33,AD$31,AD$31*(1+AD$38)^(IF(AD$36&gt;$B232,-1,1)*(YEARFRAC($B232,AD$36)))))*($D232-$D231)*365/1000,0))</f>
        <v>406.330418394081</v>
      </c>
      <c r="AE232" s="159" t="n">
        <f aca="false">IF($B232=" ",0,AE$25*(1+AE$30)^(IF(AE$28&gt;$B232,-1,1)*(YEARFRAC($B232,AE$28))))</f>
        <v>0.475333173761896</v>
      </c>
      <c r="AF232" s="159" t="n">
        <f aca="false">IF($B232=" ",0,AF$25*(1+AF$30)^(IF(AF$28&gt;$B232,-1,1)*(YEARFRAC($B232,AF$28))))</f>
        <v>0.170548464773662</v>
      </c>
      <c r="AG232" s="162" t="n">
        <f aca="false">+AC232+AD232+AF232*SUM($K232*$K$37,$M232*$M$37,$O232*$O$37)/1000</f>
        <v>2844.12087374104</v>
      </c>
      <c r="AI232" s="158" t="n">
        <f aca="false">IF($B232=" ",0,1)*IF($B232&gt;=AI$33,AI$25*($D232-$D231),0)</f>
        <v>485.186570908327</v>
      </c>
      <c r="AJ232" s="158" t="n">
        <f aca="false">IF($B232=" ",0,IF($B232&gt;=AJ$33,AJ$25*(1+AJ$30)^(IF(AJ$28&gt;$B232,-1,1)*(YEARFRAC($B232,AJ$28)))*($D232-$D231),0))</f>
        <v>564.002426243982</v>
      </c>
      <c r="AK232" s="159" t="n">
        <f aca="false">IF($B232=" ",0,AK$25*(1+AK$30)^(IF(AK$28&gt;$B232,-1,1)*(YEARFRAC($B232,AK$28))))</f>
        <v>0.0322335136619162</v>
      </c>
      <c r="AL232" s="159" t="n">
        <f aca="false">IF($B232=" ",0,AL$25*AL$28)</f>
        <v>0.0575</v>
      </c>
      <c r="AM232" s="162" t="n">
        <f aca="false">+AI232+AJ232+SUM(AK232:AL232)*SUM($J232*$J$37,$K232*$K$37,$L232*$L$37,$M232*$M$37,$N232*$N$37,$O232*$O$37)/1000</f>
        <v>1494.37424494671</v>
      </c>
      <c r="AO232" s="163" t="n">
        <f aca="false">IF($B232=" ",0,$AO$25)</f>
        <v>0.25</v>
      </c>
      <c r="AP232" s="159" t="n">
        <f aca="false">IF($B232=" ",0,AP$25*AP$28)</f>
        <v>0.03105</v>
      </c>
      <c r="AQ232" s="162" t="n">
        <f aca="false">SUM(AO232:AP232)*SUM(0)/1000</f>
        <v>0</v>
      </c>
      <c r="AS232" s="155" t="n">
        <f aca="false">IF($B232=" ",0,AS$25)</f>
        <v>1</v>
      </c>
      <c r="AT232" s="156" t="n">
        <f aca="false">IF($B232=" ",0,AT$25)</f>
        <v>1</v>
      </c>
      <c r="AU232" s="156" t="n">
        <f aca="false">IF($B232=" ",0,AU$25)</f>
        <v>2.3</v>
      </c>
      <c r="AV232" s="157" t="n">
        <f aca="false">+AS232*SUM(J232:K232)/1000</f>
        <v>0</v>
      </c>
      <c r="AW232" s="157" t="n">
        <f aca="false">+AT232*SUM(L232:M232)/1000</f>
        <v>0</v>
      </c>
      <c r="AX232" s="157" t="n">
        <f aca="false">+AU232*SUM(N232:O232)/1000</f>
        <v>11537.9859375</v>
      </c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</row>
    <row r="233" customFormat="false" ht="12.75" hidden="true" customHeight="false" outlineLevel="1" collapsed="false">
      <c r="A233" s="164" t="n">
        <f aca="false">+IF(B233=" ",A232,B233)</f>
        <v>42370</v>
      </c>
      <c r="B233" s="148" t="n">
        <f aca="false">IF(B232=" "," ",IF(EDATE(B232,1)&gt;=EndDate," ",EDATE(B232,1)))</f>
        <v>42370</v>
      </c>
      <c r="C233" s="149" t="n">
        <f aca="false">IF($B233&lt;&gt;" ",C232+1,C232)</f>
        <v>183</v>
      </c>
      <c r="D233" s="150" t="n">
        <f aca="false">C233/12</f>
        <v>15.25</v>
      </c>
      <c r="F233" s="157" t="n">
        <f aca="false">+SUM($T233:$U233)</f>
        <v>14883.5779284771</v>
      </c>
      <c r="G233" s="152" t="n">
        <f aca="false">-SUM($AA233,$AG233,$AM233,$AQ233,$AV233:$AX233)</f>
        <v>-16822.6919374674</v>
      </c>
      <c r="H233" s="152" t="n">
        <f aca="false">+SUM(F233:G233)</f>
        <v>-1939.11400899033</v>
      </c>
      <c r="I233" s="124"/>
      <c r="J233" s="153" t="n">
        <f aca="false">+IF($B233=" ",0,IF(AND($B233&gt;=J$26,$B233&lt;J$28),J$33,0))</f>
        <v>0</v>
      </c>
      <c r="K233" s="153" t="n">
        <f aca="false">+IF($B233=" ",0,IF(AND($B233&gt;=K$26,$B233&lt;K$28),K$33,0))</f>
        <v>0</v>
      </c>
      <c r="L233" s="153" t="n">
        <f aca="false">+IF($B233=" ",0,IF(AND($B233&gt;=L$26,$B233&lt;L$28),L$33,0))</f>
        <v>0</v>
      </c>
      <c r="M233" s="153" t="n">
        <f aca="false">+IF($B233=" ",0,IF(AND($B233&gt;=M$26,$B233&lt;M$28),M$33,0))</f>
        <v>0</v>
      </c>
      <c r="N233" s="153" t="n">
        <f aca="false">+IF($B233=" ",0,IF(AND($B233&gt;=N$26,$B233&lt;N$28),N$33,0))</f>
        <v>0</v>
      </c>
      <c r="O233" s="154" t="n">
        <f aca="false">+IF($B233=" ",0,IF(AND($B233&gt;=O$26,$B233&lt;O$28),O$33,0))</f>
        <v>5016515.625</v>
      </c>
      <c r="Q233" s="83" t="n">
        <f aca="false">IF($B233=" ",0,IF($B233&lt;=DATE(2003,12,31),3.55,2.9))</f>
        <v>2.9</v>
      </c>
      <c r="R233" s="155" t="n">
        <f aca="false">IF($B233=" ",0,R$25)</f>
        <v>-0.07</v>
      </c>
      <c r="S233" s="156" t="n">
        <f aca="false">IF($B233=" ",0,S$25)</f>
        <v>0.1</v>
      </c>
      <c r="T233" s="157" t="n">
        <f aca="false">+SUM($Q233,$S233)/1000*(SUM($J233*$J$37,$K233*$K$37,$L233*$L$37,$M233*$M$37,$N233*$N$37,$O233*$O$37))</f>
        <v>14883.5779284771</v>
      </c>
      <c r="U233" s="157" t="n">
        <f aca="false">+SUM($Q233,$R233)/1000*(SUM(0))</f>
        <v>0</v>
      </c>
      <c r="W233" s="158" t="n">
        <f aca="false">IF($B233=" ",0,1)*(IF($B233&gt;=W$25,1,0)*IF($B233&lt;=W$29,W$27,IF($B233&lt;=W$33,W$31,0))*($D233-$D232)*365/1000)</f>
        <v>486.66666666667</v>
      </c>
      <c r="X233" s="158" t="n">
        <f aca="false">IF($B233=" ",0,IF($B233&gt;=X$25,IF($B233&lt;=X$29,X$27,IF($B233&lt;=X$33,X$31,X$31*(1+X$38)^(IF(X$36&gt;$B233,-1,1)*(YEARFRAC($B233,X$36)))))*($D233-$D232)*365/1000,0))</f>
        <v>457.068046763915</v>
      </c>
      <c r="Y233" s="159" t="n">
        <f aca="false">IF($B233=" ",0,Y$25*(1+Y$30)^(IF(Y$28&gt;$B233,-1,1)*(YEARFRAC($B233,Y$28))))</f>
        <v>0.57452191465229</v>
      </c>
      <c r="Z233" s="159" t="n">
        <f aca="false">IF($B233=" ",0,Z$25*(1+Z$30)^(IF(Z$28&gt;$B233,-1,1)*(YEARFRAC($B233,Z$28))))</f>
        <v>0.548455247840626</v>
      </c>
      <c r="AA233" s="162" t="n">
        <f aca="false">+W233+X233+Z233*SUM($J233*$J$37,$L233*$L$37,$N233*$N$37)/1000</f>
        <v>943.734713430585</v>
      </c>
      <c r="AB233" s="161"/>
      <c r="AC233" s="158" t="n">
        <f aca="false">IF($B233=" ",0,1)*(IF($B233&gt;=AC$25,1,0)*IF($B233&lt;=AC$29,AC$27,IF($B233&lt;=AC$33,AC$31,0))*($D233-$D232)*365/1000)</f>
        <v>1591.66666666668</v>
      </c>
      <c r="AD233" s="158" t="n">
        <f aca="false">IF($B233=" ",0,IF($B233&gt;=AD$25,IF($B233&lt;=AD$29,AD$27,IF($B233&lt;=AD$33,AD$31,AD$31*(1+AD$38)^(IF(AD$36&gt;$B233,-1,1)*(YEARFRAC($B233,AD$36)))))*($D233-$D232)*365/1000,0))</f>
        <v>406.890500560635</v>
      </c>
      <c r="AE233" s="159" t="n">
        <f aca="false">IF($B233=" ",0,AE$25*(1+AE$30)^(IF(AE$28&gt;$B233,-1,1)*(YEARFRAC($B233,AE$28))))</f>
        <v>0.475988368701138</v>
      </c>
      <c r="AF233" s="159" t="n">
        <f aca="false">IF($B233=" ",0,AF$25*(1+AF$30)^(IF(AF$28&gt;$B233,-1,1)*(YEARFRAC($B233,AF$28))))</f>
        <v>0.170783547231995</v>
      </c>
      <c r="AG233" s="162" t="n">
        <f aca="false">+AC233+AD233+AF233*SUM($K233*$K$37,$M233*$M$37,$O233*$O$37)/1000</f>
        <v>2845.84724527036</v>
      </c>
      <c r="AI233" s="158" t="n">
        <f aca="false">IF($B233=" ",0,1)*IF($B233&gt;=AI$33,AI$25*($D233-$D232),0)</f>
        <v>485.186570908337</v>
      </c>
      <c r="AJ233" s="158" t="n">
        <f aca="false">IF($B233=" ",0,IF($B233&gt;=AJ$33,AJ$25*(1+AJ$30)^(IF(AJ$28&gt;$B233,-1,1)*(YEARFRAC($B233,AJ$28)))*($D233-$D232),0))</f>
        <v>564.586589509257</v>
      </c>
      <c r="AK233" s="159" t="n">
        <f aca="false">IF($B233=" ",0,AK$25*(1+AK$30)^(IF(AK$28&gt;$B233,-1,1)*(YEARFRAC($B233,AK$28))))</f>
        <v>0.0322668993952312</v>
      </c>
      <c r="AL233" s="159" t="n">
        <f aca="false">IF($B233=" ",0,AL$25*AL$28)</f>
        <v>0.0575</v>
      </c>
      <c r="AM233" s="162" t="n">
        <f aca="false">+AI233+AJ233+SUM(AK233:AL233)*SUM($J233*$J$37,$K233*$K$37,$L233*$L$37,$M233*$M$37,$N233*$N$37,$O233*$O$37)/1000</f>
        <v>1495.12404126649</v>
      </c>
      <c r="AO233" s="163" t="n">
        <f aca="false">IF($B233=" ",0,$AO$25)</f>
        <v>0.25</v>
      </c>
      <c r="AP233" s="159" t="n">
        <f aca="false">IF($B233=" ",0,AP$25*AP$28)</f>
        <v>0.03105</v>
      </c>
      <c r="AQ233" s="162" t="n">
        <f aca="false">SUM(AO233:AP233)*SUM(0)/1000</f>
        <v>0</v>
      </c>
      <c r="AS233" s="155" t="n">
        <f aca="false">IF($B233=" ",0,AS$25)</f>
        <v>1</v>
      </c>
      <c r="AT233" s="156" t="n">
        <f aca="false">IF($B233=" ",0,AT$25)</f>
        <v>1</v>
      </c>
      <c r="AU233" s="156" t="n">
        <f aca="false">IF($B233=" ",0,AU$25)</f>
        <v>2.3</v>
      </c>
      <c r="AV233" s="157" t="n">
        <f aca="false">+AS233*SUM(J233:K233)/1000</f>
        <v>0</v>
      </c>
      <c r="AW233" s="157" t="n">
        <f aca="false">+AT233*SUM(L233:M233)/1000</f>
        <v>0</v>
      </c>
      <c r="AX233" s="157" t="n">
        <f aca="false">+AU233*SUM(N233:O233)/1000</f>
        <v>11537.9859375</v>
      </c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</row>
    <row r="234" customFormat="false" ht="12.75" hidden="true" customHeight="false" outlineLevel="1" collapsed="false">
      <c r="A234" s="164" t="n">
        <f aca="false">+IF(B234=" ",A233,B234)</f>
        <v>42401</v>
      </c>
      <c r="B234" s="148" t="n">
        <f aca="false">IF(B233=" "," ",IF(EDATE(B233,1)&gt;=EndDate," ",EDATE(B233,1)))</f>
        <v>42401</v>
      </c>
      <c r="C234" s="149" t="n">
        <f aca="false">IF($B234&lt;&gt;" ",C233+1,C233)</f>
        <v>184</v>
      </c>
      <c r="D234" s="150" t="n">
        <f aca="false">C234/12</f>
        <v>15.3333333333333</v>
      </c>
      <c r="F234" s="157" t="n">
        <f aca="false">+SUM($T234:$U234)</f>
        <v>14883.5779284771</v>
      </c>
      <c r="G234" s="152" t="n">
        <f aca="false">-SUM($AA234,$AG234,$AM234,$AQ234,$AV234:$AX234)</f>
        <v>-16825.8012799836</v>
      </c>
      <c r="H234" s="152" t="n">
        <f aca="false">+SUM(F234:G234)</f>
        <v>-1942.2233515065</v>
      </c>
      <c r="I234" s="124"/>
      <c r="J234" s="153" t="n">
        <f aca="false">+IF($B234=" ",0,IF(AND($B234&gt;=J$26,$B234&lt;J$28),J$33,0))</f>
        <v>0</v>
      </c>
      <c r="K234" s="153" t="n">
        <f aca="false">+IF($B234=" ",0,IF(AND($B234&gt;=K$26,$B234&lt;K$28),K$33,0))</f>
        <v>0</v>
      </c>
      <c r="L234" s="153" t="n">
        <f aca="false">+IF($B234=" ",0,IF(AND($B234&gt;=L$26,$B234&lt;L$28),L$33,0))</f>
        <v>0</v>
      </c>
      <c r="M234" s="153" t="n">
        <f aca="false">+IF($B234=" ",0,IF(AND($B234&gt;=M$26,$B234&lt;M$28),M$33,0))</f>
        <v>0</v>
      </c>
      <c r="N234" s="153" t="n">
        <f aca="false">+IF($B234=" ",0,IF(AND($B234&gt;=N$26,$B234&lt;N$28),N$33,0))</f>
        <v>0</v>
      </c>
      <c r="O234" s="154" t="n">
        <f aca="false">+IF($B234=" ",0,IF(AND($B234&gt;=O$26,$B234&lt;O$28),O$33,0))</f>
        <v>5016515.625</v>
      </c>
      <c r="Q234" s="83" t="n">
        <f aca="false">IF($B234=" ",0,IF($B234&lt;=DATE(2003,12,31),3.55,2.9))</f>
        <v>2.9</v>
      </c>
      <c r="R234" s="155" t="n">
        <f aca="false">IF($B234=" ",0,R$25)</f>
        <v>-0.07</v>
      </c>
      <c r="S234" s="156" t="n">
        <f aca="false">IF($B234=" ",0,S$25)</f>
        <v>0.1</v>
      </c>
      <c r="T234" s="157" t="n">
        <f aca="false">+SUM($Q234,$S234)/1000*(SUM($J234*$J$37,$K234*$K$37,$L234*$L$37,$M234*$M$37,$N234*$N$37,$O234*$O$37))</f>
        <v>14883.5779284771</v>
      </c>
      <c r="U234" s="157" t="n">
        <f aca="false">+SUM($Q234,$R234)/1000*(SUM(0))</f>
        <v>0</v>
      </c>
      <c r="W234" s="158" t="n">
        <f aca="false">IF($B234=" ",0,1)*(IF($B234&gt;=W$25,1,0)*IF($B234&lt;=W$29,W$27,IF($B234&lt;=W$33,W$31,0))*($D234-$D233)*365/1000)</f>
        <v>486.66666666667</v>
      </c>
      <c r="X234" s="158" t="n">
        <f aca="false">IF($B234=" ",0,IF($B234&gt;=X$25,IF($B234&lt;=X$29,X$27,IF($B234&lt;=X$33,X$31,X$31*(1+X$38)^(IF(X$36&gt;$B234,-1,1)*(YEARFRAC($B234,X$36)))))*($D234-$D233)*365/1000,0))</f>
        <v>457.698065217621</v>
      </c>
      <c r="Y234" s="159" t="n">
        <f aca="false">IF($B234=" ",0,Y$25*(1+Y$30)^(IF(Y$28&gt;$B234,-1,1)*(YEARFRAC($B234,Y$28))))</f>
        <v>0.575313830453126</v>
      </c>
      <c r="Z234" s="159" t="n">
        <f aca="false">IF($B234=" ",0,Z$25*(1+Z$30)^(IF(Z$28&gt;$B234,-1,1)*(YEARFRAC($B234,Z$28))))</f>
        <v>0.549211233584146</v>
      </c>
      <c r="AA234" s="162" t="n">
        <f aca="false">+W234+X234+Z234*SUM($J234*$J$37,$L234*$L$37,$N234*$N$37)/1000</f>
        <v>944.364731884292</v>
      </c>
      <c r="AB234" s="161"/>
      <c r="AC234" s="158" t="n">
        <f aca="false">IF($B234=" ",0,1)*(IF($B234&gt;=AC$25,1,0)*IF($B234&lt;=AC$29,AC$27,IF($B234&lt;=AC$33,AC$31,0))*($D234-$D233)*365/1000)</f>
        <v>1591.66666666668</v>
      </c>
      <c r="AD234" s="158" t="n">
        <f aca="false">IF($B234=" ",0,IF($B234&gt;=AD$25,IF($B234&lt;=AD$29,AD$27,IF($B234&lt;=AD$33,AD$31,AD$31*(1+AD$38)^(IF(AD$36&gt;$B234,-1,1)*(YEARFRAC($B234,AD$36)))))*($D234-$D233)*365/1000,0))</f>
        <v>407.451354739364</v>
      </c>
      <c r="AE234" s="159" t="n">
        <f aca="false">IF($B234=" ",0,AE$25*(1+AE$30)^(IF(AE$28&gt;$B234,-1,1)*(YEARFRAC($B234,AE$28))))</f>
        <v>0.476644466755147</v>
      </c>
      <c r="AF234" s="159" t="n">
        <f aca="false">IF($B234=" ",0,AF$25*(1+AF$30)^(IF(AF$28&gt;$B234,-1,1)*(YEARFRAC($B234,AF$28))))</f>
        <v>0.171018953725858</v>
      </c>
      <c r="AG234" s="162" t="n">
        <f aca="false">+AC234+AD234+AF234*SUM($K234*$K$37,$M234*$M$37,$O234*$O$37)/1000</f>
        <v>2847.57599641452</v>
      </c>
      <c r="AI234" s="158" t="n">
        <f aca="false">IF($B234=" ",0,1)*IF($B234&gt;=AI$33,AI$25*($D234-$D233),0)</f>
        <v>485.186570908337</v>
      </c>
      <c r="AJ234" s="158" t="n">
        <f aca="false">IF($B234=" ",0,IF($B234&gt;=AJ$33,AJ$25*(1+AJ$30)^(IF(AJ$28&gt;$B234,-1,1)*(YEARFRAC($B234,AJ$28)))*($D234-$D233),0))</f>
        <v>565.171357819293</v>
      </c>
      <c r="AK234" s="159" t="n">
        <f aca="false">IF($B234=" ",0,AK$25*(1+AK$30)^(IF(AK$28&gt;$B234,-1,1)*(YEARFRAC($B234,AK$28))))</f>
        <v>0.0323003197076865</v>
      </c>
      <c r="AL234" s="159" t="n">
        <f aca="false">IF($B234=" ",0,AL$25*AL$28)</f>
        <v>0.0575</v>
      </c>
      <c r="AM234" s="162" t="n">
        <f aca="false">+AI234+AJ234+SUM(AK234:AL234)*SUM($J234*$J$37,$K234*$K$37,$L234*$L$37,$M234*$M$37,$N234*$N$37,$O234*$O$37)/1000</f>
        <v>1495.8746141848</v>
      </c>
      <c r="AO234" s="163" t="n">
        <f aca="false">IF($B234=" ",0,$AO$25)</f>
        <v>0.25</v>
      </c>
      <c r="AP234" s="159" t="n">
        <f aca="false">IF($B234=" ",0,AP$25*AP$28)</f>
        <v>0.03105</v>
      </c>
      <c r="AQ234" s="162" t="n">
        <f aca="false">SUM(AO234:AP234)*SUM(0)/1000</f>
        <v>0</v>
      </c>
      <c r="AS234" s="155" t="n">
        <f aca="false">IF($B234=" ",0,AS$25)</f>
        <v>1</v>
      </c>
      <c r="AT234" s="156" t="n">
        <f aca="false">IF($B234=" ",0,AT$25)</f>
        <v>1</v>
      </c>
      <c r="AU234" s="156" t="n">
        <f aca="false">IF($B234=" ",0,AU$25)</f>
        <v>2.3</v>
      </c>
      <c r="AV234" s="157" t="n">
        <f aca="false">+AS234*SUM(J234:K234)/1000</f>
        <v>0</v>
      </c>
      <c r="AW234" s="157" t="n">
        <f aca="false">+AT234*SUM(L234:M234)/1000</f>
        <v>0</v>
      </c>
      <c r="AX234" s="157" t="n">
        <f aca="false">+AU234*SUM(N234:O234)/1000</f>
        <v>11537.9859375</v>
      </c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</row>
    <row r="235" customFormat="false" ht="12.75" hidden="true" customHeight="false" outlineLevel="1" collapsed="false">
      <c r="A235" s="164" t="n">
        <f aca="false">+IF(B235=" ",A234,B235)</f>
        <v>42430</v>
      </c>
      <c r="B235" s="148" t="n">
        <f aca="false">IF(B234=" "," ",IF(EDATE(B234,1)&gt;=EndDate," ",EDATE(B234,1)))</f>
        <v>42430</v>
      </c>
      <c r="C235" s="149" t="n">
        <f aca="false">IF($B235&lt;&gt;" ",C234+1,C234)</f>
        <v>185</v>
      </c>
      <c r="D235" s="150" t="n">
        <f aca="false">C235/12</f>
        <v>15.4166666666667</v>
      </c>
      <c r="F235" s="157" t="n">
        <f aca="false">+SUM($T235:$U235)</f>
        <v>14883.5779284771</v>
      </c>
      <c r="G235" s="152" t="n">
        <f aca="false">-SUM($AA235,$AG235,$AM235,$AQ235,$AV235:$AX235)</f>
        <v>-16828.9146512093</v>
      </c>
      <c r="H235" s="152" t="n">
        <f aca="false">+SUM(F235:G235)</f>
        <v>-1945.33672273214</v>
      </c>
      <c r="I235" s="124"/>
      <c r="J235" s="153" t="n">
        <f aca="false">+IF($B235=" ",0,IF(AND($B235&gt;=J$26,$B235&lt;J$28),J$33,0))</f>
        <v>0</v>
      </c>
      <c r="K235" s="153" t="n">
        <f aca="false">+IF($B235=" ",0,IF(AND($B235&gt;=K$26,$B235&lt;K$28),K$33,0))</f>
        <v>0</v>
      </c>
      <c r="L235" s="153" t="n">
        <f aca="false">+IF($B235=" ",0,IF(AND($B235&gt;=L$26,$B235&lt;L$28),L$33,0))</f>
        <v>0</v>
      </c>
      <c r="M235" s="153" t="n">
        <f aca="false">+IF($B235=" ",0,IF(AND($B235&gt;=M$26,$B235&lt;M$28),M$33,0))</f>
        <v>0</v>
      </c>
      <c r="N235" s="153" t="n">
        <f aca="false">+IF($B235=" ",0,IF(AND($B235&gt;=N$26,$B235&lt;N$28),N$33,0))</f>
        <v>0</v>
      </c>
      <c r="O235" s="154" t="n">
        <f aca="false">+IF($B235=" ",0,IF(AND($B235&gt;=O$26,$B235&lt;O$28),O$33,0))</f>
        <v>5016515.625</v>
      </c>
      <c r="Q235" s="83" t="n">
        <f aca="false">IF($B235=" ",0,IF($B235&lt;=DATE(2003,12,31),3.55,2.9))</f>
        <v>2.9</v>
      </c>
      <c r="R235" s="155" t="n">
        <f aca="false">IF($B235=" ",0,R$25)</f>
        <v>-0.07</v>
      </c>
      <c r="S235" s="156" t="n">
        <f aca="false">IF($B235=" ",0,S$25)</f>
        <v>0.1</v>
      </c>
      <c r="T235" s="157" t="n">
        <f aca="false">+SUM($Q235,$S235)/1000*(SUM($J235*$J$37,$K235*$K$37,$L235*$L$37,$M235*$M$37,$N235*$N$37,$O235*$O$37))</f>
        <v>14883.5779284771</v>
      </c>
      <c r="U235" s="157" t="n">
        <f aca="false">+SUM($Q235,$R235)/1000*(SUM(0))</f>
        <v>0</v>
      </c>
      <c r="W235" s="158" t="n">
        <f aca="false">IF($B235=" ",0,1)*(IF($B235&gt;=W$25,1,0)*IF($B235&lt;=W$29,W$27,IF($B235&lt;=W$33,W$31,0))*($D235-$D234)*365/1000)</f>
        <v>486.66666666666</v>
      </c>
      <c r="X235" s="158" t="n">
        <f aca="false">IF($B235=" ",0,IF($B235&gt;=X$25,IF($B235&lt;=X$29,X$27,IF($B235&lt;=X$33,X$31,X$31*(1+X$38)^(IF(X$36&gt;$B235,-1,1)*(YEARFRAC($B235,X$36)))))*($D235-$D234)*365/1000,0))</f>
        <v>458.328952083045</v>
      </c>
      <c r="Y235" s="159" t="n">
        <f aca="false">IF($B235=" ",0,Y$25*(1+Y$30)^(IF(Y$28&gt;$B235,-1,1)*(YEARFRAC($B235,Y$28))))</f>
        <v>0.576106837823526</v>
      </c>
      <c r="Z235" s="159" t="n">
        <f aca="false">IF($B235=" ",0,Z$25*(1+Z$30)^(IF(Z$28&gt;$B235,-1,1)*(YEARFRAC($B235,Z$28))))</f>
        <v>0.549968261371563</v>
      </c>
      <c r="AA235" s="162" t="n">
        <f aca="false">+W235+X235+Z235*SUM($J235*$J$37,$L235*$L$37,$N235*$N$37)/1000</f>
        <v>944.995618749705</v>
      </c>
      <c r="AB235" s="161"/>
      <c r="AC235" s="158" t="n">
        <f aca="false">IF($B235=" ",0,1)*(IF($B235&gt;=AC$25,1,0)*IF($B235&lt;=AC$29,AC$27,IF($B235&lt;=AC$33,AC$31,0))*($D235-$D234)*365/1000)</f>
        <v>1591.66666666664</v>
      </c>
      <c r="AD235" s="158" t="n">
        <f aca="false">IF($B235=" ",0,IF($B235&gt;=AD$25,IF($B235&lt;=AD$29,AD$27,IF($B235&lt;=AD$33,AD$31,AD$31*(1+AD$38)^(IF(AD$36&gt;$B235,-1,1)*(YEARFRAC($B235,AD$36)))))*($D235-$D234)*365/1000,0))</f>
        <v>408.012981994402</v>
      </c>
      <c r="AE235" s="159" t="n">
        <f aca="false">IF($B235=" ",0,AE$25*(1+AE$30)^(IF(AE$28&gt;$B235,-1,1)*(YEARFRAC($B235,AE$28))))</f>
        <v>0.477301469168767</v>
      </c>
      <c r="AF235" s="159" t="n">
        <f aca="false">IF($B235=" ",0,AF$25*(1+AF$30)^(IF(AF$28&gt;$B235,-1,1)*(YEARFRAC($B235,AF$28))))</f>
        <v>0.171254684701899</v>
      </c>
      <c r="AG235" s="162" t="n">
        <f aca="false">+AC235+AD235+AF235*SUM($K235*$K$37,$M235*$M$37,$O235*$O$37)/1000</f>
        <v>2849.30713045355</v>
      </c>
      <c r="AI235" s="158" t="n">
        <f aca="false">IF($B235=" ",0,1)*IF($B235&gt;=AI$33,AI$25*($D235-$D234),0)</f>
        <v>485.186570908327</v>
      </c>
      <c r="AJ235" s="158" t="n">
        <f aca="false">IF($B235=" ",0,IF($B235&gt;=AJ$33,AJ$25*(1+AJ$30)^(IF(AJ$28&gt;$B235,-1,1)*(YEARFRAC($B235,AJ$28)))*($D235-$D234),0))</f>
        <v>565.756731800764</v>
      </c>
      <c r="AK235" s="159" t="n">
        <f aca="false">IF($B235=" ",0,AK$25*(1+AK$30)^(IF(AK$28&gt;$B235,-1,1)*(YEARFRAC($B235,AK$28))))</f>
        <v>0.0323337746350972</v>
      </c>
      <c r="AL235" s="159" t="n">
        <f aca="false">IF($B235=" ",0,AL$25*AL$28)</f>
        <v>0.0575</v>
      </c>
      <c r="AM235" s="162" t="n">
        <f aca="false">+AI235+AJ235+SUM(AK235:AL235)*SUM($J235*$J$37,$K235*$K$37,$L235*$L$37,$M235*$M$37,$N235*$N$37,$O235*$O$37)/1000</f>
        <v>1496.625964506</v>
      </c>
      <c r="AO235" s="163" t="n">
        <f aca="false">IF($B235=" ",0,$AO$25)</f>
        <v>0.25</v>
      </c>
      <c r="AP235" s="159" t="n">
        <f aca="false">IF($B235=" ",0,AP$25*AP$28)</f>
        <v>0.03105</v>
      </c>
      <c r="AQ235" s="162" t="n">
        <f aca="false">SUM(AO235:AP235)*SUM(0)/1000</f>
        <v>0</v>
      </c>
      <c r="AS235" s="155" t="n">
        <f aca="false">IF($B235=" ",0,AS$25)</f>
        <v>1</v>
      </c>
      <c r="AT235" s="156" t="n">
        <f aca="false">IF($B235=" ",0,AT$25)</f>
        <v>1</v>
      </c>
      <c r="AU235" s="156" t="n">
        <f aca="false">IF($B235=" ",0,AU$25)</f>
        <v>2.3</v>
      </c>
      <c r="AV235" s="157" t="n">
        <f aca="false">+AS235*SUM(J235:K235)/1000</f>
        <v>0</v>
      </c>
      <c r="AW235" s="157" t="n">
        <f aca="false">+AT235*SUM(L235:M235)/1000</f>
        <v>0</v>
      </c>
      <c r="AX235" s="157" t="n">
        <f aca="false">+AU235*SUM(N235:O235)/1000</f>
        <v>11537.9859375</v>
      </c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</row>
    <row r="236" customFormat="false" ht="12.75" hidden="true" customHeight="false" outlineLevel="1" collapsed="false">
      <c r="A236" s="164" t="n">
        <f aca="false">+IF(B236=" ",A235,B236)</f>
        <v>42461</v>
      </c>
      <c r="B236" s="148" t="n">
        <f aca="false">IF(B235=" "," ",IF(EDATE(B235,1)&gt;=EndDate," ",EDATE(B235,1)))</f>
        <v>42461</v>
      </c>
      <c r="C236" s="149" t="n">
        <f aca="false">IF($B236&lt;&gt;" ",C235+1,C235)</f>
        <v>186</v>
      </c>
      <c r="D236" s="150" t="n">
        <f aca="false">C236/12</f>
        <v>15.5</v>
      </c>
      <c r="F236" s="157" t="n">
        <f aca="false">+SUM($T236:$U236)</f>
        <v>14883.5779284771</v>
      </c>
      <c r="G236" s="152" t="n">
        <f aca="false">-SUM($AA236,$AG236,$AM236,$AQ236,$AV236:$AX236)</f>
        <v>-16832.0320564314</v>
      </c>
      <c r="H236" s="152" t="n">
        <f aca="false">+SUM(F236:G236)</f>
        <v>-1948.45412795425</v>
      </c>
      <c r="I236" s="124"/>
      <c r="J236" s="153" t="n">
        <f aca="false">+IF($B236=" ",0,IF(AND($B236&gt;=J$26,$B236&lt;J$28),J$33,0))</f>
        <v>0</v>
      </c>
      <c r="K236" s="153" t="n">
        <f aca="false">+IF($B236=" ",0,IF(AND($B236&gt;=K$26,$B236&lt;K$28),K$33,0))</f>
        <v>0</v>
      </c>
      <c r="L236" s="153" t="n">
        <f aca="false">+IF($B236=" ",0,IF(AND($B236&gt;=L$26,$B236&lt;L$28),L$33,0))</f>
        <v>0</v>
      </c>
      <c r="M236" s="153" t="n">
        <f aca="false">+IF($B236=" ",0,IF(AND($B236&gt;=M$26,$B236&lt;M$28),M$33,0))</f>
        <v>0</v>
      </c>
      <c r="N236" s="153" t="n">
        <f aca="false">+IF($B236=" ",0,IF(AND($B236&gt;=N$26,$B236&lt;N$28),N$33,0))</f>
        <v>0</v>
      </c>
      <c r="O236" s="154" t="n">
        <f aca="false">+IF($B236=" ",0,IF(AND($B236&gt;=O$26,$B236&lt;O$28),O$33,0))</f>
        <v>5016515.625</v>
      </c>
      <c r="Q236" s="83" t="n">
        <f aca="false">IF($B236=" ",0,IF($B236&lt;=DATE(2003,12,31),3.55,2.9))</f>
        <v>2.9</v>
      </c>
      <c r="R236" s="155" t="n">
        <f aca="false">IF($B236=" ",0,R$25)</f>
        <v>-0.07</v>
      </c>
      <c r="S236" s="156" t="n">
        <f aca="false">IF($B236=" ",0,S$25)</f>
        <v>0.1</v>
      </c>
      <c r="T236" s="157" t="n">
        <f aca="false">+SUM($Q236,$S236)/1000*(SUM($J236*$J$37,$K236*$K$37,$L236*$L$37,$M236*$M$37,$N236*$N$37,$O236*$O$37))</f>
        <v>14883.5779284771</v>
      </c>
      <c r="U236" s="157" t="n">
        <f aca="false">+SUM($Q236,$R236)/1000*(SUM(0))</f>
        <v>0</v>
      </c>
      <c r="W236" s="158" t="n">
        <f aca="false">IF($B236=" ",0,1)*(IF($B236&gt;=W$25,1,0)*IF($B236&lt;=W$29,W$27,IF($B236&lt;=W$33,W$31,0))*($D236-$D235)*365/1000)</f>
        <v>486.66666666667</v>
      </c>
      <c r="X236" s="158" t="n">
        <f aca="false">IF($B236=" ",0,IF($B236&gt;=X$25,IF($B236&lt;=X$29,X$27,IF($B236&lt;=X$33,X$31,X$31*(1+X$38)^(IF(X$36&gt;$B236,-1,1)*(YEARFRAC($B236,X$36)))))*($D236-$D235)*365/1000,0))</f>
        <v>458.960708557227</v>
      </c>
      <c r="Y236" s="159" t="n">
        <f aca="false">IF($B236=" ",0,Y$25*(1+Y$30)^(IF(Y$28&gt;$B236,-1,1)*(YEARFRAC($B236,Y$28))))</f>
        <v>0.576900938268098</v>
      </c>
      <c r="Z236" s="159" t="n">
        <f aca="false">IF($B236=" ",0,Z$25*(1+Z$30)^(IF(Z$28&gt;$B236,-1,1)*(YEARFRAC($B236,Z$28))))</f>
        <v>0.550726332639222</v>
      </c>
      <c r="AA236" s="162" t="n">
        <f aca="false">+W236+X236+Z236*SUM($J236*$J$37,$L236*$L$37,$N236*$N$37)/1000</f>
        <v>945.627375223897</v>
      </c>
      <c r="AB236" s="161"/>
      <c r="AC236" s="158" t="n">
        <f aca="false">IF($B236=" ",0,1)*(IF($B236&gt;=AC$25,1,0)*IF($B236&lt;=AC$29,AC$27,IF($B236&lt;=AC$33,AC$31,0))*($D236-$D235)*365/1000)</f>
        <v>1591.66666666668</v>
      </c>
      <c r="AD236" s="158" t="n">
        <f aca="false">IF($B236=" ",0,IF($B236&gt;=AD$25,IF($B236&lt;=AD$29,AD$27,IF($B236&lt;=AD$33,AD$31,AD$31*(1+AD$38)^(IF(AD$36&gt;$B236,-1,1)*(YEARFRAC($B236,AD$36)))))*($D236-$D235)*365/1000,0))</f>
        <v>408.575383391376</v>
      </c>
      <c r="AE236" s="159" t="n">
        <f aca="false">IF($B236=" ",0,AE$25*(1+AE$30)^(IF(AE$28&gt;$B236,-1,1)*(YEARFRAC($B236,AE$28))))</f>
        <v>0.477959377188561</v>
      </c>
      <c r="AF236" s="159" t="n">
        <f aca="false">IF($B236=" ",0,AF$25*(1+AF$30)^(IF(AF$28&gt;$B236,-1,1)*(YEARFRAC($B236,AF$28))))</f>
        <v>0.171490740607382</v>
      </c>
      <c r="AG236" s="162" t="n">
        <f aca="false">+AC236+AD236+AF236*SUM($K236*$K$37,$M236*$M$37,$O236*$O$37)/1000</f>
        <v>2851.04065067213</v>
      </c>
      <c r="AI236" s="158" t="n">
        <f aca="false">IF($B236=" ",0,1)*IF($B236&gt;=AI$33,AI$25*($D236-$D235),0)</f>
        <v>485.186570908337</v>
      </c>
      <c r="AJ236" s="158" t="n">
        <f aca="false">IF($B236=" ",0,IF($B236&gt;=AJ$33,AJ$25*(1+AJ$30)^(IF(AJ$28&gt;$B236,-1,1)*(YEARFRAC($B236,AJ$28)))*($D236-$D235),0))</f>
        <v>566.342712081027</v>
      </c>
      <c r="AK236" s="159" t="n">
        <f aca="false">IF($B236=" ",0,AK$25*(1+AK$30)^(IF(AK$28&gt;$B236,-1,1)*(YEARFRAC($B236,AK$28))))</f>
        <v>0.0323672642133157</v>
      </c>
      <c r="AL236" s="159" t="n">
        <f aca="false">IF($B236=" ",0,AL$25*AL$28)</f>
        <v>0.0575</v>
      </c>
      <c r="AM236" s="162" t="n">
        <f aca="false">+AI236+AJ236+SUM(AK236:AL236)*SUM($J236*$J$37,$K236*$K$37,$L236*$L$37,$M236*$M$37,$N236*$N$37,$O236*$O$37)/1000</f>
        <v>1497.37809303534</v>
      </c>
      <c r="AO236" s="163" t="n">
        <f aca="false">IF($B236=" ",0,$AO$25)</f>
        <v>0.25</v>
      </c>
      <c r="AP236" s="159" t="n">
        <f aca="false">IF($B236=" ",0,AP$25*AP$28)</f>
        <v>0.03105</v>
      </c>
      <c r="AQ236" s="162" t="n">
        <f aca="false">SUM(AO236:AP236)*SUM(0)/1000</f>
        <v>0</v>
      </c>
      <c r="AS236" s="155" t="n">
        <f aca="false">IF($B236=" ",0,AS$25)</f>
        <v>1</v>
      </c>
      <c r="AT236" s="156" t="n">
        <f aca="false">IF($B236=" ",0,AT$25)</f>
        <v>1</v>
      </c>
      <c r="AU236" s="156" t="n">
        <f aca="false">IF($B236=" ",0,AU$25)</f>
        <v>2.3</v>
      </c>
      <c r="AV236" s="157" t="n">
        <f aca="false">+AS236*SUM(J236:K236)/1000</f>
        <v>0</v>
      </c>
      <c r="AW236" s="157" t="n">
        <f aca="false">+AT236*SUM(L236:M236)/1000</f>
        <v>0</v>
      </c>
      <c r="AX236" s="157" t="n">
        <f aca="false">+AU236*SUM(N236:O236)/1000</f>
        <v>11537.9859375</v>
      </c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</row>
    <row r="237" customFormat="false" ht="12.75" hidden="true" customHeight="false" outlineLevel="1" collapsed="false">
      <c r="A237" s="164" t="n">
        <f aca="false">+IF(B237=" ",A236,B237)</f>
        <v>42491</v>
      </c>
      <c r="B237" s="148" t="n">
        <f aca="false">IF(B236=" "," ",IF(EDATE(B236,1)&gt;=EndDate," ",EDATE(B236,1)))</f>
        <v>42491</v>
      </c>
      <c r="C237" s="149" t="n">
        <f aca="false">IF($B237&lt;&gt;" ",C236+1,C236)</f>
        <v>187</v>
      </c>
      <c r="D237" s="150" t="n">
        <f aca="false">C237/12</f>
        <v>15.5833333333333</v>
      </c>
      <c r="F237" s="157" t="n">
        <f aca="false">+SUM($T237:$U237)</f>
        <v>14883.5779284771</v>
      </c>
      <c r="G237" s="152" t="n">
        <f aca="false">-SUM($AA237,$AG237,$AM237,$AQ237,$AV237:$AX237)</f>
        <v>-16835.1535009435</v>
      </c>
      <c r="H237" s="152" t="n">
        <f aca="false">+SUM(F237:G237)</f>
        <v>-1951.57557246637</v>
      </c>
      <c r="I237" s="124"/>
      <c r="J237" s="153" t="n">
        <f aca="false">+IF($B237=" ",0,IF(AND($B237&gt;=J$26,$B237&lt;J$28),J$33,0))</f>
        <v>0</v>
      </c>
      <c r="K237" s="153" t="n">
        <f aca="false">+IF($B237=" ",0,IF(AND($B237&gt;=K$26,$B237&lt;K$28),K$33,0))</f>
        <v>0</v>
      </c>
      <c r="L237" s="153" t="n">
        <f aca="false">+IF($B237=" ",0,IF(AND($B237&gt;=L$26,$B237&lt;L$28),L$33,0))</f>
        <v>0</v>
      </c>
      <c r="M237" s="153" t="n">
        <f aca="false">+IF($B237=" ",0,IF(AND($B237&gt;=M$26,$B237&lt;M$28),M$33,0))</f>
        <v>0</v>
      </c>
      <c r="N237" s="153" t="n">
        <f aca="false">+IF($B237=" ",0,IF(AND($B237&gt;=N$26,$B237&lt;N$28),N$33,0))</f>
        <v>0</v>
      </c>
      <c r="O237" s="154" t="n">
        <f aca="false">+IF($B237=" ",0,IF(AND($B237&gt;=O$26,$B237&lt;O$28),O$33,0))</f>
        <v>5016515.625</v>
      </c>
      <c r="Q237" s="83" t="n">
        <f aca="false">IF($B237=" ",0,IF($B237&lt;=DATE(2003,12,31),3.55,2.9))</f>
        <v>2.9</v>
      </c>
      <c r="R237" s="155" t="n">
        <f aca="false">IF($B237=" ",0,R$25)</f>
        <v>-0.07</v>
      </c>
      <c r="S237" s="156" t="n">
        <f aca="false">IF($B237=" ",0,S$25)</f>
        <v>0.1</v>
      </c>
      <c r="T237" s="157" t="n">
        <f aca="false">+SUM($Q237,$S237)/1000*(SUM($J237*$J$37,$K237*$K$37,$L237*$L$37,$M237*$M$37,$N237*$N$37,$O237*$O$37))</f>
        <v>14883.5779284771</v>
      </c>
      <c r="U237" s="157" t="n">
        <f aca="false">+SUM($Q237,$R237)/1000*(SUM(0))</f>
        <v>0</v>
      </c>
      <c r="W237" s="158" t="n">
        <f aca="false">IF($B237=" ",0,1)*(IF($B237&gt;=W$25,1,0)*IF($B237&lt;=W$29,W$27,IF($B237&lt;=W$33,W$31,0))*($D237-$D236)*365/1000)</f>
        <v>486.66666666667</v>
      </c>
      <c r="X237" s="158" t="n">
        <f aca="false">IF($B237=" ",0,IF($B237&gt;=X$25,IF($B237&lt;=X$29,X$27,IF($B237&lt;=X$33,X$31,X$31*(1+X$38)^(IF(X$36&gt;$B237,-1,1)*(YEARFRAC($B237,X$36)))))*($D237-$D236)*365/1000,0))</f>
        <v>459.593335838798</v>
      </c>
      <c r="Y237" s="159" t="n">
        <f aca="false">IF($B237=" ",0,Y$25*(1+Y$30)^(IF(Y$28&gt;$B237,-1,1)*(YEARFRAC($B237,Y$28))))</f>
        <v>0.577696133293528</v>
      </c>
      <c r="Z237" s="159" t="n">
        <f aca="false">IF($B237=" ",0,Z$25*(1+Z$30)^(IF(Z$28&gt;$B237,-1,1)*(YEARFRAC($B237,Z$28))))</f>
        <v>0.551485448825447</v>
      </c>
      <c r="AA237" s="162" t="n">
        <f aca="false">+W237+X237+Z237*SUM($J237*$J$37,$L237*$L$37,$N237*$N$37)/1000</f>
        <v>946.260002505468</v>
      </c>
      <c r="AB237" s="161"/>
      <c r="AC237" s="158" t="n">
        <f aca="false">IF($B237=" ",0,1)*(IF($B237&gt;=AC$25,1,0)*IF($B237&lt;=AC$29,AC$27,IF($B237&lt;=AC$33,AC$31,0))*($D237-$D236)*365/1000)</f>
        <v>1591.66666666668</v>
      </c>
      <c r="AD237" s="158" t="n">
        <f aca="false">IF($B237=" ",0,IF($B237&gt;=AD$25,IF($B237&lt;=AD$29,AD$27,IF($B237&lt;=AD$33,AD$31,AD$31*(1+AD$38)^(IF(AD$36&gt;$B237,-1,1)*(YEARFRAC($B237,AD$36)))))*($D237-$D236)*365/1000,0))</f>
        <v>409.13855999733</v>
      </c>
      <c r="AE237" s="159" t="n">
        <f aca="false">IF($B237=" ",0,AE$25*(1+AE$30)^(IF(AE$28&gt;$B237,-1,1)*(YEARFRAC($B237,AE$28))))</f>
        <v>0.478618192062807</v>
      </c>
      <c r="AF237" s="159" t="n">
        <f aca="false">IF($B237=" ",0,AF$25*(1+AF$30)^(IF(AF$28&gt;$B237,-1,1)*(YEARFRAC($B237,AF$28))))</f>
        <v>0.171727121890185</v>
      </c>
      <c r="AG237" s="162" t="n">
        <f aca="false">+AC237+AD237+AF237*SUM($K237*$K$37,$M237*$M$37,$O237*$O$37)/1000</f>
        <v>2852.77656035923</v>
      </c>
      <c r="AI237" s="158" t="n">
        <f aca="false">IF($B237=" ",0,1)*IF($B237&gt;=AI$33,AI$25*($D237-$D236),0)</f>
        <v>485.186570908337</v>
      </c>
      <c r="AJ237" s="158" t="n">
        <f aca="false">IF($B237=" ",0,IF($B237&gt;=AJ$33,AJ$25*(1+AJ$30)^(IF(AJ$28&gt;$B237,-1,1)*(YEARFRAC($B237,AJ$28)))*($D237-$D236),0))</f>
        <v>566.929299288019</v>
      </c>
      <c r="AK237" s="159" t="n">
        <f aca="false">IF($B237=" ",0,AK$25*(1+AK$30)^(IF(AK$28&gt;$B237,-1,1)*(YEARFRAC($B237,AK$28))))</f>
        <v>0.0324007884782313</v>
      </c>
      <c r="AL237" s="159" t="n">
        <f aca="false">IF($B237=" ",0,AL$25*AL$28)</f>
        <v>0.0575</v>
      </c>
      <c r="AM237" s="162" t="n">
        <f aca="false">+AI237+AJ237+SUM(AK237:AL237)*SUM($J237*$J$37,$K237*$K$37,$L237*$L$37,$M237*$M$37,$N237*$N$37,$O237*$O$37)/1000</f>
        <v>1498.13100057879</v>
      </c>
      <c r="AO237" s="163" t="n">
        <f aca="false">IF($B237=" ",0,$AO$25)</f>
        <v>0.25</v>
      </c>
      <c r="AP237" s="159" t="n">
        <f aca="false">IF($B237=" ",0,AP$25*AP$28)</f>
        <v>0.03105</v>
      </c>
      <c r="AQ237" s="162" t="n">
        <f aca="false">SUM(AO237:AP237)*SUM(0)/1000</f>
        <v>0</v>
      </c>
      <c r="AS237" s="155" t="n">
        <f aca="false">IF($B237=" ",0,AS$25)</f>
        <v>1</v>
      </c>
      <c r="AT237" s="156" t="n">
        <f aca="false">IF($B237=" ",0,AT$25)</f>
        <v>1</v>
      </c>
      <c r="AU237" s="156" t="n">
        <f aca="false">IF($B237=" ",0,AU$25)</f>
        <v>2.3</v>
      </c>
      <c r="AV237" s="157" t="n">
        <f aca="false">+AS237*SUM(J237:K237)/1000</f>
        <v>0</v>
      </c>
      <c r="AW237" s="157" t="n">
        <f aca="false">+AT237*SUM(L237:M237)/1000</f>
        <v>0</v>
      </c>
      <c r="AX237" s="157" t="n">
        <f aca="false">+AU237*SUM(N237:O237)/1000</f>
        <v>11537.9859375</v>
      </c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</row>
    <row r="238" customFormat="false" ht="12.75" hidden="true" customHeight="false" outlineLevel="1" collapsed="false">
      <c r="A238" s="164" t="n">
        <f aca="false">+IF(B238=" ",A237,B238)</f>
        <v>42522</v>
      </c>
      <c r="B238" s="148" t="n">
        <f aca="false">IF(B237=" "," ",IF(EDATE(B237,1)&gt;=EndDate," ",EDATE(B237,1)))</f>
        <v>42522</v>
      </c>
      <c r="C238" s="149" t="n">
        <f aca="false">IF($B238&lt;&gt;" ",C237+1,C237)</f>
        <v>188</v>
      </c>
      <c r="D238" s="150" t="n">
        <f aca="false">C238/12</f>
        <v>15.6666666666667</v>
      </c>
      <c r="F238" s="157" t="n">
        <f aca="false">+SUM($T238:$U238)</f>
        <v>14883.5779284771</v>
      </c>
      <c r="G238" s="152" t="n">
        <f aca="false">-SUM($AA238,$AG238,$AM238,$AQ238,$AV238:$AX238)</f>
        <v>-16838.2789900464</v>
      </c>
      <c r="H238" s="152" t="n">
        <f aca="false">+SUM(F238:G238)</f>
        <v>-1954.70106156928</v>
      </c>
      <c r="I238" s="124"/>
      <c r="J238" s="153" t="n">
        <f aca="false">+IF($B238=" ",0,IF(AND($B238&gt;=J$26,$B238&lt;J$28),J$33,0))</f>
        <v>0</v>
      </c>
      <c r="K238" s="153" t="n">
        <f aca="false">+IF($B238=" ",0,IF(AND($B238&gt;=K$26,$B238&lt;K$28),K$33,0))</f>
        <v>0</v>
      </c>
      <c r="L238" s="153" t="n">
        <f aca="false">+IF($B238=" ",0,IF(AND($B238&gt;=L$26,$B238&lt;L$28),L$33,0))</f>
        <v>0</v>
      </c>
      <c r="M238" s="153" t="n">
        <f aca="false">+IF($B238=" ",0,IF(AND($B238&gt;=M$26,$B238&lt;M$28),M$33,0))</f>
        <v>0</v>
      </c>
      <c r="N238" s="153" t="n">
        <f aca="false">+IF($B238=" ",0,IF(AND($B238&gt;=N$26,$B238&lt;N$28),N$33,0))</f>
        <v>0</v>
      </c>
      <c r="O238" s="154" t="n">
        <f aca="false">+IF($B238=" ",0,IF(AND($B238&gt;=O$26,$B238&lt;O$28),O$33,0))</f>
        <v>5016515.625</v>
      </c>
      <c r="Q238" s="83" t="n">
        <f aca="false">IF($B238=" ",0,IF($B238&lt;=DATE(2003,12,31),3.55,2.9))</f>
        <v>2.9</v>
      </c>
      <c r="R238" s="155" t="n">
        <f aca="false">IF($B238=" ",0,R$25)</f>
        <v>-0.07</v>
      </c>
      <c r="S238" s="156" t="n">
        <f aca="false">IF($B238=" ",0,S$25)</f>
        <v>0.1</v>
      </c>
      <c r="T238" s="157" t="n">
        <f aca="false">+SUM($Q238,$S238)/1000*(SUM($J238*$J$37,$K238*$K$37,$L238*$L$37,$M238*$M$37,$N238*$N$37,$O238*$O$37))</f>
        <v>14883.5779284771</v>
      </c>
      <c r="U238" s="157" t="n">
        <f aca="false">+SUM($Q238,$R238)/1000*(SUM(0))</f>
        <v>0</v>
      </c>
      <c r="W238" s="158" t="n">
        <f aca="false">IF($B238=" ",0,1)*(IF($B238&gt;=W$25,1,0)*IF($B238&lt;=W$29,W$27,IF($B238&lt;=W$33,W$31,0))*($D238-$D237)*365/1000)</f>
        <v>486.66666666666</v>
      </c>
      <c r="X238" s="158" t="n">
        <f aca="false">IF($B238=" ",0,IF($B238&gt;=X$25,IF($B238&lt;=X$29,X$27,IF($B238&lt;=X$33,X$31,X$31*(1+X$38)^(IF(X$36&gt;$B238,-1,1)*(YEARFRAC($B238,X$36)))))*($D238-$D237)*365/1000,0))</f>
        <v>460.226835128071</v>
      </c>
      <c r="Y238" s="159" t="n">
        <f aca="false">IF($B238=" ",0,Y$25*(1+Y$30)^(IF(Y$28&gt;$B238,-1,1)*(YEARFRAC($B238,Y$28))))</f>
        <v>0.578492424408574</v>
      </c>
      <c r="Z238" s="159" t="n">
        <f aca="false">IF($B238=" ",0,Z$25*(1+Z$30)^(IF(Z$28&gt;$B238,-1,1)*(YEARFRAC($B238,Z$28))))</f>
        <v>0.552245611370544</v>
      </c>
      <c r="AA238" s="162" t="n">
        <f aca="false">+W238+X238+Z238*SUM($J238*$J$37,$L238*$L$37,$N238*$N$37)/1000</f>
        <v>946.893501794731</v>
      </c>
      <c r="AB238" s="161"/>
      <c r="AC238" s="158" t="n">
        <f aca="false">IF($B238=" ",0,1)*(IF($B238&gt;=AC$25,1,0)*IF($B238&lt;=AC$29,AC$27,IF($B238&lt;=AC$33,AC$31,0))*($D238-$D237)*365/1000)</f>
        <v>1591.66666666664</v>
      </c>
      <c r="AD238" s="158" t="n">
        <f aca="false">IF($B238=" ",0,IF($B238&gt;=AD$25,IF($B238&lt;=AD$29,AD$27,IF($B238&lt;=AD$33,AD$31,AD$31*(1+AD$38)^(IF(AD$36&gt;$B238,-1,1)*(YEARFRAC($B238,AD$36)))))*($D238-$D237)*365/1000,0))</f>
        <v>409.702512880806</v>
      </c>
      <c r="AE238" s="159" t="n">
        <f aca="false">IF($B238=" ",0,AE$25*(1+AE$30)^(IF(AE$28&gt;$B238,-1,1)*(YEARFRAC($B238,AE$28))))</f>
        <v>0.479277915041506</v>
      </c>
      <c r="AF238" s="159" t="n">
        <f aca="false">IF($B238=" ",0,AF$25*(1+AF$30)^(IF(AF$28&gt;$B238,-1,1)*(YEARFRAC($B238,AF$28))))</f>
        <v>0.171963828998806</v>
      </c>
      <c r="AG238" s="162" t="n">
        <f aca="false">+AC238+AD238+AF238*SUM($K238*$K$37,$M238*$M$37,$O238*$O$37)/1000</f>
        <v>2854.51486280847</v>
      </c>
      <c r="AI238" s="158" t="n">
        <f aca="false">IF($B238=" ",0,1)*IF($B238&gt;=AI$33,AI$25*($D238-$D237),0)</f>
        <v>485.186570908327</v>
      </c>
      <c r="AJ238" s="158" t="n">
        <f aca="false">IF($B238=" ",0,IF($B238&gt;=AJ$33,AJ$25*(1+AJ$30)^(IF(AJ$28&gt;$B238,-1,1)*(YEARFRAC($B238,AJ$28)))*($D238-$D237),0))</f>
        <v>567.51649405036</v>
      </c>
      <c r="AK238" s="159" t="n">
        <f aca="false">IF($B238=" ",0,AK$25*(1+AK$30)^(IF(AK$28&gt;$B238,-1,1)*(YEARFRAC($B238,AK$28))))</f>
        <v>0.0324343474657707</v>
      </c>
      <c r="AL238" s="159" t="n">
        <f aca="false">IF($B238=" ",0,AL$25*AL$28)</f>
        <v>0.0575</v>
      </c>
      <c r="AM238" s="162" t="n">
        <f aca="false">+AI238+AJ238+SUM(AK238:AL238)*SUM($J238*$J$37,$K238*$K$37,$L238*$L$37,$M238*$M$37,$N238*$N$37,$O238*$O$37)/1000</f>
        <v>1498.8846879432</v>
      </c>
      <c r="AO238" s="163" t="n">
        <f aca="false">IF($B238=" ",0,$AO$25)</f>
        <v>0.25</v>
      </c>
      <c r="AP238" s="159" t="n">
        <f aca="false">IF($B238=" ",0,AP$25*AP$28)</f>
        <v>0.03105</v>
      </c>
      <c r="AQ238" s="162" t="n">
        <f aca="false">SUM(AO238:AP238)*SUM(0)/1000</f>
        <v>0</v>
      </c>
      <c r="AS238" s="155" t="n">
        <f aca="false">IF($B238=" ",0,AS$25)</f>
        <v>1</v>
      </c>
      <c r="AT238" s="156" t="n">
        <f aca="false">IF($B238=" ",0,AT$25)</f>
        <v>1</v>
      </c>
      <c r="AU238" s="156" t="n">
        <f aca="false">IF($B238=" ",0,AU$25)</f>
        <v>2.3</v>
      </c>
      <c r="AV238" s="157" t="n">
        <f aca="false">+AS238*SUM(J238:K238)/1000</f>
        <v>0</v>
      </c>
      <c r="AW238" s="157" t="n">
        <f aca="false">+AT238*SUM(L238:M238)/1000</f>
        <v>0</v>
      </c>
      <c r="AX238" s="157" t="n">
        <f aca="false">+AU238*SUM(N238:O238)/1000</f>
        <v>11537.9859375</v>
      </c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</row>
    <row r="239" customFormat="false" ht="12.75" hidden="true" customHeight="false" outlineLevel="1" collapsed="false">
      <c r="A239" s="164" t="n">
        <f aca="false">+IF(B239=" ",A238,B239)</f>
        <v>42552</v>
      </c>
      <c r="B239" s="148" t="n">
        <f aca="false">IF(B238=" "," ",IF(EDATE(B238,1)&gt;=EndDate," ",EDATE(B238,1)))</f>
        <v>42552</v>
      </c>
      <c r="C239" s="149" t="n">
        <f aca="false">IF($B239&lt;&gt;" ",C238+1,C238)</f>
        <v>189</v>
      </c>
      <c r="D239" s="150" t="n">
        <f aca="false">C239/12</f>
        <v>15.75</v>
      </c>
      <c r="F239" s="157" t="n">
        <f aca="false">+SUM($T239:$U239)</f>
        <v>14883.5779284771</v>
      </c>
      <c r="G239" s="152" t="n">
        <f aca="false">-SUM($AA239,$AG239,$AM239,$AQ239,$AV239:$AX239)</f>
        <v>-16841.4085290482</v>
      </c>
      <c r="H239" s="152" t="n">
        <f aca="false">+SUM(F239:G239)</f>
        <v>-1957.83060057107</v>
      </c>
      <c r="I239" s="124"/>
      <c r="J239" s="153" t="n">
        <f aca="false">+IF($B239=" ",0,IF(AND($B239&gt;=J$26,$B239&lt;J$28),J$33,0))</f>
        <v>0</v>
      </c>
      <c r="K239" s="153" t="n">
        <f aca="false">+IF($B239=" ",0,IF(AND($B239&gt;=K$26,$B239&lt;K$28),K$33,0))</f>
        <v>0</v>
      </c>
      <c r="L239" s="153" t="n">
        <f aca="false">+IF($B239=" ",0,IF(AND($B239&gt;=L$26,$B239&lt;L$28),L$33,0))</f>
        <v>0</v>
      </c>
      <c r="M239" s="153" t="n">
        <f aca="false">+IF($B239=" ",0,IF(AND($B239&gt;=M$26,$B239&lt;M$28),M$33,0))</f>
        <v>0</v>
      </c>
      <c r="N239" s="153" t="n">
        <f aca="false">+IF($B239=" ",0,IF(AND($B239&gt;=N$26,$B239&lt;N$28),N$33,0))</f>
        <v>0</v>
      </c>
      <c r="O239" s="154" t="n">
        <f aca="false">+IF($B239=" ",0,IF(AND($B239&gt;=O$26,$B239&lt;O$28),O$33,0))</f>
        <v>5016515.625</v>
      </c>
      <c r="Q239" s="83" t="n">
        <f aca="false">IF($B239=" ",0,IF($B239&lt;=DATE(2003,12,31),3.55,2.9))</f>
        <v>2.9</v>
      </c>
      <c r="R239" s="155" t="n">
        <f aca="false">IF($B239=" ",0,R$25)</f>
        <v>-0.07</v>
      </c>
      <c r="S239" s="156" t="n">
        <f aca="false">IF($B239=" ",0,S$25)</f>
        <v>0.1</v>
      </c>
      <c r="T239" s="157" t="n">
        <f aca="false">+SUM($Q239,$S239)/1000*(SUM($J239*$J$37,$K239*$K$37,$L239*$L$37,$M239*$M$37,$N239*$N$37,$O239*$O$37))</f>
        <v>14883.5779284771</v>
      </c>
      <c r="U239" s="157" t="n">
        <f aca="false">+SUM($Q239,$R239)/1000*(SUM(0))</f>
        <v>0</v>
      </c>
      <c r="W239" s="158" t="n">
        <f aca="false">IF($B239=" ",0,1)*(IF($B239&gt;=W$25,1,0)*IF($B239&lt;=W$29,W$27,IF($B239&lt;=W$33,W$31,0))*($D239-$D238)*365/1000)</f>
        <v>486.66666666667</v>
      </c>
      <c r="X239" s="158" t="n">
        <f aca="false">IF($B239=" ",0,IF($B239&gt;=X$25,IF($B239&lt;=X$29,X$27,IF($B239&lt;=X$33,X$31,X$31*(1+X$38)^(IF(X$36&gt;$B239,-1,1)*(YEARFRAC($B239,X$36)))))*($D239-$D238)*365/1000,0))</f>
        <v>460.861207627043</v>
      </c>
      <c r="Y239" s="159" t="n">
        <f aca="false">IF($B239=" ",0,Y$25*(1+Y$30)^(IF(Y$28&gt;$B239,-1,1)*(YEARFRAC($B239,Y$28))))</f>
        <v>0.579289813124077</v>
      </c>
      <c r="Z239" s="159" t="n">
        <f aca="false">IF($B239=" ",0,Z$25*(1+Z$30)^(IF(Z$28&gt;$B239,-1,1)*(YEARFRAC($B239,Z$28))))</f>
        <v>0.553006821716805</v>
      </c>
      <c r="AA239" s="162" t="n">
        <f aca="false">+W239+X239+Z239*SUM($J239*$J$37,$L239*$L$37,$N239*$N$37)/1000</f>
        <v>947.527874293714</v>
      </c>
      <c r="AB239" s="161"/>
      <c r="AC239" s="158" t="n">
        <f aca="false">IF($B239=" ",0,1)*(IF($B239&gt;=AC$25,1,0)*IF($B239&lt;=AC$29,AC$27,IF($B239&lt;=AC$33,AC$31,0))*($D239-$D238)*365/1000)</f>
        <v>1591.66666666668</v>
      </c>
      <c r="AD239" s="158" t="n">
        <f aca="false">IF($B239=" ",0,IF($B239&gt;=AD$25,IF($B239&lt;=AD$29,AD$27,IF($B239&lt;=AD$33,AD$31,AD$31*(1+AD$38)^(IF(AD$36&gt;$B239,-1,1)*(YEARFRAC($B239,AD$36)))))*($D239-$D238)*365/1000,0))</f>
        <v>410.267243111843</v>
      </c>
      <c r="AE239" s="159" t="n">
        <f aca="false">IF($B239=" ",0,AE$25*(1+AE$30)^(IF(AE$28&gt;$B239,-1,1)*(YEARFRAC($B239,AE$28))))</f>
        <v>0.47993854737638</v>
      </c>
      <c r="AF239" s="159" t="n">
        <f aca="false">IF($B239=" ",0,AF$25*(1+AF$30)^(IF(AF$28&gt;$B239,-1,1)*(YEARFRAC($B239,AF$28))))</f>
        <v>0.172200862382361</v>
      </c>
      <c r="AG239" s="162" t="n">
        <f aca="false">+AC239+AD239+AF239*SUM($K239*$K$37,$M239*$M$37,$O239*$O$37)/1000</f>
        <v>2856.25556131813</v>
      </c>
      <c r="AI239" s="158" t="n">
        <f aca="false">IF($B239=" ",0,1)*IF($B239&gt;=AI$33,AI$25*($D239-$D238),0)</f>
        <v>485.186570908337</v>
      </c>
      <c r="AJ239" s="158" t="n">
        <f aca="false">IF($B239=" ",0,IF($B239&gt;=AJ$33,AJ$25*(1+AJ$30)^(IF(AJ$28&gt;$B239,-1,1)*(YEARFRAC($B239,AJ$28)))*($D239-$D238),0))</f>
        <v>568.10429699736</v>
      </c>
      <c r="AK239" s="159" t="n">
        <f aca="false">IF($B239=" ",0,AK$25*(1+AK$30)^(IF(AK$28&gt;$B239,-1,1)*(YEARFRAC($B239,AK$28))))</f>
        <v>0.0324679412118977</v>
      </c>
      <c r="AL239" s="159" t="n">
        <f aca="false">IF($B239=" ",0,AL$25*AL$28)</f>
        <v>0.0575</v>
      </c>
      <c r="AM239" s="162" t="n">
        <f aca="false">+AI239+AJ239+SUM(AK239:AL239)*SUM($J239*$J$37,$K239*$K$37,$L239*$L$37,$M239*$M$37,$N239*$N$37,$O239*$O$37)/1000</f>
        <v>1499.63915593634</v>
      </c>
      <c r="AO239" s="163" t="n">
        <f aca="false">IF($B239=" ",0,$AO$25)</f>
        <v>0.25</v>
      </c>
      <c r="AP239" s="159" t="n">
        <f aca="false">IF($B239=" ",0,AP$25*AP$28)</f>
        <v>0.03105</v>
      </c>
      <c r="AQ239" s="162" t="n">
        <f aca="false">SUM(AO239:AP239)*SUM(0)/1000</f>
        <v>0</v>
      </c>
      <c r="AS239" s="155" t="n">
        <f aca="false">IF($B239=" ",0,AS$25)</f>
        <v>1</v>
      </c>
      <c r="AT239" s="156" t="n">
        <f aca="false">IF($B239=" ",0,AT$25)</f>
        <v>1</v>
      </c>
      <c r="AU239" s="156" t="n">
        <f aca="false">IF($B239=" ",0,AU$25)</f>
        <v>2.3</v>
      </c>
      <c r="AV239" s="157" t="n">
        <f aca="false">+AS239*SUM(J239:K239)/1000</f>
        <v>0</v>
      </c>
      <c r="AW239" s="157" t="n">
        <f aca="false">+AT239*SUM(L239:M239)/1000</f>
        <v>0</v>
      </c>
      <c r="AX239" s="157" t="n">
        <f aca="false">+AU239*SUM(N239:O239)/1000</f>
        <v>11537.9859375</v>
      </c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</row>
    <row r="240" customFormat="false" ht="12.75" hidden="true" customHeight="false" outlineLevel="1" collapsed="false">
      <c r="A240" s="164" t="n">
        <f aca="false">+IF(B240=" ",A239,B240)</f>
        <v>42583</v>
      </c>
      <c r="B240" s="148" t="n">
        <f aca="false">IF(B239=" "," ",IF(EDATE(B239,1)&gt;=EndDate," ",EDATE(B239,1)))</f>
        <v>42583</v>
      </c>
      <c r="C240" s="149" t="n">
        <f aca="false">IF($B240&lt;&gt;" ",C239+1,C239)</f>
        <v>190</v>
      </c>
      <c r="D240" s="150" t="n">
        <f aca="false">C240/12</f>
        <v>15.8333333333333</v>
      </c>
      <c r="F240" s="157" t="n">
        <f aca="false">+SUM($T240:$U240)</f>
        <v>14883.5779284771</v>
      </c>
      <c r="G240" s="152" t="n">
        <f aca="false">-SUM($AA240,$AG240,$AM240,$AQ240,$AV240:$AX240)</f>
        <v>-16844.5421232635</v>
      </c>
      <c r="H240" s="152" t="n">
        <f aca="false">+SUM(F240:G240)</f>
        <v>-1960.96419478635</v>
      </c>
      <c r="I240" s="124"/>
      <c r="J240" s="153" t="n">
        <f aca="false">+IF($B240=" ",0,IF(AND($B240&gt;=J$26,$B240&lt;J$28),J$33,0))</f>
        <v>0</v>
      </c>
      <c r="K240" s="153" t="n">
        <f aca="false">+IF($B240=" ",0,IF(AND($B240&gt;=K$26,$B240&lt;K$28),K$33,0))</f>
        <v>0</v>
      </c>
      <c r="L240" s="153" t="n">
        <f aca="false">+IF($B240=" ",0,IF(AND($B240&gt;=L$26,$B240&lt;L$28),L$33,0))</f>
        <v>0</v>
      </c>
      <c r="M240" s="153" t="n">
        <f aca="false">+IF($B240=" ",0,IF(AND($B240&gt;=M$26,$B240&lt;M$28),M$33,0))</f>
        <v>0</v>
      </c>
      <c r="N240" s="153" t="n">
        <f aca="false">+IF($B240=" ",0,IF(AND($B240&gt;=N$26,$B240&lt;N$28),N$33,0))</f>
        <v>0</v>
      </c>
      <c r="O240" s="154" t="n">
        <f aca="false">+IF($B240=" ",0,IF(AND($B240&gt;=O$26,$B240&lt;O$28),O$33,0))</f>
        <v>5016515.625</v>
      </c>
      <c r="Q240" s="83" t="n">
        <f aca="false">IF($B240=" ",0,IF($B240&lt;=DATE(2003,12,31),3.55,2.9))</f>
        <v>2.9</v>
      </c>
      <c r="R240" s="155" t="n">
        <f aca="false">IF($B240=" ",0,R$25)</f>
        <v>-0.07</v>
      </c>
      <c r="S240" s="156" t="n">
        <f aca="false">IF($B240=" ",0,S$25)</f>
        <v>0.1</v>
      </c>
      <c r="T240" s="157" t="n">
        <f aca="false">+SUM($Q240,$S240)/1000*(SUM($J240*$J$37,$K240*$K$37,$L240*$L$37,$M240*$M$37,$N240*$N$37,$O240*$O$37))</f>
        <v>14883.5779284771</v>
      </c>
      <c r="U240" s="157" t="n">
        <f aca="false">+SUM($Q240,$R240)/1000*(SUM(0))</f>
        <v>0</v>
      </c>
      <c r="W240" s="158" t="n">
        <f aca="false">IF($B240=" ",0,1)*(IF($B240&gt;=W$25,1,0)*IF($B240&lt;=W$29,W$27,IF($B240&lt;=W$33,W$31,0))*($D240-$D239)*365/1000)</f>
        <v>486.66666666667</v>
      </c>
      <c r="X240" s="158" t="n">
        <f aca="false">IF($B240=" ",0,IF($B240&gt;=X$25,IF($B240&lt;=X$29,X$27,IF($B240&lt;=X$33,X$31,X$31*(1+X$38)^(IF(X$36&gt;$B240,-1,1)*(YEARFRAC($B240,X$36)))))*($D240-$D239)*365/1000,0))</f>
        <v>461.49645453931</v>
      </c>
      <c r="Y240" s="159" t="n">
        <f aca="false">IF($B240=" ",0,Y$25*(1+Y$30)^(IF(Y$28&gt;$B240,-1,1)*(YEARFRAC($B240,Y$28))))</f>
        <v>0.58008830095296</v>
      </c>
      <c r="Z240" s="159" t="n">
        <f aca="false">IF($B240=" ",0,Z$25*(1+Z$30)^(IF(Z$28&gt;$B240,-1,1)*(YEARFRAC($B240,Z$28))))</f>
        <v>0.553769081308508</v>
      </c>
      <c r="AA240" s="162" t="n">
        <f aca="false">+W240+X240+Z240*SUM($J240*$J$37,$L240*$L$37,$N240*$N$37)/1000</f>
        <v>948.16312120598</v>
      </c>
      <c r="AB240" s="161"/>
      <c r="AC240" s="158" t="n">
        <f aca="false">IF($B240=" ",0,1)*(IF($B240&gt;=AC$25,1,0)*IF($B240&lt;=AC$29,AC$27,IF($B240&lt;=AC$33,AC$31,0))*($D240-$D239)*365/1000)</f>
        <v>1591.66666666668</v>
      </c>
      <c r="AD240" s="158" t="n">
        <f aca="false">IF($B240=" ",0,IF($B240&gt;=AD$25,IF($B240&lt;=AD$29,AD$27,IF($B240&lt;=AD$33,AD$31,AD$31*(1+AD$38)^(IF(AD$36&gt;$B240,-1,1)*(YEARFRAC($B240,AD$36)))))*($D240-$D239)*365/1000,0))</f>
        <v>410.832751761905</v>
      </c>
      <c r="AE240" s="159" t="n">
        <f aca="false">IF($B240=" ",0,AE$25*(1+AE$30)^(IF(AE$28&gt;$B240,-1,1)*(YEARFRAC($B240,AE$28))))</f>
        <v>0.480600090320878</v>
      </c>
      <c r="AF240" s="159" t="n">
        <f aca="false">IF($B240=" ",0,AF$25*(1+AF$30)^(IF(AF$28&gt;$B240,-1,1)*(YEARFRAC($B240,AF$28))))</f>
        <v>0.172438222490584</v>
      </c>
      <c r="AG240" s="162" t="n">
        <f aca="false">+AC240+AD240+AF240*SUM($K240*$K$37,$M240*$M$37,$O240*$O$37)/1000</f>
        <v>2857.99865919081</v>
      </c>
      <c r="AI240" s="158" t="n">
        <f aca="false">IF($B240=" ",0,1)*IF($B240&gt;=AI$33,AI$25*($D240-$D239),0)</f>
        <v>485.186570908337</v>
      </c>
      <c r="AJ240" s="158" t="n">
        <f aca="false">IF($B240=" ",0,IF($B240&gt;=AJ$33,AJ$25*(1+AJ$30)^(IF(AJ$28&gt;$B240,-1,1)*(YEARFRAC($B240,AJ$28)))*($D240-$D239),0))</f>
        <v>568.692708758908</v>
      </c>
      <c r="AK240" s="159" t="n">
        <f aca="false">IF($B240=" ",0,AK$25*(1+AK$30)^(IF(AK$28&gt;$B240,-1,1)*(YEARFRAC($B240,AK$28))))</f>
        <v>0.0325015697526134</v>
      </c>
      <c r="AL240" s="159" t="n">
        <f aca="false">IF($B240=" ",0,AL$25*AL$28)</f>
        <v>0.0575</v>
      </c>
      <c r="AM240" s="162" t="n">
        <f aca="false">+AI240+AJ240+SUM(AK240:AL240)*SUM($J240*$J$37,$K240*$K$37,$L240*$L$37,$M240*$M$37,$N240*$N$37,$O240*$O$37)/1000</f>
        <v>1500.39440536668</v>
      </c>
      <c r="AO240" s="163" t="n">
        <f aca="false">IF($B240=" ",0,$AO$25)</f>
        <v>0.25</v>
      </c>
      <c r="AP240" s="159" t="n">
        <f aca="false">IF($B240=" ",0,AP$25*AP$28)</f>
        <v>0.03105</v>
      </c>
      <c r="AQ240" s="162" t="n">
        <f aca="false">SUM(AO240:AP240)*SUM(0)/1000</f>
        <v>0</v>
      </c>
      <c r="AS240" s="155" t="n">
        <f aca="false">IF($B240=" ",0,AS$25)</f>
        <v>1</v>
      </c>
      <c r="AT240" s="156" t="n">
        <f aca="false">IF($B240=" ",0,AT$25)</f>
        <v>1</v>
      </c>
      <c r="AU240" s="156" t="n">
        <f aca="false">IF($B240=" ",0,AU$25)</f>
        <v>2.3</v>
      </c>
      <c r="AV240" s="157" t="n">
        <f aca="false">+AS240*SUM(J240:K240)/1000</f>
        <v>0</v>
      </c>
      <c r="AW240" s="157" t="n">
        <f aca="false">+AT240*SUM(L240:M240)/1000</f>
        <v>0</v>
      </c>
      <c r="AX240" s="157" t="n">
        <f aca="false">+AU240*SUM(N240:O240)/1000</f>
        <v>11537.9859375</v>
      </c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</row>
    <row r="241" customFormat="false" ht="12.75" hidden="true" customHeight="false" outlineLevel="1" collapsed="false">
      <c r="A241" s="164" t="n">
        <f aca="false">+IF(B241=" ",A240,B241)</f>
        <v>42614</v>
      </c>
      <c r="B241" s="148" t="n">
        <f aca="false">IF(B240=" "," ",IF(EDATE(B240,1)&gt;=EndDate," ",EDATE(B240,1)))</f>
        <v>42614</v>
      </c>
      <c r="C241" s="149" t="n">
        <f aca="false">IF($B241&lt;&gt;" ",C240+1,C240)</f>
        <v>191</v>
      </c>
      <c r="D241" s="150" t="n">
        <f aca="false">C241/12</f>
        <v>15.9166666666667</v>
      </c>
      <c r="F241" s="157" t="n">
        <f aca="false">+SUM($T241:$U241)</f>
        <v>14883.5779284771</v>
      </c>
      <c r="G241" s="152" t="n">
        <f aca="false">-SUM($AA241,$AG241,$AM241,$AQ241,$AV241:$AX241)</f>
        <v>-16847.6797780141</v>
      </c>
      <c r="H241" s="152" t="n">
        <f aca="false">+SUM(F241:G241)</f>
        <v>-1964.10184953703</v>
      </c>
      <c r="I241" s="124"/>
      <c r="J241" s="153" t="n">
        <f aca="false">+IF($B241=" ",0,IF(AND($B241&gt;=J$26,$B241&lt;J$28),J$33,0))</f>
        <v>0</v>
      </c>
      <c r="K241" s="153" t="n">
        <f aca="false">+IF($B241=" ",0,IF(AND($B241&gt;=K$26,$B241&lt;K$28),K$33,0))</f>
        <v>0</v>
      </c>
      <c r="L241" s="153" t="n">
        <f aca="false">+IF($B241=" ",0,IF(AND($B241&gt;=L$26,$B241&lt;L$28),L$33,0))</f>
        <v>0</v>
      </c>
      <c r="M241" s="153" t="n">
        <f aca="false">+IF($B241=" ",0,IF(AND($B241&gt;=M$26,$B241&lt;M$28),M$33,0))</f>
        <v>0</v>
      </c>
      <c r="N241" s="153" t="n">
        <f aca="false">+IF($B241=" ",0,IF(AND($B241&gt;=N$26,$B241&lt;N$28),N$33,0))</f>
        <v>0</v>
      </c>
      <c r="O241" s="154" t="n">
        <f aca="false">+IF($B241=" ",0,IF(AND($B241&gt;=O$26,$B241&lt;O$28),O$33,0))</f>
        <v>5016515.625</v>
      </c>
      <c r="Q241" s="83" t="n">
        <f aca="false">IF($B241=" ",0,IF($B241&lt;=DATE(2003,12,31),3.55,2.9))</f>
        <v>2.9</v>
      </c>
      <c r="R241" s="155" t="n">
        <f aca="false">IF($B241=" ",0,R$25)</f>
        <v>-0.07</v>
      </c>
      <c r="S241" s="156" t="n">
        <f aca="false">IF($B241=" ",0,S$25)</f>
        <v>0.1</v>
      </c>
      <c r="T241" s="157" t="n">
        <f aca="false">+SUM($Q241,$S241)/1000*(SUM($J241*$J$37,$K241*$K$37,$L241*$L$37,$M241*$M$37,$N241*$N$37,$O241*$O$37))</f>
        <v>14883.5779284771</v>
      </c>
      <c r="U241" s="157" t="n">
        <f aca="false">+SUM($Q241,$R241)/1000*(SUM(0))</f>
        <v>0</v>
      </c>
      <c r="W241" s="158" t="n">
        <f aca="false">IF($B241=" ",0,1)*(IF($B241&gt;=W$25,1,0)*IF($B241&lt;=W$29,W$27,IF($B241&lt;=W$33,W$31,0))*($D241-$D240)*365/1000)</f>
        <v>486.66666666666</v>
      </c>
      <c r="X241" s="158" t="n">
        <f aca="false">IF($B241=" ",0,IF($B241&gt;=X$25,IF($B241&lt;=X$29,X$27,IF($B241&lt;=X$33,X$31,X$31*(1+X$38)^(IF(X$36&gt;$B241,-1,1)*(YEARFRAC($B241,X$36)))))*($D241-$D240)*365/1000,0))</f>
        <v>462.132577070154</v>
      </c>
      <c r="Y241" s="159" t="n">
        <f aca="false">IF($B241=" ",0,Y$25*(1+Y$30)^(IF(Y$28&gt;$B241,-1,1)*(YEARFRAC($B241,Y$28))))</f>
        <v>0.58088788941023</v>
      </c>
      <c r="Z241" s="159" t="n">
        <f aca="false">IF($B241=" ",0,Z$25*(1+Z$30)^(IF(Z$28&gt;$B241,-1,1)*(YEARFRAC($B241,Z$28))))</f>
        <v>0.554532391591926</v>
      </c>
      <c r="AA241" s="162" t="n">
        <f aca="false">+W241+X241+Z241*SUM($J241*$J$37,$L241*$L$37,$N241*$N$37)/1000</f>
        <v>948.799243736813</v>
      </c>
      <c r="AB241" s="161"/>
      <c r="AC241" s="158" t="n">
        <f aca="false">IF($B241=" ",0,1)*(IF($B241&gt;=AC$25,1,0)*IF($B241&lt;=AC$29,AC$27,IF($B241&lt;=AC$33,AC$31,0))*($D241-$D240)*365/1000)</f>
        <v>1591.66666666664</v>
      </c>
      <c r="AD241" s="158" t="n">
        <f aca="false">IF($B241=" ",0,IF($B241&gt;=AD$25,IF($B241&lt;=AD$29,AD$27,IF($B241&lt;=AD$33,AD$31,AD$31*(1+AD$38)^(IF(AD$36&gt;$B241,-1,1)*(YEARFRAC($B241,AD$36)))))*($D241-$D240)*365/1000,0))</f>
        <v>411.399039903956</v>
      </c>
      <c r="AE241" s="159" t="n">
        <f aca="false">IF($B241=" ",0,AE$25*(1+AE$30)^(IF(AE$28&gt;$B241,-1,1)*(YEARFRAC($B241,AE$28))))</f>
        <v>0.481262545130176</v>
      </c>
      <c r="AF241" s="159" t="n">
        <f aca="false">IF($B241=" ",0,AF$25*(1+AF$30)^(IF(AF$28&gt;$B241,-1,1)*(YEARFRAC($B241,AF$28))))</f>
        <v>0.172675909773829</v>
      </c>
      <c r="AG241" s="162" t="n">
        <f aca="false">+AC241+AD241+AF241*SUM($K241*$K$37,$M241*$M$37,$O241*$O$37)/1000</f>
        <v>2859.74415973375</v>
      </c>
      <c r="AI241" s="158" t="n">
        <f aca="false">IF($B241=" ",0,1)*IF($B241&gt;=AI$33,AI$25*($D241-$D240),0)</f>
        <v>485.186570908327</v>
      </c>
      <c r="AJ241" s="158" t="n">
        <f aca="false">IF($B241=" ",0,IF($B241&gt;=AJ$33,AJ$25*(1+AJ$30)^(IF(AJ$28&gt;$B241,-1,1)*(YEARFRAC($B241,AJ$28)))*($D241-$D240),0))</f>
        <v>569.281729965581</v>
      </c>
      <c r="AK241" s="159" t="n">
        <f aca="false">IF($B241=" ",0,AK$25*(1+AK$30)^(IF(AK$28&gt;$B241,-1,1)*(YEARFRAC($B241,AK$28))))</f>
        <v>0.0325352331239561</v>
      </c>
      <c r="AL241" s="159" t="n">
        <f aca="false">IF($B241=" ",0,AL$25*AL$28)</f>
        <v>0.0575</v>
      </c>
      <c r="AM241" s="162" t="n">
        <f aca="false">+AI241+AJ241+SUM(AK241:AL241)*SUM($J241*$J$37,$K241*$K$37,$L241*$L$37,$M241*$M$37,$N241*$N$37,$O241*$O$37)/1000</f>
        <v>1501.15043704358</v>
      </c>
      <c r="AO241" s="163" t="n">
        <f aca="false">IF($B241=" ",0,$AO$25)</f>
        <v>0.25</v>
      </c>
      <c r="AP241" s="159" t="n">
        <f aca="false">IF($B241=" ",0,AP$25*AP$28)</f>
        <v>0.03105</v>
      </c>
      <c r="AQ241" s="162" t="n">
        <f aca="false">SUM(AO241:AP241)*SUM(0)/1000</f>
        <v>0</v>
      </c>
      <c r="AS241" s="155" t="n">
        <f aca="false">IF($B241=" ",0,AS$25)</f>
        <v>1</v>
      </c>
      <c r="AT241" s="156" t="n">
        <f aca="false">IF($B241=" ",0,AT$25)</f>
        <v>1</v>
      </c>
      <c r="AU241" s="156" t="n">
        <f aca="false">IF($B241=" ",0,AU$25)</f>
        <v>2.3</v>
      </c>
      <c r="AV241" s="157" t="n">
        <f aca="false">+AS241*SUM(J241:K241)/1000</f>
        <v>0</v>
      </c>
      <c r="AW241" s="157" t="n">
        <f aca="false">+AT241*SUM(L241:M241)/1000</f>
        <v>0</v>
      </c>
      <c r="AX241" s="157" t="n">
        <f aca="false">+AU241*SUM(N241:O241)/1000</f>
        <v>11537.9859375</v>
      </c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</row>
    <row r="242" customFormat="false" ht="12.75" hidden="true" customHeight="false" outlineLevel="1" collapsed="false">
      <c r="A242" s="164" t="n">
        <f aca="false">+IF(B242=" ",A241,B242)</f>
        <v>42644</v>
      </c>
      <c r="B242" s="148" t="n">
        <f aca="false">IF(B241=" "," ",IF(EDATE(B241,1)&gt;=EndDate," ",EDATE(B241,1)))</f>
        <v>42644</v>
      </c>
      <c r="C242" s="149" t="n">
        <f aca="false">IF($B242&lt;&gt;" ",C241+1,C241)</f>
        <v>192</v>
      </c>
      <c r="D242" s="150" t="n">
        <f aca="false">C242/12</f>
        <v>16</v>
      </c>
      <c r="F242" s="157" t="n">
        <f aca="false">+SUM($T242:$U242)</f>
        <v>14883.5779284771</v>
      </c>
      <c r="G242" s="152" t="n">
        <f aca="false">-SUM($AA242,$AG242,$AM242,$AQ242,$AV242:$AX242)</f>
        <v>-16850.8214986295</v>
      </c>
      <c r="H242" s="152" t="n">
        <f aca="false">+SUM(F242:G242)</f>
        <v>-1967.24357015234</v>
      </c>
      <c r="I242" s="124"/>
      <c r="J242" s="153" t="n">
        <f aca="false">+IF($B242=" ",0,IF(AND($B242&gt;=J$26,$B242&lt;J$28),J$33,0))</f>
        <v>0</v>
      </c>
      <c r="K242" s="153" t="n">
        <f aca="false">+IF($B242=" ",0,IF(AND($B242&gt;=K$26,$B242&lt;K$28),K$33,0))</f>
        <v>0</v>
      </c>
      <c r="L242" s="153" t="n">
        <f aca="false">+IF($B242=" ",0,IF(AND($B242&gt;=L$26,$B242&lt;L$28),L$33,0))</f>
        <v>0</v>
      </c>
      <c r="M242" s="153" t="n">
        <f aca="false">+IF($B242=" ",0,IF(AND($B242&gt;=M$26,$B242&lt;M$28),M$33,0))</f>
        <v>0</v>
      </c>
      <c r="N242" s="153" t="n">
        <f aca="false">+IF($B242=" ",0,IF(AND($B242&gt;=N$26,$B242&lt;N$28),N$33,0))</f>
        <v>0</v>
      </c>
      <c r="O242" s="154" t="n">
        <f aca="false">+IF($B242=" ",0,IF(AND($B242&gt;=O$26,$B242&lt;O$28),O$33,0))</f>
        <v>5016515.625</v>
      </c>
      <c r="Q242" s="83" t="n">
        <f aca="false">IF($B242=" ",0,IF($B242&lt;=DATE(2003,12,31),3.55,2.9))</f>
        <v>2.9</v>
      </c>
      <c r="R242" s="155" t="n">
        <f aca="false">IF($B242=" ",0,R$25)</f>
        <v>-0.07</v>
      </c>
      <c r="S242" s="156" t="n">
        <f aca="false">IF($B242=" ",0,S$25)</f>
        <v>0.1</v>
      </c>
      <c r="T242" s="157" t="n">
        <f aca="false">+SUM($Q242,$S242)/1000*(SUM($J242*$J$37,$K242*$K$37,$L242*$L$37,$M242*$M$37,$N242*$N$37,$O242*$O$37))</f>
        <v>14883.5779284771</v>
      </c>
      <c r="U242" s="157" t="n">
        <f aca="false">+SUM($Q242,$R242)/1000*(SUM(0))</f>
        <v>0</v>
      </c>
      <c r="W242" s="158" t="n">
        <f aca="false">IF($B242=" ",0,1)*(IF($B242&gt;=W$25,1,0)*IF($B242&lt;=W$29,W$27,IF($B242&lt;=W$33,W$31,0))*($D242-$D241)*365/1000)</f>
        <v>486.66666666667</v>
      </c>
      <c r="X242" s="158" t="n">
        <f aca="false">IF($B242=" ",0,IF($B242&gt;=X$25,IF($B242&lt;=X$29,X$27,IF($B242&lt;=X$33,X$31,X$31*(1+X$38)^(IF(X$36&gt;$B242,-1,1)*(YEARFRAC($B242,X$36)))))*($D242-$D241)*365/1000,0))</f>
        <v>462.769576426549</v>
      </c>
      <c r="Y242" s="159" t="n">
        <f aca="false">IF($B242=" ",0,Y$25*(1+Y$30)^(IF(Y$28&gt;$B242,-1,1)*(YEARFRAC($B242,Y$28))))</f>
        <v>0.581688580012984</v>
      </c>
      <c r="Z242" s="159" t="n">
        <f aca="false">IF($B242=" ",0,Z$25*(1+Z$30)^(IF(Z$28&gt;$B242,-1,1)*(YEARFRAC($B242,Z$28))))</f>
        <v>0.55529675401532</v>
      </c>
      <c r="AA242" s="162" t="n">
        <f aca="false">+W242+X242+Z242*SUM($J242*$J$37,$L242*$L$37,$N242*$N$37)/1000</f>
        <v>949.436243093219</v>
      </c>
      <c r="AB242" s="161"/>
      <c r="AC242" s="158" t="n">
        <f aca="false">IF($B242=" ",0,1)*(IF($B242&gt;=AC$25,1,0)*IF($B242&lt;=AC$29,AC$27,IF($B242&lt;=AC$33,AC$31,0))*($D242-$D241)*365/1000)</f>
        <v>1591.66666666668</v>
      </c>
      <c r="AD242" s="158" t="n">
        <f aca="false">IF($B242=" ",0,IF($B242&gt;=AD$25,IF($B242&lt;=AD$29,AD$27,IF($B242&lt;=AD$33,AD$31,AD$31*(1+AD$38)^(IF(AD$36&gt;$B242,-1,1)*(YEARFRAC($B242,AD$36)))))*($D242-$D241)*365/1000,0))</f>
        <v>411.966108612468</v>
      </c>
      <c r="AE242" s="159" t="n">
        <f aca="false">IF($B242=" ",0,AE$25*(1+AE$30)^(IF(AE$28&gt;$B242,-1,1)*(YEARFRAC($B242,AE$28))))</f>
        <v>0.48192591306118</v>
      </c>
      <c r="AF242" s="159" t="n">
        <f aca="false">IF($B242=" ",0,AF$25*(1+AF$30)^(IF(AF$28&gt;$B242,-1,1)*(YEARFRAC($B242,AF$28))))</f>
        <v>0.172913924683071</v>
      </c>
      <c r="AG242" s="162" t="n">
        <f aca="false">+AC242+AD242+AF242*SUM($K242*$K$37,$M242*$M$37,$O242*$O$37)/1000</f>
        <v>2861.49206625892</v>
      </c>
      <c r="AI242" s="158" t="n">
        <f aca="false">IF($B242=" ",0,1)*IF($B242&gt;=AI$33,AI$25*($D242-$D241),0)</f>
        <v>485.186570908337</v>
      </c>
      <c r="AJ242" s="158" t="n">
        <f aca="false">IF($B242=" ",0,IF($B242&gt;=AJ$33,AJ$25*(1+AJ$30)^(IF(AJ$28&gt;$B242,-1,1)*(YEARFRAC($B242,AJ$28)))*($D242-$D241),0))</f>
        <v>569.871361248646</v>
      </c>
      <c r="AK242" s="159" t="n">
        <f aca="false">IF($B242=" ",0,AK$25*(1+AK$30)^(IF(AK$28&gt;$B242,-1,1)*(YEARFRAC($B242,AK$28))))</f>
        <v>0.0325689313620016</v>
      </c>
      <c r="AL242" s="159" t="n">
        <f aca="false">IF($B242=" ",0,AL$25*AL$28)</f>
        <v>0.0575</v>
      </c>
      <c r="AM242" s="162" t="n">
        <f aca="false">+AI242+AJ242+SUM(AK242:AL242)*SUM($J242*$J$37,$K242*$K$37,$L242*$L$37,$M242*$M$37,$N242*$N$37,$O242*$O$37)/1000</f>
        <v>1501.90725177732</v>
      </c>
      <c r="AO242" s="163" t="n">
        <f aca="false">IF($B242=" ",0,$AO$25)</f>
        <v>0.25</v>
      </c>
      <c r="AP242" s="159" t="n">
        <f aca="false">IF($B242=" ",0,AP$25*AP$28)</f>
        <v>0.03105</v>
      </c>
      <c r="AQ242" s="162" t="n">
        <f aca="false">SUM(AO242:AP242)*SUM(0)/1000</f>
        <v>0</v>
      </c>
      <c r="AS242" s="155" t="n">
        <f aca="false">IF($B242=" ",0,AS$25)</f>
        <v>1</v>
      </c>
      <c r="AT242" s="156" t="n">
        <f aca="false">IF($B242=" ",0,AT$25)</f>
        <v>1</v>
      </c>
      <c r="AU242" s="156" t="n">
        <f aca="false">IF($B242=" ",0,AU$25)</f>
        <v>2.3</v>
      </c>
      <c r="AV242" s="157" t="n">
        <f aca="false">+AS242*SUM(J242:K242)/1000</f>
        <v>0</v>
      </c>
      <c r="AW242" s="157" t="n">
        <f aca="false">+AT242*SUM(L242:M242)/1000</f>
        <v>0</v>
      </c>
      <c r="AX242" s="157" t="n">
        <f aca="false">+AU242*SUM(N242:O242)/1000</f>
        <v>11537.9859375</v>
      </c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</row>
    <row r="243" customFormat="false" ht="12.75" hidden="true" customHeight="false" outlineLevel="1" collapsed="false">
      <c r="A243" s="164" t="n">
        <f aca="false">+IF(B243=" ",A242,B243)</f>
        <v>42675</v>
      </c>
      <c r="B243" s="148" t="n">
        <f aca="false">IF(B242=" "," ",IF(EDATE(B242,1)&gt;=EndDate," ",EDATE(B242,1)))</f>
        <v>42675</v>
      </c>
      <c r="C243" s="149" t="n">
        <f aca="false">IF($B243&lt;&gt;" ",C242+1,C242)</f>
        <v>193</v>
      </c>
      <c r="D243" s="150" t="n">
        <f aca="false">C243/12</f>
        <v>16.0833333333333</v>
      </c>
      <c r="F243" s="157" t="n">
        <f aca="false">+SUM($T243:$U243)</f>
        <v>14883.5779284771</v>
      </c>
      <c r="G243" s="152" t="n">
        <f aca="false">-SUM($AA243,$AG243,$AM243,$AQ243,$AV243:$AX243)</f>
        <v>-16853.9672904451</v>
      </c>
      <c r="H243" s="152" t="n">
        <f aca="false">+SUM(F243:G243)</f>
        <v>-1970.38936196798</v>
      </c>
      <c r="I243" s="124"/>
      <c r="J243" s="153" t="n">
        <f aca="false">+IF($B243=" ",0,IF(AND($B243&gt;=J$26,$B243&lt;J$28),J$33,0))</f>
        <v>0</v>
      </c>
      <c r="K243" s="153" t="n">
        <f aca="false">+IF($B243=" ",0,IF(AND($B243&gt;=K$26,$B243&lt;K$28),K$33,0))</f>
        <v>0</v>
      </c>
      <c r="L243" s="153" t="n">
        <f aca="false">+IF($B243=" ",0,IF(AND($B243&gt;=L$26,$B243&lt;L$28),L$33,0))</f>
        <v>0</v>
      </c>
      <c r="M243" s="153" t="n">
        <f aca="false">+IF($B243=" ",0,IF(AND($B243&gt;=M$26,$B243&lt;M$28),M$33,0))</f>
        <v>0</v>
      </c>
      <c r="N243" s="153" t="n">
        <f aca="false">+IF($B243=" ",0,IF(AND($B243&gt;=N$26,$B243&lt;N$28),N$33,0))</f>
        <v>0</v>
      </c>
      <c r="O243" s="154" t="n">
        <f aca="false">+IF($B243=" ",0,IF(AND($B243&gt;=O$26,$B243&lt;O$28),O$33,0))</f>
        <v>5016515.625</v>
      </c>
      <c r="Q243" s="83" t="n">
        <f aca="false">IF($B243=" ",0,IF($B243&lt;=DATE(2003,12,31),3.55,2.9))</f>
        <v>2.9</v>
      </c>
      <c r="R243" s="155" t="n">
        <f aca="false">IF($B243=" ",0,R$25)</f>
        <v>-0.07</v>
      </c>
      <c r="S243" s="156" t="n">
        <f aca="false">IF($B243=" ",0,S$25)</f>
        <v>0.1</v>
      </c>
      <c r="T243" s="157" t="n">
        <f aca="false">+SUM($Q243,$S243)/1000*(SUM($J243*$J$37,$K243*$K$37,$L243*$L$37,$M243*$M$37,$N243*$N$37,$O243*$O$37))</f>
        <v>14883.5779284771</v>
      </c>
      <c r="U243" s="157" t="n">
        <f aca="false">+SUM($Q243,$R243)/1000*(SUM(0))</f>
        <v>0</v>
      </c>
      <c r="W243" s="158" t="n">
        <f aca="false">IF($B243=" ",0,1)*(IF($B243&gt;=W$25,1,0)*IF($B243&lt;=W$29,W$27,IF($B243&lt;=W$33,W$31,0))*($D243-$D242)*365/1000)</f>
        <v>486.66666666666</v>
      </c>
      <c r="X243" s="158" t="n">
        <f aca="false">IF($B243=" ",0,IF($B243&gt;=X$25,IF($B243&lt;=X$29,X$27,IF($B243&lt;=X$33,X$31,X$31*(1+X$38)^(IF(X$36&gt;$B243,-1,1)*(YEARFRAC($B243,X$36)))))*($D243-$D242)*365/1000,0))</f>
        <v>463.407453817065</v>
      </c>
      <c r="Y243" s="159" t="n">
        <f aca="false">IF($B243=" ",0,Y$25*(1+Y$30)^(IF(Y$28&gt;$B243,-1,1)*(YEARFRAC($B243,Y$28))))</f>
        <v>0.582490374280409</v>
      </c>
      <c r="Z243" s="159" t="n">
        <f aca="false">IF($B243=" ",0,Z$25*(1+Z$30)^(IF(Z$28&gt;$B243,-1,1)*(YEARFRAC($B243,Z$28))))</f>
        <v>0.556062170028953</v>
      </c>
      <c r="AA243" s="162" t="n">
        <f aca="false">+W243+X243+Z243*SUM($J243*$J$37,$L243*$L$37,$N243*$N$37)/1000</f>
        <v>950.074120483725</v>
      </c>
      <c r="AB243" s="161"/>
      <c r="AC243" s="158" t="n">
        <f aca="false">IF($B243=" ",0,1)*(IF($B243&gt;=AC$25,1,0)*IF($B243&lt;=AC$29,AC$27,IF($B243&lt;=AC$33,AC$31,0))*($D243-$D242)*365/1000)</f>
        <v>1591.66666666664</v>
      </c>
      <c r="AD243" s="158" t="n">
        <f aca="false">IF($B243=" ",0,IF($B243&gt;=AD$25,IF($B243&lt;=AD$29,AD$27,IF($B243&lt;=AD$33,AD$31,AD$31*(1+AD$38)^(IF(AD$36&gt;$B243,-1,1)*(YEARFRAC($B243,AD$36)))))*($D243-$D242)*365/1000,0))</f>
        <v>412.533958963332</v>
      </c>
      <c r="AE243" s="159" t="n">
        <f aca="false">IF($B243=" ",0,AE$25*(1+AE$30)^(IF(AE$28&gt;$B243,-1,1)*(YEARFRAC($B243,AE$28))))</f>
        <v>0.482590195372528</v>
      </c>
      <c r="AF243" s="159" t="n">
        <f aca="false">IF($B243=" ",0,AF$25*(1+AF$30)^(IF(AF$28&gt;$B243,-1,1)*(YEARFRAC($B243,AF$28))))</f>
        <v>0.173152267669907</v>
      </c>
      <c r="AG243" s="162" t="n">
        <f aca="false">+AC243+AD243+AF243*SUM($K243*$K$37,$M243*$M$37,$O243*$O$37)/1000</f>
        <v>2863.24238208251</v>
      </c>
      <c r="AI243" s="158" t="n">
        <f aca="false">IF($B243=" ",0,1)*IF($B243&gt;=AI$33,AI$25*($D243-$D242),0)</f>
        <v>485.186570908327</v>
      </c>
      <c r="AJ243" s="158" t="n">
        <f aca="false">IF($B243=" ",0,IF($B243&gt;=AJ$33,AJ$25*(1+AJ$30)^(IF(AJ$28&gt;$B243,-1,1)*(YEARFRAC($B243,AJ$28)))*($D243-$D242),0))</f>
        <v>570.461603239938</v>
      </c>
      <c r="AK243" s="159" t="n">
        <f aca="false">IF($B243=" ",0,AK$25*(1+AK$30)^(IF(AK$28&gt;$B243,-1,1)*(YEARFRAC($B243,AK$28))))</f>
        <v>0.0326026645028627</v>
      </c>
      <c r="AL243" s="159" t="n">
        <f aca="false">IF($B243=" ",0,AL$25*AL$28)</f>
        <v>0.0575</v>
      </c>
      <c r="AM243" s="162" t="n">
        <f aca="false">+AI243+AJ243+SUM(AK243:AL243)*SUM($J243*$J$37,$K243*$K$37,$L243*$L$37,$M243*$M$37,$N243*$N$37,$O243*$O$37)/1000</f>
        <v>1502.66485037886</v>
      </c>
      <c r="AO243" s="163" t="n">
        <f aca="false">IF($B243=" ",0,$AO$25)</f>
        <v>0.25</v>
      </c>
      <c r="AP243" s="159" t="n">
        <f aca="false">IF($B243=" ",0,AP$25*AP$28)</f>
        <v>0.03105</v>
      </c>
      <c r="AQ243" s="162" t="n">
        <f aca="false">SUM(AO243:AP243)*SUM(0)/1000</f>
        <v>0</v>
      </c>
      <c r="AS243" s="155" t="n">
        <f aca="false">IF($B243=" ",0,AS$25)</f>
        <v>1</v>
      </c>
      <c r="AT243" s="156" t="n">
        <f aca="false">IF($B243=" ",0,AT$25)</f>
        <v>1</v>
      </c>
      <c r="AU243" s="156" t="n">
        <f aca="false">IF($B243=" ",0,AU$25)</f>
        <v>2.3</v>
      </c>
      <c r="AV243" s="157" t="n">
        <f aca="false">+AS243*SUM(J243:K243)/1000</f>
        <v>0</v>
      </c>
      <c r="AW243" s="157" t="n">
        <f aca="false">+AT243*SUM(L243:M243)/1000</f>
        <v>0</v>
      </c>
      <c r="AX243" s="157" t="n">
        <f aca="false">+AU243*SUM(N243:O243)/1000</f>
        <v>11537.9859375</v>
      </c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</row>
    <row r="244" customFormat="false" ht="12.75" hidden="true" customHeight="false" outlineLevel="1" collapsed="false">
      <c r="A244" s="164" t="n">
        <f aca="false">+IF(B244=" ",A243,B244)</f>
        <v>42705</v>
      </c>
      <c r="B244" s="148" t="n">
        <f aca="false">IF(B243=" "," ",IF(EDATE(B243,1)&gt;=EndDate," ",EDATE(B243,1)))</f>
        <v>42705</v>
      </c>
      <c r="C244" s="149" t="n">
        <f aca="false">IF($B244&lt;&gt;" ",C243+1,C243)</f>
        <v>194</v>
      </c>
      <c r="D244" s="150" t="n">
        <f aca="false">C244/12</f>
        <v>16.1666666666667</v>
      </c>
      <c r="F244" s="157" t="n">
        <f aca="false">+SUM($T244:$U244)</f>
        <v>14883.5779284771</v>
      </c>
      <c r="G244" s="152" t="n">
        <f aca="false">-SUM($AA244,$AG244,$AM244,$AQ244,$AV244:$AX244)</f>
        <v>-16857.1171588046</v>
      </c>
      <c r="H244" s="152" t="n">
        <f aca="false">+SUM(F244:G244)</f>
        <v>-1973.53923032749</v>
      </c>
      <c r="I244" s="124"/>
      <c r="J244" s="153" t="n">
        <f aca="false">+IF($B244=" ",0,IF(AND($B244&gt;=J$26,$B244&lt;J$28),J$33,0))</f>
        <v>0</v>
      </c>
      <c r="K244" s="153" t="n">
        <f aca="false">+IF($B244=" ",0,IF(AND($B244&gt;=K$26,$B244&lt;K$28),K$33,0))</f>
        <v>0</v>
      </c>
      <c r="L244" s="153" t="n">
        <f aca="false">+IF($B244=" ",0,IF(AND($B244&gt;=L$26,$B244&lt;L$28),L$33,0))</f>
        <v>0</v>
      </c>
      <c r="M244" s="153" t="n">
        <f aca="false">+IF($B244=" ",0,IF(AND($B244&gt;=M$26,$B244&lt;M$28),M$33,0))</f>
        <v>0</v>
      </c>
      <c r="N244" s="153" t="n">
        <f aca="false">+IF($B244=" ",0,IF(AND($B244&gt;=N$26,$B244&lt;N$28),N$33,0))</f>
        <v>0</v>
      </c>
      <c r="O244" s="154" t="n">
        <f aca="false">+IF($B244=" ",0,IF(AND($B244&gt;=O$26,$B244&lt;O$28),O$33,0))</f>
        <v>5016515.625</v>
      </c>
      <c r="Q244" s="83" t="n">
        <f aca="false">IF($B244=" ",0,IF($B244&lt;=DATE(2003,12,31),3.55,2.9))</f>
        <v>2.9</v>
      </c>
      <c r="R244" s="155" t="n">
        <f aca="false">IF($B244=" ",0,R$25)</f>
        <v>-0.07</v>
      </c>
      <c r="S244" s="156" t="n">
        <f aca="false">IF($B244=" ",0,S$25)</f>
        <v>0.1</v>
      </c>
      <c r="T244" s="157" t="n">
        <f aca="false">+SUM($Q244,$S244)/1000*(SUM($J244*$J$37,$K244*$K$37,$L244*$L$37,$M244*$M$37,$N244*$N$37,$O244*$O$37))</f>
        <v>14883.5779284771</v>
      </c>
      <c r="U244" s="157" t="n">
        <f aca="false">+SUM($Q244,$R244)/1000*(SUM(0))</f>
        <v>0</v>
      </c>
      <c r="W244" s="158" t="n">
        <f aca="false">IF($B244=" ",0,1)*(IF($B244&gt;=W$25,1,0)*IF($B244&lt;=W$29,W$27,IF($B244&lt;=W$33,W$31,0))*($D244-$D243)*365/1000)</f>
        <v>486.666666666681</v>
      </c>
      <c r="X244" s="158" t="n">
        <f aca="false">IF($B244=" ",0,IF($B244&gt;=X$25,IF($B244&lt;=X$29,X$27,IF($B244&lt;=X$33,X$31,X$31*(1+X$38)^(IF(X$36&gt;$B244,-1,1)*(YEARFRAC($B244,X$36)))))*($D244-$D243)*365/1000,0))</f>
        <v>464.046210452026</v>
      </c>
      <c r="Y244" s="159" t="n">
        <f aca="false">IF($B244=" ",0,Y$25*(1+Y$30)^(IF(Y$28&gt;$B244,-1,1)*(YEARFRAC($B244,Y$28))))</f>
        <v>0.583293273733787</v>
      </c>
      <c r="Z244" s="159" t="n">
        <f aca="false">IF($B244=" ",0,Z$25*(1+Z$30)^(IF(Z$28&gt;$B244,-1,1)*(YEARFRAC($B244,Z$28))))</f>
        <v>0.556828641085083</v>
      </c>
      <c r="AA244" s="162" t="n">
        <f aca="false">+W244+X244+Z244*SUM($J244*$J$37,$L244*$L$37,$N244*$N$37)/1000</f>
        <v>950.712877118706</v>
      </c>
      <c r="AB244" s="161"/>
      <c r="AC244" s="158" t="n">
        <f aca="false">IF($B244=" ",0,1)*(IF($B244&gt;=AC$25,1,0)*IF($B244&lt;=AC$29,AC$27,IF($B244&lt;=AC$33,AC$31,0))*($D244-$D243)*365/1000)</f>
        <v>1591.66666666671</v>
      </c>
      <c r="AD244" s="158" t="n">
        <f aca="false">IF($B244=" ",0,IF($B244&gt;=AD$25,IF($B244&lt;=AD$29,AD$27,IF($B244&lt;=AD$33,AD$31,AD$31*(1+AD$38)^(IF(AD$36&gt;$B244,-1,1)*(YEARFRAC($B244,AD$36)))))*($D244-$D243)*365/1000,0))</f>
        <v>413.102592034</v>
      </c>
      <c r="AE244" s="159" t="n">
        <f aca="false">IF($B244=" ",0,AE$25*(1+AE$30)^(IF(AE$28&gt;$B244,-1,1)*(YEARFRAC($B244,AE$28))))</f>
        <v>0.483255393324595</v>
      </c>
      <c r="AF244" s="159" t="n">
        <f aca="false">IF($B244=" ",0,AF$25*(1+AF$30)^(IF(AF$28&gt;$B244,-1,1)*(YEARFRAC($B244,AF$28))))</f>
        <v>0.173390939186557</v>
      </c>
      <c r="AG244" s="162" t="n">
        <f aca="false">+AC244+AD244+AF244*SUM($K244*$K$37,$M244*$M$37,$O244*$O$37)/1000</f>
        <v>2864.9951105257</v>
      </c>
      <c r="AI244" s="158" t="n">
        <f aca="false">IF($B244=" ",0,1)*IF($B244&gt;=AI$33,AI$25*($D244-$D243),0)</f>
        <v>485.186570908347</v>
      </c>
      <c r="AJ244" s="158" t="n">
        <f aca="false">IF($B244=" ",0,IF($B244&gt;=AJ$33,AJ$25*(1+AJ$30)^(IF(AJ$28&gt;$B244,-1,1)*(YEARFRAC($B244,AJ$28)))*($D244-$D243),0))</f>
        <v>571.052456572056</v>
      </c>
      <c r="AK244" s="159" t="n">
        <f aca="false">IF($B244=" ",0,AK$25*(1+AK$30)^(IF(AK$28&gt;$B244,-1,1)*(YEARFRAC($B244,AK$28))))</f>
        <v>0.0326364325826901</v>
      </c>
      <c r="AL244" s="159" t="n">
        <f aca="false">IF($B244=" ",0,AL$25*AL$28)</f>
        <v>0.0575</v>
      </c>
      <c r="AM244" s="162" t="n">
        <f aca="false">+AI244+AJ244+SUM(AK244:AL244)*SUM($J244*$J$37,$K244*$K$37,$L244*$L$37,$M244*$M$37,$N244*$N$37,$O244*$O$37)/1000</f>
        <v>1503.4232336602</v>
      </c>
      <c r="AO244" s="163" t="n">
        <f aca="false">IF($B244=" ",0,$AO$25)</f>
        <v>0.25</v>
      </c>
      <c r="AP244" s="159" t="n">
        <f aca="false">IF($B244=" ",0,AP$25*AP$28)</f>
        <v>0.03105</v>
      </c>
      <c r="AQ244" s="162" t="n">
        <f aca="false">SUM(AO244:AP244)*SUM(0)/1000</f>
        <v>0</v>
      </c>
      <c r="AS244" s="155" t="n">
        <f aca="false">IF($B244=" ",0,AS$25)</f>
        <v>1</v>
      </c>
      <c r="AT244" s="156" t="n">
        <f aca="false">IF($B244=" ",0,AT$25)</f>
        <v>1</v>
      </c>
      <c r="AU244" s="156" t="n">
        <f aca="false">IF($B244=" ",0,AU$25)</f>
        <v>2.3</v>
      </c>
      <c r="AV244" s="157" t="n">
        <f aca="false">+AS244*SUM(J244:K244)/1000</f>
        <v>0</v>
      </c>
      <c r="AW244" s="157" t="n">
        <f aca="false">+AT244*SUM(L244:M244)/1000</f>
        <v>0</v>
      </c>
      <c r="AX244" s="157" t="n">
        <f aca="false">+AU244*SUM(N244:O244)/1000</f>
        <v>11537.9859375</v>
      </c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</row>
    <row r="245" customFormat="false" ht="12.75" hidden="true" customHeight="false" outlineLevel="1" collapsed="false">
      <c r="A245" s="164" t="n">
        <f aca="false">+IF(B245=" ",A244,B245)</f>
        <v>42736</v>
      </c>
      <c r="B245" s="148" t="n">
        <f aca="false">IF(B244=" "," ",IF(EDATE(B244,1)&gt;=EndDate," ",EDATE(B244,1)))</f>
        <v>42736</v>
      </c>
      <c r="C245" s="149" t="n">
        <f aca="false">IF($B245&lt;&gt;" ",C244+1,C244)</f>
        <v>195</v>
      </c>
      <c r="D245" s="150" t="n">
        <f aca="false">C245/12</f>
        <v>16.25</v>
      </c>
      <c r="F245" s="157" t="n">
        <f aca="false">+SUM($T245:$U245)</f>
        <v>14883.5779284771</v>
      </c>
      <c r="G245" s="152" t="n">
        <f aca="false">-SUM($AA245,$AG245,$AM245,$AQ245,$AV245:$AX245)</f>
        <v>-16860.2711090576</v>
      </c>
      <c r="H245" s="152" t="n">
        <f aca="false">+SUM(F245:G245)</f>
        <v>-1976.69318058048</v>
      </c>
      <c r="I245" s="124"/>
      <c r="J245" s="153" t="n">
        <f aca="false">+IF($B245=" ",0,IF(AND($B245&gt;=J$26,$B245&lt;J$28),J$33,0))</f>
        <v>0</v>
      </c>
      <c r="K245" s="153" t="n">
        <f aca="false">+IF($B245=" ",0,IF(AND($B245&gt;=K$26,$B245&lt;K$28),K$33,0))</f>
        <v>0</v>
      </c>
      <c r="L245" s="153" t="n">
        <f aca="false">+IF($B245=" ",0,IF(AND($B245&gt;=L$26,$B245&lt;L$28),L$33,0))</f>
        <v>0</v>
      </c>
      <c r="M245" s="153" t="n">
        <f aca="false">+IF($B245=" ",0,IF(AND($B245&gt;=M$26,$B245&lt;M$28),M$33,0))</f>
        <v>0</v>
      </c>
      <c r="N245" s="153" t="n">
        <f aca="false">+IF($B245=" ",0,IF(AND($B245&gt;=N$26,$B245&lt;N$28),N$33,0))</f>
        <v>0</v>
      </c>
      <c r="O245" s="154" t="n">
        <f aca="false">+IF($B245=" ",0,IF(AND($B245&gt;=O$26,$B245&lt;O$28),O$33,0))</f>
        <v>5016515.625</v>
      </c>
      <c r="Q245" s="83" t="n">
        <f aca="false">IF($B245=" ",0,IF($B245&lt;=DATE(2003,12,31),3.55,2.9))</f>
        <v>2.9</v>
      </c>
      <c r="R245" s="155" t="n">
        <f aca="false">IF($B245=" ",0,R$25)</f>
        <v>-0.07</v>
      </c>
      <c r="S245" s="156" t="n">
        <f aca="false">IF($B245=" ",0,S$25)</f>
        <v>0.1</v>
      </c>
      <c r="T245" s="157" t="n">
        <f aca="false">+SUM($Q245,$S245)/1000*(SUM($J245*$J$37,$K245*$K$37,$L245*$L$37,$M245*$M$37,$N245*$N$37,$O245*$O$37))</f>
        <v>14883.5779284771</v>
      </c>
      <c r="U245" s="157" t="n">
        <f aca="false">+SUM($Q245,$R245)/1000*(SUM(0))</f>
        <v>0</v>
      </c>
      <c r="W245" s="158" t="n">
        <f aca="false">IF($B245=" ",0,1)*(IF($B245&gt;=W$25,1,0)*IF($B245&lt;=W$29,W$27,IF($B245&lt;=W$33,W$31,0))*($D245-$D244)*365/1000)</f>
        <v>486.66666666666</v>
      </c>
      <c r="X245" s="158" t="n">
        <f aca="false">IF($B245=" ",0,IF($B245&gt;=X$25,IF($B245&lt;=X$29,X$27,IF($B245&lt;=X$33,X$31,X$31*(1+X$38)^(IF(X$36&gt;$B245,-1,1)*(YEARFRAC($B245,X$36)))))*($D245-$D244)*365/1000,0))</f>
        <v>464.685847543304</v>
      </c>
      <c r="Y245" s="159" t="n">
        <f aca="false">IF($B245=" ",0,Y$25*(1+Y$30)^(IF(Y$28&gt;$B245,-1,1)*(YEARFRAC($B245,Y$28))))</f>
        <v>0.584097279896495</v>
      </c>
      <c r="Z245" s="159" t="n">
        <f aca="false">IF($B245=" ",0,Z$25*(1+Z$30)^(IF(Z$28&gt;$B245,-1,1)*(YEARFRAC($B245,Z$28))))</f>
        <v>0.55759616863797</v>
      </c>
      <c r="AA245" s="162" t="n">
        <f aca="false">+W245+X245+Z245*SUM($J245*$J$37,$L245*$L$37,$N245*$N$37)/1000</f>
        <v>951.352514209963</v>
      </c>
      <c r="AB245" s="161"/>
      <c r="AC245" s="158" t="n">
        <f aca="false">IF($B245=" ",0,1)*(IF($B245&gt;=AC$25,1,0)*IF($B245&lt;=AC$29,AC$27,IF($B245&lt;=AC$33,AC$31,0))*($D245-$D244)*365/1000)</f>
        <v>1591.66666666664</v>
      </c>
      <c r="AD245" s="158" t="n">
        <f aca="false">IF($B245=" ",0,IF($B245&gt;=AD$25,IF($B245&lt;=AD$29,AD$27,IF($B245&lt;=AD$33,AD$31,AD$31*(1+AD$38)^(IF(AD$36&gt;$B245,-1,1)*(YEARFRAC($B245,AD$36)))))*($D245-$D244)*365/1000,0))</f>
        <v>413.672008903304</v>
      </c>
      <c r="AE245" s="159" t="n">
        <f aca="false">IF($B245=" ",0,AE$25*(1+AE$30)^(IF(AE$28&gt;$B245,-1,1)*(YEARFRAC($B245,AE$28))))</f>
        <v>0.48392150817949</v>
      </c>
      <c r="AF245" s="159" t="n">
        <f aca="false">IF($B245=" ",0,AF$25*(1+AF$30)^(IF(AF$28&gt;$B245,-1,1)*(YEARFRAC($B245,AF$28))))</f>
        <v>0.173629939685862</v>
      </c>
      <c r="AG245" s="162" t="n">
        <f aca="false">+AC245+AD245+AF245*SUM($K245*$K$37,$M245*$M$37,$O245*$O$37)/1000</f>
        <v>2866.75025491372</v>
      </c>
      <c r="AI245" s="158" t="n">
        <f aca="false">IF($B245=" ",0,1)*IF($B245&gt;=AI$33,AI$25*($D245-$D244),0)</f>
        <v>485.186570908327</v>
      </c>
      <c r="AJ245" s="158" t="n">
        <f aca="false">IF($B245=" ",0,IF($B245&gt;=AJ$33,AJ$25*(1+AJ$30)^(IF(AJ$28&gt;$B245,-1,1)*(YEARFRAC($B245,AJ$28)))*($D245-$D244),0))</f>
        <v>571.64392187811</v>
      </c>
      <c r="AK245" s="159" t="n">
        <f aca="false">IF($B245=" ",0,AK$25*(1+AK$30)^(IF(AK$28&gt;$B245,-1,1)*(YEARFRAC($B245,AK$28))))</f>
        <v>0.0326702356376716</v>
      </c>
      <c r="AL245" s="159" t="n">
        <f aca="false">IF($B245=" ",0,AL$25*AL$28)</f>
        <v>0.0575</v>
      </c>
      <c r="AM245" s="162" t="n">
        <f aca="false">+AI245+AJ245+SUM(AK245:AL245)*SUM($J245*$J$37,$K245*$K$37,$L245*$L$37,$M245*$M$37,$N245*$N$37,$O245*$O$37)/1000</f>
        <v>1504.18240243391</v>
      </c>
      <c r="AO245" s="163" t="n">
        <f aca="false">IF($B245=" ",0,$AO$25)</f>
        <v>0.25</v>
      </c>
      <c r="AP245" s="159" t="n">
        <f aca="false">IF($B245=" ",0,AP$25*AP$28)</f>
        <v>0.03105</v>
      </c>
      <c r="AQ245" s="162" t="n">
        <f aca="false">SUM(AO245:AP245)*SUM(0)/1000</f>
        <v>0</v>
      </c>
      <c r="AS245" s="155" t="n">
        <f aca="false">IF($B245=" ",0,AS$25)</f>
        <v>1</v>
      </c>
      <c r="AT245" s="156" t="n">
        <f aca="false">IF($B245=" ",0,AT$25)</f>
        <v>1</v>
      </c>
      <c r="AU245" s="156" t="n">
        <f aca="false">IF($B245=" ",0,AU$25)</f>
        <v>2.3</v>
      </c>
      <c r="AV245" s="157" t="n">
        <f aca="false">+AS245*SUM(J245:K245)/1000</f>
        <v>0</v>
      </c>
      <c r="AW245" s="157" t="n">
        <f aca="false">+AT245*SUM(L245:M245)/1000</f>
        <v>0</v>
      </c>
      <c r="AX245" s="157" t="n">
        <f aca="false">+AU245*SUM(N245:O245)/1000</f>
        <v>11537.9859375</v>
      </c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</row>
    <row r="246" customFormat="false" ht="12.75" hidden="true" customHeight="false" outlineLevel="1" collapsed="false">
      <c r="A246" s="164" t="n">
        <f aca="false">+IF(B246=" ",A245,B246)</f>
        <v>42767</v>
      </c>
      <c r="B246" s="148" t="n">
        <f aca="false">IF(B245=" "," ",IF(EDATE(B245,1)&gt;=EndDate," ",EDATE(B245,1)))</f>
        <v>42767</v>
      </c>
      <c r="C246" s="149" t="n">
        <f aca="false">IF($B246&lt;&gt;" ",C245+1,C245)</f>
        <v>196</v>
      </c>
      <c r="D246" s="150" t="n">
        <f aca="false">C246/12</f>
        <v>16.3333333333333</v>
      </c>
      <c r="F246" s="157" t="n">
        <f aca="false">+SUM($T246:$U246)</f>
        <v>14883.5779284771</v>
      </c>
      <c r="G246" s="152" t="n">
        <f aca="false">-SUM($AA246,$AG246,$AM246,$AQ246,$AV246:$AX246)</f>
        <v>-16863.4291465619</v>
      </c>
      <c r="H246" s="152" t="n">
        <f aca="false">+SUM(F246:G246)</f>
        <v>-1979.85121808476</v>
      </c>
      <c r="I246" s="124"/>
      <c r="J246" s="153" t="n">
        <f aca="false">+IF($B246=" ",0,IF(AND($B246&gt;=J$26,$B246&lt;J$28),J$33,0))</f>
        <v>0</v>
      </c>
      <c r="K246" s="153" t="n">
        <f aca="false">+IF($B246=" ",0,IF(AND($B246&gt;=K$26,$B246&lt;K$28),K$33,0))</f>
        <v>0</v>
      </c>
      <c r="L246" s="153" t="n">
        <f aca="false">+IF($B246=" ",0,IF(AND($B246&gt;=L$26,$B246&lt;L$28),L$33,0))</f>
        <v>0</v>
      </c>
      <c r="M246" s="153" t="n">
        <f aca="false">+IF($B246=" ",0,IF(AND($B246&gt;=M$26,$B246&lt;M$28),M$33,0))</f>
        <v>0</v>
      </c>
      <c r="N246" s="153" t="n">
        <f aca="false">+IF($B246=" ",0,IF(AND($B246&gt;=N$26,$B246&lt;N$28),N$33,0))</f>
        <v>0</v>
      </c>
      <c r="O246" s="154" t="n">
        <f aca="false">+IF($B246=" ",0,IF(AND($B246&gt;=O$26,$B246&lt;O$28),O$33,0))</f>
        <v>5016515.625</v>
      </c>
      <c r="Q246" s="83" t="n">
        <f aca="false">IF($B246=" ",0,IF($B246&lt;=DATE(2003,12,31),3.55,2.9))</f>
        <v>2.9</v>
      </c>
      <c r="R246" s="155" t="n">
        <f aca="false">IF($B246=" ",0,R$25)</f>
        <v>-0.07</v>
      </c>
      <c r="S246" s="156" t="n">
        <f aca="false">IF($B246=" ",0,S$25)</f>
        <v>0.1</v>
      </c>
      <c r="T246" s="157" t="n">
        <f aca="false">+SUM($Q246,$S246)/1000*(SUM($J246*$J$37,$K246*$K$37,$L246*$L$37,$M246*$M$37,$N246*$N$37,$O246*$O$37))</f>
        <v>14883.5779284771</v>
      </c>
      <c r="U246" s="157" t="n">
        <f aca="false">+SUM($Q246,$R246)/1000*(SUM(0))</f>
        <v>0</v>
      </c>
      <c r="W246" s="158" t="n">
        <f aca="false">IF($B246=" ",0,1)*(IF($B246&gt;=W$25,1,0)*IF($B246&lt;=W$29,W$27,IF($B246&lt;=W$33,W$31,0))*($D246-$D245)*365/1000)</f>
        <v>486.66666666666</v>
      </c>
      <c r="X246" s="158" t="n">
        <f aca="false">IF($B246=" ",0,IF($B246&gt;=X$25,IF($B246&lt;=X$29,X$27,IF($B246&lt;=X$33,X$31,X$31*(1+X$38)^(IF(X$36&gt;$B246,-1,1)*(YEARFRAC($B246,X$36)))))*($D246-$D245)*365/1000,0))</f>
        <v>465.326366304572</v>
      </c>
      <c r="Y246" s="159" t="n">
        <f aca="false">IF($B246=" ",0,Y$25*(1+Y$30)^(IF(Y$28&gt;$B246,-1,1)*(YEARFRAC($B246,Y$28))))</f>
        <v>0.584902394294011</v>
      </c>
      <c r="Z246" s="159" t="n">
        <f aca="false">IF($B246=" ",0,Z$25*(1+Z$30)^(IF(Z$28&gt;$B246,-1,1)*(YEARFRAC($B246,Z$28))))</f>
        <v>0.558364754143881</v>
      </c>
      <c r="AA246" s="162" t="n">
        <f aca="false">+W246+X246+Z246*SUM($J246*$J$37,$L246*$L$37,$N246*$N$37)/1000</f>
        <v>951.993032971232</v>
      </c>
      <c r="AB246" s="161"/>
      <c r="AC246" s="158" t="n">
        <f aca="false">IF($B246=" ",0,1)*(IF($B246&gt;=AC$25,1,0)*IF($B246&lt;=AC$29,AC$27,IF($B246&lt;=AC$33,AC$31,0))*($D246-$D245)*365/1000)</f>
        <v>1591.66666666664</v>
      </c>
      <c r="AD246" s="158" t="n">
        <f aca="false">IF($B246=" ",0,IF($B246&gt;=AD$25,IF($B246&lt;=AD$29,AD$27,IF($B246&lt;=AD$33,AD$31,AD$31*(1+AD$38)^(IF(AD$36&gt;$B246,-1,1)*(YEARFRAC($B246,AD$36)))))*($D246-$D245)*365/1000,0))</f>
        <v>414.242210651678</v>
      </c>
      <c r="AE246" s="159" t="n">
        <f aca="false">IF($B246=" ",0,AE$25*(1+AE$30)^(IF(AE$28&gt;$B246,-1,1)*(YEARFRAC($B246,AE$28))))</f>
        <v>0.484588541201066</v>
      </c>
      <c r="AF246" s="159" t="n">
        <f aca="false">IF($B246=" ",0,AF$25*(1+AF$30)^(IF(AF$28&gt;$B246,-1,1)*(YEARFRAC($B246,AF$28))))</f>
        <v>0.173869269621289</v>
      </c>
      <c r="AG246" s="162" t="n">
        <f aca="false">+AC246+AD246+AF246*SUM($K246*$K$37,$M246*$M$37,$O246*$O$37)/1000</f>
        <v>2868.50781857694</v>
      </c>
      <c r="AI246" s="158" t="n">
        <f aca="false">IF($B246=" ",0,1)*IF($B246&gt;=AI$33,AI$25*($D246-$D245),0)</f>
        <v>485.186570908327</v>
      </c>
      <c r="AJ246" s="158" t="n">
        <f aca="false">IF($B246=" ",0,IF($B246&gt;=AJ$33,AJ$25*(1+AJ$30)^(IF(AJ$28&gt;$B246,-1,1)*(YEARFRAC($B246,AJ$28)))*($D246-$D245),0))</f>
        <v>572.235999792022</v>
      </c>
      <c r="AK246" s="159" t="n">
        <f aca="false">IF($B246=" ",0,AK$25*(1+AK$30)^(IF(AK$28&gt;$B246,-1,1)*(YEARFRAC($B246,AK$28))))</f>
        <v>0.0327040737040326</v>
      </c>
      <c r="AL246" s="159" t="n">
        <f aca="false">IF($B246=" ",0,AL$25*AL$28)</f>
        <v>0.0575</v>
      </c>
      <c r="AM246" s="162" t="n">
        <f aca="false">+AI246+AJ246+SUM(AK246:AL246)*SUM($J246*$J$37,$K246*$K$37,$L246*$L$37,$M246*$M$37,$N246*$N$37,$O246*$O$37)/1000</f>
        <v>1504.9423575137</v>
      </c>
      <c r="AO246" s="163" t="n">
        <f aca="false">IF($B246=" ",0,$AO$25)</f>
        <v>0.25</v>
      </c>
      <c r="AP246" s="159" t="n">
        <f aca="false">IF($B246=" ",0,AP$25*AP$28)</f>
        <v>0.03105</v>
      </c>
      <c r="AQ246" s="162" t="n">
        <f aca="false">SUM(AO246:AP246)*SUM(0)/1000</f>
        <v>0</v>
      </c>
      <c r="AS246" s="155" t="n">
        <f aca="false">IF($B246=" ",0,AS$25)</f>
        <v>1</v>
      </c>
      <c r="AT246" s="156" t="n">
        <f aca="false">IF($B246=" ",0,AT$25)</f>
        <v>1</v>
      </c>
      <c r="AU246" s="156" t="n">
        <f aca="false">IF($B246=" ",0,AU$25)</f>
        <v>2.3</v>
      </c>
      <c r="AV246" s="157" t="n">
        <f aca="false">+AS246*SUM(J246:K246)/1000</f>
        <v>0</v>
      </c>
      <c r="AW246" s="157" t="n">
        <f aca="false">+AT246*SUM(L246:M246)/1000</f>
        <v>0</v>
      </c>
      <c r="AX246" s="157" t="n">
        <f aca="false">+AU246*SUM(N246:O246)/1000</f>
        <v>11537.9859375</v>
      </c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</row>
    <row r="247" customFormat="false" ht="12.75" hidden="true" customHeight="false" outlineLevel="1" collapsed="false">
      <c r="A247" s="164" t="n">
        <f aca="false">+IF(B247=" ",A246,B247)</f>
        <v>42795</v>
      </c>
      <c r="B247" s="148" t="n">
        <f aca="false">IF(B246=" "," ",IF(EDATE(B246,1)&gt;=EndDate," ",EDATE(B246,1)))</f>
        <v>42795</v>
      </c>
      <c r="C247" s="149" t="n">
        <f aca="false">IF($B247&lt;&gt;" ",C246+1,C246)</f>
        <v>197</v>
      </c>
      <c r="D247" s="150" t="n">
        <f aca="false">C247/12</f>
        <v>16.4166666666667</v>
      </c>
      <c r="F247" s="157" t="n">
        <f aca="false">+SUM($T247:$U247)</f>
        <v>14883.5779284771</v>
      </c>
      <c r="G247" s="152" t="n">
        <f aca="false">-SUM($AA247,$AG247,$AM247,$AQ247,$AV247:$AX247)</f>
        <v>-16866.5912766819</v>
      </c>
      <c r="H247" s="152" t="n">
        <f aca="false">+SUM(F247:G247)</f>
        <v>-1983.01334820474</v>
      </c>
      <c r="I247" s="124"/>
      <c r="J247" s="153" t="n">
        <f aca="false">+IF($B247=" ",0,IF(AND($B247&gt;=J$26,$B247&lt;J$28),J$33,0))</f>
        <v>0</v>
      </c>
      <c r="K247" s="153" t="n">
        <f aca="false">+IF($B247=" ",0,IF(AND($B247&gt;=K$26,$B247&lt;K$28),K$33,0))</f>
        <v>0</v>
      </c>
      <c r="L247" s="153" t="n">
        <f aca="false">+IF($B247=" ",0,IF(AND($B247&gt;=L$26,$B247&lt;L$28),L$33,0))</f>
        <v>0</v>
      </c>
      <c r="M247" s="153" t="n">
        <f aca="false">+IF($B247=" ",0,IF(AND($B247&gt;=M$26,$B247&lt;M$28),M$33,0))</f>
        <v>0</v>
      </c>
      <c r="N247" s="153" t="n">
        <f aca="false">+IF($B247=" ",0,IF(AND($B247&gt;=N$26,$B247&lt;N$28),N$33,0))</f>
        <v>0</v>
      </c>
      <c r="O247" s="154" t="n">
        <f aca="false">+IF($B247=" ",0,IF(AND($B247&gt;=O$26,$B247&lt;O$28),O$33,0))</f>
        <v>5016515.625</v>
      </c>
      <c r="Q247" s="83" t="n">
        <f aca="false">IF($B247=" ",0,IF($B247&lt;=DATE(2003,12,31),3.55,2.9))</f>
        <v>2.9</v>
      </c>
      <c r="R247" s="155" t="n">
        <f aca="false">IF($B247=" ",0,R$25)</f>
        <v>-0.07</v>
      </c>
      <c r="S247" s="156" t="n">
        <f aca="false">IF($B247=" ",0,S$25)</f>
        <v>0.1</v>
      </c>
      <c r="T247" s="157" t="n">
        <f aca="false">+SUM($Q247,$S247)/1000*(SUM($J247*$J$37,$K247*$K$37,$L247*$L$37,$M247*$M$37,$N247*$N$37,$O247*$O$37))</f>
        <v>14883.5779284771</v>
      </c>
      <c r="U247" s="157" t="n">
        <f aca="false">+SUM($Q247,$R247)/1000*(SUM(0))</f>
        <v>0</v>
      </c>
      <c r="W247" s="158" t="n">
        <f aca="false">IF($B247=" ",0,1)*(IF($B247&gt;=W$25,1,0)*IF($B247&lt;=W$29,W$27,IF($B247&lt;=W$33,W$31,0))*($D247-$D246)*365/1000)</f>
        <v>486.666666666681</v>
      </c>
      <c r="X247" s="158" t="n">
        <f aca="false">IF($B247=" ",0,IF($B247&gt;=X$25,IF($B247&lt;=X$29,X$27,IF($B247&lt;=X$33,X$31,X$31*(1+X$38)^(IF(X$36&gt;$B247,-1,1)*(YEARFRAC($B247,X$36)))))*($D247-$D246)*365/1000,0))</f>
        <v>465.967767951116</v>
      </c>
      <c r="Y247" s="159" t="n">
        <f aca="false">IF($B247=" ",0,Y$25*(1+Y$30)^(IF(Y$28&gt;$B247,-1,1)*(YEARFRAC($B247,Y$28))))</f>
        <v>0.585708618453917</v>
      </c>
      <c r="Z247" s="159" t="n">
        <f aca="false">IF($B247=" ",0,Z$25*(1+Z$30)^(IF(Z$28&gt;$B247,-1,1)*(YEARFRAC($B247,Z$28))))</f>
        <v>0.559134399061089</v>
      </c>
      <c r="AA247" s="162" t="n">
        <f aca="false">+W247+X247+Z247*SUM($J247*$J$37,$L247*$L$37,$N247*$N$37)/1000</f>
        <v>952.634434617796</v>
      </c>
      <c r="AB247" s="161"/>
      <c r="AC247" s="158" t="n">
        <f aca="false">IF($B247=" ",0,1)*(IF($B247&gt;=AC$25,1,0)*IF($B247&lt;=AC$29,AC$27,IF($B247&lt;=AC$33,AC$31,0))*($D247-$D246)*365/1000)</f>
        <v>1591.66666666671</v>
      </c>
      <c r="AD247" s="158" t="n">
        <f aca="false">IF($B247=" ",0,IF($B247&gt;=AD$25,IF($B247&lt;=AD$29,AD$27,IF($B247&lt;=AD$33,AD$31,AD$31*(1+AD$38)^(IF(AD$36&gt;$B247,-1,1)*(YEARFRAC($B247,AD$36)))))*($D247-$D246)*365/1000,0))</f>
        <v>414.813198360993</v>
      </c>
      <c r="AE247" s="159" t="n">
        <f aca="false">IF($B247=" ",0,AE$25*(1+AE$30)^(IF(AE$28&gt;$B247,-1,1)*(YEARFRAC($B247,AE$28))))</f>
        <v>0.485256493654913</v>
      </c>
      <c r="AF247" s="159" t="n">
        <f aca="false">IF($B247=" ",0,AF$25*(1+AF$30)^(IF(AF$28&gt;$B247,-1,1)*(YEARFRAC($B247,AF$28))))</f>
        <v>0.174108929446931</v>
      </c>
      <c r="AG247" s="162" t="n">
        <f aca="false">+AC247+AD247+AF247*SUM($K247*$K$37,$M247*$M$37,$O247*$O$37)/1000</f>
        <v>2870.26780485008</v>
      </c>
      <c r="AI247" s="158" t="n">
        <f aca="false">IF($B247=" ",0,1)*IF($B247&gt;=AI$33,AI$25*($D247-$D246),0)</f>
        <v>485.186570908347</v>
      </c>
      <c r="AJ247" s="158" t="n">
        <f aca="false">IF($B247=" ",0,IF($B247&gt;=AJ$33,AJ$25*(1+AJ$30)^(IF(AJ$28&gt;$B247,-1,1)*(YEARFRAC($B247,AJ$28)))*($D247-$D246),0))</f>
        <v>572.828690948298</v>
      </c>
      <c r="AK247" s="159" t="n">
        <f aca="false">IF($B247=" ",0,AK$25*(1+AK$30)^(IF(AK$28&gt;$B247,-1,1)*(YEARFRAC($B247,AK$28))))</f>
        <v>0.0327379468180359</v>
      </c>
      <c r="AL247" s="159" t="n">
        <f aca="false">IF($B247=" ",0,AL$25*AL$28)</f>
        <v>0.0575</v>
      </c>
      <c r="AM247" s="162" t="n">
        <f aca="false">+AI247+AJ247+SUM(AK247:AL247)*SUM($J247*$J$37,$K247*$K$37,$L247*$L$37,$M247*$M$37,$N247*$N$37,$O247*$O$37)/1000</f>
        <v>1505.70309971398</v>
      </c>
      <c r="AO247" s="163" t="n">
        <f aca="false">IF($B247=" ",0,$AO$25)</f>
        <v>0.25</v>
      </c>
      <c r="AP247" s="159" t="n">
        <f aca="false">IF($B247=" ",0,AP$25*AP$28)</f>
        <v>0.03105</v>
      </c>
      <c r="AQ247" s="162" t="n">
        <f aca="false">SUM(AO247:AP247)*SUM(0)/1000</f>
        <v>0</v>
      </c>
      <c r="AS247" s="155" t="n">
        <f aca="false">IF($B247=" ",0,AS$25)</f>
        <v>1</v>
      </c>
      <c r="AT247" s="156" t="n">
        <f aca="false">IF($B247=" ",0,AT$25)</f>
        <v>1</v>
      </c>
      <c r="AU247" s="156" t="n">
        <f aca="false">IF($B247=" ",0,AU$25)</f>
        <v>2.3</v>
      </c>
      <c r="AV247" s="157" t="n">
        <f aca="false">+AS247*SUM(J247:K247)/1000</f>
        <v>0</v>
      </c>
      <c r="AW247" s="157" t="n">
        <f aca="false">+AT247*SUM(L247:M247)/1000</f>
        <v>0</v>
      </c>
      <c r="AX247" s="157" t="n">
        <f aca="false">+AU247*SUM(N247:O247)/1000</f>
        <v>11537.9859375</v>
      </c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</row>
    <row r="248" customFormat="false" ht="12.75" hidden="true" customHeight="false" outlineLevel="1" collapsed="false">
      <c r="A248" s="164" t="n">
        <f aca="false">+IF(B248=" ",A247,B248)</f>
        <v>42826</v>
      </c>
      <c r="B248" s="148" t="n">
        <f aca="false">IF(B247=" "," ",IF(EDATE(B247,1)&gt;=EndDate," ",EDATE(B247,1)))</f>
        <v>42826</v>
      </c>
      <c r="C248" s="149" t="n">
        <f aca="false">IF($B248&lt;&gt;" ",C247+1,C247)</f>
        <v>198</v>
      </c>
      <c r="D248" s="150" t="n">
        <f aca="false">C248/12</f>
        <v>16.5</v>
      </c>
      <c r="F248" s="157" t="n">
        <f aca="false">+SUM($T248:$U248)</f>
        <v>14883.5779284771</v>
      </c>
      <c r="G248" s="152" t="n">
        <f aca="false">-SUM($AA248,$AG248,$AM248,$AQ248,$AV248:$AX248)</f>
        <v>-16869.7575047885</v>
      </c>
      <c r="H248" s="152" t="n">
        <f aca="false">+SUM(F248:G248)</f>
        <v>-1986.17957631143</v>
      </c>
      <c r="I248" s="124"/>
      <c r="J248" s="153" t="n">
        <f aca="false">+IF($B248=" ",0,IF(AND($B248&gt;=J$26,$B248&lt;J$28),J$33,0))</f>
        <v>0</v>
      </c>
      <c r="K248" s="153" t="n">
        <f aca="false">+IF($B248=" ",0,IF(AND($B248&gt;=K$26,$B248&lt;K$28),K$33,0))</f>
        <v>0</v>
      </c>
      <c r="L248" s="153" t="n">
        <f aca="false">+IF($B248=" ",0,IF(AND($B248&gt;=L$26,$B248&lt;L$28),L$33,0))</f>
        <v>0</v>
      </c>
      <c r="M248" s="153" t="n">
        <f aca="false">+IF($B248=" ",0,IF(AND($B248&gt;=M$26,$B248&lt;M$28),M$33,0))</f>
        <v>0</v>
      </c>
      <c r="N248" s="153" t="n">
        <f aca="false">+IF($B248=" ",0,IF(AND($B248&gt;=N$26,$B248&lt;N$28),N$33,0))</f>
        <v>0</v>
      </c>
      <c r="O248" s="154" t="n">
        <f aca="false">+IF($B248=" ",0,IF(AND($B248&gt;=O$26,$B248&lt;O$28),O$33,0))</f>
        <v>5016515.625</v>
      </c>
      <c r="Q248" s="83" t="n">
        <f aca="false">IF($B248=" ",0,IF($B248&lt;=DATE(2003,12,31),3.55,2.9))</f>
        <v>2.9</v>
      </c>
      <c r="R248" s="155" t="n">
        <f aca="false">IF($B248=" ",0,R$25)</f>
        <v>-0.07</v>
      </c>
      <c r="S248" s="156" t="n">
        <f aca="false">IF($B248=" ",0,S$25)</f>
        <v>0.1</v>
      </c>
      <c r="T248" s="157" t="n">
        <f aca="false">+SUM($Q248,$S248)/1000*(SUM($J248*$J$37,$K248*$K$37,$L248*$L$37,$M248*$M$37,$N248*$N$37,$O248*$O$37))</f>
        <v>14883.5779284771</v>
      </c>
      <c r="U248" s="157" t="n">
        <f aca="false">+SUM($Q248,$R248)/1000*(SUM(0))</f>
        <v>0</v>
      </c>
      <c r="W248" s="158" t="n">
        <f aca="false">IF($B248=" ",0,1)*(IF($B248&gt;=W$25,1,0)*IF($B248&lt;=W$29,W$27,IF($B248&lt;=W$33,W$31,0))*($D248-$D247)*365/1000)</f>
        <v>486.66666666666</v>
      </c>
      <c r="X248" s="158" t="n">
        <f aca="false">IF($B248=" ",0,IF($B248&gt;=X$25,IF($B248&lt;=X$29,X$27,IF($B248&lt;=X$33,X$31,X$31*(1+X$38)^(IF(X$36&gt;$B248,-1,1)*(YEARFRAC($B248,X$36)))))*($D248-$D247)*365/1000,0))</f>
        <v>466.610053699838</v>
      </c>
      <c r="Y248" s="159" t="n">
        <f aca="false">IF($B248=" ",0,Y$25*(1+Y$30)^(IF(Y$28&gt;$B248,-1,1)*(YEARFRAC($B248,Y$28))))</f>
        <v>0.5865159539059</v>
      </c>
      <c r="Z248" s="159" t="n">
        <f aca="false">IF($B248=" ",0,Z$25*(1+Z$30)^(IF(Z$28&gt;$B248,-1,1)*(YEARFRAC($B248,Z$28))))</f>
        <v>0.559905104849876</v>
      </c>
      <c r="AA248" s="162" t="n">
        <f aca="false">+W248+X248+Z248*SUM($J248*$J$37,$L248*$L$37,$N248*$N$37)/1000</f>
        <v>953.276720366497</v>
      </c>
      <c r="AB248" s="161"/>
      <c r="AC248" s="158" t="n">
        <f aca="false">IF($B248=" ",0,1)*(IF($B248&gt;=AC$25,1,0)*IF($B248&lt;=AC$29,AC$27,IF($B248&lt;=AC$33,AC$31,0))*($D248-$D247)*365/1000)</f>
        <v>1591.66666666664</v>
      </c>
      <c r="AD248" s="158" t="n">
        <f aca="false">IF($B248=" ",0,IF($B248&gt;=AD$25,IF($B248&lt;=AD$29,AD$27,IF($B248&lt;=AD$33,AD$31,AD$31*(1+AD$38)^(IF(AD$36&gt;$B248,-1,1)*(YEARFRAC($B248,AD$36)))))*($D248-$D247)*365/1000,0))</f>
        <v>415.384973114557</v>
      </c>
      <c r="AE248" s="159" t="n">
        <f aca="false">IF($B248=" ",0,AE$25*(1+AE$30)^(IF(AE$28&gt;$B248,-1,1)*(YEARFRAC($B248,AE$28))))</f>
        <v>0.48592536680837</v>
      </c>
      <c r="AF248" s="159" t="n">
        <f aca="false">IF($B248=" ",0,AF$25*(1+AF$30)^(IF(AF$28&gt;$B248,-1,1)*(YEARFRAC($B248,AF$28))))</f>
        <v>0.174348919617505</v>
      </c>
      <c r="AG248" s="162" t="n">
        <f aca="false">+AC248+AD248+AF248*SUM($K248*$K$37,$M248*$M$37,$O248*$O$37)/1000</f>
        <v>2872.03021707217</v>
      </c>
      <c r="AI248" s="158" t="n">
        <f aca="false">IF($B248=" ",0,1)*IF($B248&gt;=AI$33,AI$25*($D248-$D247),0)</f>
        <v>485.186570908327</v>
      </c>
      <c r="AJ248" s="158" t="n">
        <f aca="false">IF($B248=" ",0,IF($B248&gt;=AJ$33,AJ$25*(1+AJ$30)^(IF(AJ$28&gt;$B248,-1,1)*(YEARFRAC($B248,AJ$28)))*($D248-$D247),0))</f>
        <v>573.421995982028</v>
      </c>
      <c r="AK248" s="159" t="n">
        <f aca="false">IF($B248=" ",0,AK$25*(1+AK$30)^(IF(AK$28&gt;$B248,-1,1)*(YEARFRAC($B248,AK$28))))</f>
        <v>0.0327718550159821</v>
      </c>
      <c r="AL248" s="159" t="n">
        <f aca="false">IF($B248=" ",0,AL$25*AL$28)</f>
        <v>0.0575</v>
      </c>
      <c r="AM248" s="162" t="n">
        <f aca="false">+AI248+AJ248+SUM(AK248:AL248)*SUM($J248*$J$37,$K248*$K$37,$L248*$L$37,$M248*$M$37,$N248*$N$37,$O248*$O$37)/1000</f>
        <v>1506.46462984987</v>
      </c>
      <c r="AO248" s="163" t="n">
        <f aca="false">IF($B248=" ",0,$AO$25)</f>
        <v>0.25</v>
      </c>
      <c r="AP248" s="159" t="n">
        <f aca="false">IF($B248=" ",0,AP$25*AP$28)</f>
        <v>0.03105</v>
      </c>
      <c r="AQ248" s="162" t="n">
        <f aca="false">SUM(AO248:AP248)*SUM(0)/1000</f>
        <v>0</v>
      </c>
      <c r="AS248" s="155" t="n">
        <f aca="false">IF($B248=" ",0,AS$25)</f>
        <v>1</v>
      </c>
      <c r="AT248" s="156" t="n">
        <f aca="false">IF($B248=" ",0,AT$25)</f>
        <v>1</v>
      </c>
      <c r="AU248" s="156" t="n">
        <f aca="false">IF($B248=" ",0,AU$25)</f>
        <v>2.3</v>
      </c>
      <c r="AV248" s="157" t="n">
        <f aca="false">+AS248*SUM(J248:K248)/1000</f>
        <v>0</v>
      </c>
      <c r="AW248" s="157" t="n">
        <f aca="false">+AT248*SUM(L248:M248)/1000</f>
        <v>0</v>
      </c>
      <c r="AX248" s="157" t="n">
        <f aca="false">+AU248*SUM(N248:O248)/1000</f>
        <v>11537.9859375</v>
      </c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</row>
    <row r="249" customFormat="false" ht="12.75" hidden="true" customHeight="false" outlineLevel="1" collapsed="false">
      <c r="A249" s="164" t="n">
        <f aca="false">+IF(B249=" ",A248,B249)</f>
        <v>42856</v>
      </c>
      <c r="B249" s="148" t="n">
        <f aca="false">IF(B248=" "," ",IF(EDATE(B248,1)&gt;=EndDate," ",EDATE(B248,1)))</f>
        <v>42856</v>
      </c>
      <c r="C249" s="149" t="n">
        <f aca="false">IF($B249&lt;&gt;" ",C248+1,C248)</f>
        <v>199</v>
      </c>
      <c r="D249" s="150" t="n">
        <f aca="false">C249/12</f>
        <v>16.5833333333333</v>
      </c>
      <c r="F249" s="157" t="n">
        <f aca="false">+SUM($T249:$U249)</f>
        <v>14883.5779284771</v>
      </c>
      <c r="G249" s="152" t="n">
        <f aca="false">-SUM($AA249,$AG249,$AM249,$AQ249,$AV249:$AX249)</f>
        <v>-16872.9278362611</v>
      </c>
      <c r="H249" s="152" t="n">
        <f aca="false">+SUM(F249:G249)</f>
        <v>-1989.34990778399</v>
      </c>
      <c r="I249" s="124"/>
      <c r="J249" s="153" t="n">
        <f aca="false">+IF($B249=" ",0,IF(AND($B249&gt;=J$26,$B249&lt;J$28),J$33,0))</f>
        <v>0</v>
      </c>
      <c r="K249" s="153" t="n">
        <f aca="false">+IF($B249=" ",0,IF(AND($B249&gt;=K$26,$B249&lt;K$28),K$33,0))</f>
        <v>0</v>
      </c>
      <c r="L249" s="153" t="n">
        <f aca="false">+IF($B249=" ",0,IF(AND($B249&gt;=L$26,$B249&lt;L$28),L$33,0))</f>
        <v>0</v>
      </c>
      <c r="M249" s="153" t="n">
        <f aca="false">+IF($B249=" ",0,IF(AND($B249&gt;=M$26,$B249&lt;M$28),M$33,0))</f>
        <v>0</v>
      </c>
      <c r="N249" s="153" t="n">
        <f aca="false">+IF($B249=" ",0,IF(AND($B249&gt;=N$26,$B249&lt;N$28),N$33,0))</f>
        <v>0</v>
      </c>
      <c r="O249" s="154" t="n">
        <f aca="false">+IF($B249=" ",0,IF(AND($B249&gt;=O$26,$B249&lt;O$28),O$33,0))</f>
        <v>5016515.625</v>
      </c>
      <c r="Q249" s="83" t="n">
        <f aca="false">IF($B249=" ",0,IF($B249&lt;=DATE(2003,12,31),3.55,2.9))</f>
        <v>2.9</v>
      </c>
      <c r="R249" s="155" t="n">
        <f aca="false">IF($B249=" ",0,R$25)</f>
        <v>-0.07</v>
      </c>
      <c r="S249" s="156" t="n">
        <f aca="false">IF($B249=" ",0,S$25)</f>
        <v>0.1</v>
      </c>
      <c r="T249" s="157" t="n">
        <f aca="false">+SUM($Q249,$S249)/1000*(SUM($J249*$J$37,$K249*$K$37,$L249*$L$37,$M249*$M$37,$N249*$N$37,$O249*$O$37))</f>
        <v>14883.5779284771</v>
      </c>
      <c r="U249" s="157" t="n">
        <f aca="false">+SUM($Q249,$R249)/1000*(SUM(0))</f>
        <v>0</v>
      </c>
      <c r="W249" s="158" t="n">
        <f aca="false">IF($B249=" ",0,1)*(IF($B249&gt;=W$25,1,0)*IF($B249&lt;=W$29,W$27,IF($B249&lt;=W$33,W$31,0))*($D249-$D248)*365/1000)</f>
        <v>486.66666666666</v>
      </c>
      <c r="X249" s="158" t="n">
        <f aca="false">IF($B249=" ",0,IF($B249&gt;=X$25,IF($B249&lt;=X$29,X$27,IF($B249&lt;=X$33,X$31,X$31*(1+X$38)^(IF(X$36&gt;$B249,-1,1)*(YEARFRAC($B249,X$36)))))*($D249-$D248)*365/1000,0))</f>
        <v>467.253224769435</v>
      </c>
      <c r="Y249" s="159" t="n">
        <f aca="false">IF($B249=" ",0,Y$25*(1+Y$30)^(IF(Y$28&gt;$B249,-1,1)*(YEARFRAC($B249,Y$28))))</f>
        <v>0.587324402181753</v>
      </c>
      <c r="Z249" s="159" t="n">
        <f aca="false">IF($B249=" ",0,Z$25*(1+Z$30)^(IF(Z$28&gt;$B249,-1,1)*(YEARFRAC($B249,Z$28))))</f>
        <v>0.560676872972538</v>
      </c>
      <c r="AA249" s="162" t="n">
        <f aca="false">+W249+X249+Z249*SUM($J249*$J$37,$L249*$L$37,$N249*$N$37)/1000</f>
        <v>953.919891436094</v>
      </c>
      <c r="AB249" s="161"/>
      <c r="AC249" s="158" t="n">
        <f aca="false">IF($B249=" ",0,1)*(IF($B249&gt;=AC$25,1,0)*IF($B249&lt;=AC$29,AC$27,IF($B249&lt;=AC$33,AC$31,0))*($D249-$D248)*365/1000)</f>
        <v>1591.66666666664</v>
      </c>
      <c r="AD249" s="158" t="n">
        <f aca="false">IF($B249=" ",0,IF($B249&gt;=AD$25,IF($B249&lt;=AD$29,AD$27,IF($B249&lt;=AD$33,AD$31,AD$31*(1+AD$38)^(IF(AD$36&gt;$B249,-1,1)*(YEARFRAC($B249,AD$36)))))*($D249-$D248)*365/1000,0))</f>
        <v>415.957535997277</v>
      </c>
      <c r="AE249" s="159" t="n">
        <f aca="false">IF($B249=" ",0,AE$25*(1+AE$30)^(IF(AE$28&gt;$B249,-1,1)*(YEARFRAC($B249,AE$28))))</f>
        <v>0.486595161930521</v>
      </c>
      <c r="AF249" s="159" t="n">
        <f aca="false">IF($B249=" ",0,AF$25*(1+AF$30)^(IF(AF$28&gt;$B249,-1,1)*(YEARFRAC($B249,AF$28))))</f>
        <v>0.174589240588355</v>
      </c>
      <c r="AG249" s="162" t="n">
        <f aca="false">+AC249+AD249+AF249*SUM($K249*$K$37,$M249*$M$37,$O249*$O$37)/1000</f>
        <v>2873.79505858739</v>
      </c>
      <c r="AI249" s="158" t="n">
        <f aca="false">IF($B249=" ",0,1)*IF($B249&gt;=AI$33,AI$25*($D249-$D248),0)</f>
        <v>485.186570908327</v>
      </c>
      <c r="AJ249" s="158" t="n">
        <f aca="false">IF($B249=" ",0,IF($B249&gt;=AJ$33,AJ$25*(1+AJ$30)^(IF(AJ$28&gt;$B249,-1,1)*(YEARFRAC($B249,AJ$28)))*($D249-$D248),0))</f>
        <v>574.015915529107</v>
      </c>
      <c r="AK249" s="159" t="n">
        <f aca="false">IF($B249=" ",0,AK$25*(1+AK$30)^(IF(AK$28&gt;$B249,-1,1)*(YEARFRAC($B249,AK$28))))</f>
        <v>0.0328057983342092</v>
      </c>
      <c r="AL249" s="159" t="n">
        <f aca="false">IF($B249=" ",0,AL$25*AL$28)</f>
        <v>0.0575</v>
      </c>
      <c r="AM249" s="162" t="n">
        <f aca="false">+AI249+AJ249+SUM(AK249:AL249)*SUM($J249*$J$37,$K249*$K$37,$L249*$L$37,$M249*$M$37,$N249*$N$37,$O249*$O$37)/1000</f>
        <v>1507.22694873761</v>
      </c>
      <c r="AO249" s="163" t="n">
        <f aca="false">IF($B249=" ",0,$AO$25)</f>
        <v>0.25</v>
      </c>
      <c r="AP249" s="159" t="n">
        <f aca="false">IF($B249=" ",0,AP$25*AP$28)</f>
        <v>0.03105</v>
      </c>
      <c r="AQ249" s="162" t="n">
        <f aca="false">SUM(AO249:AP249)*SUM(0)/1000</f>
        <v>0</v>
      </c>
      <c r="AS249" s="155" t="n">
        <f aca="false">IF($B249=" ",0,AS$25)</f>
        <v>1</v>
      </c>
      <c r="AT249" s="156" t="n">
        <f aca="false">IF($B249=" ",0,AT$25)</f>
        <v>1</v>
      </c>
      <c r="AU249" s="156" t="n">
        <f aca="false">IF($B249=" ",0,AU$25)</f>
        <v>2.3</v>
      </c>
      <c r="AV249" s="157" t="n">
        <f aca="false">+AS249*SUM(J249:K249)/1000</f>
        <v>0</v>
      </c>
      <c r="AW249" s="157" t="n">
        <f aca="false">+AT249*SUM(L249:M249)/1000</f>
        <v>0</v>
      </c>
      <c r="AX249" s="157" t="n">
        <f aca="false">+AU249*SUM(N249:O249)/1000</f>
        <v>11537.9859375</v>
      </c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</row>
    <row r="250" customFormat="false" ht="12.75" hidden="true" customHeight="false" outlineLevel="1" collapsed="false">
      <c r="A250" s="164" t="n">
        <f aca="false">+IF(B250=" ",A249,B250)</f>
        <v>42887</v>
      </c>
      <c r="B250" s="148" t="n">
        <f aca="false">IF(B249=" "," ",IF(EDATE(B249,1)&gt;=EndDate," ",EDATE(B249,1)))</f>
        <v>42887</v>
      </c>
      <c r="C250" s="149" t="n">
        <f aca="false">IF($B250&lt;&gt;" ",C249+1,C249)</f>
        <v>200</v>
      </c>
      <c r="D250" s="150" t="n">
        <f aca="false">C250/12</f>
        <v>16.6666666666667</v>
      </c>
      <c r="F250" s="157" t="n">
        <f aca="false">+SUM($T250:$U250)</f>
        <v>14883.5779284771</v>
      </c>
      <c r="G250" s="152" t="n">
        <f aca="false">-SUM($AA250,$AG250,$AM250,$AQ250,$AV250:$AX250)</f>
        <v>-16876.1022764853</v>
      </c>
      <c r="H250" s="152" t="n">
        <f aca="false">+SUM(F250:G250)</f>
        <v>-1992.52434800819</v>
      </c>
      <c r="I250" s="124"/>
      <c r="J250" s="153" t="n">
        <f aca="false">+IF($B250=" ",0,IF(AND($B250&gt;=J$26,$B250&lt;J$28),J$33,0))</f>
        <v>0</v>
      </c>
      <c r="K250" s="153" t="n">
        <f aca="false">+IF($B250=" ",0,IF(AND($B250&gt;=K$26,$B250&lt;K$28),K$33,0))</f>
        <v>0</v>
      </c>
      <c r="L250" s="153" t="n">
        <f aca="false">+IF($B250=" ",0,IF(AND($B250&gt;=L$26,$B250&lt;L$28),L$33,0))</f>
        <v>0</v>
      </c>
      <c r="M250" s="153" t="n">
        <f aca="false">+IF($B250=" ",0,IF(AND($B250&gt;=M$26,$B250&lt;M$28),M$33,0))</f>
        <v>0</v>
      </c>
      <c r="N250" s="153" t="n">
        <f aca="false">+IF($B250=" ",0,IF(AND($B250&gt;=N$26,$B250&lt;N$28),N$33,0))</f>
        <v>0</v>
      </c>
      <c r="O250" s="154" t="n">
        <f aca="false">+IF($B250=" ",0,IF(AND($B250&gt;=O$26,$B250&lt;O$28),O$33,0))</f>
        <v>5016515.625</v>
      </c>
      <c r="Q250" s="83" t="n">
        <f aca="false">IF($B250=" ",0,IF($B250&lt;=DATE(2003,12,31),3.55,2.9))</f>
        <v>2.9</v>
      </c>
      <c r="R250" s="155" t="n">
        <f aca="false">IF($B250=" ",0,R$25)</f>
        <v>-0.07</v>
      </c>
      <c r="S250" s="156" t="n">
        <f aca="false">IF($B250=" ",0,S$25)</f>
        <v>0.1</v>
      </c>
      <c r="T250" s="157" t="n">
        <f aca="false">+SUM($Q250,$S250)/1000*(SUM($J250*$J$37,$K250*$K$37,$L250*$L$37,$M250*$M$37,$N250*$N$37,$O250*$O$37))</f>
        <v>14883.5779284771</v>
      </c>
      <c r="U250" s="157" t="n">
        <f aca="false">+SUM($Q250,$R250)/1000*(SUM(0))</f>
        <v>0</v>
      </c>
      <c r="W250" s="158" t="n">
        <f aca="false">IF($B250=" ",0,1)*(IF($B250&gt;=W$25,1,0)*IF($B250&lt;=W$29,W$27,IF($B250&lt;=W$33,W$31,0))*($D250-$D249)*365/1000)</f>
        <v>486.666666666681</v>
      </c>
      <c r="X250" s="158" t="n">
        <f aca="false">IF($B250=" ",0,IF($B250&gt;=X$25,IF($B250&lt;=X$29,X$27,IF($B250&lt;=X$33,X$31,X$31*(1+X$38)^(IF(X$36&gt;$B250,-1,1)*(YEARFRAC($B250,X$36)))))*($D250-$D249)*365/1000,0))</f>
        <v>467.897282380226</v>
      </c>
      <c r="Y250" s="159" t="n">
        <f aca="false">IF($B250=" ",0,Y$25*(1+Y$30)^(IF(Y$28&gt;$B250,-1,1)*(YEARFRAC($B250,Y$28))))</f>
        <v>0.588133964815384</v>
      </c>
      <c r="Z250" s="159" t="n">
        <f aca="false">IF($B250=" ",0,Z$25*(1+Z$30)^(IF(Z$28&gt;$B250,-1,1)*(YEARFRAC($B250,Z$28))))</f>
        <v>0.561449704893386</v>
      </c>
      <c r="AA250" s="162" t="n">
        <f aca="false">+W250+X250+Z250*SUM($J250*$J$37,$L250*$L$37,$N250*$N$37)/1000</f>
        <v>954.563949046906</v>
      </c>
      <c r="AB250" s="161"/>
      <c r="AC250" s="158" t="n">
        <f aca="false">IF($B250=" ",0,1)*(IF($B250&gt;=AC$25,1,0)*IF($B250&lt;=AC$29,AC$27,IF($B250&lt;=AC$33,AC$31,0))*($D250-$D249)*365/1000)</f>
        <v>1591.66666666671</v>
      </c>
      <c r="AD250" s="158" t="n">
        <f aca="false">IF($B250=" ",0,IF($B250&gt;=AD$25,IF($B250&lt;=AD$29,AD$27,IF($B250&lt;=AD$33,AD$31,AD$31*(1+AD$38)^(IF(AD$36&gt;$B250,-1,1)*(YEARFRAC($B250,AD$36)))))*($D250-$D249)*365/1000,0))</f>
        <v>416.530888095504</v>
      </c>
      <c r="AE250" s="159" t="n">
        <f aca="false">IF($B250=" ",0,AE$25*(1+AE$30)^(IF(AE$28&gt;$B250,-1,1)*(YEARFRAC($B250,AE$28))))</f>
        <v>0.487265880292198</v>
      </c>
      <c r="AF250" s="159" t="n">
        <f aca="false">IF($B250=" ",0,AF$25*(1+AF$30)^(IF(AF$28&gt;$B250,-1,1)*(YEARFRAC($B250,AF$28))))</f>
        <v>0.174829892815453</v>
      </c>
      <c r="AG250" s="162" t="n">
        <f aca="false">+AC250+AD250+AF250*SUM($K250*$K$37,$M250*$M$37,$O250*$O$37)/1000</f>
        <v>2875.56233274425</v>
      </c>
      <c r="AI250" s="158" t="n">
        <f aca="false">IF($B250=" ",0,1)*IF($B250&gt;=AI$33,AI$25*($D250-$D249),0)</f>
        <v>485.186570908347</v>
      </c>
      <c r="AJ250" s="158" t="n">
        <f aca="false">IF($B250=" ",0,IF($B250&gt;=AJ$33,AJ$25*(1+AJ$30)^(IF(AJ$28&gt;$B250,-1,1)*(YEARFRAC($B250,AJ$28)))*($D250-$D249),0))</f>
        <v>574.610450226014</v>
      </c>
      <c r="AK250" s="159" t="n">
        <f aca="false">IF($B250=" ",0,AK$25*(1+AK$30)^(IF(AK$28&gt;$B250,-1,1)*(YEARFRAC($B250,AK$28))))</f>
        <v>0.0328397768090929</v>
      </c>
      <c r="AL250" s="159" t="n">
        <f aca="false">IF($B250=" ",0,AL$25*AL$28)</f>
        <v>0.0575</v>
      </c>
      <c r="AM250" s="162" t="n">
        <f aca="false">+AI250+AJ250+SUM(AK250:AL250)*SUM($J250*$J$37,$K250*$K$37,$L250*$L$37,$M250*$M$37,$N250*$N$37,$O250*$O$37)/1000</f>
        <v>1507.99005719415</v>
      </c>
      <c r="AO250" s="163" t="n">
        <f aca="false">IF($B250=" ",0,$AO$25)</f>
        <v>0.25</v>
      </c>
      <c r="AP250" s="159" t="n">
        <f aca="false">IF($B250=" ",0,AP$25*AP$28)</f>
        <v>0.03105</v>
      </c>
      <c r="AQ250" s="162" t="n">
        <f aca="false">SUM(AO250:AP250)*SUM(0)/1000</f>
        <v>0</v>
      </c>
      <c r="AS250" s="155" t="n">
        <f aca="false">IF($B250=" ",0,AS$25)</f>
        <v>1</v>
      </c>
      <c r="AT250" s="156" t="n">
        <f aca="false">IF($B250=" ",0,AT$25)</f>
        <v>1</v>
      </c>
      <c r="AU250" s="156" t="n">
        <f aca="false">IF($B250=" ",0,AU$25)</f>
        <v>2.3</v>
      </c>
      <c r="AV250" s="157" t="n">
        <f aca="false">+AS250*SUM(J250:K250)/1000</f>
        <v>0</v>
      </c>
      <c r="AW250" s="157" t="n">
        <f aca="false">+AT250*SUM(L250:M250)/1000</f>
        <v>0</v>
      </c>
      <c r="AX250" s="157" t="n">
        <f aca="false">+AU250*SUM(N250:O250)/1000</f>
        <v>11537.9859375</v>
      </c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</row>
    <row r="251" customFormat="false" ht="12.75" hidden="true" customHeight="false" outlineLevel="1" collapsed="false">
      <c r="A251" s="164" t="n">
        <f aca="false">+IF(B251=" ",A250,B251)</f>
        <v>42917</v>
      </c>
      <c r="B251" s="148" t="n">
        <f aca="false">IF(B250=" "," ",IF(EDATE(B250,1)&gt;=EndDate," ",EDATE(B250,1)))</f>
        <v>42917</v>
      </c>
      <c r="C251" s="149" t="n">
        <f aca="false">IF($B251&lt;&gt;" ",C250+1,C250)</f>
        <v>201</v>
      </c>
      <c r="D251" s="150" t="n">
        <f aca="false">C251/12</f>
        <v>16.75</v>
      </c>
      <c r="F251" s="157" t="n">
        <f aca="false">+SUM($T251:$U251)</f>
        <v>14883.5779284771</v>
      </c>
      <c r="G251" s="152" t="n">
        <f aca="false">-SUM($AA251,$AG251,$AM251,$AQ251,$AV251:$AX251)</f>
        <v>-16879.2808308536</v>
      </c>
      <c r="H251" s="152" t="n">
        <f aca="false">+SUM(F251:G251)</f>
        <v>-1995.70290237645</v>
      </c>
      <c r="I251" s="124"/>
      <c r="J251" s="153" t="n">
        <f aca="false">+IF($B251=" ",0,IF(AND($B251&gt;=J$26,$B251&lt;J$28),J$33,0))</f>
        <v>0</v>
      </c>
      <c r="K251" s="153" t="n">
        <f aca="false">+IF($B251=" ",0,IF(AND($B251&gt;=K$26,$B251&lt;K$28),K$33,0))</f>
        <v>0</v>
      </c>
      <c r="L251" s="153" t="n">
        <f aca="false">+IF($B251=" ",0,IF(AND($B251&gt;=L$26,$B251&lt;L$28),L$33,0))</f>
        <v>0</v>
      </c>
      <c r="M251" s="153" t="n">
        <f aca="false">+IF($B251=" ",0,IF(AND($B251&gt;=M$26,$B251&lt;M$28),M$33,0))</f>
        <v>0</v>
      </c>
      <c r="N251" s="153" t="n">
        <f aca="false">+IF($B251=" ",0,IF(AND($B251&gt;=N$26,$B251&lt;N$28),N$33,0))</f>
        <v>0</v>
      </c>
      <c r="O251" s="154" t="n">
        <f aca="false">+IF($B251=" ",0,IF(AND($B251&gt;=O$26,$B251&lt;O$28),O$33,0))</f>
        <v>5016515.625</v>
      </c>
      <c r="Q251" s="83" t="n">
        <f aca="false">IF($B251=" ",0,IF($B251&lt;=DATE(2003,12,31),3.55,2.9))</f>
        <v>2.9</v>
      </c>
      <c r="R251" s="155" t="n">
        <f aca="false">IF($B251=" ",0,R$25)</f>
        <v>-0.07</v>
      </c>
      <c r="S251" s="156" t="n">
        <f aca="false">IF($B251=" ",0,S$25)</f>
        <v>0.1</v>
      </c>
      <c r="T251" s="157" t="n">
        <f aca="false">+SUM($Q251,$S251)/1000*(SUM($J251*$J$37,$K251*$K$37,$L251*$L$37,$M251*$M$37,$N251*$N$37,$O251*$O$37))</f>
        <v>14883.5779284771</v>
      </c>
      <c r="U251" s="157" t="n">
        <f aca="false">+SUM($Q251,$R251)/1000*(SUM(0))</f>
        <v>0</v>
      </c>
      <c r="W251" s="158" t="n">
        <f aca="false">IF($B251=" ",0,1)*(IF($B251&gt;=W$25,1,0)*IF($B251&lt;=W$29,W$27,IF($B251&lt;=W$33,W$31,0))*($D251-$D250)*365/1000)</f>
        <v>486.66666666666</v>
      </c>
      <c r="X251" s="158" t="n">
        <f aca="false">IF($B251=" ",0,IF($B251&gt;=X$25,IF($B251&lt;=X$29,X$27,IF($B251&lt;=X$33,X$31,X$31*(1+X$38)^(IF(X$36&gt;$B251,-1,1)*(YEARFRAC($B251,X$36)))))*($D251-$D250)*365/1000,0))</f>
        <v>468.542227754151</v>
      </c>
      <c r="Y251" s="159" t="n">
        <f aca="false">IF($B251=" ",0,Y$25*(1+Y$30)^(IF(Y$28&gt;$B251,-1,1)*(YEARFRAC($B251,Y$28))))</f>
        <v>0.588944643342812</v>
      </c>
      <c r="Z251" s="159" t="n">
        <f aca="false">IF($B251=" ",0,Z$25*(1+Z$30)^(IF(Z$28&gt;$B251,-1,1)*(YEARFRAC($B251,Z$28))))</f>
        <v>0.562223602078751</v>
      </c>
      <c r="AA251" s="162" t="n">
        <f aca="false">+W251+X251+Z251*SUM($J251*$J$37,$L251*$L$37,$N251*$N$37)/1000</f>
        <v>955.208894420811</v>
      </c>
      <c r="AB251" s="161"/>
      <c r="AC251" s="158" t="n">
        <f aca="false">IF($B251=" ",0,1)*(IF($B251&gt;=AC$25,1,0)*IF($B251&lt;=AC$29,AC$27,IF($B251&lt;=AC$33,AC$31,0))*($D251-$D250)*365/1000)</f>
        <v>1591.66666666664</v>
      </c>
      <c r="AD251" s="158" t="n">
        <f aca="false">IF($B251=" ",0,IF($B251&gt;=AD$25,IF($B251&lt;=AD$29,AD$27,IF($B251&lt;=AD$33,AD$31,AD$31*(1+AD$38)^(IF(AD$36&gt;$B251,-1,1)*(YEARFRAC($B251,AD$36)))))*($D251-$D250)*365/1000,0))</f>
        <v>417.105030497032</v>
      </c>
      <c r="AE251" s="159" t="n">
        <f aca="false">IF($B251=" ",0,AE$25*(1+AE$30)^(IF(AE$28&gt;$B251,-1,1)*(YEARFRAC($B251,AE$28))))</f>
        <v>0.487937523165987</v>
      </c>
      <c r="AF251" s="159" t="n">
        <f aca="false">IF($B251=" ",0,AF$25*(1+AF$30)^(IF(AF$28&gt;$B251,-1,1)*(YEARFRAC($B251,AF$28))))</f>
        <v>0.1750708767554</v>
      </c>
      <c r="AG251" s="162" t="n">
        <f aca="false">+AC251+AD251+AF251*SUM($K251*$K$37,$M251*$M$37,$O251*$O$37)/1000</f>
        <v>2877.33204289561</v>
      </c>
      <c r="AI251" s="158" t="n">
        <f aca="false">IF($B251=" ",0,1)*IF($B251&gt;=AI$33,AI$25*($D251-$D250),0)</f>
        <v>485.186570908327</v>
      </c>
      <c r="AJ251" s="158" t="n">
        <f aca="false">IF($B251=" ",0,IF($B251&gt;=AJ$33,AJ$25*(1+AJ$30)^(IF(AJ$28&gt;$B251,-1,1)*(YEARFRAC($B251,AJ$28)))*($D251-$D250),0))</f>
        <v>575.205600709815</v>
      </c>
      <c r="AK251" s="159" t="n">
        <f aca="false">IF($B251=" ",0,AK$25*(1+AK$30)^(IF(AK$28&gt;$B251,-1,1)*(YEARFRAC($B251,AK$28))))</f>
        <v>0.0328737904770465</v>
      </c>
      <c r="AL251" s="159" t="n">
        <f aca="false">IF($B251=" ",0,AL$25*AL$28)</f>
        <v>0.0575</v>
      </c>
      <c r="AM251" s="162" t="n">
        <f aca="false">+AI251+AJ251+SUM(AK251:AL251)*SUM($J251*$J$37,$K251*$K$37,$L251*$L$37,$M251*$M$37,$N251*$N$37,$O251*$O$37)/1000</f>
        <v>1508.75395603714</v>
      </c>
      <c r="AO251" s="163" t="n">
        <f aca="false">IF($B251=" ",0,$AO$25)</f>
        <v>0.25</v>
      </c>
      <c r="AP251" s="159" t="n">
        <f aca="false">IF($B251=" ",0,AP$25*AP$28)</f>
        <v>0.03105</v>
      </c>
      <c r="AQ251" s="162" t="n">
        <f aca="false">SUM(AO251:AP251)*SUM(0)/1000</f>
        <v>0</v>
      </c>
      <c r="AS251" s="155" t="n">
        <f aca="false">IF($B251=" ",0,AS$25)</f>
        <v>1</v>
      </c>
      <c r="AT251" s="156" t="n">
        <f aca="false">IF($B251=" ",0,AT$25)</f>
        <v>1</v>
      </c>
      <c r="AU251" s="156" t="n">
        <f aca="false">IF($B251=" ",0,AU$25)</f>
        <v>2.3</v>
      </c>
      <c r="AV251" s="157" t="n">
        <f aca="false">+AS251*SUM(J251:K251)/1000</f>
        <v>0</v>
      </c>
      <c r="AW251" s="157" t="n">
        <f aca="false">+AT251*SUM(L251:M251)/1000</f>
        <v>0</v>
      </c>
      <c r="AX251" s="157" t="n">
        <f aca="false">+AU251*SUM(N251:O251)/1000</f>
        <v>11537.9859375</v>
      </c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</row>
    <row r="252" customFormat="false" ht="12.75" hidden="true" customHeight="false" outlineLevel="1" collapsed="false">
      <c r="A252" s="164" t="n">
        <f aca="false">+IF(B252=" ",A251,B252)</f>
        <v>42948</v>
      </c>
      <c r="B252" s="148" t="n">
        <f aca="false">IF(B251=" "," ",IF(EDATE(B251,1)&gt;=EndDate," ",EDATE(B251,1)))</f>
        <v>42948</v>
      </c>
      <c r="C252" s="149" t="n">
        <f aca="false">IF($B252&lt;&gt;" ",C251+1,C251)</f>
        <v>202</v>
      </c>
      <c r="D252" s="150" t="n">
        <f aca="false">C252/12</f>
        <v>16.8333333333333</v>
      </c>
      <c r="F252" s="157" t="n">
        <f aca="false">+SUM($T252:$U252)</f>
        <v>14883.5779284771</v>
      </c>
      <c r="G252" s="152" t="n">
        <f aca="false">-SUM($AA252,$AG252,$AM252,$AQ252,$AV252:$AX252)</f>
        <v>-16882.4635047665</v>
      </c>
      <c r="H252" s="152" t="n">
        <f aca="false">+SUM(F252:G252)</f>
        <v>-1998.88557628935</v>
      </c>
      <c r="I252" s="124"/>
      <c r="J252" s="153" t="n">
        <f aca="false">+IF($B252=" ",0,IF(AND($B252&gt;=J$26,$B252&lt;J$28),J$33,0))</f>
        <v>0</v>
      </c>
      <c r="K252" s="153" t="n">
        <f aca="false">+IF($B252=" ",0,IF(AND($B252&gt;=K$26,$B252&lt;K$28),K$33,0))</f>
        <v>0</v>
      </c>
      <c r="L252" s="153" t="n">
        <f aca="false">+IF($B252=" ",0,IF(AND($B252&gt;=L$26,$B252&lt;L$28),L$33,0))</f>
        <v>0</v>
      </c>
      <c r="M252" s="153" t="n">
        <f aca="false">+IF($B252=" ",0,IF(AND($B252&gt;=M$26,$B252&lt;M$28),M$33,0))</f>
        <v>0</v>
      </c>
      <c r="N252" s="153" t="n">
        <f aca="false">+IF($B252=" ",0,IF(AND($B252&gt;=N$26,$B252&lt;N$28),N$33,0))</f>
        <v>0</v>
      </c>
      <c r="O252" s="154" t="n">
        <f aca="false">+IF($B252=" ",0,IF(AND($B252&gt;=O$26,$B252&lt;O$28),O$33,0))</f>
        <v>5016515.625</v>
      </c>
      <c r="Q252" s="83" t="n">
        <f aca="false">IF($B252=" ",0,IF($B252&lt;=DATE(2003,12,31),3.55,2.9))</f>
        <v>2.9</v>
      </c>
      <c r="R252" s="155" t="n">
        <f aca="false">IF($B252=" ",0,R$25)</f>
        <v>-0.07</v>
      </c>
      <c r="S252" s="156" t="n">
        <f aca="false">IF($B252=" ",0,S$25)</f>
        <v>0.1</v>
      </c>
      <c r="T252" s="157" t="n">
        <f aca="false">+SUM($Q252,$S252)/1000*(SUM($J252*$J$37,$K252*$K$37,$L252*$L$37,$M252*$M$37,$N252*$N$37,$O252*$O$37))</f>
        <v>14883.5779284771</v>
      </c>
      <c r="U252" s="157" t="n">
        <f aca="false">+SUM($Q252,$R252)/1000*(SUM(0))</f>
        <v>0</v>
      </c>
      <c r="W252" s="158" t="n">
        <f aca="false">IF($B252=" ",0,1)*(IF($B252&gt;=W$25,1,0)*IF($B252&lt;=W$29,W$27,IF($B252&lt;=W$33,W$31,0))*($D252-$D251)*365/1000)</f>
        <v>486.66666666666</v>
      </c>
      <c r="X252" s="158" t="n">
        <f aca="false">IF($B252=" ",0,IF($B252&gt;=X$25,IF($B252&lt;=X$29,X$27,IF($B252&lt;=X$33,X$31,X$31*(1+X$38)^(IF(X$36&gt;$B252,-1,1)*(YEARFRAC($B252,X$36)))))*($D252-$D251)*365/1000,0))</f>
        <v>469.188062114955</v>
      </c>
      <c r="Y252" s="159" t="n">
        <f aca="false">IF($B252=" ",0,Y$25*(1+Y$30)^(IF(Y$28&gt;$B252,-1,1)*(YEARFRAC($B252,Y$28))))</f>
        <v>0.589756439302176</v>
      </c>
      <c r="Z252" s="159" t="n">
        <f aca="false">IF($B252=" ",0,Z$25*(1+Z$30)^(IF(Z$28&gt;$B252,-1,1)*(YEARFRAC($B252,Z$28))))</f>
        <v>0.562998565996983</v>
      </c>
      <c r="AA252" s="162" t="n">
        <f aca="false">+W252+X252+Z252*SUM($J252*$J$37,$L252*$L$37,$N252*$N$37)/1000</f>
        <v>955.854728781615</v>
      </c>
      <c r="AB252" s="161"/>
      <c r="AC252" s="158" t="n">
        <f aca="false">IF($B252=" ",0,1)*(IF($B252&gt;=AC$25,1,0)*IF($B252&lt;=AC$29,AC$27,IF($B252&lt;=AC$33,AC$31,0))*($D252-$D251)*365/1000)</f>
        <v>1591.66666666664</v>
      </c>
      <c r="AD252" s="158" t="n">
        <f aca="false">IF($B252=" ",0,IF($B252&gt;=AD$25,IF($B252&lt;=AD$29,AD$27,IF($B252&lt;=AD$33,AD$31,AD$31*(1+AD$38)^(IF(AD$36&gt;$B252,-1,1)*(YEARFRAC($B252,AD$36)))))*($D252-$D251)*365/1000,0))</f>
        <v>417.679964291261</v>
      </c>
      <c r="AE252" s="159" t="n">
        <f aca="false">IF($B252=" ",0,AE$25*(1+AE$30)^(IF(AE$28&gt;$B252,-1,1)*(YEARFRAC($B252,AE$28))))</f>
        <v>0.488610091826226</v>
      </c>
      <c r="AF252" s="159" t="n">
        <f aca="false">IF($B252=" ",0,AF$25*(1+AF$30)^(IF(AF$28&gt;$B252,-1,1)*(YEARFRAC($B252,AF$28))))</f>
        <v>0.175312192865427</v>
      </c>
      <c r="AG252" s="162" t="n">
        <f aca="false">+AC252+AD252+AF252*SUM($K252*$K$37,$M252*$M$37,$O252*$O$37)/1000</f>
        <v>2879.1041923995</v>
      </c>
      <c r="AI252" s="158" t="n">
        <f aca="false">IF($B252=" ",0,1)*IF($B252&gt;=AI$33,AI$25*($D252-$D251),0)</f>
        <v>485.186570908327</v>
      </c>
      <c r="AJ252" s="158" t="n">
        <f aca="false">IF($B252=" ",0,IF($B252&gt;=AJ$33,AJ$25*(1+AJ$30)^(IF(AJ$28&gt;$B252,-1,1)*(YEARFRAC($B252,AJ$28)))*($D252-$D251),0))</f>
        <v>575.801367618382</v>
      </c>
      <c r="AK252" s="159" t="n">
        <f aca="false">IF($B252=" ",0,AK$25*(1+AK$30)^(IF(AK$28&gt;$B252,-1,1)*(YEARFRAC($B252,AK$28))))</f>
        <v>0.0329078393745211</v>
      </c>
      <c r="AL252" s="159" t="n">
        <f aca="false">IF($B252=" ",0,AL$25*AL$28)</f>
        <v>0.0575</v>
      </c>
      <c r="AM252" s="162" t="n">
        <f aca="false">+AI252+AJ252+SUM(AK252:AL252)*SUM($J252*$J$37,$K252*$K$37,$L252*$L$37,$M252*$M$37,$N252*$N$37,$O252*$O$37)/1000</f>
        <v>1509.51864608535</v>
      </c>
      <c r="AO252" s="163" t="n">
        <f aca="false">IF($B252=" ",0,$AO$25)</f>
        <v>0.25</v>
      </c>
      <c r="AP252" s="159" t="n">
        <f aca="false">IF($B252=" ",0,AP$25*AP$28)</f>
        <v>0.03105</v>
      </c>
      <c r="AQ252" s="162" t="n">
        <f aca="false">SUM(AO252:AP252)*SUM(0)/1000</f>
        <v>0</v>
      </c>
      <c r="AS252" s="155" t="n">
        <f aca="false">IF($B252=" ",0,AS$25)</f>
        <v>1</v>
      </c>
      <c r="AT252" s="156" t="n">
        <f aca="false">IF($B252=" ",0,AT$25)</f>
        <v>1</v>
      </c>
      <c r="AU252" s="156" t="n">
        <f aca="false">IF($B252=" ",0,AU$25)</f>
        <v>2.3</v>
      </c>
      <c r="AV252" s="157" t="n">
        <f aca="false">+AS252*SUM(J252:K252)/1000</f>
        <v>0</v>
      </c>
      <c r="AW252" s="157" t="n">
        <f aca="false">+AT252*SUM(L252:M252)/1000</f>
        <v>0</v>
      </c>
      <c r="AX252" s="157" t="n">
        <f aca="false">+AU252*SUM(N252:O252)/1000</f>
        <v>11537.9859375</v>
      </c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</row>
    <row r="253" customFormat="false" ht="12.75" hidden="true" customHeight="false" outlineLevel="1" collapsed="false">
      <c r="A253" s="164" t="n">
        <f aca="false">+IF(B253=" ",A252,B253)</f>
        <v>42979</v>
      </c>
      <c r="B253" s="148" t="n">
        <f aca="false">IF(B252=" "," ",IF(EDATE(B252,1)&gt;=EndDate," ",EDATE(B252,1)))</f>
        <v>42979</v>
      </c>
      <c r="C253" s="149" t="n">
        <f aca="false">IF($B253&lt;&gt;" ",C252+1,C252)</f>
        <v>203</v>
      </c>
      <c r="D253" s="150" t="n">
        <f aca="false">C253/12</f>
        <v>16.9166666666667</v>
      </c>
      <c r="F253" s="157" t="n">
        <f aca="false">+SUM($T253:$U253)</f>
        <v>14883.5779284771</v>
      </c>
      <c r="G253" s="152" t="n">
        <f aca="false">-SUM($AA253,$AG253,$AM253,$AQ253,$AV253:$AX253)</f>
        <v>-16885.6503036313</v>
      </c>
      <c r="H253" s="152" t="n">
        <f aca="false">+SUM(F253:G253)</f>
        <v>-2002.07237515415</v>
      </c>
      <c r="I253" s="124"/>
      <c r="J253" s="153" t="n">
        <f aca="false">+IF($B253=" ",0,IF(AND($B253&gt;=J$26,$B253&lt;J$28),J$33,0))</f>
        <v>0</v>
      </c>
      <c r="K253" s="153" t="n">
        <f aca="false">+IF($B253=" ",0,IF(AND($B253&gt;=K$26,$B253&lt;K$28),K$33,0))</f>
        <v>0</v>
      </c>
      <c r="L253" s="153" t="n">
        <f aca="false">+IF($B253=" ",0,IF(AND($B253&gt;=L$26,$B253&lt;L$28),L$33,0))</f>
        <v>0</v>
      </c>
      <c r="M253" s="153" t="n">
        <f aca="false">+IF($B253=" ",0,IF(AND($B253&gt;=M$26,$B253&lt;M$28),M$33,0))</f>
        <v>0</v>
      </c>
      <c r="N253" s="153" t="n">
        <f aca="false">+IF($B253=" ",0,IF(AND($B253&gt;=N$26,$B253&lt;N$28),N$33,0))</f>
        <v>0</v>
      </c>
      <c r="O253" s="154" t="n">
        <f aca="false">+IF($B253=" ",0,IF(AND($B253&gt;=O$26,$B253&lt;O$28),O$33,0))</f>
        <v>5016515.625</v>
      </c>
      <c r="Q253" s="83" t="n">
        <f aca="false">IF($B253=" ",0,IF($B253&lt;=DATE(2003,12,31),3.55,2.9))</f>
        <v>2.9</v>
      </c>
      <c r="R253" s="155" t="n">
        <f aca="false">IF($B253=" ",0,R$25)</f>
        <v>-0.07</v>
      </c>
      <c r="S253" s="156" t="n">
        <f aca="false">IF($B253=" ",0,S$25)</f>
        <v>0.1</v>
      </c>
      <c r="T253" s="157" t="n">
        <f aca="false">+SUM($Q253,$S253)/1000*(SUM($J253*$J$37,$K253*$K$37,$L253*$L$37,$M253*$M$37,$N253*$N$37,$O253*$O$37))</f>
        <v>14883.5779284771</v>
      </c>
      <c r="U253" s="157" t="n">
        <f aca="false">+SUM($Q253,$R253)/1000*(SUM(0))</f>
        <v>0</v>
      </c>
      <c r="W253" s="158" t="n">
        <f aca="false">IF($B253=" ",0,1)*(IF($B253&gt;=W$25,1,0)*IF($B253&lt;=W$29,W$27,IF($B253&lt;=W$33,W$31,0))*($D253-$D252)*365/1000)</f>
        <v>486.666666666681</v>
      </c>
      <c r="X253" s="158" t="n">
        <f aca="false">IF($B253=" ",0,IF($B253&gt;=X$25,IF($B253&lt;=X$29,X$27,IF($B253&lt;=X$33,X$31,X$31*(1+X$38)^(IF(X$36&gt;$B253,-1,1)*(YEARFRAC($B253,X$36)))))*($D253-$D252)*365/1000,0))</f>
        <v>469.83478668801</v>
      </c>
      <c r="Y253" s="159" t="n">
        <f aca="false">IF($B253=" ",0,Y$25*(1+Y$30)^(IF(Y$28&gt;$B253,-1,1)*(YEARFRAC($B253,Y$28))))</f>
        <v>0.590569354233734</v>
      </c>
      <c r="Z253" s="159" t="n">
        <f aca="false">IF($B253=" ",0,Z$25*(1+Z$30)^(IF(Z$28&gt;$B253,-1,1)*(YEARFRAC($B253,Z$28))))</f>
        <v>0.563774598118458</v>
      </c>
      <c r="AA253" s="162" t="n">
        <f aca="false">+W253+X253+Z253*SUM($J253*$J$37,$L253*$L$37,$N253*$N$37)/1000</f>
        <v>956.50145335469</v>
      </c>
      <c r="AB253" s="161"/>
      <c r="AC253" s="158" t="n">
        <f aca="false">IF($B253=" ",0,1)*(IF($B253&gt;=AC$25,1,0)*IF($B253&lt;=AC$29,AC$27,IF($B253&lt;=AC$33,AC$31,0))*($D253-$D252)*365/1000)</f>
        <v>1591.66666666671</v>
      </c>
      <c r="AD253" s="158" t="n">
        <f aca="false">IF($B253=" ",0,IF($B253&gt;=AD$25,IF($B253&lt;=AD$29,AD$27,IF($B253&lt;=AD$33,AD$31,AD$31*(1+AD$38)^(IF(AD$36&gt;$B253,-1,1)*(YEARFRAC($B253,AD$36)))))*($D253-$D252)*365/1000,0))</f>
        <v>418.25569056904</v>
      </c>
      <c r="AE253" s="159" t="n">
        <f aca="false">IF($B253=" ",0,AE$25*(1+AE$30)^(IF(AE$28&gt;$B253,-1,1)*(YEARFRAC($B253,AE$28))))</f>
        <v>0.489283587549012</v>
      </c>
      <c r="AF253" s="159" t="n">
        <f aca="false">IF($B253=" ",0,AF$25*(1+AF$30)^(IF(AF$28&gt;$B253,-1,1)*(YEARFRAC($B253,AF$28))))</f>
        <v>0.175553841603392</v>
      </c>
      <c r="AG253" s="162" t="n">
        <f aca="false">+AC253+AD253+AF253*SUM($K253*$K$37,$M253*$M$37,$O253*$O$37)/1000</f>
        <v>2880.87878461829</v>
      </c>
      <c r="AI253" s="158" t="n">
        <f aca="false">IF($B253=" ",0,1)*IF($B253&gt;=AI$33,AI$25*($D253-$D252),0)</f>
        <v>485.186570908347</v>
      </c>
      <c r="AJ253" s="158" t="n">
        <f aca="false">IF($B253=" ",0,IF($B253&gt;=AJ$33,AJ$25*(1+AJ$30)^(IF(AJ$28&gt;$B253,-1,1)*(YEARFRAC($B253,AJ$28)))*($D253-$D252),0))</f>
        <v>576.397751590175</v>
      </c>
      <c r="AK253" s="159" t="n">
        <f aca="false">IF($B253=" ",0,AK$25*(1+AK$30)^(IF(AK$28&gt;$B253,-1,1)*(YEARFRAC($B253,AK$28))))</f>
        <v>0.0329419235380056</v>
      </c>
      <c r="AL253" s="159" t="n">
        <f aca="false">IF($B253=" ",0,AL$25*AL$28)</f>
        <v>0.0575</v>
      </c>
      <c r="AM253" s="162" t="n">
        <f aca="false">+AI253+AJ253+SUM(AK253:AL253)*SUM($J253*$J$37,$K253*$K$37,$L253*$L$37,$M253*$M$37,$N253*$N$37,$O253*$O$37)/1000</f>
        <v>1510.28412815828</v>
      </c>
      <c r="AO253" s="163" t="n">
        <f aca="false">IF($B253=" ",0,$AO$25)</f>
        <v>0.25</v>
      </c>
      <c r="AP253" s="159" t="n">
        <f aca="false">IF($B253=" ",0,AP$25*AP$28)</f>
        <v>0.03105</v>
      </c>
      <c r="AQ253" s="162" t="n">
        <f aca="false">SUM(AO253:AP253)*SUM(0)/1000</f>
        <v>0</v>
      </c>
      <c r="AS253" s="155" t="n">
        <f aca="false">IF($B253=" ",0,AS$25)</f>
        <v>1</v>
      </c>
      <c r="AT253" s="156" t="n">
        <f aca="false">IF($B253=" ",0,AT$25)</f>
        <v>1</v>
      </c>
      <c r="AU253" s="156" t="n">
        <f aca="false">IF($B253=" ",0,AU$25)</f>
        <v>2.3</v>
      </c>
      <c r="AV253" s="157" t="n">
        <f aca="false">+AS253*SUM(J253:K253)/1000</f>
        <v>0</v>
      </c>
      <c r="AW253" s="157" t="n">
        <f aca="false">+AT253*SUM(L253:M253)/1000</f>
        <v>0</v>
      </c>
      <c r="AX253" s="157" t="n">
        <f aca="false">+AU253*SUM(N253:O253)/1000</f>
        <v>11537.9859375</v>
      </c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</row>
    <row r="254" customFormat="false" ht="12.75" hidden="true" customHeight="false" outlineLevel="1" collapsed="false">
      <c r="A254" s="164" t="n">
        <f aca="false">+IF(B254=" ",A253,B254)</f>
        <v>43009</v>
      </c>
      <c r="B254" s="148" t="n">
        <f aca="false">IF(B253=" "," ",IF(EDATE(B253,1)&gt;=EndDate," ",EDATE(B253,1)))</f>
        <v>43009</v>
      </c>
      <c r="C254" s="149" t="n">
        <f aca="false">IF($B254&lt;&gt;" ",C253+1,C253)</f>
        <v>204</v>
      </c>
      <c r="D254" s="150" t="n">
        <f aca="false">C254/12</f>
        <v>17</v>
      </c>
      <c r="F254" s="157" t="n">
        <f aca="false">+SUM($T254:$U254)</f>
        <v>14883.5779284771</v>
      </c>
      <c r="G254" s="152" t="n">
        <f aca="false">-SUM($AA254,$AG254,$AM254,$AQ254,$AV254:$AX254)</f>
        <v>-16888.8412328618</v>
      </c>
      <c r="H254" s="152" t="n">
        <f aca="false">+SUM(F254:G254)</f>
        <v>-2005.26330438473</v>
      </c>
      <c r="I254" s="124"/>
      <c r="J254" s="153" t="n">
        <f aca="false">+IF($B254=" ",0,IF(AND($B254&gt;=J$26,$B254&lt;J$28),J$33,0))</f>
        <v>0</v>
      </c>
      <c r="K254" s="153" t="n">
        <f aca="false">+IF($B254=" ",0,IF(AND($B254&gt;=K$26,$B254&lt;K$28),K$33,0))</f>
        <v>0</v>
      </c>
      <c r="L254" s="153" t="n">
        <f aca="false">+IF($B254=" ",0,IF(AND($B254&gt;=L$26,$B254&lt;L$28),L$33,0))</f>
        <v>0</v>
      </c>
      <c r="M254" s="153" t="n">
        <f aca="false">+IF($B254=" ",0,IF(AND($B254&gt;=M$26,$B254&lt;M$28),M$33,0))</f>
        <v>0</v>
      </c>
      <c r="N254" s="153" t="n">
        <f aca="false">+IF($B254=" ",0,IF(AND($B254&gt;=N$26,$B254&lt;N$28),N$33,0))</f>
        <v>0</v>
      </c>
      <c r="O254" s="154" t="n">
        <f aca="false">+IF($B254=" ",0,IF(AND($B254&gt;=O$26,$B254&lt;O$28),O$33,0))</f>
        <v>5016515.625</v>
      </c>
      <c r="Q254" s="83" t="n">
        <f aca="false">IF($B254=" ",0,IF($B254&lt;=DATE(2003,12,31),3.55,2.9))</f>
        <v>2.9</v>
      </c>
      <c r="R254" s="155" t="n">
        <f aca="false">IF($B254=" ",0,R$25)</f>
        <v>-0.07</v>
      </c>
      <c r="S254" s="156" t="n">
        <f aca="false">IF($B254=" ",0,S$25)</f>
        <v>0.1</v>
      </c>
      <c r="T254" s="157" t="n">
        <f aca="false">+SUM($Q254,$S254)/1000*(SUM($J254*$J$37,$K254*$K$37,$L254*$L$37,$M254*$M$37,$N254*$N$37,$O254*$O$37))</f>
        <v>14883.5779284771</v>
      </c>
      <c r="U254" s="157" t="n">
        <f aca="false">+SUM($Q254,$R254)/1000*(SUM(0))</f>
        <v>0</v>
      </c>
      <c r="W254" s="158" t="n">
        <f aca="false">IF($B254=" ",0,1)*(IF($B254&gt;=W$25,1,0)*IF($B254&lt;=W$29,W$27,IF($B254&lt;=W$33,W$31,0))*($D254-$D253)*365/1000)</f>
        <v>486.66666666666</v>
      </c>
      <c r="X254" s="158" t="n">
        <f aca="false">IF($B254=" ",0,IF($B254&gt;=X$25,IF($B254&lt;=X$29,X$27,IF($B254&lt;=X$33,X$31,X$31*(1+X$38)^(IF(X$36&gt;$B254,-1,1)*(YEARFRAC($B254,X$36)))))*($D254-$D253)*365/1000,0))</f>
        <v>470.482402700315</v>
      </c>
      <c r="Y254" s="159" t="n">
        <f aca="false">IF($B254=" ",0,Y$25*(1+Y$30)^(IF(Y$28&gt;$B254,-1,1)*(YEARFRAC($B254,Y$28))))</f>
        <v>0.591383389679868</v>
      </c>
      <c r="Z254" s="159" t="n">
        <f aca="false">IF($B254=" ",0,Z$25*(1+Z$30)^(IF(Z$28&gt;$B254,-1,1)*(YEARFRAC($B254,Z$28))))</f>
        <v>0.564551699915576</v>
      </c>
      <c r="AA254" s="162" t="n">
        <f aca="false">+W254+X254+Z254*SUM($J254*$J$37,$L254*$L$37,$N254*$N$37)/1000</f>
        <v>957.149069366975</v>
      </c>
      <c r="AB254" s="161"/>
      <c r="AC254" s="158" t="n">
        <f aca="false">IF($B254=" ",0,1)*(IF($B254&gt;=AC$25,1,0)*IF($B254&lt;=AC$29,AC$27,IF($B254&lt;=AC$33,AC$31,0))*($D254-$D253)*365/1000)</f>
        <v>1591.66666666664</v>
      </c>
      <c r="AD254" s="158" t="n">
        <f aca="false">IF($B254=" ",0,IF($B254&gt;=AD$25,IF($B254&lt;=AD$29,AD$27,IF($B254&lt;=AD$33,AD$31,AD$31*(1+AD$38)^(IF(AD$36&gt;$B254,-1,1)*(YEARFRAC($B254,AD$36)))))*($D254-$D253)*365/1000,0))</f>
        <v>418.832210422667</v>
      </c>
      <c r="AE254" s="159" t="n">
        <f aca="false">IF($B254=" ",0,AE$25*(1+AE$30)^(IF(AE$28&gt;$B254,-1,1)*(YEARFRAC($B254,AE$28))))</f>
        <v>0.489958011612199</v>
      </c>
      <c r="AF254" s="159" t="n">
        <f aca="false">IF($B254=" ",0,AF$25*(1+AF$30)^(IF(AF$28&gt;$B254,-1,1)*(YEARFRAC($B254,AF$28))))</f>
        <v>0.175795823427789</v>
      </c>
      <c r="AG254" s="162" t="n">
        <f aca="false">+AC254+AD254+AF254*SUM($K254*$K$37,$M254*$M$37,$O254*$O$37)/1000</f>
        <v>2882.65582291874</v>
      </c>
      <c r="AI254" s="158" t="n">
        <f aca="false">IF($B254=" ",0,1)*IF($B254&gt;=AI$33,AI$25*($D254-$D253),0)</f>
        <v>485.186570908327</v>
      </c>
      <c r="AJ254" s="158" t="n">
        <f aca="false">IF($B254=" ",0,IF($B254&gt;=AJ$33,AJ$25*(1+AJ$30)^(IF(AJ$28&gt;$B254,-1,1)*(YEARFRAC($B254,AJ$28)))*($D254-$D253),0))</f>
        <v>576.994753264242</v>
      </c>
      <c r="AK254" s="159" t="n">
        <f aca="false">IF($B254=" ",0,AK$25*(1+AK$30)^(IF(AK$28&gt;$B254,-1,1)*(YEARFRAC($B254,AK$28))))</f>
        <v>0.0329760430040266</v>
      </c>
      <c r="AL254" s="159" t="n">
        <f aca="false">IF($B254=" ",0,AL$25*AL$28)</f>
        <v>0.0575</v>
      </c>
      <c r="AM254" s="162" t="n">
        <f aca="false">+AI254+AJ254+SUM(AK254:AL254)*SUM($J254*$J$37,$K254*$K$37,$L254*$L$37,$M254*$M$37,$N254*$N$37,$O254*$O$37)/1000</f>
        <v>1511.05040307613</v>
      </c>
      <c r="AO254" s="163" t="n">
        <f aca="false">IF($B254=" ",0,$AO$25)</f>
        <v>0.25</v>
      </c>
      <c r="AP254" s="159" t="n">
        <f aca="false">IF($B254=" ",0,AP$25*AP$28)</f>
        <v>0.03105</v>
      </c>
      <c r="AQ254" s="162" t="n">
        <f aca="false">SUM(AO254:AP254)*SUM(0)/1000</f>
        <v>0</v>
      </c>
      <c r="AS254" s="155" t="n">
        <f aca="false">IF($B254=" ",0,AS$25)</f>
        <v>1</v>
      </c>
      <c r="AT254" s="156" t="n">
        <f aca="false">IF($B254=" ",0,AT$25)</f>
        <v>1</v>
      </c>
      <c r="AU254" s="156" t="n">
        <f aca="false">IF($B254=" ",0,AU$25)</f>
        <v>2.3</v>
      </c>
      <c r="AV254" s="157" t="n">
        <f aca="false">+AS254*SUM(J254:K254)/1000</f>
        <v>0</v>
      </c>
      <c r="AW254" s="157" t="n">
        <f aca="false">+AT254*SUM(L254:M254)/1000</f>
        <v>0</v>
      </c>
      <c r="AX254" s="157" t="n">
        <f aca="false">+AU254*SUM(N254:O254)/1000</f>
        <v>11537.9859375</v>
      </c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</row>
    <row r="255" customFormat="false" ht="12.75" hidden="true" customHeight="false" outlineLevel="1" collapsed="false">
      <c r="A255" s="164" t="n">
        <f aca="false">+IF(B255=" ",A254,B255)</f>
        <v>43040</v>
      </c>
      <c r="B255" s="148" t="n">
        <f aca="false">IF(B254=" "," ",IF(EDATE(B254,1)&gt;=EndDate," ",EDATE(B254,1)))</f>
        <v>43040</v>
      </c>
      <c r="C255" s="149" t="n">
        <f aca="false">IF($B255&lt;&gt;" ",C254+1,C254)</f>
        <v>205</v>
      </c>
      <c r="D255" s="150" t="n">
        <f aca="false">C255/12</f>
        <v>17.0833333333333</v>
      </c>
      <c r="F255" s="157" t="n">
        <f aca="false">+SUM($T255:$U255)</f>
        <v>14883.5779284771</v>
      </c>
      <c r="G255" s="152" t="n">
        <f aca="false">-SUM($AA255,$AG255,$AM255,$AQ255,$AV255:$AX255)</f>
        <v>-16892.0362978803</v>
      </c>
      <c r="H255" s="152" t="n">
        <f aca="false">+SUM(F255:G255)</f>
        <v>-2008.45836940321</v>
      </c>
      <c r="I255" s="124"/>
      <c r="J255" s="153" t="n">
        <f aca="false">+IF($B255=" ",0,IF(AND($B255&gt;=J$26,$B255&lt;J$28),J$33,0))</f>
        <v>0</v>
      </c>
      <c r="K255" s="153" t="n">
        <f aca="false">+IF($B255=" ",0,IF(AND($B255&gt;=K$26,$B255&lt;K$28),K$33,0))</f>
        <v>0</v>
      </c>
      <c r="L255" s="153" t="n">
        <f aca="false">+IF($B255=" ",0,IF(AND($B255&gt;=L$26,$B255&lt;L$28),L$33,0))</f>
        <v>0</v>
      </c>
      <c r="M255" s="153" t="n">
        <f aca="false">+IF($B255=" ",0,IF(AND($B255&gt;=M$26,$B255&lt;M$28),M$33,0))</f>
        <v>0</v>
      </c>
      <c r="N255" s="153" t="n">
        <f aca="false">+IF($B255=" ",0,IF(AND($B255&gt;=N$26,$B255&lt;N$28),N$33,0))</f>
        <v>0</v>
      </c>
      <c r="O255" s="154" t="n">
        <f aca="false">+IF($B255=" ",0,IF(AND($B255&gt;=O$26,$B255&lt;O$28),O$33,0))</f>
        <v>5016515.625</v>
      </c>
      <c r="Q255" s="83" t="n">
        <f aca="false">IF($B255=" ",0,IF($B255&lt;=DATE(2003,12,31),3.55,2.9))</f>
        <v>2.9</v>
      </c>
      <c r="R255" s="155" t="n">
        <f aca="false">IF($B255=" ",0,R$25)</f>
        <v>-0.07</v>
      </c>
      <c r="S255" s="156" t="n">
        <f aca="false">IF($B255=" ",0,S$25)</f>
        <v>0.1</v>
      </c>
      <c r="T255" s="157" t="n">
        <f aca="false">+SUM($Q255,$S255)/1000*(SUM($J255*$J$37,$K255*$K$37,$L255*$L$37,$M255*$M$37,$N255*$N$37,$O255*$O$37))</f>
        <v>14883.5779284771</v>
      </c>
      <c r="U255" s="157" t="n">
        <f aca="false">+SUM($Q255,$R255)/1000*(SUM(0))</f>
        <v>0</v>
      </c>
      <c r="W255" s="158" t="n">
        <f aca="false">IF($B255=" ",0,1)*(IF($B255&gt;=W$25,1,0)*IF($B255&lt;=W$29,W$27,IF($B255&lt;=W$33,W$31,0))*($D255-$D254)*365/1000)</f>
        <v>486.66666666666</v>
      </c>
      <c r="X255" s="158" t="n">
        <f aca="false">IF($B255=" ",0,IF($B255&gt;=X$25,IF($B255&lt;=X$29,X$27,IF($B255&lt;=X$33,X$31,X$31*(1+X$38)^(IF(X$36&gt;$B255,-1,1)*(YEARFRAC($B255,X$36)))))*($D255-$D254)*365/1000,0))</f>
        <v>471.130911380683</v>
      </c>
      <c r="Y255" s="159" t="n">
        <f aca="false">IF($B255=" ",0,Y$25*(1+Y$30)^(IF(Y$28&gt;$B255,-1,1)*(YEARFRAC($B255,Y$28))))</f>
        <v>0.592198547185083</v>
      </c>
      <c r="Z255" s="159" t="n">
        <f aca="false">IF($B255=" ",0,Z$25*(1+Z$30)^(IF(Z$28&gt;$B255,-1,1)*(YEARFRAC($B255,Z$28))))</f>
        <v>0.565329872862769</v>
      </c>
      <c r="AA255" s="162" t="n">
        <f aca="false">+W255+X255+Z255*SUM($J255*$J$37,$L255*$L$37,$N255*$N$37)/1000</f>
        <v>957.797578047343</v>
      </c>
      <c r="AB255" s="161"/>
      <c r="AC255" s="158" t="n">
        <f aca="false">IF($B255=" ",0,1)*(IF($B255&gt;=AC$25,1,0)*IF($B255&lt;=AC$29,AC$27,IF($B255&lt;=AC$33,AC$31,0))*($D255-$D254)*365/1000)</f>
        <v>1591.66666666664</v>
      </c>
      <c r="AD255" s="158" t="n">
        <f aca="false">IF($B255=" ",0,IF($B255&gt;=AD$25,IF($B255&lt;=AD$29,AD$27,IF($B255&lt;=AD$33,AD$31,AD$31*(1+AD$38)^(IF(AD$36&gt;$B255,-1,1)*(YEARFRAC($B255,AD$36)))))*($D255-$D254)*365/1000,0))</f>
        <v>419.409524946054</v>
      </c>
      <c r="AE255" s="159" t="n">
        <f aca="false">IF($B255=" ",0,AE$25*(1+AE$30)^(IF(AE$28&gt;$B255,-1,1)*(YEARFRAC($B255,AE$28))))</f>
        <v>0.490633365295404</v>
      </c>
      <c r="AF255" s="159" t="n">
        <f aca="false">IF($B255=" ",0,AF$25*(1+AF$30)^(IF(AF$28&gt;$B255,-1,1)*(YEARFRAC($B255,AF$28))))</f>
        <v>0.176038138797739</v>
      </c>
      <c r="AG255" s="162" t="n">
        <f aca="false">+AC255+AD255+AF255*SUM($K255*$K$37,$M255*$M$37,$O255*$O$37)/1000</f>
        <v>2884.43531067277</v>
      </c>
      <c r="AI255" s="158" t="n">
        <f aca="false">IF($B255=" ",0,1)*IF($B255&gt;=AI$33,AI$25*($D255-$D254),0)</f>
        <v>485.186570908327</v>
      </c>
      <c r="AJ255" s="158" t="n">
        <f aca="false">IF($B255=" ",0,IF($B255&gt;=AJ$33,AJ$25*(1+AJ$30)^(IF(AJ$28&gt;$B255,-1,1)*(YEARFRAC($B255,AJ$28)))*($D255-$D254),0))</f>
        <v>577.592373280437</v>
      </c>
      <c r="AK255" s="159" t="n">
        <f aca="false">IF($B255=" ",0,AK$25*(1+AK$30)^(IF(AK$28&gt;$B255,-1,1)*(YEARFRAC($B255,AK$28))))</f>
        <v>0.0330101978091485</v>
      </c>
      <c r="AL255" s="159" t="n">
        <f aca="false">IF($B255=" ",0,AL$25*AL$28)</f>
        <v>0.0575</v>
      </c>
      <c r="AM255" s="162" t="n">
        <f aca="false">+AI255+AJ255+SUM(AK255:AL255)*SUM($J255*$J$37,$K255*$K$37,$L255*$L$37,$M255*$M$37,$N255*$N$37,$O255*$O$37)/1000</f>
        <v>1511.81747166021</v>
      </c>
      <c r="AO255" s="163" t="n">
        <f aca="false">IF($B255=" ",0,$AO$25)</f>
        <v>0.25</v>
      </c>
      <c r="AP255" s="159" t="n">
        <f aca="false">IF($B255=" ",0,AP$25*AP$28)</f>
        <v>0.03105</v>
      </c>
      <c r="AQ255" s="162" t="n">
        <f aca="false">SUM(AO255:AP255)*SUM(0)/1000</f>
        <v>0</v>
      </c>
      <c r="AS255" s="155" t="n">
        <f aca="false">IF($B255=" ",0,AS$25)</f>
        <v>1</v>
      </c>
      <c r="AT255" s="156" t="n">
        <f aca="false">IF($B255=" ",0,AT$25)</f>
        <v>1</v>
      </c>
      <c r="AU255" s="156" t="n">
        <f aca="false">IF($B255=" ",0,AU$25)</f>
        <v>2.3</v>
      </c>
      <c r="AV255" s="157" t="n">
        <f aca="false">+AS255*SUM(J255:K255)/1000</f>
        <v>0</v>
      </c>
      <c r="AW255" s="157" t="n">
        <f aca="false">+AT255*SUM(L255:M255)/1000</f>
        <v>0</v>
      </c>
      <c r="AX255" s="157" t="n">
        <f aca="false">+AU255*SUM(N255:O255)/1000</f>
        <v>11537.9859375</v>
      </c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</row>
    <row r="256" customFormat="false" ht="12.75" hidden="true" customHeight="false" outlineLevel="1" collapsed="false">
      <c r="A256" s="164" t="n">
        <f aca="false">+IF(B256=" ",A255,B256)</f>
        <v>43070</v>
      </c>
      <c r="B256" s="148" t="n">
        <f aca="false">IF(B255=" "," ",IF(EDATE(B255,1)&gt;=EndDate," ",EDATE(B255,1)))</f>
        <v>43070</v>
      </c>
      <c r="C256" s="149" t="n">
        <f aca="false">IF($B256&lt;&gt;" ",C255+1,C255)</f>
        <v>206</v>
      </c>
      <c r="D256" s="150" t="n">
        <f aca="false">C256/12</f>
        <v>17.1666666666667</v>
      </c>
      <c r="F256" s="157" t="n">
        <f aca="false">+SUM($T256:$U256)</f>
        <v>14883.5779284771</v>
      </c>
      <c r="G256" s="152" t="n">
        <f aca="false">-SUM($AA256,$AG256,$AM256,$AQ256,$AV256:$AX256)</f>
        <v>-16895.2355041155</v>
      </c>
      <c r="H256" s="152" t="n">
        <f aca="false">+SUM(F256:G256)</f>
        <v>-2011.65757563837</v>
      </c>
      <c r="I256" s="124"/>
      <c r="J256" s="153" t="n">
        <f aca="false">+IF($B256=" ",0,IF(AND($B256&gt;=J$26,$B256&lt;J$28),J$33,0))</f>
        <v>0</v>
      </c>
      <c r="K256" s="153" t="n">
        <f aca="false">+IF($B256=" ",0,IF(AND($B256&gt;=K$26,$B256&lt;K$28),K$33,0))</f>
        <v>0</v>
      </c>
      <c r="L256" s="153" t="n">
        <f aca="false">+IF($B256=" ",0,IF(AND($B256&gt;=L$26,$B256&lt;L$28),L$33,0))</f>
        <v>0</v>
      </c>
      <c r="M256" s="153" t="n">
        <f aca="false">+IF($B256=" ",0,IF(AND($B256&gt;=M$26,$B256&lt;M$28),M$33,0))</f>
        <v>0</v>
      </c>
      <c r="N256" s="153" t="n">
        <f aca="false">+IF($B256=" ",0,IF(AND($B256&gt;=N$26,$B256&lt;N$28),N$33,0))</f>
        <v>0</v>
      </c>
      <c r="O256" s="154" t="n">
        <f aca="false">+IF($B256=" ",0,IF(AND($B256&gt;=O$26,$B256&lt;O$28),O$33,0))</f>
        <v>5016515.625</v>
      </c>
      <c r="Q256" s="83" t="n">
        <f aca="false">IF($B256=" ",0,IF($B256&lt;=DATE(2003,12,31),3.55,2.9))</f>
        <v>2.9</v>
      </c>
      <c r="R256" s="155" t="n">
        <f aca="false">IF($B256=" ",0,R$25)</f>
        <v>-0.07</v>
      </c>
      <c r="S256" s="156" t="n">
        <f aca="false">IF($B256=" ",0,S$25)</f>
        <v>0.1</v>
      </c>
      <c r="T256" s="157" t="n">
        <f aca="false">+SUM($Q256,$S256)/1000*(SUM($J256*$J$37,$K256*$K$37,$L256*$L$37,$M256*$M$37,$N256*$N$37,$O256*$O$37))</f>
        <v>14883.5779284771</v>
      </c>
      <c r="U256" s="157" t="n">
        <f aca="false">+SUM($Q256,$R256)/1000*(SUM(0))</f>
        <v>0</v>
      </c>
      <c r="W256" s="158" t="n">
        <f aca="false">IF($B256=" ",0,1)*(IF($B256&gt;=W$25,1,0)*IF($B256&lt;=W$29,W$27,IF($B256&lt;=W$33,W$31,0))*($D256-$D255)*365/1000)</f>
        <v>486.666666666681</v>
      </c>
      <c r="X256" s="158" t="n">
        <f aca="false">IF($B256=" ",0,IF($B256&gt;=X$25,IF($B256&lt;=X$29,X$27,IF($B256&lt;=X$33,X$31,X$31*(1+X$38)^(IF(X$36&gt;$B256,-1,1)*(YEARFRAC($B256,X$36)))))*($D256-$D255)*365/1000,0))</f>
        <v>471.780313959559</v>
      </c>
      <c r="Y256" s="159" t="n">
        <f aca="false">IF($B256=" ",0,Y$25*(1+Y$30)^(IF(Y$28&gt;$B256,-1,1)*(YEARFRAC($B256,Y$28))))</f>
        <v>0.593014828296016</v>
      </c>
      <c r="Z256" s="159" t="n">
        <f aca="false">IF($B256=" ",0,Z$25*(1+Z$30)^(IF(Z$28&gt;$B256,-1,1)*(YEARFRAC($B256,Z$28))))</f>
        <v>0.566109118436501</v>
      </c>
      <c r="AA256" s="162" t="n">
        <f aca="false">+W256+X256+Z256*SUM($J256*$J$37,$L256*$L$37,$N256*$N$37)/1000</f>
        <v>958.44698062624</v>
      </c>
      <c r="AB256" s="161"/>
      <c r="AC256" s="158" t="n">
        <f aca="false">IF($B256=" ",0,1)*(IF($B256&gt;=AC$25,1,0)*IF($B256&lt;=AC$29,AC$27,IF($B256&lt;=AC$33,AC$31,0))*($D256-$D255)*365/1000)</f>
        <v>1591.66666666671</v>
      </c>
      <c r="AD256" s="158" t="n">
        <f aca="false">IF($B256=" ",0,IF($B256&gt;=AD$25,IF($B256&lt;=AD$29,AD$27,IF($B256&lt;=AD$33,AD$31,AD$31*(1+AD$38)^(IF(AD$36&gt;$B256,-1,1)*(YEARFRAC($B256,AD$36)))))*($D256-$D255)*365/1000,0))</f>
        <v>419.987635234566</v>
      </c>
      <c r="AE256" s="159" t="n">
        <f aca="false">IF($B256=" ",0,AE$25*(1+AE$30)^(IF(AE$28&gt;$B256,-1,1)*(YEARFRAC($B256,AE$28))))</f>
        <v>0.491309649880005</v>
      </c>
      <c r="AF256" s="159" t="n">
        <f aca="false">IF($B256=" ",0,AF$25*(1+AF$30)^(IF(AF$28&gt;$B256,-1,1)*(YEARFRAC($B256,AF$28))))</f>
        <v>0.176280788172999</v>
      </c>
      <c r="AG256" s="162" t="n">
        <f aca="false">+AC256+AD256+AF256*SUM($K256*$K$37,$M256*$M$37,$O256*$O$37)/1000</f>
        <v>2886.21725125668</v>
      </c>
      <c r="AI256" s="158" t="n">
        <f aca="false">IF($B256=" ",0,1)*IF($B256&gt;=AI$33,AI$25*($D256-$D255),0)</f>
        <v>485.186570908347</v>
      </c>
      <c r="AJ256" s="158" t="n">
        <f aca="false">IF($B256=" ",0,IF($B256&gt;=AJ$33,AJ$25*(1+AJ$30)^(IF(AJ$28&gt;$B256,-1,1)*(YEARFRAC($B256,AJ$28)))*($D256-$D255),0))</f>
        <v>578.190612279207</v>
      </c>
      <c r="AK256" s="159" t="n">
        <f aca="false">IF($B256=" ",0,AK$25*(1+AK$30)^(IF(AK$28&gt;$B256,-1,1)*(YEARFRAC($B256,AK$28))))</f>
        <v>0.0330443879899737</v>
      </c>
      <c r="AL256" s="159" t="n">
        <f aca="false">IF($B256=" ",0,AL$25*AL$28)</f>
        <v>0.0575</v>
      </c>
      <c r="AM256" s="162" t="n">
        <f aca="false">+AI256+AJ256+SUM(AK256:AL256)*SUM($J256*$J$37,$K256*$K$37,$L256*$L$37,$M256*$M$37,$N256*$N$37,$O256*$O$37)/1000</f>
        <v>1512.58533473257</v>
      </c>
      <c r="AO256" s="163" t="n">
        <f aca="false">IF($B256=" ",0,$AO$25)</f>
        <v>0.25</v>
      </c>
      <c r="AP256" s="159" t="n">
        <f aca="false">IF($B256=" ",0,AP$25*AP$28)</f>
        <v>0.03105</v>
      </c>
      <c r="AQ256" s="162" t="n">
        <f aca="false">SUM(AO256:AP256)*SUM(0)/1000</f>
        <v>0</v>
      </c>
      <c r="AS256" s="155" t="n">
        <f aca="false">IF($B256=" ",0,AS$25)</f>
        <v>1</v>
      </c>
      <c r="AT256" s="156" t="n">
        <f aca="false">IF($B256=" ",0,AT$25)</f>
        <v>1</v>
      </c>
      <c r="AU256" s="156" t="n">
        <f aca="false">IF($B256=" ",0,AU$25)</f>
        <v>2.3</v>
      </c>
      <c r="AV256" s="157" t="n">
        <f aca="false">+AS256*SUM(J256:K256)/1000</f>
        <v>0</v>
      </c>
      <c r="AW256" s="157" t="n">
        <f aca="false">+AT256*SUM(L256:M256)/1000</f>
        <v>0</v>
      </c>
      <c r="AX256" s="157" t="n">
        <f aca="false">+AU256*SUM(N256:O256)/1000</f>
        <v>11537.9859375</v>
      </c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</row>
    <row r="257" customFormat="false" ht="12.75" hidden="true" customHeight="false" outlineLevel="1" collapsed="false">
      <c r="A257" s="164" t="n">
        <f aca="false">+IF(B257=" ",A256,B257)</f>
        <v>43101</v>
      </c>
      <c r="B257" s="148" t="n">
        <f aca="false">IF(B256=" "," ",IF(EDATE(B256,1)&gt;=EndDate," ",EDATE(B256,1)))</f>
        <v>43101</v>
      </c>
      <c r="C257" s="149" t="n">
        <f aca="false">IF($B257&lt;&gt;" ",C256+1,C256)</f>
        <v>207</v>
      </c>
      <c r="D257" s="150" t="n">
        <f aca="false">C257/12</f>
        <v>17.25</v>
      </c>
      <c r="F257" s="157" t="n">
        <f aca="false">+SUM($T257:$U257)</f>
        <v>14883.5779284771</v>
      </c>
      <c r="G257" s="152" t="n">
        <f aca="false">-SUM($AA257,$AG257,$AM257,$AQ257,$AV257:$AX257)</f>
        <v>-16898.4388570028</v>
      </c>
      <c r="H257" s="152" t="n">
        <f aca="false">+SUM(F257:G257)</f>
        <v>-2014.86092852569</v>
      </c>
      <c r="I257" s="124"/>
      <c r="J257" s="153" t="n">
        <f aca="false">+IF($B257=" ",0,IF(AND($B257&gt;=J$26,$B257&lt;J$28),J$33,0))</f>
        <v>0</v>
      </c>
      <c r="K257" s="153" t="n">
        <f aca="false">+IF($B257=" ",0,IF(AND($B257&gt;=K$26,$B257&lt;K$28),K$33,0))</f>
        <v>0</v>
      </c>
      <c r="L257" s="153" t="n">
        <f aca="false">+IF($B257=" ",0,IF(AND($B257&gt;=L$26,$B257&lt;L$28),L$33,0))</f>
        <v>0</v>
      </c>
      <c r="M257" s="153" t="n">
        <f aca="false">+IF($B257=" ",0,IF(AND($B257&gt;=M$26,$B257&lt;M$28),M$33,0))</f>
        <v>0</v>
      </c>
      <c r="N257" s="153" t="n">
        <f aca="false">+IF($B257=" ",0,IF(AND($B257&gt;=N$26,$B257&lt;N$28),N$33,0))</f>
        <v>0</v>
      </c>
      <c r="O257" s="154" t="n">
        <f aca="false">+IF($B257=" ",0,IF(AND($B257&gt;=O$26,$B257&lt;O$28),O$33,0))</f>
        <v>5016515.625</v>
      </c>
      <c r="Q257" s="83" t="n">
        <f aca="false">IF($B257=" ",0,IF($B257&lt;=DATE(2003,12,31),3.55,2.9))</f>
        <v>2.9</v>
      </c>
      <c r="R257" s="155" t="n">
        <f aca="false">IF($B257=" ",0,R$25)</f>
        <v>-0.07</v>
      </c>
      <c r="S257" s="156" t="n">
        <f aca="false">IF($B257=" ",0,S$25)</f>
        <v>0.1</v>
      </c>
      <c r="T257" s="157" t="n">
        <f aca="false">+SUM($Q257,$S257)/1000*(SUM($J257*$J$37,$K257*$K$37,$L257*$L$37,$M257*$M$37,$N257*$N$37,$O257*$O$37))</f>
        <v>14883.5779284771</v>
      </c>
      <c r="U257" s="157" t="n">
        <f aca="false">+SUM($Q257,$R257)/1000*(SUM(0))</f>
        <v>0</v>
      </c>
      <c r="W257" s="158" t="n">
        <f aca="false">IF($B257=" ",0,1)*(IF($B257&gt;=W$25,1,0)*IF($B257&lt;=W$29,W$27,IF($B257&lt;=W$33,W$31,0))*($D257-$D256)*365/1000)</f>
        <v>486.66666666666</v>
      </c>
      <c r="X257" s="158" t="n">
        <f aca="false">IF($B257=" ",0,IF($B257&gt;=X$25,IF($B257&lt;=X$29,X$27,IF($B257&lt;=X$33,X$31,X$31*(1+X$38)^(IF(X$36&gt;$B257,-1,1)*(YEARFRAC($B257,X$36)))))*($D257-$D256)*365/1000,0))</f>
        <v>472.430611669025</v>
      </c>
      <c r="Y257" s="159" t="n">
        <f aca="false">IF($B257=" ",0,Y$25*(1+Y$30)^(IF(Y$28&gt;$B257,-1,1)*(YEARFRAC($B257,Y$28))))</f>
        <v>0.593832234561436</v>
      </c>
      <c r="Z257" s="159" t="n">
        <f aca="false">IF($B257=" ",0,Z$25*(1+Z$30)^(IF(Z$28&gt;$B257,-1,1)*(YEARFRAC($B257,Z$28))))</f>
        <v>0.56688943811527</v>
      </c>
      <c r="AA257" s="162" t="n">
        <f aca="false">+W257+X257+Z257*SUM($J257*$J$37,$L257*$L$37,$N257*$N$37)/1000</f>
        <v>959.097278335685</v>
      </c>
      <c r="AB257" s="161"/>
      <c r="AC257" s="158" t="n">
        <f aca="false">IF($B257=" ",0,1)*(IF($B257&gt;=AC$25,1,0)*IF($B257&lt;=AC$29,AC$27,IF($B257&lt;=AC$33,AC$31,0))*($D257-$D256)*365/1000)</f>
        <v>1591.66666666664</v>
      </c>
      <c r="AD257" s="158" t="n">
        <f aca="false">IF($B257=" ",0,IF($B257&gt;=AD$25,IF($B257&lt;=AD$29,AD$27,IF($B257&lt;=AD$33,AD$31,AD$31*(1+AD$38)^(IF(AD$36&gt;$B257,-1,1)*(YEARFRAC($B257,AD$36)))))*($D257-$D256)*365/1000,0))</f>
        <v>420.566542385025</v>
      </c>
      <c r="AE257" s="159" t="n">
        <f aca="false">IF($B257=" ",0,AE$25*(1+AE$30)^(IF(AE$28&gt;$B257,-1,1)*(YEARFRAC($B257,AE$28))))</f>
        <v>0.491986866649149</v>
      </c>
      <c r="AF257" s="159" t="n">
        <f aca="false">IF($B257=" ",0,AF$25*(1+AF$30)^(IF(AF$28&gt;$B257,-1,1)*(YEARFRAC($B257,AF$28))))</f>
        <v>0.176523772013959</v>
      </c>
      <c r="AG257" s="162" t="n">
        <f aca="false">+AC257+AD257+AF257*SUM($K257*$K$37,$M257*$M$37,$O257*$O$37)/1000</f>
        <v>2888.00164805117</v>
      </c>
      <c r="AI257" s="158" t="n">
        <f aca="false">IF($B257=" ",0,1)*IF($B257&gt;=AI$33,AI$25*($D257-$D256),0)</f>
        <v>485.186570908327</v>
      </c>
      <c r="AJ257" s="158" t="n">
        <f aca="false">IF($B257=" ",0,IF($B257&gt;=AJ$33,AJ$25*(1+AJ$30)^(IF(AJ$28&gt;$B257,-1,1)*(YEARFRAC($B257,AJ$28)))*($D257-$D256),0))</f>
        <v>578.789470901586</v>
      </c>
      <c r="AK257" s="159" t="n">
        <f aca="false">IF($B257=" ",0,AK$25*(1+AK$30)^(IF(AK$28&gt;$B257,-1,1)*(YEARFRAC($B257,AK$28))))</f>
        <v>0.0330786135831425</v>
      </c>
      <c r="AL257" s="159" t="n">
        <f aca="false">IF($B257=" ",0,AL$25*AL$28)</f>
        <v>0.0575</v>
      </c>
      <c r="AM257" s="162" t="n">
        <f aca="false">+AI257+AJ257+SUM(AK257:AL257)*SUM($J257*$J$37,$K257*$K$37,$L257*$L$37,$M257*$M$37,$N257*$N$37,$O257*$O$37)/1000</f>
        <v>1513.35399311595</v>
      </c>
      <c r="AO257" s="163" t="n">
        <f aca="false">IF($B257=" ",0,$AO$25)</f>
        <v>0.25</v>
      </c>
      <c r="AP257" s="159" t="n">
        <f aca="false">IF($B257=" ",0,AP$25*AP$28)</f>
        <v>0.03105</v>
      </c>
      <c r="AQ257" s="162" t="n">
        <f aca="false">SUM(AO257:AP257)*SUM(0)/1000</f>
        <v>0</v>
      </c>
      <c r="AS257" s="155" t="n">
        <f aca="false">IF($B257=" ",0,AS$25)</f>
        <v>1</v>
      </c>
      <c r="AT257" s="156" t="n">
        <f aca="false">IF($B257=" ",0,AT$25)</f>
        <v>1</v>
      </c>
      <c r="AU257" s="156" t="n">
        <f aca="false">IF($B257=" ",0,AU$25)</f>
        <v>2.3</v>
      </c>
      <c r="AV257" s="157" t="n">
        <f aca="false">+AS257*SUM(J257:K257)/1000</f>
        <v>0</v>
      </c>
      <c r="AW257" s="157" t="n">
        <f aca="false">+AT257*SUM(L257:M257)/1000</f>
        <v>0</v>
      </c>
      <c r="AX257" s="157" t="n">
        <f aca="false">+AU257*SUM(N257:O257)/1000</f>
        <v>11537.9859375</v>
      </c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</row>
    <row r="258" customFormat="false" ht="12.75" hidden="true" customHeight="false" outlineLevel="1" collapsed="false">
      <c r="A258" s="164" t="n">
        <f aca="false">+IF(B258=" ",A257,B258)</f>
        <v>43132</v>
      </c>
      <c r="B258" s="148" t="n">
        <f aca="false">IF(B257=" "," ",IF(EDATE(B257,1)&gt;=EndDate," ",EDATE(B257,1)))</f>
        <v>43132</v>
      </c>
      <c r="C258" s="149" t="n">
        <f aca="false">IF($B258&lt;&gt;" ",C257+1,C257)</f>
        <v>208</v>
      </c>
      <c r="D258" s="150" t="n">
        <f aca="false">C258/12</f>
        <v>17.3333333333333</v>
      </c>
      <c r="F258" s="157" t="n">
        <f aca="false">+SUM($T258:$U258)</f>
        <v>14883.5779284771</v>
      </c>
      <c r="G258" s="152" t="n">
        <f aca="false">-SUM($AA258,$AG258,$AM258,$AQ258,$AV258:$AX258)</f>
        <v>-16901.646361986</v>
      </c>
      <c r="H258" s="152" t="n">
        <f aca="false">+SUM(F258:G258)</f>
        <v>-2018.06843350888</v>
      </c>
      <c r="I258" s="124"/>
      <c r="J258" s="153" t="n">
        <f aca="false">+IF($B258=" ",0,IF(AND($B258&gt;=J$26,$B258&lt;J$28),J$33,0))</f>
        <v>0</v>
      </c>
      <c r="K258" s="153" t="n">
        <f aca="false">+IF($B258=" ",0,IF(AND($B258&gt;=K$26,$B258&lt;K$28),K$33,0))</f>
        <v>0</v>
      </c>
      <c r="L258" s="153" t="n">
        <f aca="false">+IF($B258=" ",0,IF(AND($B258&gt;=L$26,$B258&lt;L$28),L$33,0))</f>
        <v>0</v>
      </c>
      <c r="M258" s="153" t="n">
        <f aca="false">+IF($B258=" ",0,IF(AND($B258&gt;=M$26,$B258&lt;M$28),M$33,0))</f>
        <v>0</v>
      </c>
      <c r="N258" s="153" t="n">
        <f aca="false">+IF($B258=" ",0,IF(AND($B258&gt;=N$26,$B258&lt;N$28),N$33,0))</f>
        <v>0</v>
      </c>
      <c r="O258" s="154" t="n">
        <f aca="false">+IF($B258=" ",0,IF(AND($B258&gt;=O$26,$B258&lt;O$28),O$33,0))</f>
        <v>5016515.625</v>
      </c>
      <c r="Q258" s="83" t="n">
        <f aca="false">IF($B258=" ",0,IF($B258&lt;=DATE(2003,12,31),3.55,2.9))</f>
        <v>2.9</v>
      </c>
      <c r="R258" s="155" t="n">
        <f aca="false">IF($B258=" ",0,R$25)</f>
        <v>-0.07</v>
      </c>
      <c r="S258" s="156" t="n">
        <f aca="false">IF($B258=" ",0,S$25)</f>
        <v>0.1</v>
      </c>
      <c r="T258" s="157" t="n">
        <f aca="false">+SUM($Q258,$S258)/1000*(SUM($J258*$J$37,$K258*$K$37,$L258*$L$37,$M258*$M$37,$N258*$N$37,$O258*$O$37))</f>
        <v>14883.5779284771</v>
      </c>
      <c r="U258" s="157" t="n">
        <f aca="false">+SUM($Q258,$R258)/1000*(SUM(0))</f>
        <v>0</v>
      </c>
      <c r="W258" s="158" t="n">
        <f aca="false">IF($B258=" ",0,1)*(IF($B258&gt;=W$25,1,0)*IF($B258&lt;=W$29,W$27,IF($B258&lt;=W$33,W$31,0))*($D258-$D257)*365/1000)</f>
        <v>486.66666666666</v>
      </c>
      <c r="X258" s="158" t="n">
        <f aca="false">IF($B258=" ",0,IF($B258&gt;=X$25,IF($B258&lt;=X$29,X$27,IF($B258&lt;=X$33,X$31,X$31*(1+X$38)^(IF(X$36&gt;$B258,-1,1)*(YEARFRAC($B258,X$36)))))*($D258-$D257)*365/1000,0))</f>
        <v>473.081805742981</v>
      </c>
      <c r="Y258" s="159" t="n">
        <f aca="false">IF($B258=" ",0,Y$25*(1+Y$30)^(IF(Y$28&gt;$B258,-1,1)*(YEARFRAC($B258,Y$28))))</f>
        <v>0.594650767532245</v>
      </c>
      <c r="Z258" s="159" t="n">
        <f aca="false">IF($B258=" ",0,Z$25*(1+Z$30)^(IF(Z$28&gt;$B258,-1,1)*(YEARFRAC($B258,Z$28))))</f>
        <v>0.567670833379613</v>
      </c>
      <c r="AA258" s="162" t="n">
        <f aca="false">+W258+X258+Z258*SUM($J258*$J$37,$L258*$L$37,$N258*$N$37)/1000</f>
        <v>959.748472409641</v>
      </c>
      <c r="AB258" s="161"/>
      <c r="AC258" s="158" t="n">
        <f aca="false">IF($B258=" ",0,1)*(IF($B258&gt;=AC$25,1,0)*IF($B258&lt;=AC$29,AC$27,IF($B258&lt;=AC$33,AC$31,0))*($D258-$D257)*365/1000)</f>
        <v>1591.66666666664</v>
      </c>
      <c r="AD258" s="158" t="n">
        <f aca="false">IF($B258=" ",0,IF($B258&gt;=AD$25,IF($B258&lt;=AD$29,AD$27,IF($B258&lt;=AD$33,AD$31,AD$31*(1+AD$38)^(IF(AD$36&gt;$B258,-1,1)*(YEARFRAC($B258,AD$36)))))*($D258-$D257)*365/1000,0))</f>
        <v>421.146247495873</v>
      </c>
      <c r="AE258" s="159" t="n">
        <f aca="false">IF($B258=" ",0,AE$25*(1+AE$30)^(IF(AE$28&gt;$B258,-1,1)*(YEARFRAC($B258,AE$28))))</f>
        <v>0.49266501688775</v>
      </c>
      <c r="AF258" s="159" t="n">
        <f aca="false">IF($B258=" ",0,AF$25*(1+AF$30)^(IF(AF$28&gt;$B258,-1,1)*(YEARFRAC($B258,AF$28))))</f>
        <v>0.176767090781644</v>
      </c>
      <c r="AG258" s="162" t="n">
        <f aca="false">+AC258+AD258+AF258*SUM($K258*$K$37,$M258*$M$37,$O258*$O$37)/1000</f>
        <v>2889.78850444211</v>
      </c>
      <c r="AI258" s="158" t="n">
        <f aca="false">IF($B258=" ",0,1)*IF($B258&gt;=AI$33,AI$25*($D258-$D257),0)</f>
        <v>485.186570908327</v>
      </c>
      <c r="AJ258" s="158" t="n">
        <f aca="false">IF($B258=" ",0,IF($B258&gt;=AJ$33,AJ$25*(1+AJ$30)^(IF(AJ$28&gt;$B258,-1,1)*(YEARFRAC($B258,AJ$28)))*($D258-$D257),0))</f>
        <v>579.388949789422</v>
      </c>
      <c r="AK258" s="159" t="n">
        <f aca="false">IF($B258=" ",0,AK$25*(1+AK$30)^(IF(AK$28&gt;$B258,-1,1)*(YEARFRAC($B258,AK$28))))</f>
        <v>0.033112874625333</v>
      </c>
      <c r="AL258" s="159" t="n">
        <f aca="false">IF($B258=" ",0,AL$25*AL$28)</f>
        <v>0.0575</v>
      </c>
      <c r="AM258" s="162" t="n">
        <f aca="false">+AI258+AJ258+SUM(AK258:AL258)*SUM($J258*$J$37,$K258*$K$37,$L258*$L$37,$M258*$M$37,$N258*$N$37,$O258*$O$37)/1000</f>
        <v>1514.12344763424</v>
      </c>
      <c r="AO258" s="163" t="n">
        <f aca="false">IF($B258=" ",0,$AO$25)</f>
        <v>0.25</v>
      </c>
      <c r="AP258" s="159" t="n">
        <f aca="false">IF($B258=" ",0,AP$25*AP$28)</f>
        <v>0.03105</v>
      </c>
      <c r="AQ258" s="162" t="n">
        <f aca="false">SUM(AO258:AP258)*SUM(0)/1000</f>
        <v>0</v>
      </c>
      <c r="AS258" s="155" t="n">
        <f aca="false">IF($B258=" ",0,AS$25)</f>
        <v>1</v>
      </c>
      <c r="AT258" s="156" t="n">
        <f aca="false">IF($B258=" ",0,AT$25)</f>
        <v>1</v>
      </c>
      <c r="AU258" s="156" t="n">
        <f aca="false">IF($B258=" ",0,AU$25)</f>
        <v>2.3</v>
      </c>
      <c r="AV258" s="157" t="n">
        <f aca="false">+AS258*SUM(J258:K258)/1000</f>
        <v>0</v>
      </c>
      <c r="AW258" s="157" t="n">
        <f aca="false">+AT258*SUM(L258:M258)/1000</f>
        <v>0</v>
      </c>
      <c r="AX258" s="157" t="n">
        <f aca="false">+AU258*SUM(N258:O258)/1000</f>
        <v>11537.9859375</v>
      </c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</row>
    <row r="259" customFormat="false" ht="12.75" hidden="true" customHeight="false" outlineLevel="1" collapsed="false">
      <c r="A259" s="164" t="n">
        <f aca="false">+IF(B259=" ",A258,B259)</f>
        <v>43160</v>
      </c>
      <c r="B259" s="148" t="n">
        <f aca="false">IF(B258=" "," ",IF(EDATE(B258,1)&gt;=EndDate," ",EDATE(B258,1)))</f>
        <v>43160</v>
      </c>
      <c r="C259" s="149" t="n">
        <f aca="false">IF($B259&lt;&gt;" ",C258+1,C258)</f>
        <v>209</v>
      </c>
      <c r="D259" s="150" t="n">
        <f aca="false">C259/12</f>
        <v>17.4166666666667</v>
      </c>
      <c r="F259" s="157" t="n">
        <f aca="false">+SUM($T259:$U259)</f>
        <v>14883.5779284771</v>
      </c>
      <c r="G259" s="152" t="n">
        <f aca="false">-SUM($AA259,$AG259,$AM259,$AQ259,$AV259:$AX259)</f>
        <v>-16904.8580245155</v>
      </c>
      <c r="H259" s="152" t="n">
        <f aca="false">+SUM(F259:G259)</f>
        <v>-2021.28009603836</v>
      </c>
      <c r="I259" s="124"/>
      <c r="J259" s="153" t="n">
        <f aca="false">+IF($B259=" ",0,IF(AND($B259&gt;=J$26,$B259&lt;J$28),J$33,0))</f>
        <v>0</v>
      </c>
      <c r="K259" s="153" t="n">
        <f aca="false">+IF($B259=" ",0,IF(AND($B259&gt;=K$26,$B259&lt;K$28),K$33,0))</f>
        <v>0</v>
      </c>
      <c r="L259" s="153" t="n">
        <f aca="false">+IF($B259=" ",0,IF(AND($B259&gt;=L$26,$B259&lt;L$28),L$33,0))</f>
        <v>0</v>
      </c>
      <c r="M259" s="153" t="n">
        <f aca="false">+IF($B259=" ",0,IF(AND($B259&gt;=M$26,$B259&lt;M$28),M$33,0))</f>
        <v>0</v>
      </c>
      <c r="N259" s="153" t="n">
        <f aca="false">+IF($B259=" ",0,IF(AND($B259&gt;=N$26,$B259&lt;N$28),N$33,0))</f>
        <v>0</v>
      </c>
      <c r="O259" s="154" t="n">
        <f aca="false">+IF($B259=" ",0,IF(AND($B259&gt;=O$26,$B259&lt;O$28),O$33,0))</f>
        <v>5016515.625</v>
      </c>
      <c r="Q259" s="83" t="n">
        <f aca="false">IF($B259=" ",0,IF($B259&lt;=DATE(2003,12,31),3.55,2.9))</f>
        <v>2.9</v>
      </c>
      <c r="R259" s="155" t="n">
        <f aca="false">IF($B259=" ",0,R$25)</f>
        <v>-0.07</v>
      </c>
      <c r="S259" s="156" t="n">
        <f aca="false">IF($B259=" ",0,S$25)</f>
        <v>0.1</v>
      </c>
      <c r="T259" s="157" t="n">
        <f aca="false">+SUM($Q259,$S259)/1000*(SUM($J259*$J$37,$K259*$K$37,$L259*$L$37,$M259*$M$37,$N259*$N$37,$O259*$O$37))</f>
        <v>14883.5779284771</v>
      </c>
      <c r="U259" s="157" t="n">
        <f aca="false">+SUM($Q259,$R259)/1000*(SUM(0))</f>
        <v>0</v>
      </c>
      <c r="W259" s="158" t="n">
        <f aca="false">IF($B259=" ",0,1)*(IF($B259&gt;=W$25,1,0)*IF($B259&lt;=W$29,W$27,IF($B259&lt;=W$33,W$31,0))*($D259-$D258)*365/1000)</f>
        <v>486.666666666681</v>
      </c>
      <c r="X259" s="158" t="n">
        <f aca="false">IF($B259=" ",0,IF($B259&gt;=X$25,IF($B259&lt;=X$29,X$27,IF($B259&lt;=X$33,X$31,X$31*(1+X$38)^(IF(X$36&gt;$B259,-1,1)*(YEARFRAC($B259,X$36)))))*($D259-$D258)*365/1000,0))</f>
        <v>473.733897416968</v>
      </c>
      <c r="Y259" s="159" t="n">
        <f aca="false">IF($B259=" ",0,Y$25*(1+Y$30)^(IF(Y$28&gt;$B259,-1,1)*(YEARFRAC($B259,Y$28))))</f>
        <v>0.595470428761483</v>
      </c>
      <c r="Z259" s="159" t="n">
        <f aca="false">IF($B259=" ",0,Z$25*(1+Z$30)^(IF(Z$28&gt;$B259,-1,1)*(YEARFRAC($B259,Z$28))))</f>
        <v>0.568453305712107</v>
      </c>
      <c r="AA259" s="162" t="n">
        <f aca="false">+W259+X259+Z259*SUM($J259*$J$37,$L259*$L$37,$N259*$N$37)/1000</f>
        <v>960.400564083648</v>
      </c>
      <c r="AB259" s="161"/>
      <c r="AC259" s="158" t="n">
        <f aca="false">IF($B259=" ",0,1)*(IF($B259&gt;=AC$25,1,0)*IF($B259&lt;=AC$29,AC$27,IF($B259&lt;=AC$33,AC$31,0))*($D259-$D258)*365/1000)</f>
        <v>1591.66666666671</v>
      </c>
      <c r="AD259" s="158" t="n">
        <f aca="false">IF($B259=" ",0,IF($B259&gt;=AD$25,IF($B259&lt;=AD$29,AD$27,IF($B259&lt;=AD$33,AD$31,AD$31*(1+AD$38)^(IF(AD$36&gt;$B259,-1,1)*(YEARFRAC($B259,AD$36)))))*($D259-$D258)*365/1000,0))</f>
        <v>421.726751667009</v>
      </c>
      <c r="AE259" s="159" t="n">
        <f aca="false">IF($B259=" ",0,AE$25*(1+AE$30)^(IF(AE$28&gt;$B259,-1,1)*(YEARFRAC($B259,AE$28))))</f>
        <v>0.493344101882495</v>
      </c>
      <c r="AF259" s="159" t="n">
        <f aca="false">IF($B259=" ",0,AF$25*(1+AF$30)^(IF(AF$28&gt;$B259,-1,1)*(YEARFRAC($B259,AF$28))))</f>
        <v>0.177010744937713</v>
      </c>
      <c r="AG259" s="162" t="n">
        <f aca="false">+AC259+AD259+AF259*SUM($K259*$K$37,$M259*$M$37,$O259*$O$37)/1000</f>
        <v>2891.5778238198</v>
      </c>
      <c r="AI259" s="158" t="n">
        <f aca="false">IF($B259=" ",0,1)*IF($B259&gt;=AI$33,AI$25*($D259-$D258),0)</f>
        <v>485.186570908347</v>
      </c>
      <c r="AJ259" s="158" t="n">
        <f aca="false">IF($B259=" ",0,IF($B259&gt;=AJ$33,AJ$25*(1+AJ$30)^(IF(AJ$28&gt;$B259,-1,1)*(YEARFRAC($B259,AJ$28)))*($D259-$D258),0))</f>
        <v>579.989049585151</v>
      </c>
      <c r="AK259" s="159" t="n">
        <f aca="false">IF($B259=" ",0,AK$25*(1+AK$30)^(IF(AK$28&gt;$B259,-1,1)*(YEARFRAC($B259,AK$28))))</f>
        <v>0.0331471711532614</v>
      </c>
      <c r="AL259" s="159" t="n">
        <f aca="false">IF($B259=" ",0,AL$25*AL$28)</f>
        <v>0.0575</v>
      </c>
      <c r="AM259" s="162" t="n">
        <f aca="false">+AI259+AJ259+SUM(AK259:AL259)*SUM($J259*$J$37,$K259*$K$37,$L259*$L$37,$M259*$M$37,$N259*$N$37,$O259*$O$37)/1000</f>
        <v>1514.89369911202</v>
      </c>
      <c r="AO259" s="163" t="n">
        <f aca="false">IF($B259=" ",0,$AO$25)</f>
        <v>0.25</v>
      </c>
      <c r="AP259" s="159" t="n">
        <f aca="false">IF($B259=" ",0,AP$25*AP$28)</f>
        <v>0.03105</v>
      </c>
      <c r="AQ259" s="162" t="n">
        <f aca="false">SUM(AO259:AP259)*SUM(0)/1000</f>
        <v>0</v>
      </c>
      <c r="AS259" s="155" t="n">
        <f aca="false">IF($B259=" ",0,AS$25)</f>
        <v>1</v>
      </c>
      <c r="AT259" s="156" t="n">
        <f aca="false">IF($B259=" ",0,AT$25)</f>
        <v>1</v>
      </c>
      <c r="AU259" s="156" t="n">
        <f aca="false">IF($B259=" ",0,AU$25)</f>
        <v>2.3</v>
      </c>
      <c r="AV259" s="157" t="n">
        <f aca="false">+AS259*SUM(J259:K259)/1000</f>
        <v>0</v>
      </c>
      <c r="AW259" s="157" t="n">
        <f aca="false">+AT259*SUM(L259:M259)/1000</f>
        <v>0</v>
      </c>
      <c r="AX259" s="157" t="n">
        <f aca="false">+AU259*SUM(N259:O259)/1000</f>
        <v>11537.9859375</v>
      </c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</row>
    <row r="260" customFormat="false" ht="12.75" hidden="true" customHeight="false" outlineLevel="1" collapsed="false">
      <c r="A260" s="164" t="n">
        <f aca="false">+IF(B260=" ",A259,B260)</f>
        <v>43191</v>
      </c>
      <c r="B260" s="148" t="n">
        <f aca="false">IF(B259=" "," ",IF(EDATE(B259,1)&gt;=EndDate," ",EDATE(B259,1)))</f>
        <v>43191</v>
      </c>
      <c r="C260" s="149" t="n">
        <f aca="false">IF($B260&lt;&gt;" ",C259+1,C259)</f>
        <v>210</v>
      </c>
      <c r="D260" s="150" t="n">
        <f aca="false">C260/12</f>
        <v>17.5</v>
      </c>
      <c r="F260" s="157" t="n">
        <f aca="false">+SUM($T260:$U260)</f>
        <v>14883.5779284771</v>
      </c>
      <c r="G260" s="152" t="n">
        <f aca="false">-SUM($AA260,$AG260,$AM260,$AQ260,$AV260:$AX260)</f>
        <v>-16908.0738500484</v>
      </c>
      <c r="H260" s="152" t="n">
        <f aca="false">+SUM(F260:G260)</f>
        <v>-2024.49592157126</v>
      </c>
      <c r="I260" s="124"/>
      <c r="J260" s="153" t="n">
        <f aca="false">+IF($B260=" ",0,IF(AND($B260&gt;=J$26,$B260&lt;J$28),J$33,0))</f>
        <v>0</v>
      </c>
      <c r="K260" s="153" t="n">
        <f aca="false">+IF($B260=" ",0,IF(AND($B260&gt;=K$26,$B260&lt;K$28),K$33,0))</f>
        <v>0</v>
      </c>
      <c r="L260" s="153" t="n">
        <f aca="false">+IF($B260=" ",0,IF(AND($B260&gt;=L$26,$B260&lt;L$28),L$33,0))</f>
        <v>0</v>
      </c>
      <c r="M260" s="153" t="n">
        <f aca="false">+IF($B260=" ",0,IF(AND($B260&gt;=M$26,$B260&lt;M$28),M$33,0))</f>
        <v>0</v>
      </c>
      <c r="N260" s="153" t="n">
        <f aca="false">+IF($B260=" ",0,IF(AND($B260&gt;=N$26,$B260&lt;N$28),N$33,0))</f>
        <v>0</v>
      </c>
      <c r="O260" s="154" t="n">
        <f aca="false">+IF($B260=" ",0,IF(AND($B260&gt;=O$26,$B260&lt;O$28),O$33,0))</f>
        <v>5016515.625</v>
      </c>
      <c r="Q260" s="83" t="n">
        <f aca="false">IF($B260=" ",0,IF($B260&lt;=DATE(2003,12,31),3.55,2.9))</f>
        <v>2.9</v>
      </c>
      <c r="R260" s="155" t="n">
        <f aca="false">IF($B260=" ",0,R$25)</f>
        <v>-0.07</v>
      </c>
      <c r="S260" s="156" t="n">
        <f aca="false">IF($B260=" ",0,S$25)</f>
        <v>0.1</v>
      </c>
      <c r="T260" s="157" t="n">
        <f aca="false">+SUM($Q260,$S260)/1000*(SUM($J260*$J$37,$K260*$K$37,$L260*$L$37,$M260*$M$37,$N260*$N$37,$O260*$O$37))</f>
        <v>14883.5779284771</v>
      </c>
      <c r="U260" s="157" t="n">
        <f aca="false">+SUM($Q260,$R260)/1000*(SUM(0))</f>
        <v>0</v>
      </c>
      <c r="W260" s="158" t="n">
        <f aca="false">IF($B260=" ",0,1)*(IF($B260&gt;=W$25,1,0)*IF($B260&lt;=W$29,W$27,IF($B260&lt;=W$33,W$31,0))*($D260-$D259)*365/1000)</f>
        <v>486.66666666666</v>
      </c>
      <c r="X260" s="158" t="n">
        <f aca="false">IF($B260=" ",0,IF($B260&gt;=X$25,IF($B260&lt;=X$29,X$27,IF($B260&lt;=X$33,X$31,X$31*(1+X$38)^(IF(X$36&gt;$B260,-1,1)*(YEARFRAC($B260,X$36)))))*($D260-$D259)*365/1000,0))</f>
        <v>474.386887928168</v>
      </c>
      <c r="Y260" s="159" t="n">
        <f aca="false">IF($B260=" ",0,Y$25*(1+Y$30)^(IF(Y$28&gt;$B260,-1,1)*(YEARFRAC($B260,Y$28))))</f>
        <v>0.596291219804331</v>
      </c>
      <c r="Z260" s="159" t="n">
        <f aca="false">IF($B260=" ",0,Z$25*(1+Z$30)^(IF(Z$28&gt;$B260,-1,1)*(YEARFRAC($B260,Z$28))))</f>
        <v>0.569236856597374</v>
      </c>
      <c r="AA260" s="162" t="n">
        <f aca="false">+W260+X260+Z260*SUM($J260*$J$37,$L260*$L$37,$N260*$N$37)/1000</f>
        <v>961.053554594828</v>
      </c>
      <c r="AB260" s="161"/>
      <c r="AC260" s="158" t="n">
        <f aca="false">IF($B260=" ",0,1)*(IF($B260&gt;=AC$25,1,0)*IF($B260&lt;=AC$29,AC$27,IF($B260&lt;=AC$33,AC$31,0))*($D260-$D259)*365/1000)</f>
        <v>1591.66666666664</v>
      </c>
      <c r="AD260" s="158" t="n">
        <f aca="false">IF($B260=" ",0,IF($B260&gt;=AD$25,IF($B260&lt;=AD$29,AD$27,IF($B260&lt;=AD$33,AD$31,AD$31*(1+AD$38)^(IF(AD$36&gt;$B260,-1,1)*(YEARFRAC($B260,AD$36)))))*($D260-$D259)*365/1000,0))</f>
        <v>422.308055999799</v>
      </c>
      <c r="AE260" s="159" t="n">
        <f aca="false">IF($B260=" ",0,AE$25*(1+AE$30)^(IF(AE$28&gt;$B260,-1,1)*(YEARFRAC($B260,AE$28))))</f>
        <v>0.494024122921843</v>
      </c>
      <c r="AF260" s="159" t="n">
        <f aca="false">IF($B260=" ",0,AF$25*(1+AF$30)^(IF(AF$28&gt;$B260,-1,1)*(YEARFRAC($B260,AF$28))))</f>
        <v>0.177254734944463</v>
      </c>
      <c r="AG260" s="162" t="n">
        <f aca="false">+AC260+AD260+AF260*SUM($K260*$K$37,$M260*$M$37,$O260*$O$37)/1000</f>
        <v>2893.36960957893</v>
      </c>
      <c r="AI260" s="158" t="n">
        <f aca="false">IF($B260=" ",0,1)*IF($B260&gt;=AI$33,AI$25*($D260-$D259),0)</f>
        <v>485.186570908327</v>
      </c>
      <c r="AJ260" s="158" t="n">
        <f aca="false">IF($B260=" ",0,IF($B260&gt;=AJ$33,AJ$25*(1+AJ$30)^(IF(AJ$28&gt;$B260,-1,1)*(YEARFRAC($B260,AJ$28)))*($D260-$D259),0))</f>
        <v>580.589770931803</v>
      </c>
      <c r="AK260" s="159" t="n">
        <f aca="false">IF($B260=" ",0,AK$25*(1+AK$30)^(IF(AK$28&gt;$B260,-1,1)*(YEARFRAC($B260,AK$28))))</f>
        <v>0.0331815032036819</v>
      </c>
      <c r="AL260" s="159" t="n">
        <f aca="false">IF($B260=" ",0,AL$25*AL$28)</f>
        <v>0.0575</v>
      </c>
      <c r="AM260" s="162" t="n">
        <f aca="false">+AI260+AJ260+SUM(AK260:AL260)*SUM($J260*$J$37,$K260*$K$37,$L260*$L$37,$M260*$M$37,$N260*$N$37,$O260*$O$37)/1000</f>
        <v>1515.66474837461</v>
      </c>
      <c r="AO260" s="163" t="n">
        <f aca="false">IF($B260=" ",0,$AO$25)</f>
        <v>0.25</v>
      </c>
      <c r="AP260" s="159" t="n">
        <f aca="false">IF($B260=" ",0,AP$25*AP$28)</f>
        <v>0.03105</v>
      </c>
      <c r="AQ260" s="162" t="n">
        <f aca="false">SUM(AO260:AP260)*SUM(0)/1000</f>
        <v>0</v>
      </c>
      <c r="AS260" s="155" t="n">
        <f aca="false">IF($B260=" ",0,AS$25)</f>
        <v>1</v>
      </c>
      <c r="AT260" s="156" t="n">
        <f aca="false">IF($B260=" ",0,AT$25)</f>
        <v>1</v>
      </c>
      <c r="AU260" s="156" t="n">
        <f aca="false">IF($B260=" ",0,AU$25)</f>
        <v>2.3</v>
      </c>
      <c r="AV260" s="157" t="n">
        <f aca="false">+AS260*SUM(J260:K260)/1000</f>
        <v>0</v>
      </c>
      <c r="AW260" s="157" t="n">
        <f aca="false">+AT260*SUM(L260:M260)/1000</f>
        <v>0</v>
      </c>
      <c r="AX260" s="157" t="n">
        <f aca="false">+AU260*SUM(N260:O260)/1000</f>
        <v>11537.9859375</v>
      </c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</row>
    <row r="261" customFormat="false" ht="12.75" hidden="true" customHeight="false" outlineLevel="1" collapsed="false">
      <c r="A261" s="164" t="n">
        <f aca="false">+IF(B261=" ",A260,B261)</f>
        <v>43221</v>
      </c>
      <c r="B261" s="148" t="n">
        <f aca="false">IF(B260=" "," ",IF(EDATE(B260,1)&gt;=EndDate," ",EDATE(B260,1)))</f>
        <v>43221</v>
      </c>
      <c r="C261" s="149" t="n">
        <f aca="false">IF($B261&lt;&gt;" ",C260+1,C260)</f>
        <v>211</v>
      </c>
      <c r="D261" s="150" t="n">
        <f aca="false">C261/12</f>
        <v>17.5833333333333</v>
      </c>
      <c r="F261" s="157" t="n">
        <f aca="false">+SUM($T261:$U261)</f>
        <v>14883.5779284771</v>
      </c>
      <c r="G261" s="152" t="n">
        <f aca="false">-SUM($AA261,$AG261,$AM261,$AQ261,$AV261:$AX261)</f>
        <v>-16911.2938440501</v>
      </c>
      <c r="H261" s="152" t="n">
        <f aca="false">+SUM(F261:G261)</f>
        <v>-2027.71591557299</v>
      </c>
      <c r="I261" s="124"/>
      <c r="J261" s="153" t="n">
        <f aca="false">+IF($B261=" ",0,IF(AND($B261&gt;=J$26,$B261&lt;J$28),J$33,0))</f>
        <v>0</v>
      </c>
      <c r="K261" s="153" t="n">
        <f aca="false">+IF($B261=" ",0,IF(AND($B261&gt;=K$26,$B261&lt;K$28),K$33,0))</f>
        <v>0</v>
      </c>
      <c r="L261" s="153" t="n">
        <f aca="false">+IF($B261=" ",0,IF(AND($B261&gt;=L$26,$B261&lt;L$28),L$33,0))</f>
        <v>0</v>
      </c>
      <c r="M261" s="153" t="n">
        <f aca="false">+IF($B261=" ",0,IF(AND($B261&gt;=M$26,$B261&lt;M$28),M$33,0))</f>
        <v>0</v>
      </c>
      <c r="N261" s="153" t="n">
        <f aca="false">+IF($B261=" ",0,IF(AND($B261&gt;=N$26,$B261&lt;N$28),N$33,0))</f>
        <v>0</v>
      </c>
      <c r="O261" s="154" t="n">
        <f aca="false">+IF($B261=" ",0,IF(AND($B261&gt;=O$26,$B261&lt;O$28),O$33,0))</f>
        <v>5016515.625</v>
      </c>
      <c r="Q261" s="83" t="n">
        <f aca="false">IF($B261=" ",0,IF($B261&lt;=DATE(2003,12,31),3.55,2.9))</f>
        <v>2.9</v>
      </c>
      <c r="R261" s="155" t="n">
        <f aca="false">IF($B261=" ",0,R$25)</f>
        <v>-0.07</v>
      </c>
      <c r="S261" s="156" t="n">
        <f aca="false">IF($B261=" ",0,S$25)</f>
        <v>0.1</v>
      </c>
      <c r="T261" s="157" t="n">
        <f aca="false">+SUM($Q261,$S261)/1000*(SUM($J261*$J$37,$K261*$K$37,$L261*$L$37,$M261*$M$37,$N261*$N$37,$O261*$O$37))</f>
        <v>14883.5779284771</v>
      </c>
      <c r="U261" s="157" t="n">
        <f aca="false">+SUM($Q261,$R261)/1000*(SUM(0))</f>
        <v>0</v>
      </c>
      <c r="W261" s="158" t="n">
        <f aca="false">IF($B261=" ",0,1)*(IF($B261&gt;=W$25,1,0)*IF($B261&lt;=W$29,W$27,IF($B261&lt;=W$33,W$31,0))*($D261-$D260)*365/1000)</f>
        <v>486.66666666666</v>
      </c>
      <c r="X261" s="158" t="n">
        <f aca="false">IF($B261=" ",0,IF($B261&gt;=X$25,IF($B261&lt;=X$29,X$27,IF($B261&lt;=X$33,X$31,X$31*(1+X$38)^(IF(X$36&gt;$B261,-1,1)*(YEARFRAC($B261,X$36)))))*($D261-$D260)*365/1000,0))</f>
        <v>475.040778515592</v>
      </c>
      <c r="Y261" s="159" t="n">
        <f aca="false">IF($B261=" ",0,Y$25*(1+Y$30)^(IF(Y$28&gt;$B261,-1,1)*(YEARFRAC($B261,Y$28))))</f>
        <v>0.597113142218115</v>
      </c>
      <c r="Z261" s="159" t="n">
        <f aca="false">IF($B261=" ",0,Z$25*(1+Z$30)^(IF(Z$28&gt;$B261,-1,1)*(YEARFRAC($B261,Z$28))))</f>
        <v>0.57002148752208</v>
      </c>
      <c r="AA261" s="162" t="n">
        <f aca="false">+W261+X261+Z261*SUM($J261*$J$37,$L261*$L$37,$N261*$N$37)/1000</f>
        <v>961.707445182252</v>
      </c>
      <c r="AB261" s="161"/>
      <c r="AC261" s="158" t="n">
        <f aca="false">IF($B261=" ",0,1)*(IF($B261&gt;=AC$25,1,0)*IF($B261&lt;=AC$29,AC$27,IF($B261&lt;=AC$33,AC$31,0))*($D261-$D260)*365/1000)</f>
        <v>1591.66666666664</v>
      </c>
      <c r="AD261" s="158" t="n">
        <f aca="false">IF($B261=" ",0,IF($B261&gt;=AD$25,IF($B261&lt;=AD$29,AD$27,IF($B261&lt;=AD$33,AD$31,AD$31*(1+AD$38)^(IF(AD$36&gt;$B261,-1,1)*(YEARFRAC($B261,AD$36)))))*($D261-$D260)*365/1000,0))</f>
        <v>422.890161597231</v>
      </c>
      <c r="AE261" s="159" t="n">
        <f aca="false">IF($B261=" ",0,AE$25*(1+AE$30)^(IF(AE$28&gt;$B261,-1,1)*(YEARFRAC($B261,AE$28))))</f>
        <v>0.494705081296029</v>
      </c>
      <c r="AF261" s="159" t="n">
        <f aca="false">IF($B261=" ",0,AF$25*(1+AF$30)^(IF(AF$28&gt;$B261,-1,1)*(YEARFRAC($B261,AF$28))))</f>
        <v>0.177499061264827</v>
      </c>
      <c r="AG261" s="162" t="n">
        <f aca="false">+AC261+AD261+AF261*SUM($K261*$K$37,$M261*$M$37,$O261*$O$37)/1000</f>
        <v>2895.16386511941</v>
      </c>
      <c r="AI261" s="158" t="n">
        <f aca="false">IF($B261=" ",0,1)*IF($B261&gt;=AI$33,AI$25*($D261-$D260),0)</f>
        <v>485.186570908327</v>
      </c>
      <c r="AJ261" s="158" t="n">
        <f aca="false">IF($B261=" ",0,IF($B261&gt;=AJ$33,AJ$25*(1+AJ$30)^(IF(AJ$28&gt;$B261,-1,1)*(YEARFRAC($B261,AJ$28)))*($D261-$D260),0))</f>
        <v>581.19111447322</v>
      </c>
      <c r="AK261" s="159" t="n">
        <f aca="false">IF($B261=" ",0,AK$25*(1+AK$30)^(IF(AK$28&gt;$B261,-1,1)*(YEARFRAC($B261,AK$28))))</f>
        <v>0.0332158708133868</v>
      </c>
      <c r="AL261" s="159" t="n">
        <f aca="false">IF($B261=" ",0,AL$25*AL$28)</f>
        <v>0.0575</v>
      </c>
      <c r="AM261" s="162" t="n">
        <f aca="false">+AI261+AJ261+SUM(AK261:AL261)*SUM($J261*$J$37,$K261*$K$37,$L261*$L$37,$M261*$M$37,$N261*$N$37,$O261*$O$37)/1000</f>
        <v>1516.43659624845</v>
      </c>
      <c r="AO261" s="163" t="n">
        <f aca="false">IF($B261=" ",0,$AO$25)</f>
        <v>0.25</v>
      </c>
      <c r="AP261" s="159" t="n">
        <f aca="false">IF($B261=" ",0,AP$25*AP$28)</f>
        <v>0.03105</v>
      </c>
      <c r="AQ261" s="162" t="n">
        <f aca="false">SUM(AO261:AP261)*SUM(0)/1000</f>
        <v>0</v>
      </c>
      <c r="AS261" s="155" t="n">
        <f aca="false">IF($B261=" ",0,AS$25)</f>
        <v>1</v>
      </c>
      <c r="AT261" s="156" t="n">
        <f aca="false">IF($B261=" ",0,AT$25)</f>
        <v>1</v>
      </c>
      <c r="AU261" s="156" t="n">
        <f aca="false">IF($B261=" ",0,AU$25)</f>
        <v>2.3</v>
      </c>
      <c r="AV261" s="157" t="n">
        <f aca="false">+AS261*SUM(J261:K261)/1000</f>
        <v>0</v>
      </c>
      <c r="AW261" s="157" t="n">
        <f aca="false">+AT261*SUM(L261:M261)/1000</f>
        <v>0</v>
      </c>
      <c r="AX261" s="157" t="n">
        <f aca="false">+AU261*SUM(N261:O261)/1000</f>
        <v>11537.9859375</v>
      </c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</row>
    <row r="262" customFormat="false" ht="12.75" hidden="true" customHeight="false" outlineLevel="1" collapsed="false">
      <c r="A262" s="164" t="n">
        <f aca="false">+IF(B262=" ",A261,B262)</f>
        <v>43252</v>
      </c>
      <c r="B262" s="148" t="n">
        <f aca="false">IF(B261=" "," ",IF(EDATE(B261,1)&gt;=EndDate," ",EDATE(B261,1)))</f>
        <v>43252</v>
      </c>
      <c r="C262" s="149" t="n">
        <f aca="false">IF($B262&lt;&gt;" ",C261+1,C261)</f>
        <v>212</v>
      </c>
      <c r="D262" s="150" t="n">
        <f aca="false">C262/12</f>
        <v>17.6666666666667</v>
      </c>
      <c r="F262" s="157" t="n">
        <f aca="false">+SUM($T262:$U262)</f>
        <v>14883.5779284771</v>
      </c>
      <c r="G262" s="152" t="n">
        <f aca="false">-SUM($AA262,$AG262,$AM262,$AQ262,$AV262:$AX262)</f>
        <v>-16914.5180119928</v>
      </c>
      <c r="H262" s="152" t="n">
        <f aca="false">+SUM(F262:G262)</f>
        <v>-2030.94008351569</v>
      </c>
      <c r="I262" s="124"/>
      <c r="J262" s="153" t="n">
        <f aca="false">+IF($B262=" ",0,IF(AND($B262&gt;=J$26,$B262&lt;J$28),J$33,0))</f>
        <v>0</v>
      </c>
      <c r="K262" s="153" t="n">
        <f aca="false">+IF($B262=" ",0,IF(AND($B262&gt;=K$26,$B262&lt;K$28),K$33,0))</f>
        <v>0</v>
      </c>
      <c r="L262" s="153" t="n">
        <f aca="false">+IF($B262=" ",0,IF(AND($B262&gt;=L$26,$B262&lt;L$28),L$33,0))</f>
        <v>0</v>
      </c>
      <c r="M262" s="153" t="n">
        <f aca="false">+IF($B262=" ",0,IF(AND($B262&gt;=M$26,$B262&lt;M$28),M$33,0))</f>
        <v>0</v>
      </c>
      <c r="N262" s="153" t="n">
        <f aca="false">+IF($B262=" ",0,IF(AND($B262&gt;=N$26,$B262&lt;N$28),N$33,0))</f>
        <v>0</v>
      </c>
      <c r="O262" s="154" t="n">
        <f aca="false">+IF($B262=" ",0,IF(AND($B262&gt;=O$26,$B262&lt;O$28),O$33,0))</f>
        <v>5016515.625</v>
      </c>
      <c r="Q262" s="83" t="n">
        <f aca="false">IF($B262=" ",0,IF($B262&lt;=DATE(2003,12,31),3.55,2.9))</f>
        <v>2.9</v>
      </c>
      <c r="R262" s="155" t="n">
        <f aca="false">IF($B262=" ",0,R$25)</f>
        <v>-0.07</v>
      </c>
      <c r="S262" s="156" t="n">
        <f aca="false">IF($B262=" ",0,S$25)</f>
        <v>0.1</v>
      </c>
      <c r="T262" s="157" t="n">
        <f aca="false">+SUM($Q262,$S262)/1000*(SUM($J262*$J$37,$K262*$K$37,$L262*$L$37,$M262*$M$37,$N262*$N$37,$O262*$O$37))</f>
        <v>14883.5779284771</v>
      </c>
      <c r="U262" s="157" t="n">
        <f aca="false">+SUM($Q262,$R262)/1000*(SUM(0))</f>
        <v>0</v>
      </c>
      <c r="W262" s="158" t="n">
        <f aca="false">IF($B262=" ",0,1)*(IF($B262&gt;=W$25,1,0)*IF($B262&lt;=W$29,W$27,IF($B262&lt;=W$33,W$31,0))*($D262-$D261)*365/1000)</f>
        <v>486.666666666681</v>
      </c>
      <c r="X262" s="158" t="n">
        <f aca="false">IF($B262=" ",0,IF($B262&gt;=X$25,IF($B262&lt;=X$29,X$27,IF($B262&lt;=X$33,X$31,X$31*(1+X$38)^(IF(X$36&gt;$B262,-1,1)*(YEARFRAC($B262,X$36)))))*($D262-$D261)*365/1000,0))</f>
        <v>475.695570419896</v>
      </c>
      <c r="Y262" s="159" t="n">
        <f aca="false">IF($B262=" ",0,Y$25*(1+Y$30)^(IF(Y$28&gt;$B262,-1,1)*(YEARFRAC($B262,Y$28))))</f>
        <v>0.597936197562306</v>
      </c>
      <c r="Z262" s="159" t="n">
        <f aca="false">IF($B262=" ",0,Z$25*(1+Z$30)^(IF(Z$28&gt;$B262,-1,1)*(YEARFRAC($B262,Z$28))))</f>
        <v>0.570807199974943</v>
      </c>
      <c r="AA262" s="162" t="n">
        <f aca="false">+W262+X262+Z262*SUM($J262*$J$37,$L262*$L$37,$N262*$N$37)/1000</f>
        <v>962.362237086576</v>
      </c>
      <c r="AB262" s="161"/>
      <c r="AC262" s="158" t="n">
        <f aca="false">IF($B262=" ",0,1)*(IF($B262&gt;=AC$25,1,0)*IF($B262&lt;=AC$29,AC$27,IF($B262&lt;=AC$33,AC$31,0))*($D262-$D261)*365/1000)</f>
        <v>1591.66666666671</v>
      </c>
      <c r="AD262" s="158" t="n">
        <f aca="false">IF($B262=" ",0,IF($B262&gt;=AD$25,IF($B262&lt;=AD$29,AD$27,IF($B262&lt;=AD$33,AD$31,AD$31*(1+AD$38)^(IF(AD$36&gt;$B262,-1,1)*(YEARFRAC($B262,AD$36)))))*($D262-$D261)*365/1000,0))</f>
        <v>423.473069563762</v>
      </c>
      <c r="AE262" s="159" t="n">
        <f aca="false">IF($B262=" ",0,AE$25*(1+AE$30)^(IF(AE$28&gt;$B262,-1,1)*(YEARFRAC($B262,AE$28))))</f>
        <v>0.495386978297068</v>
      </c>
      <c r="AF262" s="159" t="n">
        <f aca="false">IF($B262=" ",0,AF$25*(1+AF$30)^(IF(AF$28&gt;$B262,-1,1)*(YEARFRAC($B262,AF$28))))</f>
        <v>0.177743724362377</v>
      </c>
      <c r="AG262" s="162" t="n">
        <f aca="false">+AC262+AD262+AF262*SUM($K262*$K$37,$M262*$M$37,$O262*$O$37)/1000</f>
        <v>2896.96059384554</v>
      </c>
      <c r="AI262" s="158" t="n">
        <f aca="false">IF($B262=" ",0,1)*IF($B262&gt;=AI$33,AI$25*($D262-$D261),0)</f>
        <v>485.186570908347</v>
      </c>
      <c r="AJ262" s="158" t="n">
        <f aca="false">IF($B262=" ",0,IF($B262&gt;=AJ$33,AJ$25*(1+AJ$30)^(IF(AJ$28&gt;$B262,-1,1)*(YEARFRAC($B262,AJ$28)))*($D262-$D261),0))</f>
        <v>581.793080853839</v>
      </c>
      <c r="AK262" s="159" t="n">
        <f aca="false">IF($B262=" ",0,AK$25*(1+AK$30)^(IF(AK$28&gt;$B262,-1,1)*(YEARFRAC($B262,AK$28))))</f>
        <v>0.0332502740192065</v>
      </c>
      <c r="AL262" s="159" t="n">
        <f aca="false">IF($B262=" ",0,AL$25*AL$28)</f>
        <v>0.0575</v>
      </c>
      <c r="AM262" s="162" t="n">
        <f aca="false">+AI262+AJ262+SUM(AK262:AL262)*SUM($J262*$J$37,$K262*$K$37,$L262*$L$37,$M262*$M$37,$N262*$N$37,$O262*$O$37)/1000</f>
        <v>1517.20924356069</v>
      </c>
      <c r="AO262" s="163" t="n">
        <f aca="false">IF($B262=" ",0,$AO$25)</f>
        <v>0.25</v>
      </c>
      <c r="AP262" s="159" t="n">
        <f aca="false">IF($B262=" ",0,AP$25*AP$28)</f>
        <v>0.03105</v>
      </c>
      <c r="AQ262" s="162" t="n">
        <f aca="false">SUM(AO262:AP262)*SUM(0)/1000</f>
        <v>0</v>
      </c>
      <c r="AS262" s="155" t="n">
        <f aca="false">IF($B262=" ",0,AS$25)</f>
        <v>1</v>
      </c>
      <c r="AT262" s="156" t="n">
        <f aca="false">IF($B262=" ",0,AT$25)</f>
        <v>1</v>
      </c>
      <c r="AU262" s="156" t="n">
        <f aca="false">IF($B262=" ",0,AU$25)</f>
        <v>2.3</v>
      </c>
      <c r="AV262" s="157" t="n">
        <f aca="false">+AS262*SUM(J262:K262)/1000</f>
        <v>0</v>
      </c>
      <c r="AW262" s="157" t="n">
        <f aca="false">+AT262*SUM(L262:M262)/1000</f>
        <v>0</v>
      </c>
      <c r="AX262" s="157" t="n">
        <f aca="false">+AU262*SUM(N262:O262)/1000</f>
        <v>11537.9859375</v>
      </c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</row>
    <row r="263" customFormat="false" ht="12.75" hidden="true" customHeight="false" outlineLevel="1" collapsed="false">
      <c r="A263" s="164" t="n">
        <f aca="false">+IF(B263=" ",A262,B263)</f>
        <v>43282</v>
      </c>
      <c r="B263" s="148" t="n">
        <f aca="false">IF(B262=" "," ",IF(EDATE(B262,1)&gt;=EndDate," ",EDATE(B262,1)))</f>
        <v>43282</v>
      </c>
      <c r="C263" s="149" t="n">
        <f aca="false">IF($B263&lt;&gt;" ",C262+1,C262)</f>
        <v>213</v>
      </c>
      <c r="D263" s="150" t="n">
        <f aca="false">C263/12</f>
        <v>17.75</v>
      </c>
      <c r="F263" s="157" t="n">
        <f aca="false">+SUM($T263:$U263)</f>
        <v>14883.5779284771</v>
      </c>
      <c r="G263" s="152" t="n">
        <f aca="false">-SUM($AA263,$AG263,$AM263,$AQ263,$AV263:$AX263)</f>
        <v>-16917.7463593554</v>
      </c>
      <c r="H263" s="152" t="n">
        <f aca="false">+SUM(F263:G263)</f>
        <v>-2034.16843087825</v>
      </c>
      <c r="I263" s="124"/>
      <c r="J263" s="153" t="n">
        <f aca="false">+IF($B263=" ",0,IF(AND($B263&gt;=J$26,$B263&lt;J$28),J$33,0))</f>
        <v>0</v>
      </c>
      <c r="K263" s="153" t="n">
        <f aca="false">+IF($B263=" ",0,IF(AND($B263&gt;=K$26,$B263&lt;K$28),K$33,0))</f>
        <v>0</v>
      </c>
      <c r="L263" s="153" t="n">
        <f aca="false">+IF($B263=" ",0,IF(AND($B263&gt;=L$26,$B263&lt;L$28),L$33,0))</f>
        <v>0</v>
      </c>
      <c r="M263" s="153" t="n">
        <f aca="false">+IF($B263=" ",0,IF(AND($B263&gt;=M$26,$B263&lt;M$28),M$33,0))</f>
        <v>0</v>
      </c>
      <c r="N263" s="153" t="n">
        <f aca="false">+IF($B263=" ",0,IF(AND($B263&gt;=N$26,$B263&lt;N$28),N$33,0))</f>
        <v>0</v>
      </c>
      <c r="O263" s="154" t="n">
        <f aca="false">+IF($B263=" ",0,IF(AND($B263&gt;=O$26,$B263&lt;O$28),O$33,0))</f>
        <v>5016515.625</v>
      </c>
      <c r="Q263" s="83" t="n">
        <f aca="false">IF($B263=" ",0,IF($B263&lt;=DATE(2003,12,31),3.55,2.9))</f>
        <v>2.9</v>
      </c>
      <c r="R263" s="155" t="n">
        <f aca="false">IF($B263=" ",0,R$25)</f>
        <v>-0.07</v>
      </c>
      <c r="S263" s="156" t="n">
        <f aca="false">IF($B263=" ",0,S$25)</f>
        <v>0.1</v>
      </c>
      <c r="T263" s="157" t="n">
        <f aca="false">+SUM($Q263,$S263)/1000*(SUM($J263*$J$37,$K263*$K$37,$L263*$L$37,$M263*$M$37,$N263*$N$37,$O263*$O$37))</f>
        <v>14883.5779284771</v>
      </c>
      <c r="U263" s="157" t="n">
        <f aca="false">+SUM($Q263,$R263)/1000*(SUM(0))</f>
        <v>0</v>
      </c>
      <c r="W263" s="158" t="n">
        <f aca="false">IF($B263=" ",0,1)*(IF($B263&gt;=W$25,1,0)*IF($B263&lt;=W$29,W$27,IF($B263&lt;=W$33,W$31,0))*($D263-$D262)*365/1000)</f>
        <v>486.66666666666</v>
      </c>
      <c r="X263" s="158" t="n">
        <f aca="false">IF($B263=" ",0,IF($B263&gt;=X$25,IF($B263&lt;=X$29,X$27,IF($B263&lt;=X$33,X$31,X$31*(1+X$38)^(IF(X$36&gt;$B263,-1,1)*(YEARFRAC($B263,X$36)))))*($D263-$D262)*365/1000,0))</f>
        <v>476.351264883387</v>
      </c>
      <c r="Y263" s="159" t="n">
        <f aca="false">IF($B263=" ",0,Y$25*(1+Y$30)^(IF(Y$28&gt;$B263,-1,1)*(YEARFRAC($B263,Y$28))))</f>
        <v>0.598760387398525</v>
      </c>
      <c r="Z263" s="159" t="n">
        <f aca="false">IF($B263=" ",0,Z$25*(1+Z$30)^(IF(Z$28&gt;$B263,-1,1)*(YEARFRAC($B263,Z$28))))</f>
        <v>0.57159399544673</v>
      </c>
      <c r="AA263" s="162" t="n">
        <f aca="false">+W263+X263+Z263*SUM($J263*$J$37,$L263*$L$37,$N263*$N$37)/1000</f>
        <v>963.017931550046</v>
      </c>
      <c r="AB263" s="161"/>
      <c r="AC263" s="158" t="n">
        <f aca="false">IF($B263=" ",0,1)*(IF($B263&gt;=AC$25,1,0)*IF($B263&lt;=AC$29,AC$27,IF($B263&lt;=AC$33,AC$31,0))*($D263-$D262)*365/1000)</f>
        <v>1591.66666666664</v>
      </c>
      <c r="AD263" s="158" t="n">
        <f aca="false">IF($B263=" ",0,IF($B263&gt;=AD$25,IF($B263&lt;=AD$29,AD$27,IF($B263&lt;=AD$33,AD$31,AD$31*(1+AD$38)^(IF(AD$36&gt;$B263,-1,1)*(YEARFRAC($B263,AD$36)))))*($D263-$D262)*365/1000,0))</f>
        <v>424.056781005316</v>
      </c>
      <c r="AE263" s="159" t="n">
        <f aca="false">IF($B263=" ",0,AE$25*(1+AE$30)^(IF(AE$28&gt;$B263,-1,1)*(YEARFRAC($B263,AE$28))))</f>
        <v>0.496069815218753</v>
      </c>
      <c r="AF263" s="159" t="n">
        <f aca="false">IF($B263=" ",0,AF$25*(1+AF$30)^(IF(AF$28&gt;$B263,-1,1)*(YEARFRAC($B263,AF$28))))</f>
        <v>0.177988724701324</v>
      </c>
      <c r="AG263" s="162" t="n">
        <f aca="false">+AC263+AD263+AF263*SUM($K263*$K$37,$M263*$M$37,$O263*$O$37)/1000</f>
        <v>2898.7597991661</v>
      </c>
      <c r="AI263" s="158" t="n">
        <f aca="false">IF($B263=" ",0,1)*IF($B263&gt;=AI$33,AI$25*($D263-$D262),0)</f>
        <v>485.186570908327</v>
      </c>
      <c r="AJ263" s="158" t="n">
        <f aca="false">IF($B263=" ",0,IF($B263&gt;=AJ$33,AJ$25*(1+AJ$30)^(IF(AJ$28&gt;$B263,-1,1)*(YEARFRAC($B263,AJ$28)))*($D263-$D262),0))</f>
        <v>582.395670718688</v>
      </c>
      <c r="AK263" s="159" t="n">
        <f aca="false">IF($B263=" ",0,AK$25*(1+AK$30)^(IF(AK$28&gt;$B263,-1,1)*(YEARFRAC($B263,AK$28))))</f>
        <v>0.0332847128580095</v>
      </c>
      <c r="AL263" s="159" t="n">
        <f aca="false">IF($B263=" ",0,AL$25*AL$28)</f>
        <v>0.0575</v>
      </c>
      <c r="AM263" s="162" t="n">
        <f aca="false">+AI263+AJ263+SUM(AK263:AL263)*SUM($J263*$J$37,$K263*$K$37,$L263*$L$37,$M263*$M$37,$N263*$N$37,$O263*$O$37)/1000</f>
        <v>1517.98269113922</v>
      </c>
      <c r="AO263" s="163" t="n">
        <f aca="false">IF($B263=" ",0,$AO$25)</f>
        <v>0.25</v>
      </c>
      <c r="AP263" s="159" t="n">
        <f aca="false">IF($B263=" ",0,AP$25*AP$28)</f>
        <v>0.03105</v>
      </c>
      <c r="AQ263" s="162" t="n">
        <f aca="false">SUM(AO263:AP263)*SUM(0)/1000</f>
        <v>0</v>
      </c>
      <c r="AS263" s="155" t="n">
        <f aca="false">IF($B263=" ",0,AS$25)</f>
        <v>1</v>
      </c>
      <c r="AT263" s="156" t="n">
        <f aca="false">IF($B263=" ",0,AT$25)</f>
        <v>1</v>
      </c>
      <c r="AU263" s="156" t="n">
        <f aca="false">IF($B263=" ",0,AU$25)</f>
        <v>2.3</v>
      </c>
      <c r="AV263" s="157" t="n">
        <f aca="false">+AS263*SUM(J263:K263)/1000</f>
        <v>0</v>
      </c>
      <c r="AW263" s="157" t="n">
        <f aca="false">+AT263*SUM(L263:M263)/1000</f>
        <v>0</v>
      </c>
      <c r="AX263" s="157" t="n">
        <f aca="false">+AU263*SUM(N263:O263)/1000</f>
        <v>11537.9859375</v>
      </c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</row>
    <row r="264" customFormat="false" ht="12.75" hidden="true" customHeight="false" outlineLevel="1" collapsed="false">
      <c r="A264" s="164" t="n">
        <f aca="false">+IF(B264=" ",A263,B264)</f>
        <v>43313</v>
      </c>
      <c r="B264" s="148" t="n">
        <f aca="false">IF(B263=" "," ",IF(EDATE(B263,1)&gt;=EndDate," ",EDATE(B263,1)))</f>
        <v>43313</v>
      </c>
      <c r="C264" s="149" t="n">
        <f aca="false">IF($B264&lt;&gt;" ",C263+1,C263)</f>
        <v>214</v>
      </c>
      <c r="D264" s="150" t="n">
        <f aca="false">C264/12</f>
        <v>17.8333333333333</v>
      </c>
      <c r="F264" s="157" t="n">
        <f aca="false">+SUM($T264:$U264)</f>
        <v>14883.5779284771</v>
      </c>
      <c r="G264" s="152" t="n">
        <f aca="false">-SUM($AA264,$AG264,$AM264,$AQ264,$AV264:$AX264)</f>
        <v>-16920.9788916249</v>
      </c>
      <c r="H264" s="152" t="n">
        <f aca="false">+SUM(F264:G264)</f>
        <v>-2037.40096314783</v>
      </c>
      <c r="I264" s="124"/>
      <c r="J264" s="153" t="n">
        <f aca="false">+IF($B264=" ",0,IF(AND($B264&gt;=J$26,$B264&lt;J$28),J$33,0))</f>
        <v>0</v>
      </c>
      <c r="K264" s="153" t="n">
        <f aca="false">+IF($B264=" ",0,IF(AND($B264&gt;=K$26,$B264&lt;K$28),K$33,0))</f>
        <v>0</v>
      </c>
      <c r="L264" s="153" t="n">
        <f aca="false">+IF($B264=" ",0,IF(AND($B264&gt;=L$26,$B264&lt;L$28),L$33,0))</f>
        <v>0</v>
      </c>
      <c r="M264" s="153" t="n">
        <f aca="false">+IF($B264=" ",0,IF(AND($B264&gt;=M$26,$B264&lt;M$28),M$33,0))</f>
        <v>0</v>
      </c>
      <c r="N264" s="153" t="n">
        <f aca="false">+IF($B264=" ",0,IF(AND($B264&gt;=N$26,$B264&lt;N$28),N$33,0))</f>
        <v>0</v>
      </c>
      <c r="O264" s="154" t="n">
        <f aca="false">+IF($B264=" ",0,IF(AND($B264&gt;=O$26,$B264&lt;O$28),O$33,0))</f>
        <v>5016515.625</v>
      </c>
      <c r="Q264" s="83" t="n">
        <f aca="false">IF($B264=" ",0,IF($B264&lt;=DATE(2003,12,31),3.55,2.9))</f>
        <v>2.9</v>
      </c>
      <c r="R264" s="155" t="n">
        <f aca="false">IF($B264=" ",0,R$25)</f>
        <v>-0.07</v>
      </c>
      <c r="S264" s="156" t="n">
        <f aca="false">IF($B264=" ",0,S$25)</f>
        <v>0.1</v>
      </c>
      <c r="T264" s="157" t="n">
        <f aca="false">+SUM($Q264,$S264)/1000*(SUM($J264*$J$37,$K264*$K$37,$L264*$L$37,$M264*$M$37,$N264*$N$37,$O264*$O$37))</f>
        <v>14883.5779284771</v>
      </c>
      <c r="U264" s="157" t="n">
        <f aca="false">+SUM($Q264,$R264)/1000*(SUM(0))</f>
        <v>0</v>
      </c>
      <c r="W264" s="158" t="n">
        <f aca="false">IF($B264=" ",0,1)*(IF($B264&gt;=W$25,1,0)*IF($B264&lt;=W$29,W$27,IF($B264&lt;=W$33,W$31,0))*($D264-$D263)*365/1000)</f>
        <v>486.66666666666</v>
      </c>
      <c r="X264" s="158" t="n">
        <f aca="false">IF($B264=" ",0,IF($B264&gt;=X$25,IF($B264&lt;=X$29,X$27,IF($B264&lt;=X$33,X$31,X$31*(1+X$38)^(IF(X$36&gt;$B264,-1,1)*(YEARFRAC($B264,X$36)))))*($D264-$D263)*365/1000,0))</f>
        <v>477.007863150204</v>
      </c>
      <c r="Y264" s="159" t="n">
        <f aca="false">IF($B264=" ",0,Y$25*(1+Y$30)^(IF(Y$28&gt;$B264,-1,1)*(YEARFRAC($B264,Y$28))))</f>
        <v>0.599585713290546</v>
      </c>
      <c r="Z264" s="159" t="n">
        <f aca="false">IF($B264=" ",0,Z$25*(1+Z$30)^(IF(Z$28&gt;$B264,-1,1)*(YEARFRAC($B264,Z$28))))</f>
        <v>0.572381875430266</v>
      </c>
      <c r="AA264" s="162" t="n">
        <f aca="false">+W264+X264+Z264*SUM($J264*$J$37,$L264*$L$37,$N264*$N$37)/1000</f>
        <v>963.674529816864</v>
      </c>
      <c r="AB264" s="161"/>
      <c r="AC264" s="158" t="n">
        <f aca="false">IF($B264=" ",0,1)*(IF($B264&gt;=AC$25,1,0)*IF($B264&lt;=AC$29,AC$27,IF($B264&lt;=AC$33,AC$31,0))*($D264-$D263)*365/1000)</f>
        <v>1591.66666666664</v>
      </c>
      <c r="AD264" s="158" t="n">
        <f aca="false">IF($B264=" ",0,IF($B264&gt;=AD$25,IF($B264&lt;=AD$29,AD$27,IF($B264&lt;=AD$33,AD$31,AD$31*(1+AD$38)^(IF(AD$36&gt;$B264,-1,1)*(YEARFRAC($B264,AD$36)))))*($D264-$D263)*365/1000,0))</f>
        <v>424.641297029449</v>
      </c>
      <c r="AE264" s="159" t="n">
        <f aca="false">IF($B264=" ",0,AE$25*(1+AE$30)^(IF(AE$28&gt;$B264,-1,1)*(YEARFRAC($B264,AE$28))))</f>
        <v>0.496753593356663</v>
      </c>
      <c r="AF264" s="159" t="n">
        <f aca="false">IF($B264=" ",0,AF$25*(1+AF$30)^(IF(AF$28&gt;$B264,-1,1)*(YEARFRAC($B264,AF$28))))</f>
        <v>0.178234062746517</v>
      </c>
      <c r="AG264" s="162" t="n">
        <f aca="false">+AC264+AD264+AF264*SUM($K264*$K$37,$M264*$M$37,$O264*$O$37)/1000</f>
        <v>2900.56148449505</v>
      </c>
      <c r="AI264" s="158" t="n">
        <f aca="false">IF($B264=" ",0,1)*IF($B264&gt;=AI$33,AI$25*($D264-$D263),0)</f>
        <v>485.186570908327</v>
      </c>
      <c r="AJ264" s="158" t="n">
        <f aca="false">IF($B264=" ",0,IF($B264&gt;=AJ$33,AJ$25*(1+AJ$30)^(IF(AJ$28&gt;$B264,-1,1)*(YEARFRAC($B264,AJ$28)))*($D264-$D263),0))</f>
        <v>582.998884713612</v>
      </c>
      <c r="AK264" s="159" t="n">
        <f aca="false">IF($B264=" ",0,AK$25*(1+AK$30)^(IF(AK$28&gt;$B264,-1,1)*(YEARFRAC($B264,AK$28))))</f>
        <v>0.0333191873667026</v>
      </c>
      <c r="AL264" s="159" t="n">
        <f aca="false">IF($B264=" ",0,AL$25*AL$28)</f>
        <v>0.0575</v>
      </c>
      <c r="AM264" s="162" t="n">
        <f aca="false">+AI264+AJ264+SUM(AK264:AL264)*SUM($J264*$J$37,$K264*$K$37,$L264*$L$37,$M264*$M$37,$N264*$N$37,$O264*$O$37)/1000</f>
        <v>1518.75693981303</v>
      </c>
      <c r="AO264" s="163" t="n">
        <f aca="false">IF($B264=" ",0,$AO$25)</f>
        <v>0.25</v>
      </c>
      <c r="AP264" s="159" t="n">
        <f aca="false">IF($B264=" ",0,AP$25*AP$28)</f>
        <v>0.03105</v>
      </c>
      <c r="AQ264" s="162" t="n">
        <f aca="false">SUM(AO264:AP264)*SUM(0)/1000</f>
        <v>0</v>
      </c>
      <c r="AS264" s="155" t="n">
        <f aca="false">IF($B264=" ",0,AS$25)</f>
        <v>1</v>
      </c>
      <c r="AT264" s="156" t="n">
        <f aca="false">IF($B264=" ",0,AT$25)</f>
        <v>1</v>
      </c>
      <c r="AU264" s="156" t="n">
        <f aca="false">IF($B264=" ",0,AU$25)</f>
        <v>2.3</v>
      </c>
      <c r="AV264" s="157" t="n">
        <f aca="false">+AS264*SUM(J264:K264)/1000</f>
        <v>0</v>
      </c>
      <c r="AW264" s="157" t="n">
        <f aca="false">+AT264*SUM(L264:M264)/1000</f>
        <v>0</v>
      </c>
      <c r="AX264" s="157" t="n">
        <f aca="false">+AU264*SUM(N264:O264)/1000</f>
        <v>11537.9859375</v>
      </c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</row>
    <row r="265" customFormat="false" ht="12.75" hidden="true" customHeight="false" outlineLevel="1" collapsed="false">
      <c r="A265" s="164" t="n">
        <f aca="false">+IF(B265=" ",A264,B265)</f>
        <v>43344</v>
      </c>
      <c r="B265" s="148" t="n">
        <f aca="false">IF(B264=" "," ",IF(EDATE(B264,1)&gt;=EndDate," ",EDATE(B264,1)))</f>
        <v>43344</v>
      </c>
      <c r="C265" s="149" t="n">
        <f aca="false">IF($B265&lt;&gt;" ",C264+1,C264)</f>
        <v>215</v>
      </c>
      <c r="D265" s="150" t="n">
        <f aca="false">C265/12</f>
        <v>17.9166666666667</v>
      </c>
      <c r="F265" s="157" t="n">
        <f aca="false">+SUM($T265:$U265)</f>
        <v>14883.5779284771</v>
      </c>
      <c r="G265" s="152" t="n">
        <f aca="false">-SUM($AA265,$AG265,$AM265,$AQ265,$AV265:$AX265)</f>
        <v>-16924.2156142955</v>
      </c>
      <c r="H265" s="152" t="n">
        <f aca="false">+SUM(F265:G265)</f>
        <v>-2040.6376858184</v>
      </c>
      <c r="I265" s="124"/>
      <c r="J265" s="153" t="n">
        <f aca="false">+IF($B265=" ",0,IF(AND($B265&gt;=J$26,$B265&lt;J$28),J$33,0))</f>
        <v>0</v>
      </c>
      <c r="K265" s="153" t="n">
        <f aca="false">+IF($B265=" ",0,IF(AND($B265&gt;=K$26,$B265&lt;K$28),K$33,0))</f>
        <v>0</v>
      </c>
      <c r="L265" s="153" t="n">
        <f aca="false">+IF($B265=" ",0,IF(AND($B265&gt;=L$26,$B265&lt;L$28),L$33,0))</f>
        <v>0</v>
      </c>
      <c r="M265" s="153" t="n">
        <f aca="false">+IF($B265=" ",0,IF(AND($B265&gt;=M$26,$B265&lt;M$28),M$33,0))</f>
        <v>0</v>
      </c>
      <c r="N265" s="153" t="n">
        <f aca="false">+IF($B265=" ",0,IF(AND($B265&gt;=N$26,$B265&lt;N$28),N$33,0))</f>
        <v>0</v>
      </c>
      <c r="O265" s="154" t="n">
        <f aca="false">+IF($B265=" ",0,IF(AND($B265&gt;=O$26,$B265&lt;O$28),O$33,0))</f>
        <v>5016515.625</v>
      </c>
      <c r="Q265" s="83" t="n">
        <f aca="false">IF($B265=" ",0,IF($B265&lt;=DATE(2003,12,31),3.55,2.9))</f>
        <v>2.9</v>
      </c>
      <c r="R265" s="155" t="n">
        <f aca="false">IF($B265=" ",0,R$25)</f>
        <v>-0.07</v>
      </c>
      <c r="S265" s="156" t="n">
        <f aca="false">IF($B265=" ",0,S$25)</f>
        <v>0.1</v>
      </c>
      <c r="T265" s="157" t="n">
        <f aca="false">+SUM($Q265,$S265)/1000*(SUM($J265*$J$37,$K265*$K$37,$L265*$L$37,$M265*$M$37,$N265*$N$37,$O265*$O$37))</f>
        <v>14883.5779284771</v>
      </c>
      <c r="U265" s="157" t="n">
        <f aca="false">+SUM($Q265,$R265)/1000*(SUM(0))</f>
        <v>0</v>
      </c>
      <c r="W265" s="158" t="n">
        <f aca="false">IF($B265=" ",0,1)*(IF($B265&gt;=W$25,1,0)*IF($B265&lt;=W$29,W$27,IF($B265&lt;=W$33,W$31,0))*($D265-$D264)*365/1000)</f>
        <v>486.666666666681</v>
      </c>
      <c r="X265" s="158" t="n">
        <f aca="false">IF($B265=" ",0,IF($B265&gt;=X$25,IF($B265&lt;=X$29,X$27,IF($B265&lt;=X$33,X$31,X$31*(1+X$38)^(IF(X$36&gt;$B265,-1,1)*(YEARFRAC($B265,X$36)))))*($D265-$D264)*365/1000,0))</f>
        <v>477.665366466143</v>
      </c>
      <c r="Y265" s="159" t="n">
        <f aca="false">IF($B265=" ",0,Y$25*(1+Y$30)^(IF(Y$28&gt;$B265,-1,1)*(YEARFRAC($B265,Y$28))))</f>
        <v>0.600412176804297</v>
      </c>
      <c r="Z265" s="159" t="n">
        <f aca="false">IF($B265=" ",0,Z$25*(1+Z$30)^(IF(Z$28&gt;$B265,-1,1)*(YEARFRAC($B265,Z$28))))</f>
        <v>0.573170841420432</v>
      </c>
      <c r="AA265" s="162" t="n">
        <f aca="false">+W265+X265+Z265*SUM($J265*$J$37,$L265*$L$37,$N265*$N$37)/1000</f>
        <v>964.332033132823</v>
      </c>
      <c r="AB265" s="161"/>
      <c r="AC265" s="158" t="n">
        <f aca="false">IF($B265=" ",0,1)*(IF($B265&gt;=AC$25,1,0)*IF($B265&lt;=AC$29,AC$27,IF($B265&lt;=AC$33,AC$31,0))*($D265-$D264)*365/1000)</f>
        <v>1591.66666666671</v>
      </c>
      <c r="AD265" s="158" t="n">
        <f aca="false">IF($B265=" ",0,IF($B265&gt;=AD$25,IF($B265&lt;=AD$29,AD$27,IF($B265&lt;=AD$33,AD$31,AD$31*(1+AD$38)^(IF(AD$36&gt;$B265,-1,1)*(YEARFRAC($B265,AD$36)))))*($D265-$D264)*365/1000,0))</f>
        <v>425.22661874519</v>
      </c>
      <c r="AE265" s="159" t="n">
        <f aca="false">IF($B265=" ",0,AE$25*(1+AE$30)^(IF(AE$28&gt;$B265,-1,1)*(YEARFRAC($B265,AE$28))))</f>
        <v>0.497438314008162</v>
      </c>
      <c r="AF265" s="159" t="n">
        <f aca="false">IF($B265=" ",0,AF$25*(1+AF$30)^(IF(AF$28&gt;$B265,-1,1)*(YEARFRAC($B265,AF$28))))</f>
        <v>0.178479738963449</v>
      </c>
      <c r="AG265" s="162" t="n">
        <f aca="false">+AC265+AD265+AF265*SUM($K265*$K$37,$M265*$M$37,$O265*$O$37)/1000</f>
        <v>2902.36565325082</v>
      </c>
      <c r="AI265" s="158" t="n">
        <f aca="false">IF($B265=" ",0,1)*IF($B265&gt;=AI$33,AI$25*($D265-$D264),0)</f>
        <v>485.186570908347</v>
      </c>
      <c r="AJ265" s="158" t="n">
        <f aca="false">IF($B265=" ",0,IF($B265&gt;=AJ$33,AJ$25*(1+AJ$30)^(IF(AJ$28&gt;$B265,-1,1)*(YEARFRAC($B265,AJ$28)))*($D265-$D264),0))</f>
        <v>583.602723485053</v>
      </c>
      <c r="AK265" s="159" t="n">
        <f aca="false">IF($B265=" ",0,AK$25*(1+AK$30)^(IF(AK$28&gt;$B265,-1,1)*(YEARFRAC($B265,AK$28))))</f>
        <v>0.0333536975822307</v>
      </c>
      <c r="AL265" s="159" t="n">
        <f aca="false">IF($B265=" ",0,AL$25*AL$28)</f>
        <v>0.0575</v>
      </c>
      <c r="AM265" s="162" t="n">
        <f aca="false">+AI265+AJ265+SUM(AK265:AL265)*SUM($J265*$J$37,$K265*$K$37,$L265*$L$37,$M265*$M$37,$N265*$N$37,$O265*$O$37)/1000</f>
        <v>1519.53199041187</v>
      </c>
      <c r="AO265" s="163" t="n">
        <f aca="false">IF($B265=" ",0,$AO$25)</f>
        <v>0.25</v>
      </c>
      <c r="AP265" s="159" t="n">
        <f aca="false">IF($B265=" ",0,AP$25*AP$28)</f>
        <v>0.03105</v>
      </c>
      <c r="AQ265" s="162" t="n">
        <f aca="false">SUM(AO265:AP265)*SUM(0)/1000</f>
        <v>0</v>
      </c>
      <c r="AS265" s="155" t="n">
        <f aca="false">IF($B265=" ",0,AS$25)</f>
        <v>1</v>
      </c>
      <c r="AT265" s="156" t="n">
        <f aca="false">IF($B265=" ",0,AT$25)</f>
        <v>1</v>
      </c>
      <c r="AU265" s="156" t="n">
        <f aca="false">IF($B265=" ",0,AU$25)</f>
        <v>2.3</v>
      </c>
      <c r="AV265" s="157" t="n">
        <f aca="false">+AS265*SUM(J265:K265)/1000</f>
        <v>0</v>
      </c>
      <c r="AW265" s="157" t="n">
        <f aca="false">+AT265*SUM(L265:M265)/1000</f>
        <v>0</v>
      </c>
      <c r="AX265" s="157" t="n">
        <f aca="false">+AU265*SUM(N265:O265)/1000</f>
        <v>11537.9859375</v>
      </c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</row>
    <row r="266" customFormat="false" ht="12.75" hidden="true" customHeight="false" outlineLevel="1" collapsed="false">
      <c r="A266" s="164" t="n">
        <f aca="false">+IF(B266=" ",A265,B266)</f>
        <v>43374</v>
      </c>
      <c r="B266" s="148" t="n">
        <f aca="false">IF(B265=" "," ",IF(EDATE(B265,1)&gt;=EndDate," ",EDATE(B265,1)))</f>
        <v>43374</v>
      </c>
      <c r="C266" s="149" t="n">
        <f aca="false">IF($B266&lt;&gt;" ",C265+1,C265)</f>
        <v>216</v>
      </c>
      <c r="D266" s="150" t="n">
        <f aca="false">C266/12</f>
        <v>18</v>
      </c>
      <c r="F266" s="157" t="n">
        <f aca="false">+SUM($T266:$U266)</f>
        <v>14883.5779284771</v>
      </c>
      <c r="G266" s="152" t="n">
        <f aca="false">-SUM($AA266,$AG266,$AM266,$AQ266,$AV266:$AX266)</f>
        <v>-16927.4565328678</v>
      </c>
      <c r="H266" s="152" t="n">
        <f aca="false">+SUM(F266:G266)</f>
        <v>-2043.87860439067</v>
      </c>
      <c r="I266" s="124"/>
      <c r="J266" s="153" t="n">
        <f aca="false">+IF($B266=" ",0,IF(AND($B266&gt;=J$26,$B266&lt;J$28),J$33,0))</f>
        <v>0</v>
      </c>
      <c r="K266" s="153" t="n">
        <f aca="false">+IF($B266=" ",0,IF(AND($B266&gt;=K$26,$B266&lt;K$28),K$33,0))</f>
        <v>0</v>
      </c>
      <c r="L266" s="153" t="n">
        <f aca="false">+IF($B266=" ",0,IF(AND($B266&gt;=L$26,$B266&lt;L$28),L$33,0))</f>
        <v>0</v>
      </c>
      <c r="M266" s="153" t="n">
        <f aca="false">+IF($B266=" ",0,IF(AND($B266&gt;=M$26,$B266&lt;M$28),M$33,0))</f>
        <v>0</v>
      </c>
      <c r="N266" s="153" t="n">
        <f aca="false">+IF($B266=" ",0,IF(AND($B266&gt;=N$26,$B266&lt;N$28),N$33,0))</f>
        <v>0</v>
      </c>
      <c r="O266" s="154" t="n">
        <f aca="false">+IF($B266=" ",0,IF(AND($B266&gt;=O$26,$B266&lt;O$28),O$33,0))</f>
        <v>5016515.625</v>
      </c>
      <c r="Q266" s="83" t="n">
        <f aca="false">IF($B266=" ",0,IF($B266&lt;=DATE(2003,12,31),3.55,2.9))</f>
        <v>2.9</v>
      </c>
      <c r="R266" s="155" t="n">
        <f aca="false">IF($B266=" ",0,R$25)</f>
        <v>-0.07</v>
      </c>
      <c r="S266" s="156" t="n">
        <f aca="false">IF($B266=" ",0,S$25)</f>
        <v>0.1</v>
      </c>
      <c r="T266" s="157" t="n">
        <f aca="false">+SUM($Q266,$S266)/1000*(SUM($J266*$J$37,$K266*$K$37,$L266*$L$37,$M266*$M$37,$N266*$N$37,$O266*$O$37))</f>
        <v>14883.5779284771</v>
      </c>
      <c r="U266" s="157" t="n">
        <f aca="false">+SUM($Q266,$R266)/1000*(SUM(0))</f>
        <v>0</v>
      </c>
      <c r="W266" s="158" t="n">
        <f aca="false">IF($B266=" ",0,1)*(IF($B266&gt;=W$25,1,0)*IF($B266&lt;=W$29,W$27,IF($B266&lt;=W$33,W$31,0))*($D266-$D265)*365/1000)</f>
        <v>486.66666666666</v>
      </c>
      <c r="X266" s="158" t="n">
        <f aca="false">IF($B266=" ",0,IF($B266&gt;=X$25,IF($B266&lt;=X$29,X$27,IF($B266&lt;=X$33,X$31,X$31*(1+X$38)^(IF(X$36&gt;$B266,-1,1)*(YEARFRAC($B266,X$36)))))*($D266-$D265)*365/1000,0))</f>
        <v>478.323776078653</v>
      </c>
      <c r="Y266" s="159" t="n">
        <f aca="false">IF($B266=" ",0,Y$25*(1+Y$30)^(IF(Y$28&gt;$B266,-1,1)*(YEARFRAC($B266,Y$28))))</f>
        <v>0.601239779507865</v>
      </c>
      <c r="Z266" s="159" t="n">
        <f aca="false">IF($B266=" ",0,Z$25*(1+Z$30)^(IF(Z$28&gt;$B266,-1,1)*(YEARFRAC($B266,Z$28))))</f>
        <v>0.573960894914169</v>
      </c>
      <c r="AA266" s="162" t="n">
        <f aca="false">+W266+X266+Z266*SUM($J266*$J$37,$L266*$L$37,$N266*$N$37)/1000</f>
        <v>964.990442745313</v>
      </c>
      <c r="AB266" s="161"/>
      <c r="AC266" s="158" t="n">
        <f aca="false">IF($B266=" ",0,1)*(IF($B266&gt;=AC$25,1,0)*IF($B266&lt;=AC$29,AC$27,IF($B266&lt;=AC$33,AC$31,0))*($D266-$D265)*365/1000)</f>
        <v>1591.66666666664</v>
      </c>
      <c r="AD266" s="158" t="n">
        <f aca="false">IF($B266=" ",0,IF($B266&gt;=AD$25,IF($B266&lt;=AD$29,AD$27,IF($B266&lt;=AD$33,AD$31,AD$31*(1+AD$38)^(IF(AD$36&gt;$B266,-1,1)*(YEARFRAC($B266,AD$36)))))*($D266-$D265)*365/1000,0))</f>
        <v>425.812747263045</v>
      </c>
      <c r="AE266" s="159" t="n">
        <f aca="false">IF($B266=" ",0,AE$25*(1+AE$30)^(IF(AE$28&gt;$B266,-1,1)*(YEARFRAC($B266,AE$28))))</f>
        <v>0.498123978472403</v>
      </c>
      <c r="AF266" s="159" t="n">
        <f aca="false">IF($B266=" ",0,AF$25*(1+AF$30)^(IF(AF$28&gt;$B266,-1,1)*(YEARFRAC($B266,AF$28))))</f>
        <v>0.178725753818252</v>
      </c>
      <c r="AG266" s="162" t="n">
        <f aca="false">+AC266+AD266+AF266*SUM($K266*$K$37,$M266*$M$37,$O266*$O$37)/1000</f>
        <v>2904.17230885628</v>
      </c>
      <c r="AI266" s="158" t="n">
        <f aca="false">IF($B266=" ",0,1)*IF($B266&gt;=AI$33,AI$25*($D266-$D265),0)</f>
        <v>485.186570908327</v>
      </c>
      <c r="AJ266" s="158" t="n">
        <f aca="false">IF($B266=" ",0,IF($B266&gt;=AJ$33,AJ$25*(1+AJ$30)^(IF(AJ$28&gt;$B266,-1,1)*(YEARFRAC($B266,AJ$28)))*($D266-$D265),0))</f>
        <v>584.207187680045</v>
      </c>
      <c r="AK266" s="159" t="n">
        <f aca="false">IF($B266=" ",0,AK$25*(1+AK$30)^(IF(AK$28&gt;$B266,-1,1)*(YEARFRAC($B266,AK$28))))</f>
        <v>0.0333882435415769</v>
      </c>
      <c r="AL266" s="159" t="n">
        <f aca="false">IF($B266=" ",0,AL$25*AL$28)</f>
        <v>0.0575</v>
      </c>
      <c r="AM266" s="162" t="n">
        <f aca="false">+AI266+AJ266+SUM(AK266:AL266)*SUM($J266*$J$37,$K266*$K$37,$L266*$L$37,$M266*$M$37,$N266*$N$37,$O266*$O$37)/1000</f>
        <v>1520.30784376619</v>
      </c>
      <c r="AO266" s="163" t="n">
        <f aca="false">IF($B266=" ",0,$AO$25)</f>
        <v>0.25</v>
      </c>
      <c r="AP266" s="159" t="n">
        <f aca="false">IF($B266=" ",0,AP$25*AP$28)</f>
        <v>0.03105</v>
      </c>
      <c r="AQ266" s="162" t="n">
        <f aca="false">SUM(AO266:AP266)*SUM(0)/1000</f>
        <v>0</v>
      </c>
      <c r="AS266" s="155" t="n">
        <f aca="false">IF($B266=" ",0,AS$25)</f>
        <v>1</v>
      </c>
      <c r="AT266" s="156" t="n">
        <f aca="false">IF($B266=" ",0,AT$25)</f>
        <v>1</v>
      </c>
      <c r="AU266" s="156" t="n">
        <f aca="false">IF($B266=" ",0,AU$25)</f>
        <v>2.3</v>
      </c>
      <c r="AV266" s="157" t="n">
        <f aca="false">+AS266*SUM(J266:K266)/1000</f>
        <v>0</v>
      </c>
      <c r="AW266" s="157" t="n">
        <f aca="false">+AT266*SUM(L266:M266)/1000</f>
        <v>0</v>
      </c>
      <c r="AX266" s="157" t="n">
        <f aca="false">+AU266*SUM(N266:O266)/1000</f>
        <v>11537.9859375</v>
      </c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</row>
    <row r="267" customFormat="false" ht="12.75" hidden="true" customHeight="false" outlineLevel="1" collapsed="false">
      <c r="A267" s="164" t="n">
        <f aca="false">+IF(B267=" ",A266,B267)</f>
        <v>43405</v>
      </c>
      <c r="B267" s="148" t="n">
        <f aca="false">IF(B266=" "," ",IF(EDATE(B266,1)&gt;=EndDate," ",EDATE(B266,1)))</f>
        <v>43405</v>
      </c>
      <c r="C267" s="149" t="n">
        <f aca="false">IF($B267&lt;&gt;" ",C266+1,C266)</f>
        <v>217</v>
      </c>
      <c r="D267" s="150" t="n">
        <f aca="false">C267/12</f>
        <v>18.0833333333333</v>
      </c>
      <c r="F267" s="157" t="n">
        <f aca="false">+SUM($T267:$U267)</f>
        <v>14883.5779284771</v>
      </c>
      <c r="G267" s="152" t="n">
        <f aca="false">-SUM($AA267,$AG267,$AM267,$AQ267,$AV267:$AX267)</f>
        <v>-16930.7016528508</v>
      </c>
      <c r="H267" s="152" t="n">
        <f aca="false">+SUM(F267:G267)</f>
        <v>-2047.12372437369</v>
      </c>
      <c r="I267" s="124"/>
      <c r="J267" s="153" t="n">
        <f aca="false">+IF($B267=" ",0,IF(AND($B267&gt;=J$26,$B267&lt;J$28),J$33,0))</f>
        <v>0</v>
      </c>
      <c r="K267" s="153" t="n">
        <f aca="false">+IF($B267=" ",0,IF(AND($B267&gt;=K$26,$B267&lt;K$28),K$33,0))</f>
        <v>0</v>
      </c>
      <c r="L267" s="153" t="n">
        <f aca="false">+IF($B267=" ",0,IF(AND($B267&gt;=L$26,$B267&lt;L$28),L$33,0))</f>
        <v>0</v>
      </c>
      <c r="M267" s="153" t="n">
        <f aca="false">+IF($B267=" ",0,IF(AND($B267&gt;=M$26,$B267&lt;M$28),M$33,0))</f>
        <v>0</v>
      </c>
      <c r="N267" s="153" t="n">
        <f aca="false">+IF($B267=" ",0,IF(AND($B267&gt;=N$26,$B267&lt;N$28),N$33,0))</f>
        <v>0</v>
      </c>
      <c r="O267" s="154" t="n">
        <f aca="false">+IF($B267=" ",0,IF(AND($B267&gt;=O$26,$B267&lt;O$28),O$33,0))</f>
        <v>5016515.625</v>
      </c>
      <c r="Q267" s="83" t="n">
        <f aca="false">IF($B267=" ",0,IF($B267&lt;=DATE(2003,12,31),3.55,2.9))</f>
        <v>2.9</v>
      </c>
      <c r="R267" s="155" t="n">
        <f aca="false">IF($B267=" ",0,R$25)</f>
        <v>-0.07</v>
      </c>
      <c r="S267" s="156" t="n">
        <f aca="false">IF($B267=" ",0,S$25)</f>
        <v>0.1</v>
      </c>
      <c r="T267" s="157" t="n">
        <f aca="false">+SUM($Q267,$S267)/1000*(SUM($J267*$J$37,$K267*$K$37,$L267*$L$37,$M267*$M$37,$N267*$N$37,$O267*$O$37))</f>
        <v>14883.5779284771</v>
      </c>
      <c r="U267" s="157" t="n">
        <f aca="false">+SUM($Q267,$R267)/1000*(SUM(0))</f>
        <v>0</v>
      </c>
      <c r="W267" s="158" t="n">
        <f aca="false">IF($B267=" ",0,1)*(IF($B267&gt;=W$25,1,0)*IF($B267&lt;=W$29,W$27,IF($B267&lt;=W$33,W$31,0))*($D267-$D266)*365/1000)</f>
        <v>486.66666666666</v>
      </c>
      <c r="X267" s="158" t="n">
        <f aca="false">IF($B267=" ",0,IF($B267&gt;=X$25,IF($B267&lt;=X$29,X$27,IF($B267&lt;=X$33,X$31,X$31*(1+X$38)^(IF(X$36&gt;$B267,-1,1)*(YEARFRAC($B267,X$36)))))*($D267-$D266)*365/1000,0))</f>
        <v>478.983093237028</v>
      </c>
      <c r="Y267" s="159" t="n">
        <f aca="false">IF($B267=" ",0,Y$25*(1+Y$30)^(IF(Y$28&gt;$B267,-1,1)*(YEARFRAC($B267,Y$28))))</f>
        <v>0.602068522971501</v>
      </c>
      <c r="Z267" s="159" t="n">
        <f aca="false">IF($B267=" ",0,Z$25*(1+Z$30)^(IF(Z$28&gt;$B267,-1,1)*(YEARFRAC($B267,Z$28))))</f>
        <v>0.574752037410482</v>
      </c>
      <c r="AA267" s="162" t="n">
        <f aca="false">+W267+X267+Z267*SUM($J267*$J$37,$L267*$L$37,$N267*$N$37)/1000</f>
        <v>965.649759903688</v>
      </c>
      <c r="AB267" s="161"/>
      <c r="AC267" s="158" t="n">
        <f aca="false">IF($B267=" ",0,1)*(IF($B267&gt;=AC$25,1,0)*IF($B267&lt;=AC$29,AC$27,IF($B267&lt;=AC$33,AC$31,0))*($D267-$D266)*365/1000)</f>
        <v>1591.66666666664</v>
      </c>
      <c r="AD267" s="158" t="n">
        <f aca="false">IF($B267=" ",0,IF($B267&gt;=AD$25,IF($B267&lt;=AD$29,AD$27,IF($B267&lt;=AD$33,AD$31,AD$31*(1+AD$38)^(IF(AD$36&gt;$B267,-1,1)*(YEARFRAC($B267,AD$36)))))*($D267-$D266)*365/1000,0))</f>
        <v>426.399683695155</v>
      </c>
      <c r="AE267" s="159" t="n">
        <f aca="false">IF($B267=" ",0,AE$25*(1+AE$30)^(IF(AE$28&gt;$B267,-1,1)*(YEARFRAC($B267,AE$28))))</f>
        <v>0.498810588050327</v>
      </c>
      <c r="AF267" s="159" t="n">
        <f aca="false">IF($B267=" ",0,AF$25*(1+AF$30)^(IF(AF$28&gt;$B267,-1,1)*(YEARFRAC($B267,AF$28))))</f>
        <v>0.178972107777701</v>
      </c>
      <c r="AG267" s="162" t="n">
        <f aca="false">+AC267+AD267+AF267*SUM($K267*$K$37,$M267*$M$37,$O267*$O$37)/1000</f>
        <v>2905.98145473954</v>
      </c>
      <c r="AI267" s="158" t="n">
        <f aca="false">IF($B267=" ",0,1)*IF($B267&gt;=AI$33,AI$25*($D267-$D266),0)</f>
        <v>485.186570908327</v>
      </c>
      <c r="AJ267" s="158" t="n">
        <f aca="false">IF($B267=" ",0,IF($B267&gt;=AJ$33,AJ$25*(1+AJ$30)^(IF(AJ$28&gt;$B267,-1,1)*(YEARFRAC($B267,AJ$28)))*($D267-$D266),0))</f>
        <v>584.812277946442</v>
      </c>
      <c r="AK267" s="159" t="n">
        <f aca="false">IF($B267=" ",0,AK$25*(1+AK$30)^(IF(AK$28&gt;$B267,-1,1)*(YEARFRAC($B267,AK$28))))</f>
        <v>0.0334228252817629</v>
      </c>
      <c r="AL267" s="159" t="n">
        <f aca="false">IF($B267=" ",0,AL$25*AL$28)</f>
        <v>0.0575</v>
      </c>
      <c r="AM267" s="162" t="n">
        <f aca="false">+AI267+AJ267+SUM(AK267:AL267)*SUM($J267*$J$37,$K267*$K$37,$L267*$L$37,$M267*$M$37,$N267*$N$37,$O267*$O$37)/1000</f>
        <v>1521.08450070758</v>
      </c>
      <c r="AO267" s="163" t="n">
        <f aca="false">IF($B267=" ",0,$AO$25)</f>
        <v>0.25</v>
      </c>
      <c r="AP267" s="159" t="n">
        <f aca="false">IF($B267=" ",0,AP$25*AP$28)</f>
        <v>0.03105</v>
      </c>
      <c r="AQ267" s="162" t="n">
        <f aca="false">SUM(AO267:AP267)*SUM(0)/1000</f>
        <v>0</v>
      </c>
      <c r="AS267" s="155" t="n">
        <f aca="false">IF($B267=" ",0,AS$25)</f>
        <v>1</v>
      </c>
      <c r="AT267" s="156" t="n">
        <f aca="false">IF($B267=" ",0,AT$25)</f>
        <v>1</v>
      </c>
      <c r="AU267" s="156" t="n">
        <f aca="false">IF($B267=" ",0,AU$25)</f>
        <v>2.3</v>
      </c>
      <c r="AV267" s="157" t="n">
        <f aca="false">+AS267*SUM(J267:K267)/1000</f>
        <v>0</v>
      </c>
      <c r="AW267" s="157" t="n">
        <f aca="false">+AT267*SUM(L267:M267)/1000</f>
        <v>0</v>
      </c>
      <c r="AX267" s="157" t="n">
        <f aca="false">+AU267*SUM(N267:O267)/1000</f>
        <v>11537.9859375</v>
      </c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</row>
    <row r="268" customFormat="false" ht="12.75" hidden="true" customHeight="false" outlineLevel="1" collapsed="false">
      <c r="A268" s="164" t="n">
        <f aca="false">+IF(B268=" ",A267,B268)</f>
        <v>43435</v>
      </c>
      <c r="B268" s="148" t="n">
        <f aca="false">IF(B267=" "," ",IF(EDATE(B267,1)&gt;=EndDate," ",EDATE(B267,1)))</f>
        <v>43435</v>
      </c>
      <c r="C268" s="149" t="n">
        <f aca="false">IF($B268&lt;&gt;" ",C267+1,C267)</f>
        <v>218</v>
      </c>
      <c r="D268" s="150" t="n">
        <f aca="false">C268/12</f>
        <v>18.1666666666667</v>
      </c>
      <c r="F268" s="157" t="n">
        <f aca="false">+SUM($T268:$U268)</f>
        <v>14883.5779284771</v>
      </c>
      <c r="G268" s="152" t="n">
        <f aca="false">-SUM($AA268,$AG268,$AM268,$AQ268,$AV268:$AX268)</f>
        <v>-16933.9509797604</v>
      </c>
      <c r="H268" s="152" t="n">
        <f aca="false">+SUM(F268:G268)</f>
        <v>-2050.3730512833</v>
      </c>
      <c r="I268" s="124"/>
      <c r="J268" s="153" t="n">
        <f aca="false">+IF($B268=" ",0,IF(AND($B268&gt;=J$26,$B268&lt;J$28),J$33,0))</f>
        <v>0</v>
      </c>
      <c r="K268" s="153" t="n">
        <f aca="false">+IF($B268=" ",0,IF(AND($B268&gt;=K$26,$B268&lt;K$28),K$33,0))</f>
        <v>0</v>
      </c>
      <c r="L268" s="153" t="n">
        <f aca="false">+IF($B268=" ",0,IF(AND($B268&gt;=L$26,$B268&lt;L$28),L$33,0))</f>
        <v>0</v>
      </c>
      <c r="M268" s="153" t="n">
        <f aca="false">+IF($B268=" ",0,IF(AND($B268&gt;=M$26,$B268&lt;M$28),M$33,0))</f>
        <v>0</v>
      </c>
      <c r="N268" s="153" t="n">
        <f aca="false">+IF($B268=" ",0,IF(AND($B268&gt;=N$26,$B268&lt;N$28),N$33,0))</f>
        <v>0</v>
      </c>
      <c r="O268" s="154" t="n">
        <f aca="false">+IF($B268=" ",0,IF(AND($B268&gt;=O$26,$B268&lt;O$28),O$33,0))</f>
        <v>5016515.625</v>
      </c>
      <c r="Q268" s="83" t="n">
        <f aca="false">IF($B268=" ",0,IF($B268&lt;=DATE(2003,12,31),3.55,2.9))</f>
        <v>2.9</v>
      </c>
      <c r="R268" s="155" t="n">
        <f aca="false">IF($B268=" ",0,R$25)</f>
        <v>-0.07</v>
      </c>
      <c r="S268" s="156" t="n">
        <f aca="false">IF($B268=" ",0,S$25)</f>
        <v>0.1</v>
      </c>
      <c r="T268" s="157" t="n">
        <f aca="false">+SUM($Q268,$S268)/1000*(SUM($J268*$J$37,$K268*$K$37,$L268*$L$37,$M268*$M$37,$N268*$N$37,$O268*$O$37))</f>
        <v>14883.5779284771</v>
      </c>
      <c r="U268" s="157" t="n">
        <f aca="false">+SUM($Q268,$R268)/1000*(SUM(0))</f>
        <v>0</v>
      </c>
      <c r="W268" s="158" t="n">
        <f aca="false">IF($B268=" ",0,1)*(IF($B268&gt;=W$25,1,0)*IF($B268&lt;=W$29,W$27,IF($B268&lt;=W$33,W$31,0))*($D268-$D267)*365/1000)</f>
        <v>486.666666666681</v>
      </c>
      <c r="X268" s="158" t="n">
        <f aca="false">IF($B268=" ",0,IF($B268&gt;=X$25,IF($B268&lt;=X$29,X$27,IF($B268&lt;=X$33,X$31,X$31*(1+X$38)^(IF(X$36&gt;$B268,-1,1)*(YEARFRAC($B268,X$36)))))*($D268-$D267)*365/1000,0))</f>
        <v>479.643319192219</v>
      </c>
      <c r="Y268" s="159" t="n">
        <f aca="false">IF($B268=" ",0,Y$25*(1+Y$30)^(IF(Y$28&gt;$B268,-1,1)*(YEARFRAC($B268,Y$28))))</f>
        <v>0.602898408767617</v>
      </c>
      <c r="Z268" s="159" t="n">
        <f aca="false">IF($B268=" ",0,Z$25*(1+Z$30)^(IF(Z$28&gt;$B268,-1,1)*(YEARFRAC($B268,Z$28))))</f>
        <v>0.575544270410442</v>
      </c>
      <c r="AA268" s="162" t="n">
        <f aca="false">+W268+X268+Z268*SUM($J268*$J$37,$L268*$L$37,$N268*$N$37)/1000</f>
        <v>966.309985858899</v>
      </c>
      <c r="AB268" s="161"/>
      <c r="AC268" s="158" t="n">
        <f aca="false">IF($B268=" ",0,1)*(IF($B268&gt;=AC$25,1,0)*IF($B268&lt;=AC$29,AC$27,IF($B268&lt;=AC$33,AC$31,0))*($D268-$D267)*365/1000)</f>
        <v>1591.66666666671</v>
      </c>
      <c r="AD268" s="158" t="n">
        <f aca="false">IF($B268=" ",0,IF($B268&gt;=AD$25,IF($B268&lt;=AD$29,AD$27,IF($B268&lt;=AD$33,AD$31,AD$31*(1+AD$38)^(IF(AD$36&gt;$B268,-1,1)*(YEARFRAC($B268,AD$36)))))*($D268-$D267)*365/1000,0))</f>
        <v>426.987429155142</v>
      </c>
      <c r="AE268" s="159" t="n">
        <f aca="false">IF($B268=" ",0,AE$25*(1+AE$30)^(IF(AE$28&gt;$B268,-1,1)*(YEARFRAC($B268,AE$28))))</f>
        <v>0.499498144044671</v>
      </c>
      <c r="AF268" s="159" t="n">
        <f aca="false">IF($B268=" ",0,AF$25*(1+AF$30)^(IF(AF$28&gt;$B268,-1,1)*(YEARFRAC($B268,AF$28))))</f>
        <v>0.179218801309216</v>
      </c>
      <c r="AG268" s="162" t="n">
        <f aca="false">+AC268+AD268+AF268*SUM($K268*$K$37,$M268*$M$37,$O268*$O$37)/1000</f>
        <v>2907.79309433318</v>
      </c>
      <c r="AI268" s="158" t="n">
        <f aca="false">IF($B268=" ",0,1)*IF($B268&gt;=AI$33,AI$25*($D268-$D267),0)</f>
        <v>485.186570908347</v>
      </c>
      <c r="AJ268" s="158" t="n">
        <f aca="false">IF($B268=" ",0,IF($B268&gt;=AJ$33,AJ$25*(1+AJ$30)^(IF(AJ$28&gt;$B268,-1,1)*(YEARFRAC($B268,AJ$28)))*($D268-$D267),0))</f>
        <v>585.417994932697</v>
      </c>
      <c r="AK268" s="159" t="n">
        <f aca="false">IF($B268=" ",0,AK$25*(1+AK$30)^(IF(AK$28&gt;$B268,-1,1)*(YEARFRAC($B268,AK$28))))</f>
        <v>0.0334574428398484</v>
      </c>
      <c r="AL268" s="159" t="n">
        <f aca="false">IF($B268=" ",0,AL$25*AL$28)</f>
        <v>0.0575</v>
      </c>
      <c r="AM268" s="162" t="n">
        <f aca="false">+AI268+AJ268+SUM(AK268:AL268)*SUM($J268*$J$37,$K268*$K$37,$L268*$L$37,$M268*$M$37,$N268*$N$37,$O268*$O$37)/1000</f>
        <v>1521.86196206834</v>
      </c>
      <c r="AO268" s="163" t="n">
        <f aca="false">IF($B268=" ",0,$AO$25)</f>
        <v>0.25</v>
      </c>
      <c r="AP268" s="159" t="n">
        <f aca="false">IF($B268=" ",0,AP$25*AP$28)</f>
        <v>0.03105</v>
      </c>
      <c r="AQ268" s="162" t="n">
        <f aca="false">SUM(AO268:AP268)*SUM(0)/1000</f>
        <v>0</v>
      </c>
      <c r="AS268" s="155" t="n">
        <f aca="false">IF($B268=" ",0,AS$25)</f>
        <v>1</v>
      </c>
      <c r="AT268" s="156" t="n">
        <f aca="false">IF($B268=" ",0,AT$25)</f>
        <v>1</v>
      </c>
      <c r="AU268" s="156" t="n">
        <f aca="false">IF($B268=" ",0,AU$25)</f>
        <v>2.3</v>
      </c>
      <c r="AV268" s="157" t="n">
        <f aca="false">+AS268*SUM(J268:K268)/1000</f>
        <v>0</v>
      </c>
      <c r="AW268" s="157" t="n">
        <f aca="false">+AT268*SUM(L268:M268)/1000</f>
        <v>0</v>
      </c>
      <c r="AX268" s="157" t="n">
        <f aca="false">+AU268*SUM(N268:O268)/1000</f>
        <v>11537.9859375</v>
      </c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</row>
    <row r="269" customFormat="false" ht="12.75" hidden="true" customHeight="false" outlineLevel="1" collapsed="false">
      <c r="A269" s="164" t="n">
        <f aca="false">+IF(B269=" ",A268,B269)</f>
        <v>43466</v>
      </c>
      <c r="B269" s="148" t="n">
        <f aca="false">IF(B268=" "," ",IF(EDATE(B268,1)&gt;=EndDate," ",EDATE(B268,1)))</f>
        <v>43466</v>
      </c>
      <c r="C269" s="149" t="n">
        <f aca="false">IF($B269&lt;&gt;" ",C268+1,C268)</f>
        <v>219</v>
      </c>
      <c r="D269" s="150" t="n">
        <f aca="false">C269/12</f>
        <v>18.25</v>
      </c>
      <c r="F269" s="157" t="n">
        <f aca="false">+SUM($T269:$U269)</f>
        <v>14883.5779284771</v>
      </c>
      <c r="G269" s="152" t="n">
        <f aca="false">-SUM($AA269,$AG269,$AM269,$AQ269,$AV269:$AX269)</f>
        <v>-16937.2045191193</v>
      </c>
      <c r="H269" s="152" t="n">
        <f aca="false">+SUM(F269:G269)</f>
        <v>-2053.62659064215</v>
      </c>
      <c r="I269" s="124"/>
      <c r="J269" s="153" t="n">
        <f aca="false">+IF($B269=" ",0,IF(AND($B269&gt;=J$26,$B269&lt;J$28),J$33,0))</f>
        <v>0</v>
      </c>
      <c r="K269" s="153" t="n">
        <f aca="false">+IF($B269=" ",0,IF(AND($B269&gt;=K$26,$B269&lt;K$28),K$33,0))</f>
        <v>0</v>
      </c>
      <c r="L269" s="153" t="n">
        <f aca="false">+IF($B269=" ",0,IF(AND($B269&gt;=L$26,$B269&lt;L$28),L$33,0))</f>
        <v>0</v>
      </c>
      <c r="M269" s="153" t="n">
        <f aca="false">+IF($B269=" ",0,IF(AND($B269&gt;=M$26,$B269&lt;M$28),M$33,0))</f>
        <v>0</v>
      </c>
      <c r="N269" s="153" t="n">
        <f aca="false">+IF($B269=" ",0,IF(AND($B269&gt;=N$26,$B269&lt;N$28),N$33,0))</f>
        <v>0</v>
      </c>
      <c r="O269" s="154" t="n">
        <f aca="false">+IF($B269=" ",0,IF(AND($B269&gt;=O$26,$B269&lt;O$28),O$33,0))</f>
        <v>5016515.625</v>
      </c>
      <c r="Q269" s="83" t="n">
        <f aca="false">IF($B269=" ",0,IF($B269&lt;=DATE(2003,12,31),3.55,2.9))</f>
        <v>2.9</v>
      </c>
      <c r="R269" s="155" t="n">
        <f aca="false">IF($B269=" ",0,R$25)</f>
        <v>-0.07</v>
      </c>
      <c r="S269" s="156" t="n">
        <f aca="false">IF($B269=" ",0,S$25)</f>
        <v>0.1</v>
      </c>
      <c r="T269" s="157" t="n">
        <f aca="false">+SUM($Q269,$S269)/1000*(SUM($J269*$J$37,$K269*$K$37,$L269*$L$37,$M269*$M$37,$N269*$N$37,$O269*$O$37))</f>
        <v>14883.5779284771</v>
      </c>
      <c r="U269" s="157" t="n">
        <f aca="false">+SUM($Q269,$R269)/1000*(SUM(0))</f>
        <v>0</v>
      </c>
      <c r="W269" s="158" t="n">
        <f aca="false">IF($B269=" ",0,1)*(IF($B269&gt;=W$25,1,0)*IF($B269&lt;=W$29,W$27,IF($B269&lt;=W$33,W$31,0))*($D269-$D268)*365/1000)</f>
        <v>486.66666666666</v>
      </c>
      <c r="X269" s="158" t="n">
        <f aca="false">IF($B269=" ",0,IF($B269&gt;=X$25,IF($B269&lt;=X$29,X$27,IF($B269&lt;=X$33,X$31,X$31*(1+X$38)^(IF(X$36&gt;$B269,-1,1)*(YEARFRAC($B269,X$36)))))*($D269-$D268)*365/1000,0))</f>
        <v>480.304455196842</v>
      </c>
      <c r="Y269" s="159" t="n">
        <f aca="false">IF($B269=" ",0,Y$25*(1+Y$30)^(IF(Y$28&gt;$B269,-1,1)*(YEARFRAC($B269,Y$28))))</f>
        <v>0.603729438470793</v>
      </c>
      <c r="Z269" s="159" t="n">
        <f aca="false">IF($B269=" ",0,Z$25*(1+Z$30)^(IF(Z$28&gt;$B269,-1,1)*(YEARFRAC($B269,Z$28))))</f>
        <v>0.576337595417191</v>
      </c>
      <c r="AA269" s="162" t="n">
        <f aca="false">+W269+X269+Z269*SUM($J269*$J$37,$L269*$L$37,$N269*$N$37)/1000</f>
        <v>966.971121863502</v>
      </c>
      <c r="AB269" s="161"/>
      <c r="AC269" s="158" t="n">
        <f aca="false">IF($B269=" ",0,1)*(IF($B269&gt;=AC$25,1,0)*IF($B269&lt;=AC$29,AC$27,IF($B269&lt;=AC$33,AC$31,0))*($D269-$D268)*365/1000)</f>
        <v>1591.66666666664</v>
      </c>
      <c r="AD269" s="158" t="n">
        <f aca="false">IF($B269=" ",0,IF($B269&gt;=AD$25,IF($B269&lt;=AD$29,AD$27,IF($B269&lt;=AD$33,AD$31,AD$31*(1+AD$38)^(IF(AD$36&gt;$B269,-1,1)*(YEARFRAC($B269,AD$36)))))*($D269-$D268)*365/1000,0))</f>
        <v>427.575984758109</v>
      </c>
      <c r="AE269" s="159" t="n">
        <f aca="false">IF($B269=" ",0,AE$25*(1+AE$30)^(IF(AE$28&gt;$B269,-1,1)*(YEARFRAC($B269,AE$28))))</f>
        <v>0.500186647759968</v>
      </c>
      <c r="AF269" s="159" t="n">
        <f aca="false">IF($B269=" ",0,AF$25*(1+AF$30)^(IF(AF$28&gt;$B269,-1,1)*(YEARFRAC($B269,AF$28))))</f>
        <v>0.179465834880859</v>
      </c>
      <c r="AG269" s="162" t="n">
        <f aca="false">+AC269+AD269+AF269*SUM($K269*$K$37,$M269*$M$37,$O269*$O$37)/1000</f>
        <v>2909.60723107424</v>
      </c>
      <c r="AI269" s="158" t="n">
        <f aca="false">IF($B269=" ",0,1)*IF($B269&gt;=AI$33,AI$25*($D269-$D268),0)</f>
        <v>485.186570908327</v>
      </c>
      <c r="AJ269" s="158" t="n">
        <f aca="false">IF($B269=" ",0,IF($B269&gt;=AJ$33,AJ$25*(1+AJ$30)^(IF(AJ$28&gt;$B269,-1,1)*(YEARFRAC($B269,AJ$28)))*($D269-$D268),0))</f>
        <v>586.024339287856</v>
      </c>
      <c r="AK269" s="159" t="n">
        <f aca="false">IF($B269=" ",0,AK$25*(1+AK$30)^(IF(AK$28&gt;$B269,-1,1)*(YEARFRAC($B269,AK$28))))</f>
        <v>0.0334920962529318</v>
      </c>
      <c r="AL269" s="159" t="n">
        <f aca="false">IF($B269=" ",0,AL$25*AL$28)</f>
        <v>0.0575</v>
      </c>
      <c r="AM269" s="162" t="n">
        <f aca="false">+AI269+AJ269+SUM(AK269:AL269)*SUM($J269*$J$37,$K269*$K$37,$L269*$L$37,$M269*$M$37,$N269*$N$37,$O269*$O$37)/1000</f>
        <v>1522.64022868152</v>
      </c>
      <c r="AO269" s="163" t="n">
        <f aca="false">IF($B269=" ",0,$AO$25)</f>
        <v>0.25</v>
      </c>
      <c r="AP269" s="159" t="n">
        <f aca="false">IF($B269=" ",0,AP$25*AP$28)</f>
        <v>0.03105</v>
      </c>
      <c r="AQ269" s="162" t="n">
        <f aca="false">SUM(AO269:AP269)*SUM(0)/1000</f>
        <v>0</v>
      </c>
      <c r="AS269" s="155" t="n">
        <f aca="false">IF($B269=" ",0,AS$25)</f>
        <v>1</v>
      </c>
      <c r="AT269" s="156" t="n">
        <f aca="false">IF($B269=" ",0,AT$25)</f>
        <v>1</v>
      </c>
      <c r="AU269" s="156" t="n">
        <f aca="false">IF($B269=" ",0,AU$25)</f>
        <v>2.3</v>
      </c>
      <c r="AV269" s="157" t="n">
        <f aca="false">+AS269*SUM(J269:K269)/1000</f>
        <v>0</v>
      </c>
      <c r="AW269" s="157" t="n">
        <f aca="false">+AT269*SUM(L269:M269)/1000</f>
        <v>0</v>
      </c>
      <c r="AX269" s="157" t="n">
        <f aca="false">+AU269*SUM(N269:O269)/1000</f>
        <v>11537.9859375</v>
      </c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</row>
    <row r="270" customFormat="false" ht="12.75" hidden="true" customHeight="false" outlineLevel="1" collapsed="false">
      <c r="A270" s="164" t="n">
        <f aca="false">+IF(B270=" ",A269,B270)</f>
        <v>43497</v>
      </c>
      <c r="B270" s="148" t="n">
        <f aca="false">IF(B269=" "," ",IF(EDATE(B269,1)&gt;=EndDate," ",EDATE(B269,1)))</f>
        <v>43497</v>
      </c>
      <c r="C270" s="149" t="n">
        <f aca="false">IF($B270&lt;&gt;" ",C269+1,C269)</f>
        <v>220</v>
      </c>
      <c r="D270" s="150" t="n">
        <f aca="false">C270/12</f>
        <v>18.3333333333333</v>
      </c>
      <c r="F270" s="157" t="n">
        <f aca="false">+SUM($T270:$U270)</f>
        <v>14883.5779284771</v>
      </c>
      <c r="G270" s="152" t="n">
        <f aca="false">-SUM($AA270,$AG270,$AM270,$AQ270,$AV270:$AX270)</f>
        <v>-16940.4622764583</v>
      </c>
      <c r="H270" s="152" t="n">
        <f aca="false">+SUM(F270:G270)</f>
        <v>-2056.88434798123</v>
      </c>
      <c r="I270" s="124"/>
      <c r="J270" s="153" t="n">
        <f aca="false">+IF($B270=" ",0,IF(AND($B270&gt;=J$26,$B270&lt;J$28),J$33,0))</f>
        <v>0</v>
      </c>
      <c r="K270" s="153" t="n">
        <f aca="false">+IF($B270=" ",0,IF(AND($B270&gt;=K$26,$B270&lt;K$28),K$33,0))</f>
        <v>0</v>
      </c>
      <c r="L270" s="153" t="n">
        <f aca="false">+IF($B270=" ",0,IF(AND($B270&gt;=L$26,$B270&lt;L$28),L$33,0))</f>
        <v>0</v>
      </c>
      <c r="M270" s="153" t="n">
        <f aca="false">+IF($B270=" ",0,IF(AND($B270&gt;=M$26,$B270&lt;M$28),M$33,0))</f>
        <v>0</v>
      </c>
      <c r="N270" s="153" t="n">
        <f aca="false">+IF($B270=" ",0,IF(AND($B270&gt;=N$26,$B270&lt;N$28),N$33,0))</f>
        <v>0</v>
      </c>
      <c r="O270" s="154" t="n">
        <f aca="false">+IF($B270=" ",0,IF(AND($B270&gt;=O$26,$B270&lt;O$28),O$33,0))</f>
        <v>5016515.625</v>
      </c>
      <c r="Q270" s="83" t="n">
        <f aca="false">IF($B270=" ",0,IF($B270&lt;=DATE(2003,12,31),3.55,2.9))</f>
        <v>2.9</v>
      </c>
      <c r="R270" s="155" t="n">
        <f aca="false">IF($B270=" ",0,R$25)</f>
        <v>-0.07</v>
      </c>
      <c r="S270" s="156" t="n">
        <f aca="false">IF($B270=" ",0,S$25)</f>
        <v>0.1</v>
      </c>
      <c r="T270" s="157" t="n">
        <f aca="false">+SUM($Q270,$S270)/1000*(SUM($J270*$J$37,$K270*$K$37,$L270*$L$37,$M270*$M$37,$N270*$N$37,$O270*$O$37))</f>
        <v>14883.5779284771</v>
      </c>
      <c r="U270" s="157" t="n">
        <f aca="false">+SUM($Q270,$R270)/1000*(SUM(0))</f>
        <v>0</v>
      </c>
      <c r="W270" s="158" t="n">
        <f aca="false">IF($B270=" ",0,1)*(IF($B270&gt;=W$25,1,0)*IF($B270&lt;=W$29,W$27,IF($B270&lt;=W$33,W$31,0))*($D270-$D269)*365/1000)</f>
        <v>486.66666666666</v>
      </c>
      <c r="X270" s="158" t="n">
        <f aca="false">IF($B270=" ",0,IF($B270&gt;=X$25,IF($B270&lt;=X$29,X$27,IF($B270&lt;=X$33,X$31,X$31*(1+X$38)^(IF(X$36&gt;$B270,-1,1)*(YEARFRAC($B270,X$36)))))*($D270-$D269)*365/1000,0))</f>
        <v>480.966502505364</v>
      </c>
      <c r="Y270" s="159" t="n">
        <f aca="false">IF($B270=" ",0,Y$25*(1+Y$30)^(IF(Y$28&gt;$B270,-1,1)*(YEARFRAC($B270,Y$28))))</f>
        <v>0.604561613657782</v>
      </c>
      <c r="Z270" s="159" t="n">
        <f aca="false">IF($B270=" ",0,Z$25*(1+Z$30)^(IF(Z$28&gt;$B270,-1,1)*(YEARFRAC($B270,Z$28))))</f>
        <v>0.577132013935939</v>
      </c>
      <c r="AA270" s="162" t="n">
        <f aca="false">+W270+X270+Z270*SUM($J270*$J$37,$L270*$L$37,$N270*$N$37)/1000</f>
        <v>967.633169172024</v>
      </c>
      <c r="AB270" s="161"/>
      <c r="AC270" s="158" t="n">
        <f aca="false">IF($B270=" ",0,1)*(IF($B270&gt;=AC$25,1,0)*IF($B270&lt;=AC$29,AC$27,IF($B270&lt;=AC$33,AC$31,0))*($D270-$D269)*365/1000)</f>
        <v>1591.66666666664</v>
      </c>
      <c r="AD270" s="158" t="n">
        <f aca="false">IF($B270=" ",0,IF($B270&gt;=AD$25,IF($B270&lt;=AD$29,AD$27,IF($B270&lt;=AD$33,AD$31,AD$31*(1+AD$38)^(IF(AD$36&gt;$B270,-1,1)*(YEARFRAC($B270,AD$36)))))*($D270-$D269)*365/1000,0))</f>
        <v>428.165351620804</v>
      </c>
      <c r="AE270" s="159" t="n">
        <f aca="false">IF($B270=" ",0,AE$25*(1+AE$30)^(IF(AE$28&gt;$B270,-1,1)*(YEARFRAC($B270,AE$28))))</f>
        <v>0.500876100502546</v>
      </c>
      <c r="AF270" s="159" t="n">
        <f aca="false">IF($B270=" ",0,AF$25*(1+AF$30)^(IF(AF$28&gt;$B270,-1,1)*(YEARFRAC($B270,AF$28))))</f>
        <v>0.179713208961338</v>
      </c>
      <c r="AG270" s="162" t="n">
        <f aca="false">+AC270+AD270+AF270*SUM($K270*$K$37,$M270*$M$37,$O270*$O$37)/1000</f>
        <v>2911.42386840504</v>
      </c>
      <c r="AI270" s="158" t="n">
        <f aca="false">IF($B270=" ",0,1)*IF($B270&gt;=AI$33,AI$25*($D270-$D269),0)</f>
        <v>485.186570908327</v>
      </c>
      <c r="AJ270" s="158" t="n">
        <f aca="false">IF($B270=" ",0,IF($B270&gt;=AJ$33,AJ$25*(1+AJ$30)^(IF(AJ$28&gt;$B270,-1,1)*(YEARFRAC($B270,AJ$28)))*($D270-$D269),0))</f>
        <v>586.63131166179</v>
      </c>
      <c r="AK270" s="159" t="n">
        <f aca="false">IF($B270=" ",0,AK$25*(1+AK$30)^(IF(AK$28&gt;$B270,-1,1)*(YEARFRAC($B270,AK$28))))</f>
        <v>0.0335267855581497</v>
      </c>
      <c r="AL270" s="159" t="n">
        <f aca="false">IF($B270=" ",0,AL$25*AL$28)</f>
        <v>0.0575</v>
      </c>
      <c r="AM270" s="162" t="n">
        <f aca="false">+AI270+AJ270+SUM(AK270:AL270)*SUM($J270*$J$37,$K270*$K$37,$L270*$L$37,$M270*$M$37,$N270*$N$37,$O270*$O$37)/1000</f>
        <v>1523.41930138128</v>
      </c>
      <c r="AO270" s="163" t="n">
        <f aca="false">IF($B270=" ",0,$AO$25)</f>
        <v>0.25</v>
      </c>
      <c r="AP270" s="159" t="n">
        <f aca="false">IF($B270=" ",0,AP$25*AP$28)</f>
        <v>0.03105</v>
      </c>
      <c r="AQ270" s="162" t="n">
        <f aca="false">SUM(AO270:AP270)*SUM(0)/1000</f>
        <v>0</v>
      </c>
      <c r="AS270" s="155" t="n">
        <f aca="false">IF($B270=" ",0,AS$25)</f>
        <v>1</v>
      </c>
      <c r="AT270" s="156" t="n">
        <f aca="false">IF($B270=" ",0,AT$25)</f>
        <v>1</v>
      </c>
      <c r="AU270" s="156" t="n">
        <f aca="false">IF($B270=" ",0,AU$25)</f>
        <v>2.3</v>
      </c>
      <c r="AV270" s="157" t="n">
        <f aca="false">+AS270*SUM(J270:K270)/1000</f>
        <v>0</v>
      </c>
      <c r="AW270" s="157" t="n">
        <f aca="false">+AT270*SUM(L270:M270)/1000</f>
        <v>0</v>
      </c>
      <c r="AX270" s="157" t="n">
        <f aca="false">+AU270*SUM(N270:O270)/1000</f>
        <v>11537.9859375</v>
      </c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</row>
    <row r="271" customFormat="false" ht="12.75" hidden="true" customHeight="false" outlineLevel="1" collapsed="false">
      <c r="A271" s="164" t="n">
        <f aca="false">+IF(B271=" ",A270,B271)</f>
        <v>43525</v>
      </c>
      <c r="B271" s="148" t="n">
        <f aca="false">IF(B270=" "," ",IF(EDATE(B270,1)&gt;=EndDate," ",EDATE(B270,1)))</f>
        <v>43525</v>
      </c>
      <c r="C271" s="149" t="n">
        <f aca="false">IF($B271&lt;&gt;" ",C270+1,C270)</f>
        <v>221</v>
      </c>
      <c r="D271" s="150" t="n">
        <f aca="false">C271/12</f>
        <v>18.4166666666667</v>
      </c>
      <c r="F271" s="157" t="n">
        <f aca="false">+SUM($T271:$U271)</f>
        <v>14883.5779284771</v>
      </c>
      <c r="G271" s="152" t="n">
        <f aca="false">-SUM($AA271,$AG271,$AM271,$AQ271,$AV271:$AX271)</f>
        <v>-16943.7242573155</v>
      </c>
      <c r="H271" s="152" t="n">
        <f aca="false">+SUM(F271:G271)</f>
        <v>-2060.14632883837</v>
      </c>
      <c r="I271" s="124"/>
      <c r="J271" s="153" t="n">
        <f aca="false">+IF($B271=" ",0,IF(AND($B271&gt;=J$26,$B271&lt;J$28),J$33,0))</f>
        <v>0</v>
      </c>
      <c r="K271" s="153" t="n">
        <f aca="false">+IF($B271=" ",0,IF(AND($B271&gt;=K$26,$B271&lt;K$28),K$33,0))</f>
        <v>0</v>
      </c>
      <c r="L271" s="153" t="n">
        <f aca="false">+IF($B271=" ",0,IF(AND($B271&gt;=L$26,$B271&lt;L$28),L$33,0))</f>
        <v>0</v>
      </c>
      <c r="M271" s="153" t="n">
        <f aca="false">+IF($B271=" ",0,IF(AND($B271&gt;=M$26,$B271&lt;M$28),M$33,0))</f>
        <v>0</v>
      </c>
      <c r="N271" s="153" t="n">
        <f aca="false">+IF($B271=" ",0,IF(AND($B271&gt;=N$26,$B271&lt;N$28),N$33,0))</f>
        <v>0</v>
      </c>
      <c r="O271" s="154" t="n">
        <f aca="false">+IF($B271=" ",0,IF(AND($B271&gt;=O$26,$B271&lt;O$28),O$33,0))</f>
        <v>5016515.625</v>
      </c>
      <c r="Q271" s="83" t="n">
        <f aca="false">IF($B271=" ",0,IF($B271&lt;=DATE(2003,12,31),3.55,2.9))</f>
        <v>2.9</v>
      </c>
      <c r="R271" s="155" t="n">
        <f aca="false">IF($B271=" ",0,R$25)</f>
        <v>-0.07</v>
      </c>
      <c r="S271" s="156" t="n">
        <f aca="false">IF($B271=" ",0,S$25)</f>
        <v>0.1</v>
      </c>
      <c r="T271" s="157" t="n">
        <f aca="false">+SUM($Q271,$S271)/1000*(SUM($J271*$J$37,$K271*$K$37,$L271*$L$37,$M271*$M$37,$N271*$N$37,$O271*$O$37))</f>
        <v>14883.5779284771</v>
      </c>
      <c r="U271" s="157" t="n">
        <f aca="false">+SUM($Q271,$R271)/1000*(SUM(0))</f>
        <v>0</v>
      </c>
      <c r="W271" s="158" t="n">
        <f aca="false">IF($B271=" ",0,1)*(IF($B271&gt;=W$25,1,0)*IF($B271&lt;=W$29,W$27,IF($B271&lt;=W$33,W$31,0))*($D271-$D270)*365/1000)</f>
        <v>486.666666666681</v>
      </c>
      <c r="X271" s="158" t="n">
        <f aca="false">IF($B271=" ",0,IF($B271&gt;=X$25,IF($B271&lt;=X$29,X$27,IF($B271&lt;=X$33,X$31,X$31*(1+X$38)^(IF(X$36&gt;$B271,-1,1)*(YEARFRAC($B271,X$36)))))*($D271-$D270)*365/1000,0))</f>
        <v>481.629462373917</v>
      </c>
      <c r="Y271" s="159" t="n">
        <f aca="false">IF($B271=" ",0,Y$25*(1+Y$30)^(IF(Y$28&gt;$B271,-1,1)*(YEARFRAC($B271,Y$28))))</f>
        <v>0.605394935907508</v>
      </c>
      <c r="Z271" s="159" t="n">
        <f aca="false">IF($B271=" ",0,Z$25*(1+Z$30)^(IF(Z$28&gt;$B271,-1,1)*(YEARFRAC($B271,Z$28))))</f>
        <v>0.577927527473975</v>
      </c>
      <c r="AA271" s="162" t="n">
        <f aca="false">+W271+X271+Z271*SUM($J271*$J$37,$L271*$L$37,$N271*$N$37)/1000</f>
        <v>968.296129040598</v>
      </c>
      <c r="AB271" s="161"/>
      <c r="AC271" s="158" t="n">
        <f aca="false">IF($B271=" ",0,1)*(IF($B271&gt;=AC$25,1,0)*IF($B271&lt;=AC$29,AC$27,IF($B271&lt;=AC$33,AC$31,0))*($D271-$D270)*365/1000)</f>
        <v>1591.66666666671</v>
      </c>
      <c r="AD271" s="158" t="n">
        <f aca="false">IF($B271=" ",0,IF($B271&gt;=AD$25,IF($B271&lt;=AD$29,AD$27,IF($B271&lt;=AD$33,AD$31,AD$31*(1+AD$38)^(IF(AD$36&gt;$B271,-1,1)*(YEARFRAC($B271,AD$36)))))*($D271-$D270)*365/1000,0))</f>
        <v>428.75553086146</v>
      </c>
      <c r="AE271" s="159" t="n">
        <f aca="false">IF($B271=" ",0,AE$25*(1+AE$30)^(IF(AE$28&gt;$B271,-1,1)*(YEARFRAC($B271,AE$28))))</f>
        <v>0.501566503580537</v>
      </c>
      <c r="AF271" s="159" t="n">
        <f aca="false">IF($B271=" ",0,AF$25*(1+AF$30)^(IF(AF$28&gt;$B271,-1,1)*(YEARFRAC($B271,AF$28))))</f>
        <v>0.179960924020008</v>
      </c>
      <c r="AG271" s="162" t="n">
        <f aca="false">+AC271+AD271+AF271*SUM($K271*$K$37,$M271*$M$37,$O271*$O$37)/1000</f>
        <v>2913.24300977235</v>
      </c>
      <c r="AI271" s="158" t="n">
        <f aca="false">IF($B271=" ",0,1)*IF($B271&gt;=AI$33,AI$25*($D271-$D270),0)</f>
        <v>485.186570908347</v>
      </c>
      <c r="AJ271" s="158" t="n">
        <f aca="false">IF($B271=" ",0,IF($B271&gt;=AJ$33,AJ$25*(1+AJ$30)^(IF(AJ$28&gt;$B271,-1,1)*(YEARFRAC($B271,AJ$28)))*($D271-$D270),0))</f>
        <v>587.238912704966</v>
      </c>
      <c r="AK271" s="159" t="n">
        <f aca="false">IF($B271=" ",0,AK$25*(1+AK$30)^(IF(AK$28&gt;$B271,-1,1)*(YEARFRAC($B271,AK$28))))</f>
        <v>0.0335615107926772</v>
      </c>
      <c r="AL271" s="159" t="n">
        <f aca="false">IF($B271=" ",0,AL$25*AL$28)</f>
        <v>0.0575</v>
      </c>
      <c r="AM271" s="162" t="n">
        <f aca="false">+AI271+AJ271+SUM(AK271:AL271)*SUM($J271*$J$37,$K271*$K$37,$L271*$L$37,$M271*$M$37,$N271*$N$37,$O271*$O$37)/1000</f>
        <v>1524.19918100254</v>
      </c>
      <c r="AO271" s="163" t="n">
        <f aca="false">IF($B271=" ",0,$AO$25)</f>
        <v>0.25</v>
      </c>
      <c r="AP271" s="159" t="n">
        <f aca="false">IF($B271=" ",0,AP$25*AP$28)</f>
        <v>0.03105</v>
      </c>
      <c r="AQ271" s="162" t="n">
        <f aca="false">SUM(AO271:AP271)*SUM(0)/1000</f>
        <v>0</v>
      </c>
      <c r="AS271" s="155" t="n">
        <f aca="false">IF($B271=" ",0,AS$25)</f>
        <v>1</v>
      </c>
      <c r="AT271" s="156" t="n">
        <f aca="false">IF($B271=" ",0,AT$25)</f>
        <v>1</v>
      </c>
      <c r="AU271" s="156" t="n">
        <f aca="false">IF($B271=" ",0,AU$25)</f>
        <v>2.3</v>
      </c>
      <c r="AV271" s="157" t="n">
        <f aca="false">+AS271*SUM(J271:K271)/1000</f>
        <v>0</v>
      </c>
      <c r="AW271" s="157" t="n">
        <f aca="false">+AT271*SUM(L271:M271)/1000</f>
        <v>0</v>
      </c>
      <c r="AX271" s="157" t="n">
        <f aca="false">+AU271*SUM(N271:O271)/1000</f>
        <v>11537.9859375</v>
      </c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</row>
    <row r="272" customFormat="false" ht="12.75" hidden="true" customHeight="false" outlineLevel="1" collapsed="false">
      <c r="A272" s="164" t="n">
        <f aca="false">+IF(B272=" ",A271,B272)</f>
        <v>43556</v>
      </c>
      <c r="B272" s="148" t="n">
        <f aca="false">IF(B271=" "," ",IF(EDATE(B271,1)&gt;=EndDate," ",EDATE(B271,1)))</f>
        <v>43556</v>
      </c>
      <c r="C272" s="149" t="n">
        <f aca="false">IF($B272&lt;&gt;" ",C271+1,C271)</f>
        <v>222</v>
      </c>
      <c r="D272" s="150" t="n">
        <f aca="false">C272/12</f>
        <v>18.5</v>
      </c>
      <c r="F272" s="157" t="n">
        <f aca="false">+SUM($T272:$U272)</f>
        <v>14883.5779284771</v>
      </c>
      <c r="G272" s="152" t="n">
        <f aca="false">-SUM($AA272,$AG272,$AM272,$AQ272,$AV272:$AX272)</f>
        <v>-16946.9904672353</v>
      </c>
      <c r="H272" s="152" t="n">
        <f aca="false">+SUM(F272:G272)</f>
        <v>-2063.41253875823</v>
      </c>
      <c r="I272" s="124"/>
      <c r="J272" s="153" t="n">
        <f aca="false">+IF($B272=" ",0,IF(AND($B272&gt;=J$26,$B272&lt;J$28),J$33,0))</f>
        <v>0</v>
      </c>
      <c r="K272" s="153" t="n">
        <f aca="false">+IF($B272=" ",0,IF(AND($B272&gt;=K$26,$B272&lt;K$28),K$33,0))</f>
        <v>0</v>
      </c>
      <c r="L272" s="153" t="n">
        <f aca="false">+IF($B272=" ",0,IF(AND($B272&gt;=L$26,$B272&lt;L$28),L$33,0))</f>
        <v>0</v>
      </c>
      <c r="M272" s="153" t="n">
        <f aca="false">+IF($B272=" ",0,IF(AND($B272&gt;=M$26,$B272&lt;M$28),M$33,0))</f>
        <v>0</v>
      </c>
      <c r="N272" s="153" t="n">
        <f aca="false">+IF($B272=" ",0,IF(AND($B272&gt;=N$26,$B272&lt;N$28),N$33,0))</f>
        <v>0</v>
      </c>
      <c r="O272" s="154" t="n">
        <f aca="false">+IF($B272=" ",0,IF(AND($B272&gt;=O$26,$B272&lt;O$28),O$33,0))</f>
        <v>5016515.625</v>
      </c>
      <c r="Q272" s="83" t="n">
        <f aca="false">IF($B272=" ",0,IF($B272&lt;=DATE(2003,12,31),3.55,2.9))</f>
        <v>2.9</v>
      </c>
      <c r="R272" s="155" t="n">
        <f aca="false">IF($B272=" ",0,R$25)</f>
        <v>-0.07</v>
      </c>
      <c r="S272" s="156" t="n">
        <f aca="false">IF($B272=" ",0,S$25)</f>
        <v>0.1</v>
      </c>
      <c r="T272" s="157" t="n">
        <f aca="false">+SUM($Q272,$S272)/1000*(SUM($J272*$J$37,$K272*$K$37,$L272*$L$37,$M272*$M$37,$N272*$N$37,$O272*$O$37))</f>
        <v>14883.5779284771</v>
      </c>
      <c r="U272" s="157" t="n">
        <f aca="false">+SUM($Q272,$R272)/1000*(SUM(0))</f>
        <v>0</v>
      </c>
      <c r="W272" s="158" t="n">
        <f aca="false">IF($B272=" ",0,1)*(IF($B272&gt;=W$25,1,0)*IF($B272&lt;=W$29,W$27,IF($B272&lt;=W$33,W$31,0))*($D272-$D271)*365/1000)</f>
        <v>486.66666666666</v>
      </c>
      <c r="X272" s="158" t="n">
        <f aca="false">IF($B272=" ",0,IF($B272&gt;=X$25,IF($B272&lt;=X$29,X$27,IF($B272&lt;=X$33,X$31,X$31*(1+X$38)^(IF(X$36&gt;$B272,-1,1)*(YEARFRAC($B272,X$36)))))*($D272-$D271)*365/1000,0))</f>
        <v>482.293336060304</v>
      </c>
      <c r="Y272" s="159" t="n">
        <f aca="false">IF($B272=" ",0,Y$25*(1+Y$30)^(IF(Y$28&gt;$B272,-1,1)*(YEARFRAC($B272,Y$28))))</f>
        <v>0.60622940680107</v>
      </c>
      <c r="Z272" s="159" t="n">
        <f aca="false">IF($B272=" ",0,Z$25*(1+Z$30)^(IF(Z$28&gt;$B272,-1,1)*(YEARFRAC($B272,Z$28))))</f>
        <v>0.578724137540663</v>
      </c>
      <c r="AA272" s="162" t="n">
        <f aca="false">+W272+X272+Z272*SUM($J272*$J$37,$L272*$L$37,$N272*$N$37)/1000</f>
        <v>968.960002726964</v>
      </c>
      <c r="AB272" s="161"/>
      <c r="AC272" s="158" t="n">
        <f aca="false">IF($B272=" ",0,1)*(IF($B272&gt;=AC$25,1,0)*IF($B272&lt;=AC$29,AC$27,IF($B272&lt;=AC$33,AC$31,0))*($D272-$D271)*365/1000)</f>
        <v>1591.66666666664</v>
      </c>
      <c r="AD272" s="158" t="n">
        <f aca="false">IF($B272=" ",0,IF($B272&gt;=AD$25,IF($B272&lt;=AD$29,AD$27,IF($B272&lt;=AD$33,AD$31,AD$31*(1+AD$38)^(IF(AD$36&gt;$B272,-1,1)*(YEARFRAC($B272,AD$36)))))*($D272-$D271)*365/1000,0))</f>
        <v>429.346523599796</v>
      </c>
      <c r="AE272" s="159" t="n">
        <f aca="false">IF($B272=" ",0,AE$25*(1+AE$30)^(IF(AE$28&gt;$B272,-1,1)*(YEARFRAC($B272,AE$28))))</f>
        <v>0.502257858303874</v>
      </c>
      <c r="AF272" s="159" t="n">
        <f aca="false">IF($B272=" ",0,AF$25*(1+AF$30)^(IF(AF$28&gt;$B272,-1,1)*(YEARFRAC($B272,AF$28))))</f>
        <v>0.180208980526871</v>
      </c>
      <c r="AG272" s="162" t="n">
        <f aca="false">+AC272+AD272+AF272*SUM($K272*$K$37,$M272*$M$37,$O272*$O$37)/1000</f>
        <v>2915.06465862747</v>
      </c>
      <c r="AI272" s="158" t="n">
        <f aca="false">IF($B272=" ",0,1)*IF($B272&gt;=AI$33,AI$25*($D272-$D271),0)</f>
        <v>485.186570908327</v>
      </c>
      <c r="AJ272" s="158" t="n">
        <f aca="false">IF($B272=" ",0,IF($B272&gt;=AJ$33,AJ$25*(1+AJ$30)^(IF(AJ$28&gt;$B272,-1,1)*(YEARFRAC($B272,AJ$28)))*($D272-$D271),0))</f>
        <v>587.847143068451</v>
      </c>
      <c r="AK272" s="159" t="n">
        <f aca="false">IF($B272=" ",0,AK$25*(1+AK$30)^(IF(AK$28&gt;$B272,-1,1)*(YEARFRAC($B272,AK$28))))</f>
        <v>0.0335962719937279</v>
      </c>
      <c r="AL272" s="159" t="n">
        <f aca="false">IF($B272=" ",0,AL$25*AL$28)</f>
        <v>0.0575</v>
      </c>
      <c r="AM272" s="162" t="n">
        <f aca="false">+AI272+AJ272+SUM(AK272:AL272)*SUM($J272*$J$37,$K272*$K$37,$L272*$L$37,$M272*$M$37,$N272*$N$37,$O272*$O$37)/1000</f>
        <v>1524.97986838091</v>
      </c>
      <c r="AO272" s="163" t="n">
        <f aca="false">IF($B272=" ",0,$AO$25)</f>
        <v>0.25</v>
      </c>
      <c r="AP272" s="159" t="n">
        <f aca="false">IF($B272=" ",0,AP$25*AP$28)</f>
        <v>0.03105</v>
      </c>
      <c r="AQ272" s="162" t="n">
        <f aca="false">SUM(AO272:AP272)*SUM(0)/1000</f>
        <v>0</v>
      </c>
      <c r="AS272" s="155" t="n">
        <f aca="false">IF($B272=" ",0,AS$25)</f>
        <v>1</v>
      </c>
      <c r="AT272" s="156" t="n">
        <f aca="false">IF($B272=" ",0,AT$25)</f>
        <v>1</v>
      </c>
      <c r="AU272" s="156" t="n">
        <f aca="false">IF($B272=" ",0,AU$25)</f>
        <v>2.3</v>
      </c>
      <c r="AV272" s="157" t="n">
        <f aca="false">+AS272*SUM(J272:K272)/1000</f>
        <v>0</v>
      </c>
      <c r="AW272" s="157" t="n">
        <f aca="false">+AT272*SUM(L272:M272)/1000</f>
        <v>0</v>
      </c>
      <c r="AX272" s="157" t="n">
        <f aca="false">+AU272*SUM(N272:O272)/1000</f>
        <v>11537.9859375</v>
      </c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</row>
    <row r="273" customFormat="false" ht="12.75" hidden="true" customHeight="false" outlineLevel="1" collapsed="false">
      <c r="A273" s="164" t="n">
        <f aca="false">+IF(B273=" ",A272,B273)</f>
        <v>43586</v>
      </c>
      <c r="B273" s="148" t="n">
        <f aca="false">IF(B272=" "," ",IF(EDATE(B272,1)&gt;=EndDate," ",EDATE(B272,1)))</f>
        <v>43586</v>
      </c>
      <c r="C273" s="149" t="n">
        <f aca="false">IF($B273&lt;&gt;" ",C272+1,C272)</f>
        <v>223</v>
      </c>
      <c r="D273" s="150" t="n">
        <f aca="false">C273/12</f>
        <v>18.5833333333333</v>
      </c>
      <c r="F273" s="157" t="n">
        <f aca="false">+SUM($T273:$U273)</f>
        <v>14883.5779284771</v>
      </c>
      <c r="G273" s="152" t="n">
        <f aca="false">-SUM($AA273,$AG273,$AM273,$AQ273,$AV273:$AX273)</f>
        <v>-16950.260911771</v>
      </c>
      <c r="H273" s="152" t="n">
        <f aca="false">+SUM(F273:G273)</f>
        <v>-2066.68298329385</v>
      </c>
      <c r="I273" s="124"/>
      <c r="J273" s="153" t="n">
        <f aca="false">+IF($B273=" ",0,IF(AND($B273&gt;=J$26,$B273&lt;J$28),J$33,0))</f>
        <v>0</v>
      </c>
      <c r="K273" s="153" t="n">
        <f aca="false">+IF($B273=" ",0,IF(AND($B273&gt;=K$26,$B273&lt;K$28),K$33,0))</f>
        <v>0</v>
      </c>
      <c r="L273" s="153" t="n">
        <f aca="false">+IF($B273=" ",0,IF(AND($B273&gt;=L$26,$B273&lt;L$28),L$33,0))</f>
        <v>0</v>
      </c>
      <c r="M273" s="153" t="n">
        <f aca="false">+IF($B273=" ",0,IF(AND($B273&gt;=M$26,$B273&lt;M$28),M$33,0))</f>
        <v>0</v>
      </c>
      <c r="N273" s="153" t="n">
        <f aca="false">+IF($B273=" ",0,IF(AND($B273&gt;=N$26,$B273&lt;N$28),N$33,0))</f>
        <v>0</v>
      </c>
      <c r="O273" s="154" t="n">
        <f aca="false">+IF($B273=" ",0,IF(AND($B273&gt;=O$26,$B273&lt;O$28),O$33,0))</f>
        <v>5016515.625</v>
      </c>
      <c r="Q273" s="83" t="n">
        <f aca="false">IF($B273=" ",0,IF($B273&lt;=DATE(2003,12,31),3.55,2.9))</f>
        <v>2.9</v>
      </c>
      <c r="R273" s="155" t="n">
        <f aca="false">IF($B273=" ",0,R$25)</f>
        <v>-0.07</v>
      </c>
      <c r="S273" s="156" t="n">
        <f aca="false">IF($B273=" ",0,S$25)</f>
        <v>0.1</v>
      </c>
      <c r="T273" s="157" t="n">
        <f aca="false">+SUM($Q273,$S273)/1000*(SUM($J273*$J$37,$K273*$K$37,$L273*$L$37,$M273*$M$37,$N273*$N$37,$O273*$O$37))</f>
        <v>14883.5779284771</v>
      </c>
      <c r="U273" s="157" t="n">
        <f aca="false">+SUM($Q273,$R273)/1000*(SUM(0))</f>
        <v>0</v>
      </c>
      <c r="W273" s="158" t="n">
        <f aca="false">IF($B273=" ",0,1)*(IF($B273&gt;=W$25,1,0)*IF($B273&lt;=W$29,W$27,IF($B273&lt;=W$33,W$31,0))*($D273-$D272)*365/1000)</f>
        <v>486.66666666666</v>
      </c>
      <c r="X273" s="158" t="n">
        <f aca="false">IF($B273=" ",0,IF($B273&gt;=X$25,IF($B273&lt;=X$29,X$27,IF($B273&lt;=X$33,X$31,X$31*(1+X$38)^(IF(X$36&gt;$B273,-1,1)*(YEARFRAC($B273,X$36)))))*($D273-$D272)*365/1000,0))</f>
        <v>482.958124824185</v>
      </c>
      <c r="Y273" s="159" t="n">
        <f aca="false">IF($B273=" ",0,Y$25*(1+Y$30)^(IF(Y$28&gt;$B273,-1,1)*(YEARFRAC($B273,Y$28))))</f>
        <v>0.607065027921751</v>
      </c>
      <c r="Z273" s="159" t="n">
        <f aca="false">IF($B273=" ",0,Z$25*(1+Z$30)^(IF(Z$28&gt;$B273,-1,1)*(YEARFRAC($B273,Z$28))))</f>
        <v>0.579521845647448</v>
      </c>
      <c r="AA273" s="162" t="n">
        <f aca="false">+W273+X273+Z273*SUM($J273*$J$37,$L273*$L$37,$N273*$N$37)/1000</f>
        <v>969.624791490845</v>
      </c>
      <c r="AB273" s="161"/>
      <c r="AC273" s="158" t="n">
        <f aca="false">IF($B273=" ",0,1)*(IF($B273&gt;=AC$25,1,0)*IF($B273&lt;=AC$29,AC$27,IF($B273&lt;=AC$33,AC$31,0))*($D273-$D272)*365/1000)</f>
        <v>1591.66666666664</v>
      </c>
      <c r="AD273" s="158" t="n">
        <f aca="false">IF($B273=" ",0,IF($B273&gt;=AD$25,IF($B273&lt;=AD$29,AD$27,IF($B273&lt;=AD$33,AD$31,AD$31*(1+AD$38)^(IF(AD$36&gt;$B273,-1,1)*(YEARFRAC($B273,AD$36)))))*($D273-$D272)*365/1000,0))</f>
        <v>429.938330957185</v>
      </c>
      <c r="AE273" s="159" t="n">
        <f aca="false">IF($B273=" ",0,AE$25*(1+AE$30)^(IF(AE$28&gt;$B273,-1,1)*(YEARFRAC($B273,AE$28))))</f>
        <v>0.502950165984297</v>
      </c>
      <c r="AF273" s="159" t="n">
        <f aca="false">IF($B273=" ",0,AF$25*(1+AF$30)^(IF(AF$28&gt;$B273,-1,1)*(YEARFRAC($B273,AF$28))))</f>
        <v>0.180457378952574</v>
      </c>
      <c r="AG273" s="162" t="n">
        <f aca="false">+AC273+AD273+AF273*SUM($K273*$K$37,$M273*$M$37,$O273*$O$37)/1000</f>
        <v>2916.88881842695</v>
      </c>
      <c r="AI273" s="158" t="n">
        <f aca="false">IF($B273=" ",0,1)*IF($B273&gt;=AI$33,AI$25*($D273-$D272),0)</f>
        <v>485.186570908327</v>
      </c>
      <c r="AJ273" s="158" t="n">
        <f aca="false">IF($B273=" ",0,IF($B273&gt;=AJ$33,AJ$25*(1+AJ$30)^(IF(AJ$28&gt;$B273,-1,1)*(YEARFRAC($B273,AJ$28)))*($D273-$D272),0))</f>
        <v>588.456003404136</v>
      </c>
      <c r="AK273" s="159" t="n">
        <f aca="false">IF($B273=" ",0,AK$25*(1+AK$30)^(IF(AK$28&gt;$B273,-1,1)*(YEARFRAC($B273,AK$28))))</f>
        <v>0.0336310691985541</v>
      </c>
      <c r="AL273" s="159" t="n">
        <f aca="false">IF($B273=" ",0,AL$25*AL$28)</f>
        <v>0.0575</v>
      </c>
      <c r="AM273" s="162" t="n">
        <f aca="false">+AI273+AJ273+SUM(AK273:AL273)*SUM($J273*$J$37,$K273*$K$37,$L273*$L$37,$M273*$M$37,$N273*$N$37,$O273*$O$37)/1000</f>
        <v>1525.76136435317</v>
      </c>
      <c r="AO273" s="163" t="n">
        <f aca="false">IF($B273=" ",0,$AO$25)</f>
        <v>0.25</v>
      </c>
      <c r="AP273" s="159" t="n">
        <f aca="false">IF($B273=" ",0,AP$25*AP$28)</f>
        <v>0.03105</v>
      </c>
      <c r="AQ273" s="162" t="n">
        <f aca="false">SUM(AO273:AP273)*SUM(0)/1000</f>
        <v>0</v>
      </c>
      <c r="AS273" s="155" t="n">
        <f aca="false">IF($B273=" ",0,AS$25)</f>
        <v>1</v>
      </c>
      <c r="AT273" s="156" t="n">
        <f aca="false">IF($B273=" ",0,AT$25)</f>
        <v>1</v>
      </c>
      <c r="AU273" s="156" t="n">
        <f aca="false">IF($B273=" ",0,AU$25)</f>
        <v>2.3</v>
      </c>
      <c r="AV273" s="157" t="n">
        <f aca="false">+AS273*SUM(J273:K273)/1000</f>
        <v>0</v>
      </c>
      <c r="AW273" s="157" t="n">
        <f aca="false">+AT273*SUM(L273:M273)/1000</f>
        <v>0</v>
      </c>
      <c r="AX273" s="157" t="n">
        <f aca="false">+AU273*SUM(N273:O273)/1000</f>
        <v>11537.9859375</v>
      </c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</row>
    <row r="274" customFormat="false" ht="12.75" hidden="true" customHeight="false" outlineLevel="1" collapsed="false">
      <c r="A274" s="164" t="n">
        <f aca="false">+IF(B274=" ",A273,B274)</f>
        <v>43617</v>
      </c>
      <c r="B274" s="148" t="n">
        <f aca="false">IF(B273=" "," ",IF(EDATE(B273,1)&gt;=EndDate," ",EDATE(B273,1)))</f>
        <v>43617</v>
      </c>
      <c r="C274" s="149" t="n">
        <f aca="false">IF($B274&lt;&gt;" ",C273+1,C273)</f>
        <v>224</v>
      </c>
      <c r="D274" s="150" t="n">
        <f aca="false">C274/12</f>
        <v>18.6666666666667</v>
      </c>
      <c r="F274" s="157" t="n">
        <f aca="false">+SUM($T274:$U274)</f>
        <v>14883.5779284771</v>
      </c>
      <c r="G274" s="152" t="n">
        <f aca="false">-SUM($AA274,$AG274,$AM274,$AQ274,$AV274:$AX274)</f>
        <v>-16953.5355964822</v>
      </c>
      <c r="H274" s="152" t="n">
        <f aca="false">+SUM(F274:G274)</f>
        <v>-2069.95766800513</v>
      </c>
      <c r="I274" s="124"/>
      <c r="J274" s="153" t="n">
        <f aca="false">+IF($B274=" ",0,IF(AND($B274&gt;=J$26,$B274&lt;J$28),J$33,0))</f>
        <v>0</v>
      </c>
      <c r="K274" s="153" t="n">
        <f aca="false">+IF($B274=" ",0,IF(AND($B274&gt;=K$26,$B274&lt;K$28),K$33,0))</f>
        <v>0</v>
      </c>
      <c r="L274" s="153" t="n">
        <f aca="false">+IF($B274=" ",0,IF(AND($B274&gt;=L$26,$B274&lt;L$28),L$33,0))</f>
        <v>0</v>
      </c>
      <c r="M274" s="153" t="n">
        <f aca="false">+IF($B274=" ",0,IF(AND($B274&gt;=M$26,$B274&lt;M$28),M$33,0))</f>
        <v>0</v>
      </c>
      <c r="N274" s="153" t="n">
        <f aca="false">+IF($B274=" ",0,IF(AND($B274&gt;=N$26,$B274&lt;N$28),N$33,0))</f>
        <v>0</v>
      </c>
      <c r="O274" s="154" t="n">
        <f aca="false">+IF($B274=" ",0,IF(AND($B274&gt;=O$26,$B274&lt;O$28),O$33,0))</f>
        <v>5016515.625</v>
      </c>
      <c r="Q274" s="83" t="n">
        <f aca="false">IF($B274=" ",0,IF($B274&lt;=DATE(2003,12,31),3.55,2.9))</f>
        <v>2.9</v>
      </c>
      <c r="R274" s="155" t="n">
        <f aca="false">IF($B274=" ",0,R$25)</f>
        <v>-0.07</v>
      </c>
      <c r="S274" s="156" t="n">
        <f aca="false">IF($B274=" ",0,S$25)</f>
        <v>0.1</v>
      </c>
      <c r="T274" s="157" t="n">
        <f aca="false">+SUM($Q274,$S274)/1000*(SUM($J274*$J$37,$K274*$K$37,$L274*$L$37,$M274*$M$37,$N274*$N$37,$O274*$O$37))</f>
        <v>14883.5779284771</v>
      </c>
      <c r="U274" s="157" t="n">
        <f aca="false">+SUM($Q274,$R274)/1000*(SUM(0))</f>
        <v>0</v>
      </c>
      <c r="W274" s="158" t="n">
        <f aca="false">IF($B274=" ",0,1)*(IF($B274&gt;=W$25,1,0)*IF($B274&lt;=W$29,W$27,IF($B274&lt;=W$33,W$31,0))*($D274-$D273)*365/1000)</f>
        <v>486.666666666681</v>
      </c>
      <c r="X274" s="158" t="n">
        <f aca="false">IF($B274=" ",0,IF($B274&gt;=X$25,IF($B274&lt;=X$29,X$27,IF($B274&lt;=X$33,X$31,X$31*(1+X$38)^(IF(X$36&gt;$B274,-1,1)*(YEARFRAC($B274,X$36)))))*($D274-$D273)*365/1000,0))</f>
        <v>483.623829926894</v>
      </c>
      <c r="Y274" s="159" t="n">
        <f aca="false">IF($B274=" ",0,Y$25*(1+Y$30)^(IF(Y$28&gt;$B274,-1,1)*(YEARFRAC($B274,Y$28))))</f>
        <v>0.607901800855012</v>
      </c>
      <c r="Z274" s="159" t="n">
        <f aca="false">IF($B274=" ",0,Z$25*(1+Z$30)^(IF(Z$28&gt;$B274,-1,1)*(YEARFRAC($B274,Z$28))))</f>
        <v>0.580320653307858</v>
      </c>
      <c r="AA274" s="162" t="n">
        <f aca="false">+W274+X274+Z274*SUM($J274*$J$37,$L274*$L$37,$N274*$N$37)/1000</f>
        <v>970.290496593575</v>
      </c>
      <c r="AB274" s="161"/>
      <c r="AC274" s="158" t="n">
        <f aca="false">IF($B274=" ",0,1)*(IF($B274&gt;=AC$25,1,0)*IF($B274&lt;=AC$29,AC$27,IF($B274&lt;=AC$33,AC$31,0))*($D274-$D273)*365/1000)</f>
        <v>1591.66666666671</v>
      </c>
      <c r="AD274" s="158" t="n">
        <f aca="false">IF($B274=" ",0,IF($B274&gt;=AD$25,IF($B274&lt;=AD$29,AD$27,IF($B274&lt;=AD$33,AD$31,AD$31*(1+AD$38)^(IF(AD$36&gt;$B274,-1,1)*(YEARFRAC($B274,AD$36)))))*($D274-$D273)*365/1000,0))</f>
        <v>430.530954056492</v>
      </c>
      <c r="AE274" s="159" t="n">
        <f aca="false">IF($B274=" ",0,AE$25*(1+AE$30)^(IF(AE$28&gt;$B274,-1,1)*(YEARFRAC($B274,AE$28))))</f>
        <v>0.503643427935352</v>
      </c>
      <c r="AF274" s="159" t="n">
        <f aca="false">IF($B274=" ",0,AF$25*(1+AF$30)^(IF(AF$28&gt;$B274,-1,1)*(YEARFRAC($B274,AF$28))))</f>
        <v>0.180706119768417</v>
      </c>
      <c r="AG274" s="162" t="n">
        <f aca="false">+AC274+AD274+AF274*SUM($K274*$K$37,$M274*$M$37,$O274*$O$37)/1000</f>
        <v>2918.71549263185</v>
      </c>
      <c r="AI274" s="158" t="n">
        <f aca="false">IF($B274=" ",0,1)*IF($B274&gt;=AI$33,AI$25*($D274-$D273),0)</f>
        <v>485.186570908347</v>
      </c>
      <c r="AJ274" s="158" t="n">
        <f aca="false">IF($B274=" ",0,IF($B274&gt;=AJ$33,AJ$25*(1+AJ$30)^(IF(AJ$28&gt;$B274,-1,1)*(YEARFRAC($B274,AJ$28)))*($D274-$D273),0))</f>
        <v>589.065494364512</v>
      </c>
      <c r="AK274" s="159" t="n">
        <f aca="false">IF($B274=" ",0,AK$25*(1+AK$30)^(IF(AK$28&gt;$B274,-1,1)*(YEARFRAC($B274,AK$28))))</f>
        <v>0.0336659024444466</v>
      </c>
      <c r="AL274" s="159" t="n">
        <f aca="false">IF($B274=" ",0,AL$25*AL$28)</f>
        <v>0.0575</v>
      </c>
      <c r="AM274" s="162" t="n">
        <f aca="false">+AI274+AJ274+SUM(AK274:AL274)*SUM($J274*$J$37,$K274*$K$37,$L274*$L$37,$M274*$M$37,$N274*$N$37,$O274*$O$37)/1000</f>
        <v>1526.54366975681</v>
      </c>
      <c r="AO274" s="163" t="n">
        <f aca="false">IF($B274=" ",0,$AO$25)</f>
        <v>0.25</v>
      </c>
      <c r="AP274" s="159" t="n">
        <f aca="false">IF($B274=" ",0,AP$25*AP$28)</f>
        <v>0.03105</v>
      </c>
      <c r="AQ274" s="162" t="n">
        <f aca="false">SUM(AO274:AP274)*SUM(0)/1000</f>
        <v>0</v>
      </c>
      <c r="AS274" s="155" t="n">
        <f aca="false">IF($B274=" ",0,AS$25)</f>
        <v>1</v>
      </c>
      <c r="AT274" s="156" t="n">
        <f aca="false">IF($B274=" ",0,AT$25)</f>
        <v>1</v>
      </c>
      <c r="AU274" s="156" t="n">
        <f aca="false">IF($B274=" ",0,AU$25)</f>
        <v>2.3</v>
      </c>
      <c r="AV274" s="157" t="n">
        <f aca="false">+AS274*SUM(J274:K274)/1000</f>
        <v>0</v>
      </c>
      <c r="AW274" s="157" t="n">
        <f aca="false">+AT274*SUM(L274:M274)/1000</f>
        <v>0</v>
      </c>
      <c r="AX274" s="157" t="n">
        <f aca="false">+AU274*SUM(N274:O274)/1000</f>
        <v>11537.9859375</v>
      </c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</row>
    <row r="275" customFormat="false" ht="12.75" hidden="true" customHeight="false" outlineLevel="1" collapsed="false">
      <c r="A275" s="164" t="n">
        <f aca="false">+IF(B275=" ",A274,B275)</f>
        <v>43647</v>
      </c>
      <c r="B275" s="148" t="n">
        <f aca="false">IF(B274=" "," ",IF(EDATE(B274,1)&gt;=EndDate," ",EDATE(B274,1)))</f>
        <v>43647</v>
      </c>
      <c r="C275" s="149" t="n">
        <f aca="false">IF($B275&lt;&gt;" ",C274+1,C274)</f>
        <v>225</v>
      </c>
      <c r="D275" s="150" t="n">
        <f aca="false">C275/12</f>
        <v>18.75</v>
      </c>
      <c r="F275" s="157" t="n">
        <f aca="false">+SUM($T275:$U275)</f>
        <v>14883.5779284771</v>
      </c>
      <c r="G275" s="152" t="n">
        <f aca="false">-SUM($AA275,$AG275,$AM275,$AQ275,$AV275:$AX275)</f>
        <v>-16956.8145269359</v>
      </c>
      <c r="H275" s="152" t="n">
        <f aca="false">+SUM(F275:G275)</f>
        <v>-2073.23659845881</v>
      </c>
      <c r="I275" s="124"/>
      <c r="J275" s="153" t="n">
        <f aca="false">+IF($B275=" ",0,IF(AND($B275&gt;=J$26,$B275&lt;J$28),J$33,0))</f>
        <v>0</v>
      </c>
      <c r="K275" s="153" t="n">
        <f aca="false">+IF($B275=" ",0,IF(AND($B275&gt;=K$26,$B275&lt;K$28),K$33,0))</f>
        <v>0</v>
      </c>
      <c r="L275" s="153" t="n">
        <f aca="false">+IF($B275=" ",0,IF(AND($B275&gt;=L$26,$B275&lt;L$28),L$33,0))</f>
        <v>0</v>
      </c>
      <c r="M275" s="153" t="n">
        <f aca="false">+IF($B275=" ",0,IF(AND($B275&gt;=M$26,$B275&lt;M$28),M$33,0))</f>
        <v>0</v>
      </c>
      <c r="N275" s="153" t="n">
        <f aca="false">+IF($B275=" ",0,IF(AND($B275&gt;=N$26,$B275&lt;N$28),N$33,0))</f>
        <v>0</v>
      </c>
      <c r="O275" s="154" t="n">
        <f aca="false">+IF($B275=" ",0,IF(AND($B275&gt;=O$26,$B275&lt;O$28),O$33,0))</f>
        <v>5016515.625</v>
      </c>
      <c r="Q275" s="83" t="n">
        <f aca="false">IF($B275=" ",0,IF($B275&lt;=DATE(2003,12,31),3.55,2.9))</f>
        <v>2.9</v>
      </c>
      <c r="R275" s="155" t="n">
        <f aca="false">IF($B275=" ",0,R$25)</f>
        <v>-0.07</v>
      </c>
      <c r="S275" s="156" t="n">
        <f aca="false">IF($B275=" ",0,S$25)</f>
        <v>0.1</v>
      </c>
      <c r="T275" s="157" t="n">
        <f aca="false">+SUM($Q275,$S275)/1000*(SUM($J275*$J$37,$K275*$K$37,$L275*$L$37,$M275*$M$37,$N275*$N$37,$O275*$O$37))</f>
        <v>14883.5779284771</v>
      </c>
      <c r="U275" s="157" t="n">
        <f aca="false">+SUM($Q275,$R275)/1000*(SUM(0))</f>
        <v>0</v>
      </c>
      <c r="W275" s="158" t="n">
        <f aca="false">IF($B275=" ",0,1)*(IF($B275&gt;=W$25,1,0)*IF($B275&lt;=W$29,W$27,IF($B275&lt;=W$33,W$31,0))*($D275-$D274)*365/1000)</f>
        <v>486.66666666666</v>
      </c>
      <c r="X275" s="158" t="n">
        <f aca="false">IF($B275=" ",0,IF($B275&gt;=X$25,IF($B275&lt;=X$29,X$27,IF($B275&lt;=X$33,X$31,X$31*(1+X$38)^(IF(X$36&gt;$B275,-1,1)*(YEARFRAC($B275,X$36)))))*($D275-$D274)*365/1000,0))</f>
        <v>484.290452631443</v>
      </c>
      <c r="Y275" s="159" t="n">
        <f aca="false">IF($B275=" ",0,Y$25*(1+Y$30)^(IF(Y$28&gt;$B275,-1,1)*(YEARFRAC($B275,Y$28))))</f>
        <v>0.608739727188501</v>
      </c>
      <c r="Z275" s="159" t="n">
        <f aca="false">IF($B275=" ",0,Z$25*(1+Z$30)^(IF(Z$28&gt;$B275,-1,1)*(YEARFRAC($B275,Z$28))))</f>
        <v>0.581120562037509</v>
      </c>
      <c r="AA275" s="162" t="n">
        <f aca="false">+W275+X275+Z275*SUM($J275*$J$37,$L275*$L$37,$N275*$N$37)/1000</f>
        <v>970.957119298103</v>
      </c>
      <c r="AB275" s="161"/>
      <c r="AC275" s="158" t="n">
        <f aca="false">IF($B275=" ",0,1)*(IF($B275&gt;=AC$25,1,0)*IF($B275&lt;=AC$29,AC$27,IF($B275&lt;=AC$33,AC$31,0))*($D275-$D274)*365/1000)</f>
        <v>1591.66666666664</v>
      </c>
      <c r="AD275" s="158" t="n">
        <f aca="false">IF($B275=" ",0,IF($B275&gt;=AD$25,IF($B275&lt;=AD$29,AD$27,IF($B275&lt;=AD$33,AD$31,AD$31*(1+AD$38)^(IF(AD$36&gt;$B275,-1,1)*(YEARFRAC($B275,AD$36)))))*($D275-$D274)*365/1000,0))</f>
        <v>431.124394022071</v>
      </c>
      <c r="AE275" s="159" t="n">
        <f aca="false">IF($B275=" ",0,AE$25*(1+AE$30)^(IF(AE$28&gt;$B275,-1,1)*(YEARFRAC($B275,AE$28))))</f>
        <v>0.504337645472399</v>
      </c>
      <c r="AF275" s="159" t="n">
        <f aca="false">IF($B275=" ",0,AF$25*(1+AF$30)^(IF(AF$28&gt;$B275,-1,1)*(YEARFRAC($B275,AF$28))))</f>
        <v>0.180955203446346</v>
      </c>
      <c r="AG275" s="162" t="n">
        <f aca="false">+AC275+AD275+AF275*SUM($K275*$K$37,$M275*$M$37,$O275*$O$37)/1000</f>
        <v>2920.54468470775</v>
      </c>
      <c r="AI275" s="158" t="n">
        <f aca="false">IF($B275=" ",0,1)*IF($B275&gt;=AI$33,AI$25*($D275-$D274),0)</f>
        <v>485.186570908327</v>
      </c>
      <c r="AJ275" s="158" t="n">
        <f aca="false">IF($B275=" ",0,IF($B275&gt;=AJ$33,AJ$25*(1+AJ$30)^(IF(AJ$28&gt;$B275,-1,1)*(YEARFRAC($B275,AJ$28)))*($D275-$D274),0))</f>
        <v>589.675616602671</v>
      </c>
      <c r="AK275" s="159" t="n">
        <f aca="false">IF($B275=" ",0,AK$25*(1+AK$30)^(IF(AK$28&gt;$B275,-1,1)*(YEARFRAC($B275,AK$28))))</f>
        <v>0.0337007717687347</v>
      </c>
      <c r="AL275" s="159" t="n">
        <f aca="false">IF($B275=" ",0,AL$25*AL$28)</f>
        <v>0.0575</v>
      </c>
      <c r="AM275" s="162" t="n">
        <f aca="false">+AI275+AJ275+SUM(AK275:AL275)*SUM($J275*$J$37,$K275*$K$37,$L275*$L$37,$M275*$M$37,$N275*$N$37,$O275*$O$37)/1000</f>
        <v>1527.32678543007</v>
      </c>
      <c r="AO275" s="163" t="n">
        <f aca="false">IF($B275=" ",0,$AO$25)</f>
        <v>0.25</v>
      </c>
      <c r="AP275" s="159" t="n">
        <f aca="false">IF($B275=" ",0,AP$25*AP$28)</f>
        <v>0.03105</v>
      </c>
      <c r="AQ275" s="162" t="n">
        <f aca="false">SUM(AO275:AP275)*SUM(0)/1000</f>
        <v>0</v>
      </c>
      <c r="AS275" s="155" t="n">
        <f aca="false">IF($B275=" ",0,AS$25)</f>
        <v>1</v>
      </c>
      <c r="AT275" s="156" t="n">
        <f aca="false">IF($B275=" ",0,AT$25)</f>
        <v>1</v>
      </c>
      <c r="AU275" s="156" t="n">
        <f aca="false">IF($B275=" ",0,AU$25)</f>
        <v>2.3</v>
      </c>
      <c r="AV275" s="157" t="n">
        <f aca="false">+AS275*SUM(J275:K275)/1000</f>
        <v>0</v>
      </c>
      <c r="AW275" s="157" t="n">
        <f aca="false">+AT275*SUM(L275:M275)/1000</f>
        <v>0</v>
      </c>
      <c r="AX275" s="157" t="n">
        <f aca="false">+AU275*SUM(N275:O275)/1000</f>
        <v>11537.9859375</v>
      </c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</row>
    <row r="276" customFormat="false" ht="12.75" hidden="true" customHeight="false" outlineLevel="1" collapsed="false">
      <c r="A276" s="164" t="n">
        <f aca="false">+IF(B276=" ",A275,B276)</f>
        <v>43678</v>
      </c>
      <c r="B276" s="148" t="n">
        <f aca="false">IF(B275=" "," ",IF(EDATE(B275,1)&gt;=EndDate," ",EDATE(B275,1)))</f>
        <v>43678</v>
      </c>
      <c r="C276" s="149" t="n">
        <f aca="false">IF($B276&lt;&gt;" ",C275+1,C275)</f>
        <v>226</v>
      </c>
      <c r="D276" s="150" t="n">
        <f aca="false">C276/12</f>
        <v>18.8333333333333</v>
      </c>
      <c r="F276" s="157" t="n">
        <f aca="false">+SUM($T276:$U276)</f>
        <v>14883.5779284771</v>
      </c>
      <c r="G276" s="152" t="n">
        <f aca="false">-SUM($AA276,$AG276,$AM276,$AQ276,$AV276:$AX276)</f>
        <v>-16960.0977087072</v>
      </c>
      <c r="H276" s="152" t="n">
        <f aca="false">+SUM(F276:G276)</f>
        <v>-2076.51978023009</v>
      </c>
      <c r="I276" s="124"/>
      <c r="J276" s="153" t="n">
        <f aca="false">+IF($B276=" ",0,IF(AND($B276&gt;=J$26,$B276&lt;J$28),J$33,0))</f>
        <v>0</v>
      </c>
      <c r="K276" s="153" t="n">
        <f aca="false">+IF($B276=" ",0,IF(AND($B276&gt;=K$26,$B276&lt;K$28),K$33,0))</f>
        <v>0</v>
      </c>
      <c r="L276" s="153" t="n">
        <f aca="false">+IF($B276=" ",0,IF(AND($B276&gt;=L$26,$B276&lt;L$28),L$33,0))</f>
        <v>0</v>
      </c>
      <c r="M276" s="153" t="n">
        <f aca="false">+IF($B276=" ",0,IF(AND($B276&gt;=M$26,$B276&lt;M$28),M$33,0))</f>
        <v>0</v>
      </c>
      <c r="N276" s="153" t="n">
        <f aca="false">+IF($B276=" ",0,IF(AND($B276&gt;=N$26,$B276&lt;N$28),N$33,0))</f>
        <v>0</v>
      </c>
      <c r="O276" s="154" t="n">
        <f aca="false">+IF($B276=" ",0,IF(AND($B276&gt;=O$26,$B276&lt;O$28),O$33,0))</f>
        <v>5016515.625</v>
      </c>
      <c r="Q276" s="83" t="n">
        <f aca="false">IF($B276=" ",0,IF($B276&lt;=DATE(2003,12,31),3.55,2.9))</f>
        <v>2.9</v>
      </c>
      <c r="R276" s="155" t="n">
        <f aca="false">IF($B276=" ",0,R$25)</f>
        <v>-0.07</v>
      </c>
      <c r="S276" s="156" t="n">
        <f aca="false">IF($B276=" ",0,S$25)</f>
        <v>0.1</v>
      </c>
      <c r="T276" s="157" t="n">
        <f aca="false">+SUM($Q276,$S276)/1000*(SUM($J276*$J$37,$K276*$K$37,$L276*$L$37,$M276*$M$37,$N276*$N$37,$O276*$O$37))</f>
        <v>14883.5779284771</v>
      </c>
      <c r="U276" s="157" t="n">
        <f aca="false">+SUM($Q276,$R276)/1000*(SUM(0))</f>
        <v>0</v>
      </c>
      <c r="W276" s="158" t="n">
        <f aca="false">IF($B276=" ",0,1)*(IF($B276&gt;=W$25,1,0)*IF($B276&lt;=W$29,W$27,IF($B276&lt;=W$33,W$31,0))*($D276-$D275)*365/1000)</f>
        <v>486.66666666666</v>
      </c>
      <c r="X276" s="158" t="n">
        <f aca="false">IF($B276=" ",0,IF($B276&gt;=X$25,IF($B276&lt;=X$29,X$27,IF($B276&lt;=X$33,X$31,X$31*(1+X$38)^(IF(X$36&gt;$B276,-1,1)*(YEARFRAC($B276,X$36)))))*($D276-$D275)*365/1000,0))</f>
        <v>484.957994202708</v>
      </c>
      <c r="Y276" s="159" t="n">
        <f aca="false">IF($B276=" ",0,Y$25*(1+Y$30)^(IF(Y$28&gt;$B276,-1,1)*(YEARFRAC($B276,Y$28))))</f>
        <v>0.609578808512055</v>
      </c>
      <c r="Z276" s="159" t="n">
        <f aca="false">IF($B276=" ",0,Z$25*(1+Z$30)^(IF(Z$28&gt;$B276,-1,1)*(YEARFRAC($B276,Z$28))))</f>
        <v>0.581921573354104</v>
      </c>
      <c r="AA276" s="162" t="n">
        <f aca="false">+W276+X276+Z276*SUM($J276*$J$37,$L276*$L$37,$N276*$N$37)/1000</f>
        <v>971.624660869367</v>
      </c>
      <c r="AB276" s="161"/>
      <c r="AC276" s="158" t="n">
        <f aca="false">IF($B276=" ",0,1)*(IF($B276&gt;=AC$25,1,0)*IF($B276&lt;=AC$29,AC$27,IF($B276&lt;=AC$33,AC$31,0))*($D276-$D275)*365/1000)</f>
        <v>1591.66666666664</v>
      </c>
      <c r="AD276" s="158" t="n">
        <f aca="false">IF($B276=" ",0,IF($B276&gt;=AD$25,IF($B276&lt;=AD$29,AD$27,IF($B276&lt;=AD$33,AD$31,AD$31*(1+AD$38)^(IF(AD$36&gt;$B276,-1,1)*(YEARFRAC($B276,AD$36)))))*($D276-$D275)*365/1000,0))</f>
        <v>431.718651979939</v>
      </c>
      <c r="AE276" s="159" t="n">
        <f aca="false">IF($B276=" ",0,AE$25*(1+AE$30)^(IF(AE$28&gt;$B276,-1,1)*(YEARFRAC($B276,AE$28))))</f>
        <v>0.505032819912608</v>
      </c>
      <c r="AF276" s="159" t="n">
        <f aca="false">IF($B276=" ",0,AF$25*(1+AF$30)^(IF(AF$28&gt;$B276,-1,1)*(YEARFRAC($B276,AF$28))))</f>
        <v>0.181204630458959</v>
      </c>
      <c r="AG276" s="162" t="n">
        <f aca="false">+AC276+AD276+AF276*SUM($K276*$K$37,$M276*$M$37,$O276*$O$37)/1000</f>
        <v>2922.37639812552</v>
      </c>
      <c r="AI276" s="158" t="n">
        <f aca="false">IF($B276=" ",0,1)*IF($B276&gt;=AI$33,AI$25*($D276-$D275),0)</f>
        <v>485.186570908327</v>
      </c>
      <c r="AJ276" s="158" t="n">
        <f aca="false">IF($B276=" ",0,IF($B276&gt;=AJ$33,AJ$25*(1+AJ$30)^(IF(AJ$28&gt;$B276,-1,1)*(YEARFRAC($B276,AJ$28)))*($D276-$D275),0))</f>
        <v>590.286370772532</v>
      </c>
      <c r="AK276" s="159" t="n">
        <f aca="false">IF($B276=" ",0,AK$25*(1+AK$30)^(IF(AK$28&gt;$B276,-1,1)*(YEARFRAC($B276,AK$28))))</f>
        <v>0.0337356772087864</v>
      </c>
      <c r="AL276" s="159" t="n">
        <f aca="false">IF($B276=" ",0,AL$25*AL$28)</f>
        <v>0.0575</v>
      </c>
      <c r="AM276" s="162" t="n">
        <f aca="false">+AI276+AJ276+SUM(AK276:AL276)*SUM($J276*$J$37,$K276*$K$37,$L276*$L$37,$M276*$M$37,$N276*$N$37,$O276*$O$37)/1000</f>
        <v>1528.11071221231</v>
      </c>
      <c r="AO276" s="163" t="n">
        <f aca="false">IF($B276=" ",0,$AO$25)</f>
        <v>0.25</v>
      </c>
      <c r="AP276" s="159" t="n">
        <f aca="false">IF($B276=" ",0,AP$25*AP$28)</f>
        <v>0.03105</v>
      </c>
      <c r="AQ276" s="162" t="n">
        <f aca="false">SUM(AO276:AP276)*SUM(0)/1000</f>
        <v>0</v>
      </c>
      <c r="AS276" s="155" t="n">
        <f aca="false">IF($B276=" ",0,AS$25)</f>
        <v>1</v>
      </c>
      <c r="AT276" s="156" t="n">
        <f aca="false">IF($B276=" ",0,AT$25)</f>
        <v>1</v>
      </c>
      <c r="AU276" s="156" t="n">
        <f aca="false">IF($B276=" ",0,AU$25)</f>
        <v>2.3</v>
      </c>
      <c r="AV276" s="157" t="n">
        <f aca="false">+AS276*SUM(J276:K276)/1000</f>
        <v>0</v>
      </c>
      <c r="AW276" s="157" t="n">
        <f aca="false">+AT276*SUM(L276:M276)/1000</f>
        <v>0</v>
      </c>
      <c r="AX276" s="157" t="n">
        <f aca="false">+AU276*SUM(N276:O276)/1000</f>
        <v>11537.9859375</v>
      </c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</row>
    <row r="277" customFormat="false" ht="12.75" hidden="true" customHeight="false" outlineLevel="1" collapsed="false">
      <c r="A277" s="164" t="n">
        <f aca="false">+IF(B277=" ",A276,B277)</f>
        <v>43709</v>
      </c>
      <c r="B277" s="148" t="n">
        <f aca="false">IF(B276=" "," ",IF(EDATE(B276,1)&gt;=EndDate," ",EDATE(B276,1)))</f>
        <v>43709</v>
      </c>
      <c r="C277" s="149" t="n">
        <f aca="false">IF($B277&lt;&gt;" ",C276+1,C276)</f>
        <v>227</v>
      </c>
      <c r="D277" s="150" t="n">
        <f aca="false">C277/12</f>
        <v>18.9166666666667</v>
      </c>
      <c r="F277" s="157" t="n">
        <f aca="false">+SUM($T277:$U277)</f>
        <v>14883.5779284771</v>
      </c>
      <c r="G277" s="152" t="n">
        <f aca="false">-SUM($AA277,$AG277,$AM277,$AQ277,$AV277:$AX277)</f>
        <v>-16963.3851473781</v>
      </c>
      <c r="H277" s="152" t="n">
        <f aca="false">+SUM(F277:G277)</f>
        <v>-2079.807218901</v>
      </c>
      <c r="I277" s="124"/>
      <c r="J277" s="153" t="n">
        <f aca="false">+IF($B277=" ",0,IF(AND($B277&gt;=J$26,$B277&lt;J$28),J$33,0))</f>
        <v>0</v>
      </c>
      <c r="K277" s="153" t="n">
        <f aca="false">+IF($B277=" ",0,IF(AND($B277&gt;=K$26,$B277&lt;K$28),K$33,0))</f>
        <v>0</v>
      </c>
      <c r="L277" s="153" t="n">
        <f aca="false">+IF($B277=" ",0,IF(AND($B277&gt;=L$26,$B277&lt;L$28),L$33,0))</f>
        <v>0</v>
      </c>
      <c r="M277" s="153" t="n">
        <f aca="false">+IF($B277=" ",0,IF(AND($B277&gt;=M$26,$B277&lt;M$28),M$33,0))</f>
        <v>0</v>
      </c>
      <c r="N277" s="153" t="n">
        <f aca="false">+IF($B277=" ",0,IF(AND($B277&gt;=N$26,$B277&lt;N$28),N$33,0))</f>
        <v>0</v>
      </c>
      <c r="O277" s="154" t="n">
        <f aca="false">+IF($B277=" ",0,IF(AND($B277&gt;=O$26,$B277&lt;O$28),O$33,0))</f>
        <v>5016515.625</v>
      </c>
      <c r="Q277" s="83" t="n">
        <f aca="false">IF($B277=" ",0,IF($B277&lt;=DATE(2003,12,31),3.55,2.9))</f>
        <v>2.9</v>
      </c>
      <c r="R277" s="155" t="n">
        <f aca="false">IF($B277=" ",0,R$25)</f>
        <v>-0.07</v>
      </c>
      <c r="S277" s="156" t="n">
        <f aca="false">IF($B277=" ",0,S$25)</f>
        <v>0.1</v>
      </c>
      <c r="T277" s="157" t="n">
        <f aca="false">+SUM($Q277,$S277)/1000*(SUM($J277*$J$37,$K277*$K$37,$L277*$L$37,$M277*$M$37,$N277*$N$37,$O277*$O$37))</f>
        <v>14883.5779284771</v>
      </c>
      <c r="U277" s="157" t="n">
        <f aca="false">+SUM($Q277,$R277)/1000*(SUM(0))</f>
        <v>0</v>
      </c>
      <c r="W277" s="158" t="n">
        <f aca="false">IF($B277=" ",0,1)*(IF($B277&gt;=W$25,1,0)*IF($B277&lt;=W$29,W$27,IF($B277&lt;=W$33,W$31,0))*($D277-$D276)*365/1000)</f>
        <v>486.666666666681</v>
      </c>
      <c r="X277" s="158" t="n">
        <f aca="false">IF($B277=" ",0,IF($B277&gt;=X$25,IF($B277&lt;=X$29,X$27,IF($B277&lt;=X$33,X$31,X$31*(1+X$38)^(IF(X$36&gt;$B277,-1,1)*(YEARFRAC($B277,X$36)))))*($D277-$D276)*365/1000,0))</f>
        <v>485.626455907245</v>
      </c>
      <c r="Y277" s="159" t="n">
        <f aca="false">IF($B277=" ",0,Y$25*(1+Y$30)^(IF(Y$28&gt;$B277,-1,1)*(YEARFRAC($B277,Y$28))))</f>
        <v>0.610419046417701</v>
      </c>
      <c r="Z277" s="159" t="n">
        <f aca="false">IF($B277=" ",0,Z$25*(1+Z$30)^(IF(Z$28&gt;$B277,-1,1)*(YEARFRAC($B277,Z$28))))</f>
        <v>0.582723688777439</v>
      </c>
      <c r="AA277" s="162" t="n">
        <f aca="false">+W277+X277+Z277*SUM($J277*$J$37,$L277*$L$37,$N277*$N$37)/1000</f>
        <v>972.293122573926</v>
      </c>
      <c r="AB277" s="161"/>
      <c r="AC277" s="158" t="n">
        <f aca="false">IF($B277=" ",0,1)*(IF($B277&gt;=AC$25,1,0)*IF($B277&lt;=AC$29,AC$27,IF($B277&lt;=AC$33,AC$31,0))*($D277-$D276)*365/1000)</f>
        <v>1591.66666666671</v>
      </c>
      <c r="AD277" s="158" t="n">
        <f aca="false">IF($B277=" ",0,IF($B277&gt;=AD$25,IF($B277&lt;=AD$29,AD$27,IF($B277&lt;=AD$33,AD$31,AD$31*(1+AD$38)^(IF(AD$36&gt;$B277,-1,1)*(YEARFRAC($B277,AD$36)))))*($D277-$D276)*365/1000,0))</f>
        <v>432.31372905761</v>
      </c>
      <c r="AE277" s="159" t="n">
        <f aca="false">IF($B277=" ",0,AE$25*(1+AE$30)^(IF(AE$28&gt;$B277,-1,1)*(YEARFRAC($B277,AE$28))))</f>
        <v>0.505728952574965</v>
      </c>
      <c r="AF277" s="159" t="n">
        <f aca="false">IF($B277=" ",0,AF$25*(1+AF$30)^(IF(AF$28&gt;$B277,-1,1)*(YEARFRAC($B277,AF$28))))</f>
        <v>0.181454401279506</v>
      </c>
      <c r="AG277" s="162" t="n">
        <f aca="false">+AC277+AD277+AF277*SUM($K277*$K$37,$M277*$M$37,$O277*$O$37)/1000</f>
        <v>2924.21063636055</v>
      </c>
      <c r="AI277" s="158" t="n">
        <f aca="false">IF($B277=" ",0,1)*IF($B277&gt;=AI$33,AI$25*($D277-$D276),0)</f>
        <v>485.186570908347</v>
      </c>
      <c r="AJ277" s="158" t="n">
        <f aca="false">IF($B277=" ",0,IF($B277&gt;=AJ$33,AJ$25*(1+AJ$30)^(IF(AJ$28&gt;$B277,-1,1)*(YEARFRAC($B277,AJ$28)))*($D277-$D276),0))</f>
        <v>590.897757528616</v>
      </c>
      <c r="AK277" s="159" t="n">
        <f aca="false">IF($B277=" ",0,AK$25*(1+AK$30)^(IF(AK$28&gt;$B277,-1,1)*(YEARFRAC($B277,AK$28))))</f>
        <v>0.0337706188020085</v>
      </c>
      <c r="AL277" s="159" t="n">
        <f aca="false">IF($B277=" ",0,AL$25*AL$28)</f>
        <v>0.0575</v>
      </c>
      <c r="AM277" s="162" t="n">
        <f aca="false">+AI277+AJ277+SUM(AK277:AL277)*SUM($J277*$J$37,$K277*$K$37,$L277*$L$37,$M277*$M$37,$N277*$N$37,$O277*$O$37)/1000</f>
        <v>1528.89545094364</v>
      </c>
      <c r="AO277" s="163" t="n">
        <f aca="false">IF($B277=" ",0,$AO$25)</f>
        <v>0.25</v>
      </c>
      <c r="AP277" s="159" t="n">
        <f aca="false">IF($B277=" ",0,AP$25*AP$28)</f>
        <v>0.03105</v>
      </c>
      <c r="AQ277" s="162" t="n">
        <f aca="false">SUM(AO277:AP277)*SUM(0)/1000</f>
        <v>0</v>
      </c>
      <c r="AS277" s="155" t="n">
        <f aca="false">IF($B277=" ",0,AS$25)</f>
        <v>1</v>
      </c>
      <c r="AT277" s="156" t="n">
        <f aca="false">IF($B277=" ",0,AT$25)</f>
        <v>1</v>
      </c>
      <c r="AU277" s="156" t="n">
        <f aca="false">IF($B277=" ",0,AU$25)</f>
        <v>2.3</v>
      </c>
      <c r="AV277" s="157" t="n">
        <f aca="false">+AS277*SUM(J277:K277)/1000</f>
        <v>0</v>
      </c>
      <c r="AW277" s="157" t="n">
        <f aca="false">+AT277*SUM(L277:M277)/1000</f>
        <v>0</v>
      </c>
      <c r="AX277" s="157" t="n">
        <f aca="false">+AU277*SUM(N277:O277)/1000</f>
        <v>11537.9859375</v>
      </c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</row>
    <row r="278" customFormat="false" ht="12.75" hidden="true" customHeight="false" outlineLevel="1" collapsed="false">
      <c r="A278" s="164" t="n">
        <f aca="false">+IF(B278=" ",A277,B278)</f>
        <v>43739</v>
      </c>
      <c r="B278" s="148" t="n">
        <f aca="false">IF(B277=" "," ",IF(EDATE(B277,1)&gt;=EndDate," ",EDATE(B277,1)))</f>
        <v>43739</v>
      </c>
      <c r="C278" s="149" t="n">
        <f aca="false">IF($B278&lt;&gt;" ",C277+1,C277)</f>
        <v>228</v>
      </c>
      <c r="D278" s="150" t="n">
        <f aca="false">C278/12</f>
        <v>19</v>
      </c>
      <c r="F278" s="157" t="n">
        <f aca="false">+SUM($T278:$U278)</f>
        <v>14883.5779284771</v>
      </c>
      <c r="G278" s="152" t="n">
        <f aca="false">-SUM($AA278,$AG278,$AM278,$AQ278,$AV278:$AX278)</f>
        <v>-16966.6768485376</v>
      </c>
      <c r="H278" s="152" t="n">
        <f aca="false">+SUM(F278:G278)</f>
        <v>-2083.0989200605</v>
      </c>
      <c r="I278" s="124"/>
      <c r="J278" s="153" t="n">
        <f aca="false">+IF($B278=" ",0,IF(AND($B278&gt;=J$26,$B278&lt;J$28),J$33,0))</f>
        <v>0</v>
      </c>
      <c r="K278" s="153" t="n">
        <f aca="false">+IF($B278=" ",0,IF(AND($B278&gt;=K$26,$B278&lt;K$28),K$33,0))</f>
        <v>0</v>
      </c>
      <c r="L278" s="153" t="n">
        <f aca="false">+IF($B278=" ",0,IF(AND($B278&gt;=L$26,$B278&lt;L$28),L$33,0))</f>
        <v>0</v>
      </c>
      <c r="M278" s="153" t="n">
        <f aca="false">+IF($B278=" ",0,IF(AND($B278&gt;=M$26,$B278&lt;M$28),M$33,0))</f>
        <v>0</v>
      </c>
      <c r="N278" s="153" t="n">
        <f aca="false">+IF($B278=" ",0,IF(AND($B278&gt;=N$26,$B278&lt;N$28),N$33,0))</f>
        <v>0</v>
      </c>
      <c r="O278" s="154" t="n">
        <f aca="false">+IF($B278=" ",0,IF(AND($B278&gt;=O$26,$B278&lt;O$28),O$33,0))</f>
        <v>5016515.625</v>
      </c>
      <c r="Q278" s="83" t="n">
        <f aca="false">IF($B278=" ",0,IF($B278&lt;=DATE(2003,12,31),3.55,2.9))</f>
        <v>2.9</v>
      </c>
      <c r="R278" s="155" t="n">
        <f aca="false">IF($B278=" ",0,R$25)</f>
        <v>-0.07</v>
      </c>
      <c r="S278" s="156" t="n">
        <f aca="false">IF($B278=" ",0,S$25)</f>
        <v>0.1</v>
      </c>
      <c r="T278" s="157" t="n">
        <f aca="false">+SUM($Q278,$S278)/1000*(SUM($J278*$J$37,$K278*$K$37,$L278*$L$37,$M278*$M$37,$N278*$N$37,$O278*$O$37))</f>
        <v>14883.5779284771</v>
      </c>
      <c r="U278" s="157" t="n">
        <f aca="false">+SUM($Q278,$R278)/1000*(SUM(0))</f>
        <v>0</v>
      </c>
      <c r="W278" s="158" t="n">
        <f aca="false">IF($B278=" ",0,1)*(IF($B278&gt;=W$25,1,0)*IF($B278&lt;=W$29,W$27,IF($B278&lt;=W$33,W$31,0))*($D278-$D277)*365/1000)</f>
        <v>486.66666666666</v>
      </c>
      <c r="X278" s="158" t="n">
        <f aca="false">IF($B278=" ",0,IF($B278&gt;=X$25,IF($B278&lt;=X$29,X$27,IF($B278&lt;=X$33,X$31,X$31*(1+X$38)^(IF(X$36&gt;$B278,-1,1)*(YEARFRAC($B278,X$36)))))*($D278-$D277)*365/1000,0))</f>
        <v>486.295839013298</v>
      </c>
      <c r="Y278" s="159" t="n">
        <f aca="false">IF($B278=" ",0,Y$25*(1+Y$30)^(IF(Y$28&gt;$B278,-1,1)*(YEARFRAC($B278,Y$28))))</f>
        <v>0.611260442499663</v>
      </c>
      <c r="Z278" s="159" t="n">
        <f aca="false">IF($B278=" ",0,Z$25*(1+Z$30)^(IF(Z$28&gt;$B278,-1,1)*(YEARFRAC($B278,Z$28))))</f>
        <v>0.583526909829405</v>
      </c>
      <c r="AA278" s="162" t="n">
        <f aca="false">+W278+X278+Z278*SUM($J278*$J$37,$L278*$L$37,$N278*$N$37)/1000</f>
        <v>972.962505679957</v>
      </c>
      <c r="AB278" s="161"/>
      <c r="AC278" s="158" t="n">
        <f aca="false">IF($B278=" ",0,1)*(IF($B278&gt;=AC$25,1,0)*IF($B278&lt;=AC$29,AC$27,IF($B278&lt;=AC$33,AC$31,0))*($D278-$D277)*365/1000)</f>
        <v>1591.66666666664</v>
      </c>
      <c r="AD278" s="158" t="n">
        <f aca="false">IF($B278=" ",0,IF($B278&gt;=AD$25,IF($B278&lt;=AD$29,AD$27,IF($B278&lt;=AD$33,AD$31,AD$31*(1+AD$38)^(IF(AD$36&gt;$B278,-1,1)*(YEARFRAC($B278,AD$36)))))*($D278-$D277)*365/1000,0))</f>
        <v>432.909626384096</v>
      </c>
      <c r="AE278" s="159" t="n">
        <f aca="false">IF($B278=" ",0,AE$25*(1+AE$30)^(IF(AE$28&gt;$B278,-1,1)*(YEARFRAC($B278,AE$28))))</f>
        <v>0.506426044780276</v>
      </c>
      <c r="AF278" s="159" t="n">
        <f aca="false">IF($B278=" ",0,AF$25*(1+AF$30)^(IF(AF$28&gt;$B278,-1,1)*(YEARFRAC($B278,AF$28))))</f>
        <v>0.181704516381889</v>
      </c>
      <c r="AG278" s="162" t="n">
        <f aca="false">+AC278+AD278+AF278*SUM($K278*$K$37,$M278*$M$37,$O278*$O$37)/1000</f>
        <v>2926.04740289277</v>
      </c>
      <c r="AI278" s="158" t="n">
        <f aca="false">IF($B278=" ",0,1)*IF($B278&gt;=AI$33,AI$25*($D278-$D277),0)</f>
        <v>485.186570908327</v>
      </c>
      <c r="AJ278" s="158" t="n">
        <f aca="false">IF($B278=" ",0,IF($B278&gt;=AJ$33,AJ$25*(1+AJ$30)^(IF(AJ$28&gt;$B278,-1,1)*(YEARFRAC($B278,AJ$28)))*($D278-$D277),0))</f>
        <v>591.509777526045</v>
      </c>
      <c r="AK278" s="159" t="n">
        <f aca="false">IF($B278=" ",0,AK$25*(1+AK$30)^(IF(AK$28&gt;$B278,-1,1)*(YEARFRAC($B278,AK$28))))</f>
        <v>0.0338055965858466</v>
      </c>
      <c r="AL278" s="159" t="n">
        <f aca="false">IF($B278=" ",0,AL$25*AL$28)</f>
        <v>0.0575</v>
      </c>
      <c r="AM278" s="162" t="n">
        <f aca="false">+AI278+AJ278+SUM(AK278:AL278)*SUM($J278*$J$37,$K278*$K$37,$L278*$L$37,$M278*$M$37,$N278*$N$37,$O278*$O$37)/1000</f>
        <v>1529.68100246489</v>
      </c>
      <c r="AO278" s="163" t="n">
        <f aca="false">IF($B278=" ",0,$AO$25)</f>
        <v>0.25</v>
      </c>
      <c r="AP278" s="159" t="n">
        <f aca="false">IF($B278=" ",0,AP$25*AP$28)</f>
        <v>0.03105</v>
      </c>
      <c r="AQ278" s="162" t="n">
        <f aca="false">SUM(AO278:AP278)*SUM(0)/1000</f>
        <v>0</v>
      </c>
      <c r="AS278" s="155" t="n">
        <f aca="false">IF($B278=" ",0,AS$25)</f>
        <v>1</v>
      </c>
      <c r="AT278" s="156" t="n">
        <f aca="false">IF($B278=" ",0,AT$25)</f>
        <v>1</v>
      </c>
      <c r="AU278" s="156" t="n">
        <f aca="false">IF($B278=" ",0,AU$25)</f>
        <v>2.3</v>
      </c>
      <c r="AV278" s="157" t="n">
        <f aca="false">+AS278*SUM(J278:K278)/1000</f>
        <v>0</v>
      </c>
      <c r="AW278" s="157" t="n">
        <f aca="false">+AT278*SUM(L278:M278)/1000</f>
        <v>0</v>
      </c>
      <c r="AX278" s="157" t="n">
        <f aca="false">+AU278*SUM(N278:O278)/1000</f>
        <v>11537.9859375</v>
      </c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</row>
    <row r="279" customFormat="false" ht="12.75" hidden="true" customHeight="false" outlineLevel="1" collapsed="false">
      <c r="A279" s="164" t="n">
        <f aca="false">+IF(B279=" ",A278,B279)</f>
        <v>43770</v>
      </c>
      <c r="B279" s="148" t="n">
        <f aca="false">IF(B278=" "," ",IF(EDATE(B278,1)&gt;=EndDate," ",EDATE(B278,1)))</f>
        <v>43770</v>
      </c>
      <c r="C279" s="149" t="n">
        <f aca="false">IF($B279&lt;&gt;" ",C278+1,C278)</f>
        <v>229</v>
      </c>
      <c r="D279" s="150" t="n">
        <f aca="false">C279/12</f>
        <v>19.0833333333333</v>
      </c>
      <c r="F279" s="157" t="n">
        <f aca="false">+SUM($T279:$U279)</f>
        <v>14883.5779284771</v>
      </c>
      <c r="G279" s="152" t="n">
        <f aca="false">-SUM($AA279,$AG279,$AM279,$AQ279,$AV279:$AX279)</f>
        <v>-16969.9728177831</v>
      </c>
      <c r="H279" s="152" t="n">
        <f aca="false">+SUM(F279:G279)</f>
        <v>-2086.39488930598</v>
      </c>
      <c r="I279" s="124"/>
      <c r="J279" s="153" t="n">
        <f aca="false">+IF($B279=" ",0,IF(AND($B279&gt;=J$26,$B279&lt;J$28),J$33,0))</f>
        <v>0</v>
      </c>
      <c r="K279" s="153" t="n">
        <f aca="false">+IF($B279=" ",0,IF(AND($B279&gt;=K$26,$B279&lt;K$28),K$33,0))</f>
        <v>0</v>
      </c>
      <c r="L279" s="153" t="n">
        <f aca="false">+IF($B279=" ",0,IF(AND($B279&gt;=L$26,$B279&lt;L$28),L$33,0))</f>
        <v>0</v>
      </c>
      <c r="M279" s="153" t="n">
        <f aca="false">+IF($B279=" ",0,IF(AND($B279&gt;=M$26,$B279&lt;M$28),M$33,0))</f>
        <v>0</v>
      </c>
      <c r="N279" s="153" t="n">
        <f aca="false">+IF($B279=" ",0,IF(AND($B279&gt;=N$26,$B279&lt;N$28),N$33,0))</f>
        <v>0</v>
      </c>
      <c r="O279" s="154" t="n">
        <f aca="false">+IF($B279=" ",0,IF(AND($B279&gt;=O$26,$B279&lt;O$28),O$33,0))</f>
        <v>5016515.625</v>
      </c>
      <c r="Q279" s="83" t="n">
        <f aca="false">IF($B279=" ",0,IF($B279&lt;=DATE(2003,12,31),3.55,2.9))</f>
        <v>2.9</v>
      </c>
      <c r="R279" s="155" t="n">
        <f aca="false">IF($B279=" ",0,R$25)</f>
        <v>-0.07</v>
      </c>
      <c r="S279" s="156" t="n">
        <f aca="false">IF($B279=" ",0,S$25)</f>
        <v>0.1</v>
      </c>
      <c r="T279" s="157" t="n">
        <f aca="false">+SUM($Q279,$S279)/1000*(SUM($J279*$J$37,$K279*$K$37,$L279*$L$37,$M279*$M$37,$N279*$N$37,$O279*$O$37))</f>
        <v>14883.5779284771</v>
      </c>
      <c r="U279" s="157" t="n">
        <f aca="false">+SUM($Q279,$R279)/1000*(SUM(0))</f>
        <v>0</v>
      </c>
      <c r="W279" s="158" t="n">
        <f aca="false">IF($B279=" ",0,1)*(IF($B279&gt;=W$25,1,0)*IF($B279&lt;=W$29,W$27,IF($B279&lt;=W$33,W$31,0))*($D279-$D278)*365/1000)</f>
        <v>486.66666666666</v>
      </c>
      <c r="X279" s="158" t="n">
        <f aca="false">IF($B279=" ",0,IF($B279&gt;=X$25,IF($B279&lt;=X$29,X$27,IF($B279&lt;=X$33,X$31,X$31*(1+X$38)^(IF(X$36&gt;$B279,-1,1)*(YEARFRAC($B279,X$36)))))*($D279-$D278)*365/1000,0))</f>
        <v>486.966144790978</v>
      </c>
      <c r="Y279" s="159" t="n">
        <f aca="false">IF($B279=" ",0,Y$25*(1+Y$30)^(IF(Y$28&gt;$B279,-1,1)*(YEARFRAC($B279,Y$28))))</f>
        <v>0.612102998354359</v>
      </c>
      <c r="Z279" s="159" t="n">
        <f aca="false">IF($B279=" ",0,Z$25*(1+Z$30)^(IF(Z$28&gt;$B279,-1,1)*(YEARFRAC($B279,Z$28))))</f>
        <v>0.58433123803399</v>
      </c>
      <c r="AA279" s="162" t="n">
        <f aca="false">+W279+X279+Z279*SUM($J279*$J$37,$L279*$L$37,$N279*$N$37)/1000</f>
        <v>973.632811457638</v>
      </c>
      <c r="AB279" s="161"/>
      <c r="AC279" s="158" t="n">
        <f aca="false">IF($B279=" ",0,1)*(IF($B279&gt;=AC$25,1,0)*IF($B279&lt;=AC$29,AC$27,IF($B279&lt;=AC$33,AC$31,0))*($D279-$D278)*365/1000)</f>
        <v>1591.66666666664</v>
      </c>
      <c r="AD279" s="158" t="n">
        <f aca="false">IF($B279=" ",0,IF($B279&gt;=AD$25,IF($B279&lt;=AD$29,AD$27,IF($B279&lt;=AD$33,AD$31,AD$31*(1+AD$38)^(IF(AD$36&gt;$B279,-1,1)*(YEARFRAC($B279,AD$36)))))*($D279-$D278)*365/1000,0))</f>
        <v>433.506345090074</v>
      </c>
      <c r="AE279" s="159" t="n">
        <f aca="false">IF($B279=" ",0,AE$25*(1+AE$30)^(IF(AE$28&gt;$B279,-1,1)*(YEARFRAC($B279,AE$28))))</f>
        <v>0.507124097851166</v>
      </c>
      <c r="AF279" s="159" t="n">
        <f aca="false">IF($B279=" ",0,AF$25*(1+AF$30)^(IF(AF$28&gt;$B279,-1,1)*(YEARFRAC($B279,AF$28))))</f>
        <v>0.181954976240663</v>
      </c>
      <c r="AG279" s="162" t="n">
        <f aca="false">+AC279+AD279+AF279*SUM($K279*$K$37,$M279*$M$37,$O279*$O$37)/1000</f>
        <v>2927.88670120742</v>
      </c>
      <c r="AI279" s="158" t="n">
        <f aca="false">IF($B279=" ",0,1)*IF($B279&gt;=AI$33,AI$25*($D279-$D278),0)</f>
        <v>485.186570908327</v>
      </c>
      <c r="AJ279" s="158" t="n">
        <f aca="false">IF($B279=" ",0,IF($B279&gt;=AJ$33,AJ$25*(1+AJ$30)^(IF(AJ$28&gt;$B279,-1,1)*(YEARFRAC($B279,AJ$28)))*($D279-$D278),0))</f>
        <v>592.122431420773</v>
      </c>
      <c r="AK279" s="159" t="n">
        <f aca="false">IF($B279=" ",0,AK$25*(1+AK$30)^(IF(AK$28&gt;$B279,-1,1)*(YEARFRAC($B279,AK$28))))</f>
        <v>0.0338406105977849</v>
      </c>
      <c r="AL279" s="159" t="n">
        <f aca="false">IF($B279=" ",0,AL$25*AL$28)</f>
        <v>0.0575</v>
      </c>
      <c r="AM279" s="162" t="n">
        <f aca="false">+AI279+AJ279+SUM(AK279:AL279)*SUM($J279*$J$37,$K279*$K$37,$L279*$L$37,$M279*$M$37,$N279*$N$37,$O279*$O$37)/1000</f>
        <v>1530.46736761804</v>
      </c>
      <c r="AO279" s="163" t="n">
        <f aca="false">IF($B279=" ",0,$AO$25)</f>
        <v>0.25</v>
      </c>
      <c r="AP279" s="159" t="n">
        <f aca="false">IF($B279=" ",0,AP$25*AP$28)</f>
        <v>0.03105</v>
      </c>
      <c r="AQ279" s="162" t="n">
        <f aca="false">SUM(AO279:AP279)*SUM(0)/1000</f>
        <v>0</v>
      </c>
      <c r="AS279" s="155" t="n">
        <f aca="false">IF($B279=" ",0,AS$25)</f>
        <v>1</v>
      </c>
      <c r="AT279" s="156" t="n">
        <f aca="false">IF($B279=" ",0,AT$25)</f>
        <v>1</v>
      </c>
      <c r="AU279" s="156" t="n">
        <f aca="false">IF($B279=" ",0,AU$25)</f>
        <v>2.3</v>
      </c>
      <c r="AV279" s="157" t="n">
        <f aca="false">+AS279*SUM(J279:K279)/1000</f>
        <v>0</v>
      </c>
      <c r="AW279" s="157" t="n">
        <f aca="false">+AT279*SUM(L279:M279)/1000</f>
        <v>0</v>
      </c>
      <c r="AX279" s="157" t="n">
        <f aca="false">+AU279*SUM(N279:O279)/1000</f>
        <v>11537.9859375</v>
      </c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</row>
    <row r="280" customFormat="false" ht="12.75" hidden="true" customHeight="false" outlineLevel="1" collapsed="false">
      <c r="A280" s="164" t="n">
        <f aca="false">+IF(B280=" ",A279,B280)</f>
        <v>43800</v>
      </c>
      <c r="B280" s="148" t="n">
        <f aca="false">IF(B279=" "," ",IF(EDATE(B279,1)&gt;=EndDate," ",EDATE(B279,1)))</f>
        <v>43800</v>
      </c>
      <c r="C280" s="149" t="n">
        <f aca="false">IF($B280&lt;&gt;" ",C279+1,C279)</f>
        <v>230</v>
      </c>
      <c r="D280" s="150" t="n">
        <f aca="false">C280/12</f>
        <v>19.1666666666667</v>
      </c>
      <c r="F280" s="157" t="n">
        <f aca="false">+SUM($T280:$U280)</f>
        <v>14883.5779284771</v>
      </c>
      <c r="G280" s="152" t="n">
        <f aca="false">-SUM($AA280,$AG280,$AM280,$AQ280,$AV280:$AX280)</f>
        <v>-16973.2730607189</v>
      </c>
      <c r="H280" s="152" t="n">
        <f aca="false">+SUM(F280:G280)</f>
        <v>-2089.69513224175</v>
      </c>
      <c r="I280" s="124"/>
      <c r="J280" s="153" t="n">
        <f aca="false">+IF($B280=" ",0,IF(AND($B280&gt;=J$26,$B280&lt;J$28),J$33,0))</f>
        <v>0</v>
      </c>
      <c r="K280" s="153" t="n">
        <f aca="false">+IF($B280=" ",0,IF(AND($B280&gt;=K$26,$B280&lt;K$28),K$33,0))</f>
        <v>0</v>
      </c>
      <c r="L280" s="153" t="n">
        <f aca="false">+IF($B280=" ",0,IF(AND($B280&gt;=L$26,$B280&lt;L$28),L$33,0))</f>
        <v>0</v>
      </c>
      <c r="M280" s="153" t="n">
        <f aca="false">+IF($B280=" ",0,IF(AND($B280&gt;=M$26,$B280&lt;M$28),M$33,0))</f>
        <v>0</v>
      </c>
      <c r="N280" s="153" t="n">
        <f aca="false">+IF($B280=" ",0,IF(AND($B280&gt;=N$26,$B280&lt;N$28),N$33,0))</f>
        <v>0</v>
      </c>
      <c r="O280" s="154" t="n">
        <f aca="false">+IF($B280=" ",0,IF(AND($B280&gt;=O$26,$B280&lt;O$28),O$33,0))</f>
        <v>5016515.625</v>
      </c>
      <c r="Q280" s="83" t="n">
        <f aca="false">IF($B280=" ",0,IF($B280&lt;=DATE(2003,12,31),3.55,2.9))</f>
        <v>2.9</v>
      </c>
      <c r="R280" s="155" t="n">
        <f aca="false">IF($B280=" ",0,R$25)</f>
        <v>-0.07</v>
      </c>
      <c r="S280" s="156" t="n">
        <f aca="false">IF($B280=" ",0,S$25)</f>
        <v>0.1</v>
      </c>
      <c r="T280" s="157" t="n">
        <f aca="false">+SUM($Q280,$S280)/1000*(SUM($J280*$J$37,$K280*$K$37,$L280*$L$37,$M280*$M$37,$N280*$N$37,$O280*$O$37))</f>
        <v>14883.5779284771</v>
      </c>
      <c r="U280" s="157" t="n">
        <f aca="false">+SUM($Q280,$R280)/1000*(SUM(0))</f>
        <v>0</v>
      </c>
      <c r="W280" s="158" t="n">
        <f aca="false">IF($B280=" ",0,1)*(IF($B280&gt;=W$25,1,0)*IF($B280&lt;=W$29,W$27,IF($B280&lt;=W$33,W$31,0))*($D280-$D279)*365/1000)</f>
        <v>486.666666666681</v>
      </c>
      <c r="X280" s="158" t="n">
        <f aca="false">IF($B280=" ",0,IF($B280&gt;=X$25,IF($B280&lt;=X$29,X$27,IF($B280&lt;=X$33,X$31,X$31*(1+X$38)^(IF(X$36&gt;$B280,-1,1)*(YEARFRAC($B280,X$36)))))*($D280-$D279)*365/1000,0))</f>
        <v>487.637374512089</v>
      </c>
      <c r="Y280" s="159" t="n">
        <f aca="false">IF($B280=" ",0,Y$25*(1+Y$30)^(IF(Y$28&gt;$B280,-1,1)*(YEARFRAC($B280,Y$28))))</f>
        <v>0.61294671558041</v>
      </c>
      <c r="Z280" s="159" t="n">
        <f aca="false">IF($B280=" ",0,Z$25*(1+Z$30)^(IF(Z$28&gt;$B280,-1,1)*(YEARFRAC($B280,Z$28))))</f>
        <v>0.585136674917283</v>
      </c>
      <c r="AA280" s="162" t="n">
        <f aca="false">+W280+X280+Z280*SUM($J280*$J$37,$L280*$L$37,$N280*$N$37)/1000</f>
        <v>974.30404117877</v>
      </c>
      <c r="AB280" s="161"/>
      <c r="AC280" s="158" t="n">
        <f aca="false">IF($B280=" ",0,1)*(IF($B280&gt;=AC$25,1,0)*IF($B280&lt;=AC$29,AC$27,IF($B280&lt;=AC$33,AC$31,0))*($D280-$D279)*365/1000)</f>
        <v>1591.66666666671</v>
      </c>
      <c r="AD280" s="158" t="n">
        <f aca="false">IF($B280=" ",0,IF($B280&gt;=AD$25,IF($B280&lt;=AD$29,AD$27,IF($B280&lt;=AD$33,AD$31,AD$31*(1+AD$38)^(IF(AD$36&gt;$B280,-1,1)*(YEARFRAC($B280,AD$36)))))*($D280-$D279)*365/1000,0))</f>
        <v>434.103886307728</v>
      </c>
      <c r="AE280" s="159" t="n">
        <f aca="false">IF($B280=" ",0,AE$25*(1+AE$30)^(IF(AE$28&gt;$B280,-1,1)*(YEARFRAC($B280,AE$28))))</f>
        <v>0.507823113112082</v>
      </c>
      <c r="AF280" s="159" t="n">
        <f aca="false">IF($B280=" ",0,AF$25*(1+AF$30)^(IF(AF$28&gt;$B280,-1,1)*(YEARFRAC($B280,AF$28))))</f>
        <v>0.182205781331036</v>
      </c>
      <c r="AG280" s="162" t="n">
        <f aca="false">+AC280+AD280+AF280*SUM($K280*$K$37,$M280*$M$37,$O280*$O$37)/1000</f>
        <v>2929.72853479429</v>
      </c>
      <c r="AI280" s="158" t="n">
        <f aca="false">IF($B280=" ",0,1)*IF($B280&gt;=AI$33,AI$25*($D280-$D279),0)</f>
        <v>485.186570908347</v>
      </c>
      <c r="AJ280" s="158" t="n">
        <f aca="false">IF($B280=" ",0,IF($B280&gt;=AJ$33,AJ$25*(1+AJ$30)^(IF(AJ$28&gt;$B280,-1,1)*(YEARFRAC($B280,AJ$28)))*($D280-$D279),0))</f>
        <v>592.735719869356</v>
      </c>
      <c r="AK280" s="159" t="n">
        <f aca="false">IF($B280=" ",0,AK$25*(1+AK$30)^(IF(AK$28&gt;$B280,-1,1)*(YEARFRAC($B280,AK$28))))</f>
        <v>0.0338756608753465</v>
      </c>
      <c r="AL280" s="159" t="n">
        <f aca="false">IF($B280=" ",0,AL$25*AL$28)</f>
        <v>0.0575</v>
      </c>
      <c r="AM280" s="162" t="n">
        <f aca="false">+AI280+AJ280+SUM(AK280:AL280)*SUM($J280*$J$37,$K280*$K$37,$L280*$L$37,$M280*$M$37,$N280*$N$37,$O280*$O$37)/1000</f>
        <v>1531.25454724581</v>
      </c>
      <c r="AO280" s="163" t="n">
        <f aca="false">IF($B280=" ",0,$AO$25)</f>
        <v>0.25</v>
      </c>
      <c r="AP280" s="159" t="n">
        <f aca="false">IF($B280=" ",0,AP$25*AP$28)</f>
        <v>0.03105</v>
      </c>
      <c r="AQ280" s="162" t="n">
        <f aca="false">SUM(AO280:AP280)*SUM(0)/1000</f>
        <v>0</v>
      </c>
      <c r="AS280" s="155" t="n">
        <f aca="false">IF($B280=" ",0,AS$25)</f>
        <v>1</v>
      </c>
      <c r="AT280" s="156" t="n">
        <f aca="false">IF($B280=" ",0,AT$25)</f>
        <v>1</v>
      </c>
      <c r="AU280" s="156" t="n">
        <f aca="false">IF($B280=" ",0,AU$25)</f>
        <v>2.3</v>
      </c>
      <c r="AV280" s="157" t="n">
        <f aca="false">+AS280*SUM(J280:K280)/1000</f>
        <v>0</v>
      </c>
      <c r="AW280" s="157" t="n">
        <f aca="false">+AT280*SUM(L280:M280)/1000</f>
        <v>0</v>
      </c>
      <c r="AX280" s="157" t="n">
        <f aca="false">+AU280*SUM(N280:O280)/1000</f>
        <v>11537.9859375</v>
      </c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</row>
    <row r="281" customFormat="false" ht="12.75" hidden="true" customHeight="false" outlineLevel="1" collapsed="false">
      <c r="A281" s="164" t="n">
        <f aca="false">+IF(B281=" ",A280,B281)</f>
        <v>43831</v>
      </c>
      <c r="B281" s="148" t="n">
        <f aca="false">IF(B280=" "," ",IF(EDATE(B280,1)&gt;=EndDate," ",EDATE(B280,1)))</f>
        <v>43831</v>
      </c>
      <c r="C281" s="149" t="n">
        <f aca="false">IF($B281&lt;&gt;" ",C280+1,C280)</f>
        <v>231</v>
      </c>
      <c r="D281" s="150" t="n">
        <f aca="false">C281/12</f>
        <v>19.25</v>
      </c>
      <c r="F281" s="157" t="n">
        <f aca="false">+SUM($T281:$U281)</f>
        <v>14883.5779284771</v>
      </c>
      <c r="G281" s="152" t="n">
        <f aca="false">-SUM($AA281,$AG281,$AM281,$AQ281,$AV281:$AX281)</f>
        <v>-16976.5775829561</v>
      </c>
      <c r="H281" s="152" t="n">
        <f aca="false">+SUM(F281:G281)</f>
        <v>-2092.99965447902</v>
      </c>
      <c r="I281" s="124"/>
      <c r="J281" s="153" t="n">
        <f aca="false">+IF($B281=" ",0,IF(AND($B281&gt;=J$26,$B281&lt;J$28),J$33,0))</f>
        <v>0</v>
      </c>
      <c r="K281" s="153" t="n">
        <f aca="false">+IF($B281=" ",0,IF(AND($B281&gt;=K$26,$B281&lt;K$28),K$33,0))</f>
        <v>0</v>
      </c>
      <c r="L281" s="153" t="n">
        <f aca="false">+IF($B281=" ",0,IF(AND($B281&gt;=L$26,$B281&lt;L$28),L$33,0))</f>
        <v>0</v>
      </c>
      <c r="M281" s="153" t="n">
        <f aca="false">+IF($B281=" ",0,IF(AND($B281&gt;=M$26,$B281&lt;M$28),M$33,0))</f>
        <v>0</v>
      </c>
      <c r="N281" s="153" t="n">
        <f aca="false">+IF($B281=" ",0,IF(AND($B281&gt;=N$26,$B281&lt;N$28),N$33,0))</f>
        <v>0</v>
      </c>
      <c r="O281" s="154" t="n">
        <f aca="false">+IF($B281=" ",0,IF(AND($B281&gt;=O$26,$B281&lt;O$28),O$33,0))</f>
        <v>5016515.625</v>
      </c>
      <c r="Q281" s="83" t="n">
        <f aca="false">IF($B281=" ",0,IF($B281&lt;=DATE(2003,12,31),3.55,2.9))</f>
        <v>2.9</v>
      </c>
      <c r="R281" s="155" t="n">
        <f aca="false">IF($B281=" ",0,R$25)</f>
        <v>-0.07</v>
      </c>
      <c r="S281" s="156" t="n">
        <f aca="false">IF($B281=" ",0,S$25)</f>
        <v>0.1</v>
      </c>
      <c r="T281" s="157" t="n">
        <f aca="false">+SUM($Q281,$S281)/1000*(SUM($J281*$J$37,$K281*$K$37,$L281*$L$37,$M281*$M$37,$N281*$N$37,$O281*$O$37))</f>
        <v>14883.5779284771</v>
      </c>
      <c r="U281" s="157" t="n">
        <f aca="false">+SUM($Q281,$R281)/1000*(SUM(0))</f>
        <v>0</v>
      </c>
      <c r="W281" s="158" t="n">
        <f aca="false">IF($B281=" ",0,1)*(IF($B281&gt;=W$25,1,0)*IF($B281&lt;=W$29,W$27,IF($B281&lt;=W$33,W$31,0))*($D281-$D280)*365/1000)</f>
        <v>486.66666666666</v>
      </c>
      <c r="X281" s="158" t="n">
        <f aca="false">IF($B281=" ",0,IF($B281&gt;=X$25,IF($B281&lt;=X$29,X$27,IF($B281&lt;=X$33,X$31,X$31*(1+X$38)^(IF(X$36&gt;$B281,-1,1)*(YEARFRAC($B281,X$36)))))*($D281-$D280)*365/1000,0))</f>
        <v>488.309529450123</v>
      </c>
      <c r="Y281" s="159" t="n">
        <f aca="false">IF($B281=" ",0,Y$25*(1+Y$30)^(IF(Y$28&gt;$B281,-1,1)*(YEARFRAC($B281,Y$28))))</f>
        <v>0.61379159577864</v>
      </c>
      <c r="Z281" s="159" t="n">
        <f aca="false">IF($B281=" ",0,Z$25*(1+Z$30)^(IF(Z$28&gt;$B281,-1,1)*(YEARFRAC($B281,Z$28))))</f>
        <v>0.585943222007477</v>
      </c>
      <c r="AA281" s="162" t="n">
        <f aca="false">+W281+X281+Z281*SUM($J281*$J$37,$L281*$L$37,$N281*$N$37)/1000</f>
        <v>974.976196116783</v>
      </c>
      <c r="AB281" s="161"/>
      <c r="AC281" s="158" t="n">
        <f aca="false">IF($B281=" ",0,1)*(IF($B281&gt;=AC$25,1,0)*IF($B281&lt;=AC$29,AC$27,IF($B281&lt;=AC$33,AC$31,0))*($D281-$D280)*365/1000)</f>
        <v>1591.66666666664</v>
      </c>
      <c r="AD281" s="158" t="n">
        <f aca="false">IF($B281=" ",0,IF($B281&gt;=AD$25,IF($B281&lt;=AD$29,AD$27,IF($B281&lt;=AD$33,AD$31,AD$31*(1+AD$38)^(IF(AD$36&gt;$B281,-1,1)*(YEARFRAC($B281,AD$36)))))*($D281-$D280)*365/1000,0))</f>
        <v>434.702251170744</v>
      </c>
      <c r="AE281" s="159" t="n">
        <f aca="false">IF($B281=" ",0,AE$25*(1+AE$30)^(IF(AE$28&gt;$B281,-1,1)*(YEARFRAC($B281,AE$28))))</f>
        <v>0.5085230918893</v>
      </c>
      <c r="AF281" s="159" t="n">
        <f aca="false">IF($B281=" ",0,AF$25*(1+AF$30)^(IF(AF$28&gt;$B281,-1,1)*(YEARFRAC($B281,AF$28))))</f>
        <v>0.182456932128873</v>
      </c>
      <c r="AG281" s="162" t="n">
        <f aca="false">+AC281+AD281+AF281*SUM($K281*$K$37,$M281*$M$37,$O281*$O$37)/1000</f>
        <v>2931.5729071477</v>
      </c>
      <c r="AI281" s="158" t="n">
        <f aca="false">IF($B281=" ",0,1)*IF($B281&gt;=AI$33,AI$25*($D281-$D280),0)</f>
        <v>485.186570908327</v>
      </c>
      <c r="AJ281" s="158" t="n">
        <f aca="false">IF($B281=" ",0,IF($B281&gt;=AJ$33,AJ$25*(1+AJ$30)^(IF(AJ$28&gt;$B281,-1,1)*(YEARFRAC($B281,AJ$28)))*($D281-$D280),0))</f>
        <v>593.349643528954</v>
      </c>
      <c r="AK281" s="159" t="n">
        <f aca="false">IF($B281=" ",0,AK$25*(1+AK$30)^(IF(AK$28&gt;$B281,-1,1)*(YEARFRAC($B281,AK$28))))</f>
        <v>0.0339107474560934</v>
      </c>
      <c r="AL281" s="159" t="n">
        <f aca="false">IF($B281=" ",0,AL$25*AL$28)</f>
        <v>0.0575</v>
      </c>
      <c r="AM281" s="162" t="n">
        <f aca="false">+AI281+AJ281+SUM(AK281:AL281)*SUM($J281*$J$37,$K281*$K$37,$L281*$L$37,$M281*$M$37,$N281*$N$37,$O281*$O$37)/1000</f>
        <v>1532.04254219165</v>
      </c>
      <c r="AO281" s="163" t="n">
        <f aca="false">IF($B281=" ",0,$AO$25)</f>
        <v>0.25</v>
      </c>
      <c r="AP281" s="159" t="n">
        <f aca="false">IF($B281=" ",0,AP$25*AP$28)</f>
        <v>0.03105</v>
      </c>
      <c r="AQ281" s="162" t="n">
        <f aca="false">SUM(AO281:AP281)*SUM(0)/1000</f>
        <v>0</v>
      </c>
      <c r="AS281" s="155" t="n">
        <f aca="false">IF($B281=" ",0,AS$25)</f>
        <v>1</v>
      </c>
      <c r="AT281" s="156" t="n">
        <f aca="false">IF($B281=" ",0,AT$25)</f>
        <v>1</v>
      </c>
      <c r="AU281" s="156" t="n">
        <f aca="false">IF($B281=" ",0,AU$25)</f>
        <v>2.3</v>
      </c>
      <c r="AV281" s="157" t="n">
        <f aca="false">+AS281*SUM(J281:K281)/1000</f>
        <v>0</v>
      </c>
      <c r="AW281" s="157" t="n">
        <f aca="false">+AT281*SUM(L281:M281)/1000</f>
        <v>0</v>
      </c>
      <c r="AX281" s="157" t="n">
        <f aca="false">+AU281*SUM(N281:O281)/1000</f>
        <v>11537.9859375</v>
      </c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</row>
    <row r="282" customFormat="false" ht="12.75" hidden="true" customHeight="false" outlineLevel="1" collapsed="false">
      <c r="A282" s="164" t="n">
        <f aca="false">+IF(B282=" ",A281,B282)</f>
        <v>43862</v>
      </c>
      <c r="B282" s="148" t="n">
        <f aca="false">IF(B281=" "," ",IF(EDATE(B281,1)&gt;=EndDate," ",EDATE(B281,1)))</f>
        <v>43862</v>
      </c>
      <c r="C282" s="149" t="n">
        <f aca="false">IF($B282&lt;&gt;" ",C281+1,C281)</f>
        <v>232</v>
      </c>
      <c r="D282" s="150" t="n">
        <f aca="false">C282/12</f>
        <v>19.3333333333333</v>
      </c>
      <c r="F282" s="157" t="n">
        <f aca="false">+SUM($T282:$U282)</f>
        <v>14883.5779284771</v>
      </c>
      <c r="G282" s="152" t="n">
        <f aca="false">-SUM($AA282,$AG282,$AM282,$AQ282,$AV282:$AX282)</f>
        <v>-16979.8863901146</v>
      </c>
      <c r="H282" s="152" t="n">
        <f aca="false">+SUM(F282:G282)</f>
        <v>-2096.30846163751</v>
      </c>
      <c r="I282" s="124"/>
      <c r="J282" s="153" t="n">
        <f aca="false">+IF($B282=" ",0,IF(AND($B282&gt;=J$26,$B282&lt;J$28),J$33,0))</f>
        <v>0</v>
      </c>
      <c r="K282" s="153" t="n">
        <f aca="false">+IF($B282=" ",0,IF(AND($B282&gt;=K$26,$B282&lt;K$28),K$33,0))</f>
        <v>0</v>
      </c>
      <c r="L282" s="153" t="n">
        <f aca="false">+IF($B282=" ",0,IF(AND($B282&gt;=L$26,$B282&lt;L$28),L$33,0))</f>
        <v>0</v>
      </c>
      <c r="M282" s="153" t="n">
        <f aca="false">+IF($B282=" ",0,IF(AND($B282&gt;=M$26,$B282&lt;M$28),M$33,0))</f>
        <v>0</v>
      </c>
      <c r="N282" s="153" t="n">
        <f aca="false">+IF($B282=" ",0,IF(AND($B282&gt;=N$26,$B282&lt;N$28),N$33,0))</f>
        <v>0</v>
      </c>
      <c r="O282" s="154" t="n">
        <f aca="false">+IF($B282=" ",0,IF(AND($B282&gt;=O$26,$B282&lt;O$28),O$33,0))</f>
        <v>5016515.625</v>
      </c>
      <c r="Q282" s="83" t="n">
        <f aca="false">IF($B282=" ",0,IF($B282&lt;=DATE(2003,12,31),3.55,2.9))</f>
        <v>2.9</v>
      </c>
      <c r="R282" s="155" t="n">
        <f aca="false">IF($B282=" ",0,R$25)</f>
        <v>-0.07</v>
      </c>
      <c r="S282" s="156" t="n">
        <f aca="false">IF($B282=" ",0,S$25)</f>
        <v>0.1</v>
      </c>
      <c r="T282" s="157" t="n">
        <f aca="false">+SUM($Q282,$S282)/1000*(SUM($J282*$J$37,$K282*$K$37,$L282*$L$37,$M282*$M$37,$N282*$N$37,$O282*$O$37))</f>
        <v>14883.5779284771</v>
      </c>
      <c r="U282" s="157" t="n">
        <f aca="false">+SUM($Q282,$R282)/1000*(SUM(0))</f>
        <v>0</v>
      </c>
      <c r="W282" s="158" t="n">
        <f aca="false">IF($B282=" ",0,1)*(IF($B282&gt;=W$25,1,0)*IF($B282&lt;=W$29,W$27,IF($B282&lt;=W$33,W$31,0))*($D282-$D281)*365/1000)</f>
        <v>486.66666666666</v>
      </c>
      <c r="X282" s="158" t="n">
        <f aca="false">IF($B282=" ",0,IF($B282&gt;=X$25,IF($B282&lt;=X$29,X$27,IF($B282&lt;=X$33,X$31,X$31*(1+X$38)^(IF(X$36&gt;$B282,-1,1)*(YEARFRAC($B282,X$36)))))*($D282-$D281)*365/1000,0))</f>
        <v>488.982610880454</v>
      </c>
      <c r="Y282" s="159" t="n">
        <f aca="false">IF($B282=" ",0,Y$25*(1+Y$30)^(IF(Y$28&gt;$B282,-1,1)*(YEARFRAC($B282,Y$28))))</f>
        <v>0.614637640552079</v>
      </c>
      <c r="Z282" s="159" t="n">
        <f aca="false">IF($B282=" ",0,Z$25*(1+Z$30)^(IF(Z$28&gt;$B282,-1,1)*(YEARFRAC($B282,Z$28))))</f>
        <v>0.586750880834872</v>
      </c>
      <c r="AA282" s="162" t="n">
        <f aca="false">+W282+X282+Z282*SUM($J282*$J$37,$L282*$L$37,$N282*$N$37)/1000</f>
        <v>975.649277547114</v>
      </c>
      <c r="AB282" s="161"/>
      <c r="AC282" s="158" t="n">
        <f aca="false">IF($B282=" ",0,1)*(IF($B282&gt;=AC$25,1,0)*IF($B282&lt;=AC$29,AC$27,IF($B282&lt;=AC$33,AC$31,0))*($D282-$D281)*365/1000)</f>
        <v>1591.66666666664</v>
      </c>
      <c r="AD282" s="158" t="n">
        <f aca="false">IF($B282=" ",0,IF($B282&gt;=AD$25,IF($B282&lt;=AD$29,AD$27,IF($B282&lt;=AD$33,AD$31,AD$31*(1+AD$38)^(IF(AD$36&gt;$B282,-1,1)*(YEARFRAC($B282,AD$36)))))*($D282-$D281)*365/1000,0))</f>
        <v>435.301440814484</v>
      </c>
      <c r="AE282" s="159" t="n">
        <f aca="false">IF($B282=" ",0,AE$25*(1+AE$30)^(IF(AE$28&gt;$B282,-1,1)*(YEARFRAC($B282,AE$28))))</f>
        <v>0.509224035510922</v>
      </c>
      <c r="AF282" s="159" t="n">
        <f aca="false">IF($B282=" ",0,AF$25*(1+AF$30)^(IF(AF$28&gt;$B282,-1,1)*(YEARFRAC($B282,AF$28))))</f>
        <v>0.182708429110694</v>
      </c>
      <c r="AG282" s="162" t="n">
        <f aca="false">+AC282+AD282+AF282*SUM($K282*$K$37,$M282*$M$37,$O282*$O$37)/1000</f>
        <v>2933.41982176734</v>
      </c>
      <c r="AI282" s="158" t="n">
        <f aca="false">IF($B282=" ",0,1)*IF($B282&gt;=AI$33,AI$25*($D282-$D281),0)</f>
        <v>485.186570908327</v>
      </c>
      <c r="AJ282" s="158" t="n">
        <f aca="false">IF($B282=" ",0,IF($B282&gt;=AJ$33,AJ$25*(1+AJ$30)^(IF(AJ$28&gt;$B282,-1,1)*(YEARFRAC($B282,AJ$28)))*($D282-$D281),0))</f>
        <v>593.964203057562</v>
      </c>
      <c r="AK282" s="159" t="n">
        <f aca="false">IF($B282=" ",0,AK$25*(1+AK$30)^(IF(AK$28&gt;$B282,-1,1)*(YEARFRAC($B282,AK$28))))</f>
        <v>0.0339458703776265</v>
      </c>
      <c r="AL282" s="159" t="n">
        <f aca="false">IF($B282=" ",0,AL$25*AL$28)</f>
        <v>0.0575</v>
      </c>
      <c r="AM282" s="162" t="n">
        <f aca="false">+AI282+AJ282+SUM(AK282:AL282)*SUM($J282*$J$37,$K282*$K$37,$L282*$L$37,$M282*$M$37,$N282*$N$37,$O282*$O$37)/1000</f>
        <v>1532.83135330016</v>
      </c>
      <c r="AO282" s="163" t="n">
        <f aca="false">IF($B282=" ",0,$AO$25)</f>
        <v>0.25</v>
      </c>
      <c r="AP282" s="159" t="n">
        <f aca="false">IF($B282=" ",0,AP$25*AP$28)</f>
        <v>0.03105</v>
      </c>
      <c r="AQ282" s="162" t="n">
        <f aca="false">SUM(AO282:AP282)*SUM(0)/1000</f>
        <v>0</v>
      </c>
      <c r="AS282" s="155" t="n">
        <f aca="false">IF($B282=" ",0,AS$25)</f>
        <v>1</v>
      </c>
      <c r="AT282" s="156" t="n">
        <f aca="false">IF($B282=" ",0,AT$25)</f>
        <v>1</v>
      </c>
      <c r="AU282" s="156" t="n">
        <f aca="false">IF($B282=" ",0,AU$25)</f>
        <v>2.3</v>
      </c>
      <c r="AV282" s="157" t="n">
        <f aca="false">+AS282*SUM(J282:K282)/1000</f>
        <v>0</v>
      </c>
      <c r="AW282" s="157" t="n">
        <f aca="false">+AT282*SUM(L282:M282)/1000</f>
        <v>0</v>
      </c>
      <c r="AX282" s="157" t="n">
        <f aca="false">+AU282*SUM(N282:O282)/1000</f>
        <v>11537.9859375</v>
      </c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</row>
    <row r="283" customFormat="false" ht="12.75" hidden="true" customHeight="false" outlineLevel="1" collapsed="false">
      <c r="A283" s="164" t="n">
        <f aca="false">+IF(B283=" ",A282,B283)</f>
        <v>43891</v>
      </c>
      <c r="B283" s="148" t="n">
        <f aca="false">IF(B282=" "," ",IF(EDATE(B282,1)&gt;=EndDate," ",EDATE(B282,1)))</f>
        <v>43891</v>
      </c>
      <c r="C283" s="149" t="n">
        <f aca="false">IF($B283&lt;&gt;" ",C282+1,C282)</f>
        <v>233</v>
      </c>
      <c r="D283" s="150" t="n">
        <f aca="false">C283/12</f>
        <v>19.4166666666667</v>
      </c>
      <c r="F283" s="157" t="n">
        <f aca="false">+SUM($T283:$U283)</f>
        <v>14883.5779284771</v>
      </c>
      <c r="G283" s="152" t="n">
        <f aca="false">-SUM($AA283,$AG283,$AM283,$AQ283,$AV283:$AX283)</f>
        <v>-16983.199487821</v>
      </c>
      <c r="H283" s="152" t="n">
        <f aca="false">+SUM(F283:G283)</f>
        <v>-2099.62155934385</v>
      </c>
      <c r="I283" s="124"/>
      <c r="J283" s="153" t="n">
        <f aca="false">+IF($B283=" ",0,IF(AND($B283&gt;=J$26,$B283&lt;J$28),J$33,0))</f>
        <v>0</v>
      </c>
      <c r="K283" s="153" t="n">
        <f aca="false">+IF($B283=" ",0,IF(AND($B283&gt;=K$26,$B283&lt;K$28),K$33,0))</f>
        <v>0</v>
      </c>
      <c r="L283" s="153" t="n">
        <f aca="false">+IF($B283=" ",0,IF(AND($B283&gt;=L$26,$B283&lt;L$28),L$33,0))</f>
        <v>0</v>
      </c>
      <c r="M283" s="153" t="n">
        <f aca="false">+IF($B283=" ",0,IF(AND($B283&gt;=M$26,$B283&lt;M$28),M$33,0))</f>
        <v>0</v>
      </c>
      <c r="N283" s="153" t="n">
        <f aca="false">+IF($B283=" ",0,IF(AND($B283&gt;=N$26,$B283&lt;N$28),N$33,0))</f>
        <v>0</v>
      </c>
      <c r="O283" s="154" t="n">
        <f aca="false">+IF($B283=" ",0,IF(AND($B283&gt;=O$26,$B283&lt;O$28),O$33,0))</f>
        <v>5016515.625</v>
      </c>
      <c r="Q283" s="83" t="n">
        <f aca="false">IF($B283=" ",0,IF($B283&lt;=DATE(2003,12,31),3.55,2.9))</f>
        <v>2.9</v>
      </c>
      <c r="R283" s="155" t="n">
        <f aca="false">IF($B283=" ",0,R$25)</f>
        <v>-0.07</v>
      </c>
      <c r="S283" s="156" t="n">
        <f aca="false">IF($B283=" ",0,S$25)</f>
        <v>0.1</v>
      </c>
      <c r="T283" s="157" t="n">
        <f aca="false">+SUM($Q283,$S283)/1000*(SUM($J283*$J$37,$K283*$K$37,$L283*$L$37,$M283*$M$37,$N283*$N$37,$O283*$O$37))</f>
        <v>14883.5779284771</v>
      </c>
      <c r="U283" s="157" t="n">
        <f aca="false">+SUM($Q283,$R283)/1000*(SUM(0))</f>
        <v>0</v>
      </c>
      <c r="W283" s="158" t="n">
        <f aca="false">IF($B283=" ",0,1)*(IF($B283&gt;=W$25,1,0)*IF($B283&lt;=W$29,W$27,IF($B283&lt;=W$33,W$31,0))*($D283-$D282)*365/1000)</f>
        <v>486.666666666681</v>
      </c>
      <c r="X283" s="158" t="n">
        <f aca="false">IF($B283=" ",0,IF($B283&gt;=X$25,IF($B283&lt;=X$29,X$27,IF($B283&lt;=X$33,X$31,X$31*(1+X$38)^(IF(X$36&gt;$B283,-1,1)*(YEARFRAC($B283,X$36)))))*($D283-$D282)*365/1000,0))</f>
        <v>489.656620080149</v>
      </c>
      <c r="Y283" s="159" t="n">
        <f aca="false">IF($B283=" ",0,Y$25*(1+Y$30)^(IF(Y$28&gt;$B283,-1,1)*(YEARFRAC($B283,Y$28))))</f>
        <v>0.615484851505966</v>
      </c>
      <c r="Z283" s="159" t="n">
        <f aca="false">IF($B283=" ",0,Z$25*(1+Z$30)^(IF(Z$28&gt;$B283,-1,1)*(YEARFRAC($B283,Z$28))))</f>
        <v>0.587559652931875</v>
      </c>
      <c r="AA283" s="162" t="n">
        <f aca="false">+W283+X283+Z283*SUM($J283*$J$37,$L283*$L$37,$N283*$N$37)/1000</f>
        <v>976.32328674683</v>
      </c>
      <c r="AB283" s="161"/>
      <c r="AC283" s="158" t="n">
        <f aca="false">IF($B283=" ",0,1)*(IF($B283&gt;=AC$25,1,0)*IF($B283&lt;=AC$29,AC$27,IF($B283&lt;=AC$33,AC$31,0))*($D283-$D282)*365/1000)</f>
        <v>1591.66666666671</v>
      </c>
      <c r="AD283" s="158" t="n">
        <f aca="false">IF($B283=" ",0,IF($B283&gt;=AD$25,IF($B283&lt;=AD$29,AD$27,IF($B283&lt;=AD$33,AD$31,AD$31*(1+AD$38)^(IF(AD$36&gt;$B283,-1,1)*(YEARFRAC($B283,AD$36)))))*($D283-$D282)*365/1000,0))</f>
        <v>435.901456375817</v>
      </c>
      <c r="AE283" s="159" t="n">
        <f aca="false">IF($B283=" ",0,AE$25*(1+AE$30)^(IF(AE$28&gt;$B283,-1,1)*(YEARFRAC($B283,AE$28))))</f>
        <v>0.509925945306879</v>
      </c>
      <c r="AF283" s="159" t="n">
        <f aca="false">IF($B283=" ",0,AF$25*(1+AF$30)^(IF(AF$28&gt;$B283,-1,1)*(YEARFRAC($B283,AF$28))))</f>
        <v>0.182960272753675</v>
      </c>
      <c r="AG283" s="162" t="n">
        <f aca="false">+AC283+AD283+AF283*SUM($K283*$K$37,$M283*$M$37,$O283*$O$37)/1000</f>
        <v>2935.26928215745</v>
      </c>
      <c r="AI283" s="158" t="n">
        <f aca="false">IF($B283=" ",0,1)*IF($B283&gt;=AI$33,AI$25*($D283-$D282),0)</f>
        <v>485.186570908347</v>
      </c>
      <c r="AJ283" s="158" t="n">
        <f aca="false">IF($B283=" ",0,IF($B283&gt;=AJ$33,AJ$25*(1+AJ$30)^(IF(AJ$28&gt;$B283,-1,1)*(YEARFRAC($B283,AJ$28)))*($D283-$D282),0))</f>
        <v>594.579399113778</v>
      </c>
      <c r="AK283" s="159" t="n">
        <f aca="false">IF($B283=" ",0,AK$25*(1+AK$30)^(IF(AK$28&gt;$B283,-1,1)*(YEARFRAC($B283,AK$28))))</f>
        <v>0.0339810296775856</v>
      </c>
      <c r="AL283" s="159" t="n">
        <f aca="false">IF($B283=" ",0,AL$25*AL$28)</f>
        <v>0.0575</v>
      </c>
      <c r="AM283" s="162" t="n">
        <f aca="false">+AI283+AJ283+SUM(AK283:AL283)*SUM($J283*$J$37,$K283*$K$37,$L283*$L$37,$M283*$M$37,$N283*$N$37,$O283*$O$37)/1000</f>
        <v>1533.62098141668</v>
      </c>
      <c r="AO283" s="163" t="n">
        <f aca="false">IF($B283=" ",0,$AO$25)</f>
        <v>0.25</v>
      </c>
      <c r="AP283" s="159" t="n">
        <f aca="false">IF($B283=" ",0,AP$25*AP$28)</f>
        <v>0.03105</v>
      </c>
      <c r="AQ283" s="162" t="n">
        <f aca="false">SUM(AO283:AP283)*SUM(0)/1000</f>
        <v>0</v>
      </c>
      <c r="AS283" s="155" t="n">
        <f aca="false">IF($B283=" ",0,AS$25)</f>
        <v>1</v>
      </c>
      <c r="AT283" s="156" t="n">
        <f aca="false">IF($B283=" ",0,AT$25)</f>
        <v>1</v>
      </c>
      <c r="AU283" s="156" t="n">
        <f aca="false">IF($B283=" ",0,AU$25)</f>
        <v>2.3</v>
      </c>
      <c r="AV283" s="157" t="n">
        <f aca="false">+AS283*SUM(J283:K283)/1000</f>
        <v>0</v>
      </c>
      <c r="AW283" s="157" t="n">
        <f aca="false">+AT283*SUM(L283:M283)/1000</f>
        <v>0</v>
      </c>
      <c r="AX283" s="157" t="n">
        <f aca="false">+AU283*SUM(N283:O283)/1000</f>
        <v>11537.9859375</v>
      </c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</row>
    <row r="284" customFormat="false" ht="12.75" hidden="true" customHeight="false" outlineLevel="1" collapsed="false">
      <c r="A284" s="164" t="n">
        <f aca="false">+IF(B284=" ",A283,B284)</f>
        <v>43922</v>
      </c>
      <c r="B284" s="148" t="n">
        <f aca="false">IF(B283=" "," ",IF(EDATE(B283,1)&gt;=EndDate," ",EDATE(B283,1)))</f>
        <v>43922</v>
      </c>
      <c r="C284" s="149" t="n">
        <f aca="false">IF($B284&lt;&gt;" ",C283+1,C283)</f>
        <v>234</v>
      </c>
      <c r="D284" s="150" t="n">
        <f aca="false">C284/12</f>
        <v>19.5</v>
      </c>
      <c r="F284" s="157" t="n">
        <f aca="false">+SUM($T284:$U284)</f>
        <v>14883.5779284771</v>
      </c>
      <c r="G284" s="152" t="n">
        <f aca="false">-SUM($AA284,$AG284,$AM284,$AQ284,$AV284:$AX284)</f>
        <v>-16986.5168817087</v>
      </c>
      <c r="H284" s="152" t="n">
        <f aca="false">+SUM(F284:G284)</f>
        <v>-2102.93895323163</v>
      </c>
      <c r="I284" s="124"/>
      <c r="J284" s="153" t="n">
        <f aca="false">+IF($B284=" ",0,IF(AND($B284&gt;=J$26,$B284&lt;J$28),J$33,0))</f>
        <v>0</v>
      </c>
      <c r="K284" s="153" t="n">
        <f aca="false">+IF($B284=" ",0,IF(AND($B284&gt;=K$26,$B284&lt;K$28),K$33,0))</f>
        <v>0</v>
      </c>
      <c r="L284" s="153" t="n">
        <f aca="false">+IF($B284=" ",0,IF(AND($B284&gt;=L$26,$B284&lt;L$28),L$33,0))</f>
        <v>0</v>
      </c>
      <c r="M284" s="153" t="n">
        <f aca="false">+IF($B284=" ",0,IF(AND($B284&gt;=M$26,$B284&lt;M$28),M$33,0))</f>
        <v>0</v>
      </c>
      <c r="N284" s="153" t="n">
        <f aca="false">+IF($B284=" ",0,IF(AND($B284&gt;=N$26,$B284&lt;N$28),N$33,0))</f>
        <v>0</v>
      </c>
      <c r="O284" s="154" t="n">
        <f aca="false">+IF($B284=" ",0,IF(AND($B284&gt;=O$26,$B284&lt;O$28),O$33,0))</f>
        <v>5016515.625</v>
      </c>
      <c r="Q284" s="83" t="n">
        <f aca="false">IF($B284=" ",0,IF($B284&lt;=DATE(2003,12,31),3.55,2.9))</f>
        <v>2.9</v>
      </c>
      <c r="R284" s="155" t="n">
        <f aca="false">IF($B284=" ",0,R$25)</f>
        <v>-0.07</v>
      </c>
      <c r="S284" s="156" t="n">
        <f aca="false">IF($B284=" ",0,S$25)</f>
        <v>0.1</v>
      </c>
      <c r="T284" s="157" t="n">
        <f aca="false">+SUM($Q284,$S284)/1000*(SUM($J284*$J$37,$K284*$K$37,$L284*$L$37,$M284*$M$37,$N284*$N$37,$O284*$O$37))</f>
        <v>14883.5779284771</v>
      </c>
      <c r="U284" s="157" t="n">
        <f aca="false">+SUM($Q284,$R284)/1000*(SUM(0))</f>
        <v>0</v>
      </c>
      <c r="W284" s="158" t="n">
        <f aca="false">IF($B284=" ",0,1)*(IF($B284&gt;=W$25,1,0)*IF($B284&lt;=W$29,W$27,IF($B284&lt;=W$33,W$31,0))*($D284-$D283)*365/1000)</f>
        <v>486.66666666666</v>
      </c>
      <c r="X284" s="158" t="n">
        <f aca="false">IF($B284=" ",0,IF($B284&gt;=X$25,IF($B284&lt;=X$29,X$27,IF($B284&lt;=X$33,X$31,X$31*(1+X$38)^(IF(X$36&gt;$B284,-1,1)*(YEARFRAC($B284,X$36)))))*($D284-$D283)*365/1000,0))</f>
        <v>490.331558327976</v>
      </c>
      <c r="Y284" s="159" t="n">
        <f aca="false">IF($B284=" ",0,Y$25*(1+Y$30)^(IF(Y$28&gt;$B284,-1,1)*(YEARFRAC($B284,Y$28))))</f>
        <v>0.616333230247755</v>
      </c>
      <c r="Z284" s="159" t="n">
        <f aca="false">IF($B284=" ",0,Z$25*(1+Z$30)^(IF(Z$28&gt;$B284,-1,1)*(YEARFRAC($B284,Z$28))))</f>
        <v>0.588369539833008</v>
      </c>
      <c r="AA284" s="162" t="n">
        <f aca="false">+W284+X284+Z284*SUM($J284*$J$37,$L284*$L$37,$N284*$N$37)/1000</f>
        <v>976.998224994636</v>
      </c>
      <c r="AB284" s="161"/>
      <c r="AC284" s="158" t="n">
        <f aca="false">IF($B284=" ",0,1)*(IF($B284&gt;=AC$25,1,0)*IF($B284&lt;=AC$29,AC$27,IF($B284&lt;=AC$33,AC$31,0))*($D284-$D283)*365/1000)</f>
        <v>1591.66666666664</v>
      </c>
      <c r="AD284" s="158" t="n">
        <f aca="false">IF($B284=" ",0,IF($B284&gt;=AD$25,IF($B284&lt;=AD$29,AD$27,IF($B284&lt;=AD$33,AD$31,AD$31*(1+AD$38)^(IF(AD$36&gt;$B284,-1,1)*(YEARFRAC($B284,AD$36)))))*($D284-$D283)*365/1000,0))</f>
        <v>436.502298993126</v>
      </c>
      <c r="AE284" s="159" t="n">
        <f aca="false">IF($B284=" ",0,AE$25*(1+AE$30)^(IF(AE$28&gt;$B284,-1,1)*(YEARFRAC($B284,AE$28))))</f>
        <v>0.510628822608938</v>
      </c>
      <c r="AF284" s="159" t="n">
        <f aca="false">IF($B284=" ",0,AF$25*(1+AF$30)^(IF(AF$28&gt;$B284,-1,1)*(YEARFRAC($B284,AF$28))))</f>
        <v>0.183212463535652</v>
      </c>
      <c r="AG284" s="162" t="n">
        <f aca="false">+AC284+AD284+AF284*SUM($K284*$K$37,$M284*$M$37,$O284*$O$37)/1000</f>
        <v>2937.12129182682</v>
      </c>
      <c r="AI284" s="158" t="n">
        <f aca="false">IF($B284=" ",0,1)*IF($B284&gt;=AI$33,AI$25*($D284-$D283),0)</f>
        <v>485.186570908327</v>
      </c>
      <c r="AJ284" s="158" t="n">
        <f aca="false">IF($B284=" ",0,IF($B284&gt;=AJ$33,AJ$25*(1+AJ$30)^(IF(AJ$28&gt;$B284,-1,1)*(YEARFRAC($B284,AJ$28)))*($D284-$D283),0))</f>
        <v>595.195232356806</v>
      </c>
      <c r="AK284" s="159" t="n">
        <f aca="false">IF($B284=" ",0,AK$25*(1+AK$30)^(IF(AK$28&gt;$B284,-1,1)*(YEARFRAC($B284,AK$28))))</f>
        <v>0.0340162253936495</v>
      </c>
      <c r="AL284" s="159" t="n">
        <f aca="false">IF($B284=" ",0,AL$25*AL$28)</f>
        <v>0.0575</v>
      </c>
      <c r="AM284" s="162" t="n">
        <f aca="false">+AI284+AJ284+SUM(AK284:AL284)*SUM($J284*$J$37,$K284*$K$37,$L284*$L$37,$M284*$M$37,$N284*$N$37,$O284*$O$37)/1000</f>
        <v>1534.41142738729</v>
      </c>
      <c r="AO284" s="163" t="n">
        <f aca="false">IF($B284=" ",0,$AO$25)</f>
        <v>0.25</v>
      </c>
      <c r="AP284" s="159" t="n">
        <f aca="false">IF($B284=" ",0,AP$25*AP$28)</f>
        <v>0.03105</v>
      </c>
      <c r="AQ284" s="162" t="n">
        <f aca="false">SUM(AO284:AP284)*SUM(0)/1000</f>
        <v>0</v>
      </c>
      <c r="AS284" s="155" t="n">
        <f aca="false">IF($B284=" ",0,AS$25)</f>
        <v>1</v>
      </c>
      <c r="AT284" s="156" t="n">
        <f aca="false">IF($B284=" ",0,AT$25)</f>
        <v>1</v>
      </c>
      <c r="AU284" s="156" t="n">
        <f aca="false">IF($B284=" ",0,AU$25)</f>
        <v>2.3</v>
      </c>
      <c r="AV284" s="157" t="n">
        <f aca="false">+AS284*SUM(J284:K284)/1000</f>
        <v>0</v>
      </c>
      <c r="AW284" s="157" t="n">
        <f aca="false">+AT284*SUM(L284:M284)/1000</f>
        <v>0</v>
      </c>
      <c r="AX284" s="157" t="n">
        <f aca="false">+AU284*SUM(N284:O284)/1000</f>
        <v>11537.9859375</v>
      </c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</row>
    <row r="285" customFormat="false" ht="12.75" hidden="true" customHeight="false" outlineLevel="1" collapsed="false">
      <c r="A285" s="164" t="n">
        <f aca="false">+IF(B285=" ",A284,B285)</f>
        <v>43952</v>
      </c>
      <c r="B285" s="148" t="n">
        <f aca="false">IF(B284=" "," ",IF(EDATE(B284,1)&gt;=EndDate," ",EDATE(B284,1)))</f>
        <v>43952</v>
      </c>
      <c r="C285" s="149" t="n">
        <f aca="false">IF($B285&lt;&gt;" ",C284+1,C284)</f>
        <v>235</v>
      </c>
      <c r="D285" s="150" t="n">
        <f aca="false">C285/12</f>
        <v>19.5833333333333</v>
      </c>
      <c r="F285" s="157" t="n">
        <f aca="false">+SUM($T285:$U285)</f>
        <v>14883.5779284771</v>
      </c>
      <c r="G285" s="152" t="n">
        <f aca="false">-SUM($AA285,$AG285,$AM285,$AQ285,$AV285:$AX285)</f>
        <v>-16989.8385774201</v>
      </c>
      <c r="H285" s="152" t="n">
        <f aca="false">+SUM(F285:G285)</f>
        <v>-2106.26064894296</v>
      </c>
      <c r="I285" s="124"/>
      <c r="J285" s="153" t="n">
        <f aca="false">+IF($B285=" ",0,IF(AND($B285&gt;=J$26,$B285&lt;J$28),J$33,0))</f>
        <v>0</v>
      </c>
      <c r="K285" s="153" t="n">
        <f aca="false">+IF($B285=" ",0,IF(AND($B285&gt;=K$26,$B285&lt;K$28),K$33,0))</f>
        <v>0</v>
      </c>
      <c r="L285" s="153" t="n">
        <f aca="false">+IF($B285=" ",0,IF(AND($B285&gt;=L$26,$B285&lt;L$28),L$33,0))</f>
        <v>0</v>
      </c>
      <c r="M285" s="153" t="n">
        <f aca="false">+IF($B285=" ",0,IF(AND($B285&gt;=M$26,$B285&lt;M$28),M$33,0))</f>
        <v>0</v>
      </c>
      <c r="N285" s="153" t="n">
        <f aca="false">+IF($B285=" ",0,IF(AND($B285&gt;=N$26,$B285&lt;N$28),N$33,0))</f>
        <v>0</v>
      </c>
      <c r="O285" s="154" t="n">
        <f aca="false">+IF($B285=" ",0,IF(AND($B285&gt;=O$26,$B285&lt;O$28),O$33,0))</f>
        <v>5016515.625</v>
      </c>
      <c r="Q285" s="83" t="n">
        <f aca="false">IF($B285=" ",0,IF($B285&lt;=DATE(2003,12,31),3.55,2.9))</f>
        <v>2.9</v>
      </c>
      <c r="R285" s="155" t="n">
        <f aca="false">IF($B285=" ",0,R$25)</f>
        <v>-0.07</v>
      </c>
      <c r="S285" s="156" t="n">
        <f aca="false">IF($B285=" ",0,S$25)</f>
        <v>0.1</v>
      </c>
      <c r="T285" s="157" t="n">
        <f aca="false">+SUM($Q285,$S285)/1000*(SUM($J285*$J$37,$K285*$K$37,$L285*$L$37,$M285*$M$37,$N285*$N$37,$O285*$O$37))</f>
        <v>14883.5779284771</v>
      </c>
      <c r="U285" s="157" t="n">
        <f aca="false">+SUM($Q285,$R285)/1000*(SUM(0))</f>
        <v>0</v>
      </c>
      <c r="W285" s="158" t="n">
        <f aca="false">IF($B285=" ",0,1)*(IF($B285&gt;=W$25,1,0)*IF($B285&lt;=W$29,W$27,IF($B285&lt;=W$33,W$31,0))*($D285-$D284)*365/1000)</f>
        <v>486.66666666666</v>
      </c>
      <c r="X285" s="158" t="n">
        <f aca="false">IF($B285=" ",0,IF($B285&gt;=X$25,IF($B285&lt;=X$29,X$27,IF($B285&lt;=X$33,X$31,X$31*(1+X$38)^(IF(X$36&gt;$B285,-1,1)*(YEARFRAC($B285,X$36)))))*($D285-$D284)*365/1000,0))</f>
        <v>491.007426904588</v>
      </c>
      <c r="Y285" s="159" t="n">
        <f aca="false">IF($B285=" ",0,Y$25*(1+Y$30)^(IF(Y$28&gt;$B285,-1,1)*(YEARFRAC($B285,Y$28))))</f>
        <v>0.617182778387113</v>
      </c>
      <c r="Z285" s="159" t="n">
        <f aca="false">IF($B285=" ",0,Z$25*(1+Z$30)^(IF(Z$28&gt;$B285,-1,1)*(YEARFRAC($B285,Z$28))))</f>
        <v>0.589180543074905</v>
      </c>
      <c r="AA285" s="162" t="n">
        <f aca="false">+W285+X285+Z285*SUM($J285*$J$37,$L285*$L$37,$N285*$N$37)/1000</f>
        <v>977.674093571248</v>
      </c>
      <c r="AB285" s="161"/>
      <c r="AC285" s="158" t="n">
        <f aca="false">IF($B285=" ",0,1)*(IF($B285&gt;=AC$25,1,0)*IF($B285&lt;=AC$29,AC$27,IF($B285&lt;=AC$33,AC$31,0))*($D285-$D284)*365/1000)</f>
        <v>1591.66666666664</v>
      </c>
      <c r="AD285" s="158" t="n">
        <f aca="false">IF($B285=" ",0,IF($B285&gt;=AD$25,IF($B285&lt;=AD$29,AD$27,IF($B285&lt;=AD$33,AD$31,AD$31*(1+AD$38)^(IF(AD$36&gt;$B285,-1,1)*(YEARFRAC($B285,AD$36)))))*($D285-$D284)*365/1000,0))</f>
        <v>437.103969806472</v>
      </c>
      <c r="AE285" s="159" t="n">
        <f aca="false">IF($B285=" ",0,AE$25*(1+AE$30)^(IF(AE$28&gt;$B285,-1,1)*(YEARFRAC($B285,AE$28))))</f>
        <v>0.511332668750702</v>
      </c>
      <c r="AF285" s="159" t="n">
        <f aca="false">IF($B285=" ",0,AF$25*(1+AF$30)^(IF(AF$28&gt;$B285,-1,1)*(YEARFRAC($B285,AF$28))))</f>
        <v>0.183465001935117</v>
      </c>
      <c r="AG285" s="162" t="n">
        <f aca="false">+AC285+AD285+AF285*SUM($K285*$K$37,$M285*$M$37,$O285*$O$37)/1000</f>
        <v>2938.97585428962</v>
      </c>
      <c r="AI285" s="158" t="n">
        <f aca="false">IF($B285=" ",0,1)*IF($B285&gt;=AI$33,AI$25*($D285-$D284),0)</f>
        <v>485.186570908327</v>
      </c>
      <c r="AJ285" s="158" t="n">
        <f aca="false">IF($B285=" ",0,IF($B285&gt;=AJ$33,AJ$25*(1+AJ$30)^(IF(AJ$28&gt;$B285,-1,1)*(YEARFRAC($B285,AJ$28)))*($D285-$D284),0))</f>
        <v>595.811703446687</v>
      </c>
      <c r="AK285" s="159" t="n">
        <f aca="false">IF($B285=" ",0,AK$25*(1+AK$30)^(IF(AK$28&gt;$B285,-1,1)*(YEARFRAC($B285,AK$28))))</f>
        <v>0.0340514575635361</v>
      </c>
      <c r="AL285" s="159" t="n">
        <f aca="false">IF($B285=" ",0,AL$25*AL$28)</f>
        <v>0.0575</v>
      </c>
      <c r="AM285" s="162" t="n">
        <f aca="false">+AI285+AJ285+SUM(AK285:AL285)*SUM($J285*$J$37,$K285*$K$37,$L285*$L$37,$M285*$M$37,$N285*$N$37,$O285*$O$37)/1000</f>
        <v>1535.2026920592</v>
      </c>
      <c r="AO285" s="163" t="n">
        <f aca="false">IF($B285=" ",0,$AO$25)</f>
        <v>0.25</v>
      </c>
      <c r="AP285" s="159" t="n">
        <f aca="false">IF($B285=" ",0,AP$25*AP$28)</f>
        <v>0.03105</v>
      </c>
      <c r="AQ285" s="162" t="n">
        <f aca="false">SUM(AO285:AP285)*SUM(0)/1000</f>
        <v>0</v>
      </c>
      <c r="AS285" s="155" t="n">
        <f aca="false">IF($B285=" ",0,AS$25)</f>
        <v>1</v>
      </c>
      <c r="AT285" s="156" t="n">
        <f aca="false">IF($B285=" ",0,AT$25)</f>
        <v>1</v>
      </c>
      <c r="AU285" s="156" t="n">
        <f aca="false">IF($B285=" ",0,AU$25)</f>
        <v>2.3</v>
      </c>
      <c r="AV285" s="157" t="n">
        <f aca="false">+AS285*SUM(J285:K285)/1000</f>
        <v>0</v>
      </c>
      <c r="AW285" s="157" t="n">
        <f aca="false">+AT285*SUM(L285:M285)/1000</f>
        <v>0</v>
      </c>
      <c r="AX285" s="157" t="n">
        <f aca="false">+AU285*SUM(N285:O285)/1000</f>
        <v>11537.9859375</v>
      </c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</row>
    <row r="286" customFormat="false" ht="12.75" hidden="true" customHeight="false" outlineLevel="1" collapsed="false">
      <c r="A286" s="164" t="n">
        <f aca="false">+IF(B286=" ",A285,B286)</f>
        <v>43983</v>
      </c>
      <c r="B286" s="148" t="n">
        <f aca="false">IF(B285=" "," ",IF(EDATE(B285,1)&gt;=EndDate," ",EDATE(B285,1)))</f>
        <v>43983</v>
      </c>
      <c r="C286" s="149" t="n">
        <f aca="false">IF($B286&lt;&gt;" ",C285+1,C285)</f>
        <v>236</v>
      </c>
      <c r="D286" s="150" t="n">
        <f aca="false">C286/12</f>
        <v>19.6666666666667</v>
      </c>
      <c r="F286" s="157" t="n">
        <f aca="false">+SUM($T286:$U286)</f>
        <v>14883.5779284771</v>
      </c>
      <c r="G286" s="152" t="n">
        <f aca="false">-SUM($AA286,$AG286,$AM286,$AQ286,$AV286:$AX286)</f>
        <v>-16993.164580604</v>
      </c>
      <c r="H286" s="152" t="n">
        <f aca="false">+SUM(F286:G286)</f>
        <v>-2109.58665212691</v>
      </c>
      <c r="I286" s="124"/>
      <c r="J286" s="153" t="n">
        <f aca="false">+IF($B286=" ",0,IF(AND($B286&gt;=J$26,$B286&lt;J$28),J$33,0))</f>
        <v>0</v>
      </c>
      <c r="K286" s="153" t="n">
        <f aca="false">+IF($B286=" ",0,IF(AND($B286&gt;=K$26,$B286&lt;K$28),K$33,0))</f>
        <v>0</v>
      </c>
      <c r="L286" s="153" t="n">
        <f aca="false">+IF($B286=" ",0,IF(AND($B286&gt;=L$26,$B286&lt;L$28),L$33,0))</f>
        <v>0</v>
      </c>
      <c r="M286" s="153" t="n">
        <f aca="false">+IF($B286=" ",0,IF(AND($B286&gt;=M$26,$B286&lt;M$28),M$33,0))</f>
        <v>0</v>
      </c>
      <c r="N286" s="153" t="n">
        <f aca="false">+IF($B286=" ",0,IF(AND($B286&gt;=N$26,$B286&lt;N$28),N$33,0))</f>
        <v>0</v>
      </c>
      <c r="O286" s="154" t="n">
        <f aca="false">+IF($B286=" ",0,IF(AND($B286&gt;=O$26,$B286&lt;O$28),O$33,0))</f>
        <v>5016515.625</v>
      </c>
      <c r="Q286" s="83" t="n">
        <f aca="false">IF($B286=" ",0,IF($B286&lt;=DATE(2003,12,31),3.55,2.9))</f>
        <v>2.9</v>
      </c>
      <c r="R286" s="155" t="n">
        <f aca="false">IF($B286=" ",0,R$25)</f>
        <v>-0.07</v>
      </c>
      <c r="S286" s="156" t="n">
        <f aca="false">IF($B286=" ",0,S$25)</f>
        <v>0.1</v>
      </c>
      <c r="T286" s="157" t="n">
        <f aca="false">+SUM($Q286,$S286)/1000*(SUM($J286*$J$37,$K286*$K$37,$L286*$L$37,$M286*$M$37,$N286*$N$37,$O286*$O$37))</f>
        <v>14883.5779284771</v>
      </c>
      <c r="U286" s="157" t="n">
        <f aca="false">+SUM($Q286,$R286)/1000*(SUM(0))</f>
        <v>0</v>
      </c>
      <c r="W286" s="158" t="n">
        <f aca="false">IF($B286=" ",0,1)*(IF($B286&gt;=W$25,1,0)*IF($B286&lt;=W$29,W$27,IF($B286&lt;=W$33,W$31,0))*($D286-$D285)*365/1000)</f>
        <v>486.666666666681</v>
      </c>
      <c r="X286" s="158" t="n">
        <f aca="false">IF($B286=" ",0,IF($B286&gt;=X$25,IF($B286&lt;=X$29,X$27,IF($B286&lt;=X$33,X$31,X$31*(1+X$38)^(IF(X$36&gt;$B286,-1,1)*(YEARFRAC($B286,X$36)))))*($D286-$D285)*365/1000,0))</f>
        <v>491.684227092342</v>
      </c>
      <c r="Y286" s="159" t="n">
        <f aca="false">IF($B286=" ",0,Y$25*(1+Y$30)^(IF(Y$28&gt;$B286,-1,1)*(YEARFRAC($B286,Y$28))))</f>
        <v>0.618033497535928</v>
      </c>
      <c r="Z286" s="159" t="n">
        <f aca="false">IF($B286=" ",0,Z$25*(1+Z$30)^(IF(Z$28&gt;$B286,-1,1)*(YEARFRAC($B286,Z$28))))</f>
        <v>0.589992664196323</v>
      </c>
      <c r="AA286" s="162" t="n">
        <f aca="false">+W286+X286+Z286*SUM($J286*$J$37,$L286*$L$37,$N286*$N$37)/1000</f>
        <v>978.350893759023</v>
      </c>
      <c r="AB286" s="161"/>
      <c r="AC286" s="158" t="n">
        <f aca="false">IF($B286=" ",0,1)*(IF($B286&gt;=AC$25,1,0)*IF($B286&lt;=AC$29,AC$27,IF($B286&lt;=AC$33,AC$31,0))*($D286-$D285)*365/1000)</f>
        <v>1591.66666666671</v>
      </c>
      <c r="AD286" s="158" t="n">
        <f aca="false">IF($B286=" ",0,IF($B286&gt;=AD$25,IF($B286&lt;=AD$29,AD$27,IF($B286&lt;=AD$33,AD$31,AD$31*(1+AD$38)^(IF(AD$36&gt;$B286,-1,1)*(YEARFRAC($B286,AD$36)))))*($D286-$D285)*365/1000,0))</f>
        <v>437.706469957433</v>
      </c>
      <c r="AE286" s="159" t="n">
        <f aca="false">IF($B286=" ",0,AE$25*(1+AE$30)^(IF(AE$28&gt;$B286,-1,1)*(YEARFRAC($B286,AE$28))))</f>
        <v>0.512037485067608</v>
      </c>
      <c r="AF286" s="159" t="n">
        <f aca="false">IF($B286=" ",0,AF$25*(1+AF$30)^(IF(AF$28&gt;$B286,-1,1)*(YEARFRAC($B286,AF$28))))</f>
        <v>0.183717888431224</v>
      </c>
      <c r="AG286" s="162" t="n">
        <f aca="false">+AC286+AD286+AF286*SUM($K286*$K$37,$M286*$M$37,$O286*$O$37)/1000</f>
        <v>2940.83297306461</v>
      </c>
      <c r="AI286" s="158" t="n">
        <f aca="false">IF($B286=" ",0,1)*IF($B286&gt;=AI$33,AI$25*($D286-$D285),0)</f>
        <v>485.186570908347</v>
      </c>
      <c r="AJ286" s="158" t="n">
        <f aca="false">IF($B286=" ",0,IF($B286&gt;=AJ$33,AJ$25*(1+AJ$30)^(IF(AJ$28&gt;$B286,-1,1)*(YEARFRAC($B286,AJ$28)))*($D286-$D285),0))</f>
        <v>596.428813044068</v>
      </c>
      <c r="AK286" s="159" t="n">
        <f aca="false">IF($B286=" ",0,AK$25*(1+AK$30)^(IF(AK$28&gt;$B286,-1,1)*(YEARFRAC($B286,AK$28))))</f>
        <v>0.0340867262250022</v>
      </c>
      <c r="AL286" s="159" t="n">
        <f aca="false">IF($B286=" ",0,AL$25*AL$28)</f>
        <v>0.0575</v>
      </c>
      <c r="AM286" s="162" t="n">
        <f aca="false">+AI286+AJ286+SUM(AK286:AL286)*SUM($J286*$J$37,$K286*$K$37,$L286*$L$37,$M286*$M$37,$N286*$N$37,$O286*$O$37)/1000</f>
        <v>1535.99477628039</v>
      </c>
      <c r="AO286" s="163" t="n">
        <f aca="false">IF($B286=" ",0,$AO$25)</f>
        <v>0.25</v>
      </c>
      <c r="AP286" s="159" t="n">
        <f aca="false">IF($B286=" ",0,AP$25*AP$28)</f>
        <v>0.03105</v>
      </c>
      <c r="AQ286" s="162" t="n">
        <f aca="false">SUM(AO286:AP286)*SUM(0)/1000</f>
        <v>0</v>
      </c>
      <c r="AS286" s="155" t="n">
        <f aca="false">IF($B286=" ",0,AS$25)</f>
        <v>1</v>
      </c>
      <c r="AT286" s="156" t="n">
        <f aca="false">IF($B286=" ",0,AT$25)</f>
        <v>1</v>
      </c>
      <c r="AU286" s="156" t="n">
        <f aca="false">IF($B286=" ",0,AU$25)</f>
        <v>2.3</v>
      </c>
      <c r="AV286" s="157" t="n">
        <f aca="false">+AS286*SUM(J286:K286)/1000</f>
        <v>0</v>
      </c>
      <c r="AW286" s="157" t="n">
        <f aca="false">+AT286*SUM(L286:M286)/1000</f>
        <v>0</v>
      </c>
      <c r="AX286" s="157" t="n">
        <f aca="false">+AU286*SUM(N286:O286)/1000</f>
        <v>11537.9859375</v>
      </c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</row>
    <row r="287" customFormat="false" ht="12.75" hidden="true" customHeight="false" outlineLevel="1" collapsed="false">
      <c r="A287" s="164" t="n">
        <f aca="false">+IF(B287=" ",A286,B287)</f>
        <v>44013</v>
      </c>
      <c r="B287" s="148" t="n">
        <f aca="false">IF(B286=" "," ",IF(EDATE(B286,1)&gt;=EndDate," ",EDATE(B286,1)))</f>
        <v>44013</v>
      </c>
      <c r="C287" s="149" t="n">
        <f aca="false">IF($B287&lt;&gt;" ",C286+1,C286)</f>
        <v>237</v>
      </c>
      <c r="D287" s="150" t="n">
        <f aca="false">C287/12</f>
        <v>19.75</v>
      </c>
      <c r="F287" s="157" t="n">
        <f aca="false">+SUM($T287:$U287)</f>
        <v>14883.5779284771</v>
      </c>
      <c r="G287" s="152" t="n">
        <f aca="false">-SUM($AA287,$AG287,$AM287,$AQ287,$AV287:$AX287)</f>
        <v>-16996.4948969166</v>
      </c>
      <c r="H287" s="152" t="n">
        <f aca="false">+SUM(F287:G287)</f>
        <v>-2112.91696843951</v>
      </c>
      <c r="I287" s="124"/>
      <c r="J287" s="153" t="n">
        <f aca="false">+IF($B287=" ",0,IF(AND($B287&gt;=J$26,$B287&lt;J$28),J$33,0))</f>
        <v>0</v>
      </c>
      <c r="K287" s="153" t="n">
        <f aca="false">+IF($B287=" ",0,IF(AND($B287&gt;=K$26,$B287&lt;K$28),K$33,0))</f>
        <v>0</v>
      </c>
      <c r="L287" s="153" t="n">
        <f aca="false">+IF($B287=" ",0,IF(AND($B287&gt;=L$26,$B287&lt;L$28),L$33,0))</f>
        <v>0</v>
      </c>
      <c r="M287" s="153" t="n">
        <f aca="false">+IF($B287=" ",0,IF(AND($B287&gt;=M$26,$B287&lt;M$28),M$33,0))</f>
        <v>0</v>
      </c>
      <c r="N287" s="153" t="n">
        <f aca="false">+IF($B287=" ",0,IF(AND($B287&gt;=N$26,$B287&lt;N$28),N$33,0))</f>
        <v>0</v>
      </c>
      <c r="O287" s="154" t="n">
        <f aca="false">+IF($B287=" ",0,IF(AND($B287&gt;=O$26,$B287&lt;O$28),O$33,0))</f>
        <v>5016515.625</v>
      </c>
      <c r="Q287" s="83" t="n">
        <f aca="false">IF($B287=" ",0,IF($B287&lt;=DATE(2003,12,31),3.55,2.9))</f>
        <v>2.9</v>
      </c>
      <c r="R287" s="155" t="n">
        <f aca="false">IF($B287=" ",0,R$25)</f>
        <v>-0.07</v>
      </c>
      <c r="S287" s="156" t="n">
        <f aca="false">IF($B287=" ",0,S$25)</f>
        <v>0.1</v>
      </c>
      <c r="T287" s="157" t="n">
        <f aca="false">+SUM($Q287,$S287)/1000*(SUM($J287*$J$37,$K287*$K$37,$L287*$L$37,$M287*$M$37,$N287*$N$37,$O287*$O$37))</f>
        <v>14883.5779284771</v>
      </c>
      <c r="U287" s="157" t="n">
        <f aca="false">+SUM($Q287,$R287)/1000*(SUM(0))</f>
        <v>0</v>
      </c>
      <c r="W287" s="158" t="n">
        <f aca="false">IF($B287=" ",0,1)*(IF($B287&gt;=W$25,1,0)*IF($B287&lt;=W$29,W$27,IF($B287&lt;=W$33,W$31,0))*($D287-$D286)*365/1000)</f>
        <v>486.66666666666</v>
      </c>
      <c r="X287" s="158" t="n">
        <f aca="false">IF($B287=" ",0,IF($B287&gt;=X$25,IF($B287&lt;=X$29,X$27,IF($B287&lt;=X$33,X$31,X$31*(1+X$38)^(IF(X$36&gt;$B287,-1,1)*(YEARFRAC($B287,X$36)))))*($D287-$D286)*365/1000,0))</f>
        <v>492.3619601753</v>
      </c>
      <c r="Y287" s="159" t="n">
        <f aca="false">IF($B287=" ",0,Y$25*(1+Y$30)^(IF(Y$28&gt;$B287,-1,1)*(YEARFRAC($B287,Y$28))))</f>
        <v>0.618885389308309</v>
      </c>
      <c r="Z287" s="159" t="n">
        <f aca="false">IF($B287=" ",0,Z$25*(1+Z$30)^(IF(Z$28&gt;$B287,-1,1)*(YEARFRAC($B287,Z$28))))</f>
        <v>0.590805904738134</v>
      </c>
      <c r="AA287" s="162" t="n">
        <f aca="false">+W287+X287+Z287*SUM($J287*$J$37,$L287*$L$37,$N287*$N$37)/1000</f>
        <v>979.02862684196</v>
      </c>
      <c r="AB287" s="161"/>
      <c r="AC287" s="158" t="n">
        <f aca="false">IF($B287=" ",0,1)*(IF($B287&gt;=AC$25,1,0)*IF($B287&lt;=AC$29,AC$27,IF($B287&lt;=AC$33,AC$31,0))*($D287-$D286)*365/1000)</f>
        <v>1591.66666666664</v>
      </c>
      <c r="AD287" s="158" t="n">
        <f aca="false">IF($B287=" ",0,IF($B287&gt;=AD$25,IF($B287&lt;=AD$29,AD$27,IF($B287&lt;=AD$33,AD$31,AD$31*(1+AD$38)^(IF(AD$36&gt;$B287,-1,1)*(YEARFRAC($B287,AD$36)))))*($D287-$D286)*365/1000,0))</f>
        <v>438.309800589105</v>
      </c>
      <c r="AE287" s="159" t="n">
        <f aca="false">IF($B287=" ",0,AE$25*(1+AE$30)^(IF(AE$28&gt;$B287,-1,1)*(YEARFRAC($B287,AE$28))))</f>
        <v>0.512743272896939</v>
      </c>
      <c r="AF287" s="159" t="n">
        <f aca="false">IF($B287=" ",0,AF$25*(1+AF$30)^(IF(AF$28&gt;$B287,-1,1)*(YEARFRAC($B287,AF$28))))</f>
        <v>0.183971123503785</v>
      </c>
      <c r="AG287" s="162" t="n">
        <f aca="false">+AC287+AD287+AF287*SUM($K287*$K$37,$M287*$M$37,$O287*$O$37)/1000</f>
        <v>2942.69265167511</v>
      </c>
      <c r="AI287" s="158" t="n">
        <f aca="false">IF($B287=" ",0,1)*IF($B287&gt;=AI$33,AI$25*($D287-$D286),0)</f>
        <v>485.186570908327</v>
      </c>
      <c r="AJ287" s="158" t="n">
        <f aca="false">IF($B287=" ",0,IF($B287&gt;=AJ$33,AJ$25*(1+AJ$30)^(IF(AJ$28&gt;$B287,-1,1)*(YEARFRAC($B287,AJ$28)))*($D287-$D286),0))</f>
        <v>597.046561810205</v>
      </c>
      <c r="AK287" s="159" t="n">
        <f aca="false">IF($B287=" ",0,AK$25*(1+AK$30)^(IF(AK$28&gt;$B287,-1,1)*(YEARFRAC($B287,AK$28))))</f>
        <v>0.0341220314158438</v>
      </c>
      <c r="AL287" s="159" t="n">
        <f aca="false">IF($B287=" ",0,AL$25*AL$28)</f>
        <v>0.0575</v>
      </c>
      <c r="AM287" s="162" t="n">
        <f aca="false">+AI287+AJ287+SUM(AK287:AL287)*SUM($J287*$J$37,$K287*$K$37,$L287*$L$37,$M287*$M$37,$N287*$N$37,$O287*$O$37)/1000</f>
        <v>1536.78768089956</v>
      </c>
      <c r="AO287" s="163" t="n">
        <f aca="false">IF($B287=" ",0,$AO$25)</f>
        <v>0.25</v>
      </c>
      <c r="AP287" s="159" t="n">
        <f aca="false">IF($B287=" ",0,AP$25*AP$28)</f>
        <v>0.03105</v>
      </c>
      <c r="AQ287" s="162" t="n">
        <f aca="false">SUM(AO287:AP287)*SUM(0)/1000</f>
        <v>0</v>
      </c>
      <c r="AS287" s="155" t="n">
        <f aca="false">IF($B287=" ",0,AS$25)</f>
        <v>1</v>
      </c>
      <c r="AT287" s="156" t="n">
        <f aca="false">IF($B287=" ",0,AT$25)</f>
        <v>1</v>
      </c>
      <c r="AU287" s="156" t="n">
        <f aca="false">IF($B287=" ",0,AU$25)</f>
        <v>2.3</v>
      </c>
      <c r="AV287" s="157" t="n">
        <f aca="false">+AS287*SUM(J287:K287)/1000</f>
        <v>0</v>
      </c>
      <c r="AW287" s="157" t="n">
        <f aca="false">+AT287*SUM(L287:M287)/1000</f>
        <v>0</v>
      </c>
      <c r="AX287" s="157" t="n">
        <f aca="false">+AU287*SUM(N287:O287)/1000</f>
        <v>11537.9859375</v>
      </c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</row>
    <row r="288" customFormat="false" ht="12.75" hidden="true" customHeight="false" outlineLevel="1" collapsed="false">
      <c r="A288" s="164" t="n">
        <f aca="false">+IF(B288=" ",A287,B288)</f>
        <v>44044</v>
      </c>
      <c r="B288" s="148" t="n">
        <f aca="false">IF(B287=" "," ",IF(EDATE(B287,1)&gt;=EndDate," ",EDATE(B287,1)))</f>
        <v>44044</v>
      </c>
      <c r="C288" s="149" t="n">
        <f aca="false">IF($B288&lt;&gt;" ",C287+1,C287)</f>
        <v>238</v>
      </c>
      <c r="D288" s="150" t="n">
        <f aca="false">C288/12</f>
        <v>19.8333333333333</v>
      </c>
      <c r="F288" s="157" t="n">
        <f aca="false">+SUM($T288:$U288)</f>
        <v>14883.5779284771</v>
      </c>
      <c r="G288" s="152" t="n">
        <f aca="false">-SUM($AA288,$AG288,$AM288,$AQ288,$AV288:$AX288)</f>
        <v>-16999.8295320225</v>
      </c>
      <c r="H288" s="152" t="n">
        <f aca="false">+SUM(F288:G288)</f>
        <v>-2116.25160354538</v>
      </c>
      <c r="I288" s="124"/>
      <c r="J288" s="153" t="n">
        <f aca="false">+IF($B288=" ",0,IF(AND($B288&gt;=J$26,$B288&lt;J$28),J$33,0))</f>
        <v>0</v>
      </c>
      <c r="K288" s="153" t="n">
        <f aca="false">+IF($B288=" ",0,IF(AND($B288&gt;=K$26,$B288&lt;K$28),K$33,0))</f>
        <v>0</v>
      </c>
      <c r="L288" s="153" t="n">
        <f aca="false">+IF($B288=" ",0,IF(AND($B288&gt;=L$26,$B288&lt;L$28),L$33,0))</f>
        <v>0</v>
      </c>
      <c r="M288" s="153" t="n">
        <f aca="false">+IF($B288=" ",0,IF(AND($B288&gt;=M$26,$B288&lt;M$28),M$33,0))</f>
        <v>0</v>
      </c>
      <c r="N288" s="153" t="n">
        <f aca="false">+IF($B288=" ",0,IF(AND($B288&gt;=N$26,$B288&lt;N$28),N$33,0))</f>
        <v>0</v>
      </c>
      <c r="O288" s="154" t="n">
        <f aca="false">+IF($B288=" ",0,IF(AND($B288&gt;=O$26,$B288&lt;O$28),O$33,0))</f>
        <v>5016515.625</v>
      </c>
      <c r="Q288" s="83" t="n">
        <f aca="false">IF($B288=" ",0,IF($B288&lt;=DATE(2003,12,31),3.55,2.9))</f>
        <v>2.9</v>
      </c>
      <c r="R288" s="155" t="n">
        <f aca="false">IF($B288=" ",0,R$25)</f>
        <v>-0.07</v>
      </c>
      <c r="S288" s="156" t="n">
        <f aca="false">IF($B288=" ",0,S$25)</f>
        <v>0.1</v>
      </c>
      <c r="T288" s="157" t="n">
        <f aca="false">+SUM($Q288,$S288)/1000*(SUM($J288*$J$37,$K288*$K$37,$L288*$L$37,$M288*$M$37,$N288*$N$37,$O288*$O$37))</f>
        <v>14883.5779284771</v>
      </c>
      <c r="U288" s="157" t="n">
        <f aca="false">+SUM($Q288,$R288)/1000*(SUM(0))</f>
        <v>0</v>
      </c>
      <c r="W288" s="158" t="n">
        <f aca="false">IF($B288=" ",0,1)*(IF($B288&gt;=W$25,1,0)*IF($B288&lt;=W$29,W$27,IF($B288&lt;=W$33,W$31,0))*($D288-$D287)*365/1000)</f>
        <v>486.66666666666</v>
      </c>
      <c r="X288" s="158" t="n">
        <f aca="false">IF($B288=" ",0,IF($B288&gt;=X$25,IF($B288&lt;=X$29,X$27,IF($B288&lt;=X$33,X$31,X$31*(1+X$38)^(IF(X$36&gt;$B288,-1,1)*(YEARFRAC($B288,X$36)))))*($D288-$D287)*365/1000,0))</f>
        <v>493.040627439419</v>
      </c>
      <c r="Y288" s="159" t="n">
        <f aca="false">IF($B288=" ",0,Y$25*(1+Y$30)^(IF(Y$28&gt;$B288,-1,1)*(YEARFRAC($B288,Y$28))))</f>
        <v>0.619738455320589</v>
      </c>
      <c r="Z288" s="159" t="n">
        <f aca="false">IF($B288=" ",0,Z$25*(1+Z$30)^(IF(Z$28&gt;$B288,-1,1)*(YEARFRAC($B288,Z$28))))</f>
        <v>0.591620266243339</v>
      </c>
      <c r="AA288" s="162" t="n">
        <f aca="false">+W288+X288+Z288*SUM($J288*$J$37,$L288*$L$37,$N288*$N$37)/1000</f>
        <v>979.707294106079</v>
      </c>
      <c r="AB288" s="161"/>
      <c r="AC288" s="158" t="n">
        <f aca="false">IF($B288=" ",0,1)*(IF($B288&gt;=AC$25,1,0)*IF($B288&lt;=AC$29,AC$27,IF($B288&lt;=AC$33,AC$31,0))*($D288-$D287)*365/1000)</f>
        <v>1591.66666666664</v>
      </c>
      <c r="AD288" s="158" t="n">
        <f aca="false">IF($B288=" ",0,IF($B288&gt;=AD$25,IF($B288&lt;=AD$29,AD$27,IF($B288&lt;=AD$33,AD$31,AD$31*(1+AD$38)^(IF(AD$36&gt;$B288,-1,1)*(YEARFRAC($B288,AD$36)))))*($D288-$D287)*365/1000,0))</f>
        <v>438.913962846272</v>
      </c>
      <c r="AE288" s="159" t="n">
        <f aca="false">IF($B288=" ",0,AE$25*(1+AE$30)^(IF(AE$28&gt;$B288,-1,1)*(YEARFRAC($B288,AE$28))))</f>
        <v>0.513450033577818</v>
      </c>
      <c r="AF288" s="159" t="n">
        <f aca="false">IF($B288=" ",0,AF$25*(1+AF$30)^(IF(AF$28&gt;$B288,-1,1)*(YEARFRAC($B288,AF$28))))</f>
        <v>0.184224707633275</v>
      </c>
      <c r="AG288" s="162" t="n">
        <f aca="false">+AC288+AD288+AF288*SUM($K288*$K$37,$M288*$M$37,$O288*$O$37)/1000</f>
        <v>2944.55489364984</v>
      </c>
      <c r="AI288" s="158" t="n">
        <f aca="false">IF($B288=" ",0,1)*IF($B288&gt;=AI$33,AI$25*($D288-$D287),0)</f>
        <v>485.186570908327</v>
      </c>
      <c r="AJ288" s="158" t="n">
        <f aca="false">IF($B288=" ",0,IF($B288&gt;=AJ$33,AJ$25*(1+AJ$30)^(IF(AJ$28&gt;$B288,-1,1)*(YEARFRAC($B288,AJ$28)))*($D288-$D287),0))</f>
        <v>597.664950407189</v>
      </c>
      <c r="AK288" s="159" t="n">
        <f aca="false">IF($B288=" ",0,AK$25*(1+AK$30)^(IF(AK$28&gt;$B288,-1,1)*(YEARFRAC($B288,AK$28))))</f>
        <v>0.0341573731738962</v>
      </c>
      <c r="AL288" s="159" t="n">
        <f aca="false">IF($B288=" ",0,AL$25*AL$28)</f>
        <v>0.0575</v>
      </c>
      <c r="AM288" s="162" t="n">
        <f aca="false">+AI288+AJ288+SUM(AK288:AL288)*SUM($J288*$J$37,$K288*$K$37,$L288*$L$37,$M288*$M$37,$N288*$N$37,$O288*$O$37)/1000</f>
        <v>1537.58140676658</v>
      </c>
      <c r="AO288" s="163" t="n">
        <f aca="false">IF($B288=" ",0,$AO$25)</f>
        <v>0.25</v>
      </c>
      <c r="AP288" s="159" t="n">
        <f aca="false">IF($B288=" ",0,AP$25*AP$28)</f>
        <v>0.03105</v>
      </c>
      <c r="AQ288" s="162" t="n">
        <f aca="false">SUM(AO288:AP288)*SUM(0)/1000</f>
        <v>0</v>
      </c>
      <c r="AS288" s="155" t="n">
        <f aca="false">IF($B288=" ",0,AS$25)</f>
        <v>1</v>
      </c>
      <c r="AT288" s="156" t="n">
        <f aca="false">IF($B288=" ",0,AT$25)</f>
        <v>1</v>
      </c>
      <c r="AU288" s="156" t="n">
        <f aca="false">IF($B288=" ",0,AU$25)</f>
        <v>2.3</v>
      </c>
      <c r="AV288" s="157" t="n">
        <f aca="false">+AS288*SUM(J288:K288)/1000</f>
        <v>0</v>
      </c>
      <c r="AW288" s="157" t="n">
        <f aca="false">+AT288*SUM(L288:M288)/1000</f>
        <v>0</v>
      </c>
      <c r="AX288" s="157" t="n">
        <f aca="false">+AU288*SUM(N288:O288)/1000</f>
        <v>11537.9859375</v>
      </c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</row>
    <row r="289" customFormat="false" ht="12.75" hidden="true" customHeight="false" outlineLevel="1" collapsed="false">
      <c r="A289" s="164" t="n">
        <f aca="false">+IF(B289=" ",A288,B289)</f>
        <v>44075</v>
      </c>
      <c r="B289" s="148" t="n">
        <f aca="false">IF(B288=" "," ",IF(EDATE(B288,1)&gt;=EndDate," ",EDATE(B288,1)))</f>
        <v>44075</v>
      </c>
      <c r="C289" s="149" t="n">
        <f aca="false">IF($B289&lt;&gt;" ",C288+1,C288)</f>
        <v>239</v>
      </c>
      <c r="D289" s="150" t="n">
        <f aca="false">C289/12</f>
        <v>19.9166666666667</v>
      </c>
      <c r="F289" s="157" t="n">
        <f aca="false">+SUM($T289:$U289)</f>
        <v>14883.5779284771</v>
      </c>
      <c r="G289" s="152" t="n">
        <f aca="false">-SUM($AA289,$AG289,$AM289,$AQ289,$AV289:$AX289)</f>
        <v>-17003.1684915932</v>
      </c>
      <c r="H289" s="152" t="n">
        <f aca="false">+SUM(F289:G289)</f>
        <v>-2119.5905631161</v>
      </c>
      <c r="I289" s="124"/>
      <c r="J289" s="153" t="n">
        <f aca="false">+IF($B289=" ",0,IF(AND($B289&gt;=J$26,$B289&lt;J$28),J$33,0))</f>
        <v>0</v>
      </c>
      <c r="K289" s="153" t="n">
        <f aca="false">+IF($B289=" ",0,IF(AND($B289&gt;=K$26,$B289&lt;K$28),K$33,0))</f>
        <v>0</v>
      </c>
      <c r="L289" s="153" t="n">
        <f aca="false">+IF($B289=" ",0,IF(AND($B289&gt;=L$26,$B289&lt;L$28),L$33,0))</f>
        <v>0</v>
      </c>
      <c r="M289" s="153" t="n">
        <f aca="false">+IF($B289=" ",0,IF(AND($B289&gt;=M$26,$B289&lt;M$28),M$33,0))</f>
        <v>0</v>
      </c>
      <c r="N289" s="153" t="n">
        <f aca="false">+IF($B289=" ",0,IF(AND($B289&gt;=N$26,$B289&lt;N$28),N$33,0))</f>
        <v>0</v>
      </c>
      <c r="O289" s="154" t="n">
        <f aca="false">+IF($B289=" ",0,IF(AND($B289&gt;=O$26,$B289&lt;O$28),O$33,0))</f>
        <v>5016515.625</v>
      </c>
      <c r="Q289" s="83" t="n">
        <f aca="false">IF($B289=" ",0,IF($B289&lt;=DATE(2003,12,31),3.55,2.9))</f>
        <v>2.9</v>
      </c>
      <c r="R289" s="155" t="n">
        <f aca="false">IF($B289=" ",0,R$25)</f>
        <v>-0.07</v>
      </c>
      <c r="S289" s="156" t="n">
        <f aca="false">IF($B289=" ",0,S$25)</f>
        <v>0.1</v>
      </c>
      <c r="T289" s="157" t="n">
        <f aca="false">+SUM($Q289,$S289)/1000*(SUM($J289*$J$37,$K289*$K$37,$L289*$L$37,$M289*$M$37,$N289*$N$37,$O289*$O$37))</f>
        <v>14883.5779284771</v>
      </c>
      <c r="U289" s="157" t="n">
        <f aca="false">+SUM($Q289,$R289)/1000*(SUM(0))</f>
        <v>0</v>
      </c>
      <c r="W289" s="158" t="n">
        <f aca="false">IF($B289=" ",0,1)*(IF($B289&gt;=W$25,1,0)*IF($B289&lt;=W$29,W$27,IF($B289&lt;=W$33,W$31,0))*($D289-$D288)*365/1000)</f>
        <v>486.666666666681</v>
      </c>
      <c r="X289" s="158" t="n">
        <f aca="false">IF($B289=" ",0,IF($B289&gt;=X$25,IF($B289&lt;=X$29,X$27,IF($B289&lt;=X$33,X$31,X$31*(1+X$38)^(IF(X$36&gt;$B289,-1,1)*(YEARFRAC($B289,X$36)))))*($D289-$D288)*365/1000,0))</f>
        <v>493.720230172366</v>
      </c>
      <c r="Y289" s="159" t="n">
        <f aca="false">IF($B289=" ",0,Y$25*(1+Y$30)^(IF(Y$28&gt;$B289,-1,1)*(YEARFRAC($B289,Y$28))))</f>
        <v>0.62059269719133</v>
      </c>
      <c r="Z289" s="159" t="n">
        <f aca="false">IF($B289=" ",0,Z$25*(1+Z$30)^(IF(Z$28&gt;$B289,-1,1)*(YEARFRAC($B289,Z$28))))</f>
        <v>0.592435750257063</v>
      </c>
      <c r="AA289" s="162" t="n">
        <f aca="false">+W289+X289+Z289*SUM($J289*$J$37,$L289*$L$37,$N289*$N$37)/1000</f>
        <v>980.386896839047</v>
      </c>
      <c r="AB289" s="161"/>
      <c r="AC289" s="158" t="n">
        <f aca="false">IF($B289=" ",0,1)*(IF($B289&gt;=AC$25,1,0)*IF($B289&lt;=AC$29,AC$27,IF($B289&lt;=AC$33,AC$31,0))*($D289-$D288)*365/1000)</f>
        <v>1591.66666666671</v>
      </c>
      <c r="AD289" s="158" t="n">
        <f aca="false">IF($B289=" ",0,IF($B289&gt;=AD$25,IF($B289&lt;=AD$29,AD$27,IF($B289&lt;=AD$33,AD$31,AD$31*(1+AD$38)^(IF(AD$36&gt;$B289,-1,1)*(YEARFRAC($B289,AD$36)))))*($D289-$D288)*365/1000,0))</f>
        <v>439.518957875237</v>
      </c>
      <c r="AE289" s="159" t="n">
        <f aca="false">IF($B289=" ",0,AE$25*(1+AE$30)^(IF(AE$28&gt;$B289,-1,1)*(YEARFRAC($B289,AE$28))))</f>
        <v>0.514157768451215</v>
      </c>
      <c r="AF289" s="159" t="n">
        <f aca="false">IF($B289=" ",0,AF$25*(1+AF$30)^(IF(AF$28&gt;$B289,-1,1)*(YEARFRAC($B289,AF$28))))</f>
        <v>0.184478641300832</v>
      </c>
      <c r="AG289" s="162" t="n">
        <f aca="false">+AC289+AD289+AF289*SUM($K289*$K$37,$M289*$M$37,$O289*$O$37)/1000</f>
        <v>2946.41970252212</v>
      </c>
      <c r="AI289" s="158" t="n">
        <f aca="false">IF($B289=" ",0,1)*IF($B289&gt;=AI$33,AI$25*($D289-$D288),0)</f>
        <v>485.186570908347</v>
      </c>
      <c r="AJ289" s="158" t="n">
        <f aca="false">IF($B289=" ",0,IF($B289&gt;=AJ$33,AJ$25*(1+AJ$30)^(IF(AJ$28&gt;$B289,-1,1)*(YEARFRAC($B289,AJ$28)))*($D289-$D288),0))</f>
        <v>598.283979497723</v>
      </c>
      <c r="AK289" s="159" t="n">
        <f aca="false">IF($B289=" ",0,AK$25*(1+AK$30)^(IF(AK$28&gt;$B289,-1,1)*(YEARFRAC($B289,AK$28))))</f>
        <v>0.0341927515370336</v>
      </c>
      <c r="AL289" s="159" t="n">
        <f aca="false">IF($B289=" ",0,AL$25*AL$28)</f>
        <v>0.0575</v>
      </c>
      <c r="AM289" s="162" t="n">
        <f aca="false">+AI289+AJ289+SUM(AK289:AL289)*SUM($J289*$J$37,$K289*$K$37,$L289*$L$37,$M289*$M$37,$N289*$N$37,$O289*$O$37)/1000</f>
        <v>1538.37595473205</v>
      </c>
      <c r="AO289" s="163" t="n">
        <f aca="false">IF($B289=" ",0,$AO$25)</f>
        <v>0.25</v>
      </c>
      <c r="AP289" s="159" t="n">
        <f aca="false">IF($B289=" ",0,AP$25*AP$28)</f>
        <v>0.03105</v>
      </c>
      <c r="AQ289" s="162" t="n">
        <f aca="false">SUM(AO289:AP289)*SUM(0)/1000</f>
        <v>0</v>
      </c>
      <c r="AS289" s="155" t="n">
        <f aca="false">IF($B289=" ",0,AS$25)</f>
        <v>1</v>
      </c>
      <c r="AT289" s="156" t="n">
        <f aca="false">IF($B289=" ",0,AT$25)</f>
        <v>1</v>
      </c>
      <c r="AU289" s="156" t="n">
        <f aca="false">IF($B289=" ",0,AU$25)</f>
        <v>2.3</v>
      </c>
      <c r="AV289" s="157" t="n">
        <f aca="false">+AS289*SUM(J289:K289)/1000</f>
        <v>0</v>
      </c>
      <c r="AW289" s="157" t="n">
        <f aca="false">+AT289*SUM(L289:M289)/1000</f>
        <v>0</v>
      </c>
      <c r="AX289" s="157" t="n">
        <f aca="false">+AU289*SUM(N289:O289)/1000</f>
        <v>11537.9859375</v>
      </c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</row>
    <row r="290" customFormat="false" ht="12.75" hidden="true" customHeight="false" outlineLevel="1" collapsed="false">
      <c r="A290" s="164" t="n">
        <f aca="false">+IF(B290=" ",A289,B290)</f>
        <v>44105</v>
      </c>
      <c r="B290" s="148" t="n">
        <f aca="false">IF(B289=" "," ",IF(EDATE(B289,1)&gt;=EndDate," ",EDATE(B289,1)))</f>
        <v>44105</v>
      </c>
      <c r="C290" s="149" t="n">
        <f aca="false">IF($B290&lt;&gt;" ",C289+1,C289)</f>
        <v>240</v>
      </c>
      <c r="D290" s="150" t="n">
        <f aca="false">C290/12</f>
        <v>20</v>
      </c>
      <c r="F290" s="157" t="n">
        <f aca="false">+SUM($T290:$U290)</f>
        <v>14883.5779284771</v>
      </c>
      <c r="G290" s="152" t="n">
        <f aca="false">-SUM($AA290,$AG290,$AM290,$AQ290,$AV290:$AX290)</f>
        <v>-17006.5117813074</v>
      </c>
      <c r="H290" s="152" t="n">
        <f aca="false">+SUM(F290:G290)</f>
        <v>-2122.93385283025</v>
      </c>
      <c r="I290" s="124"/>
      <c r="J290" s="153" t="n">
        <f aca="false">+IF($B290=" ",0,IF(AND($B290&gt;=J$26,$B290&lt;J$28),J$33,0))</f>
        <v>0</v>
      </c>
      <c r="K290" s="153" t="n">
        <f aca="false">+IF($B290=" ",0,IF(AND($B290&gt;=K$26,$B290&lt;K$28),K$33,0))</f>
        <v>0</v>
      </c>
      <c r="L290" s="153" t="n">
        <f aca="false">+IF($B290=" ",0,IF(AND($B290&gt;=L$26,$B290&lt;L$28),L$33,0))</f>
        <v>0</v>
      </c>
      <c r="M290" s="153" t="n">
        <f aca="false">+IF($B290=" ",0,IF(AND($B290&gt;=M$26,$B290&lt;M$28),M$33,0))</f>
        <v>0</v>
      </c>
      <c r="N290" s="153" t="n">
        <f aca="false">+IF($B290=" ",0,IF(AND($B290&gt;=N$26,$B290&lt;N$28),N$33,0))</f>
        <v>0</v>
      </c>
      <c r="O290" s="154" t="n">
        <f aca="false">+IF($B290=" ",0,IF(AND($B290&gt;=O$26,$B290&lt;O$28),O$33,0))</f>
        <v>5016515.625</v>
      </c>
      <c r="Q290" s="83" t="n">
        <f aca="false">IF($B290=" ",0,IF($B290&lt;=DATE(2003,12,31),3.55,2.9))</f>
        <v>2.9</v>
      </c>
      <c r="R290" s="155" t="n">
        <f aca="false">IF($B290=" ",0,R$25)</f>
        <v>-0.07</v>
      </c>
      <c r="S290" s="156" t="n">
        <f aca="false">IF($B290=" ",0,S$25)</f>
        <v>0.1</v>
      </c>
      <c r="T290" s="157" t="n">
        <f aca="false">+SUM($Q290,$S290)/1000*(SUM($J290*$J$37,$K290*$K$37,$L290*$L$37,$M290*$M$37,$N290*$N$37,$O290*$O$37))</f>
        <v>14883.5779284771</v>
      </c>
      <c r="U290" s="157" t="n">
        <f aca="false">+SUM($Q290,$R290)/1000*(SUM(0))</f>
        <v>0</v>
      </c>
      <c r="W290" s="158" t="n">
        <f aca="false">IF($B290=" ",0,1)*(IF($B290&gt;=W$25,1,0)*IF($B290&lt;=W$29,W$27,IF($B290&lt;=W$33,W$31,0))*($D290-$D289)*365/1000)</f>
        <v>486.66666666666</v>
      </c>
      <c r="X290" s="158" t="n">
        <f aca="false">IF($B290=" ",0,IF($B290&gt;=X$25,IF($B290&lt;=X$29,X$27,IF($B290&lt;=X$33,X$31,X$31*(1+X$38)^(IF(X$36&gt;$B290,-1,1)*(YEARFRAC($B290,X$36)))))*($D290-$D289)*365/1000,0))</f>
        <v>494.400769663519</v>
      </c>
      <c r="Y290" s="159" t="n">
        <f aca="false">IF($B290=" ",0,Y$25*(1+Y$30)^(IF(Y$28&gt;$B290,-1,1)*(YEARFRAC($B290,Y$28))))</f>
        <v>0.621448116541324</v>
      </c>
      <c r="Z290" s="159" t="n">
        <f aca="false">IF($B290=" ",0,Z$25*(1+Z$30)^(IF(Z$28&gt;$B290,-1,1)*(YEARFRAC($B290,Z$28))))</f>
        <v>0.593252358326561</v>
      </c>
      <c r="AA290" s="162" t="n">
        <f aca="false">+W290+X290+Z290*SUM($J290*$J$37,$L290*$L$37,$N290*$N$37)/1000</f>
        <v>981.067436330179</v>
      </c>
      <c r="AB290" s="161"/>
      <c r="AC290" s="158" t="n">
        <f aca="false">IF($B290=" ",0,1)*(IF($B290&gt;=AC$25,1,0)*IF($B290&lt;=AC$29,AC$27,IF($B290&lt;=AC$33,AC$31,0))*($D290-$D289)*365/1000)</f>
        <v>1591.66666666664</v>
      </c>
      <c r="AD290" s="158" t="n">
        <f aca="false">IF($B290=" ",0,IF($B290&gt;=AD$25,IF($B290&lt;=AD$29,AD$27,IF($B290&lt;=AD$33,AD$31,AD$31*(1+AD$38)^(IF(AD$36&gt;$B290,-1,1)*(YEARFRAC($B290,AD$36)))))*($D290-$D289)*365/1000,0))</f>
        <v>440.12478682383</v>
      </c>
      <c r="AE290" s="159" t="n">
        <f aca="false">IF($B290=" ",0,AE$25*(1+AE$30)^(IF(AE$28&gt;$B290,-1,1)*(YEARFRAC($B290,AE$28))))</f>
        <v>0.514866478859947</v>
      </c>
      <c r="AF290" s="159" t="n">
        <f aca="false">IF($B290=" ",0,AF$25*(1+AF$30)^(IF(AF$28&gt;$B290,-1,1)*(YEARFRAC($B290,AF$28))))</f>
        <v>0.184732924988254</v>
      </c>
      <c r="AG290" s="162" t="n">
        <f aca="false">+AC290+AD290+AF290*SUM($K290*$K$37,$M290*$M$37,$O290*$O$37)/1000</f>
        <v>2948.28708182987</v>
      </c>
      <c r="AI290" s="158" t="n">
        <f aca="false">IF($B290=" ",0,1)*IF($B290&gt;=AI$33,AI$25*($D290-$D289),0)</f>
        <v>485.186570908327</v>
      </c>
      <c r="AJ290" s="158" t="n">
        <f aca="false">IF($B290=" ",0,IF($B290&gt;=AJ$33,AJ$25*(1+AJ$30)^(IF(AJ$28&gt;$B290,-1,1)*(YEARFRAC($B290,AJ$28)))*($D290-$D289),0))</f>
        <v>598.90364974512</v>
      </c>
      <c r="AK290" s="159" t="n">
        <f aca="false">IF($B290=" ",0,AK$25*(1+AK$30)^(IF(AK$28&gt;$B290,-1,1)*(YEARFRAC($B290,AK$28))))</f>
        <v>0.0342281665431697</v>
      </c>
      <c r="AL290" s="159" t="n">
        <f aca="false">IF($B290=" ",0,AL$25*AL$28)</f>
        <v>0.0575</v>
      </c>
      <c r="AM290" s="162" t="n">
        <f aca="false">+AI290+AJ290+SUM(AK290:AL290)*SUM($J290*$J$37,$K290*$K$37,$L290*$L$37,$M290*$M$37,$N290*$N$37,$O290*$O$37)/1000</f>
        <v>1539.17132564731</v>
      </c>
      <c r="AO290" s="163" t="n">
        <f aca="false">IF($B290=" ",0,$AO$25)</f>
        <v>0.25</v>
      </c>
      <c r="AP290" s="159" t="n">
        <f aca="false">IF($B290=" ",0,AP$25*AP$28)</f>
        <v>0.03105</v>
      </c>
      <c r="AQ290" s="162" t="n">
        <f aca="false">SUM(AO290:AP290)*SUM(0)/1000</f>
        <v>0</v>
      </c>
      <c r="AS290" s="155" t="n">
        <f aca="false">IF($B290=" ",0,AS$25)</f>
        <v>1</v>
      </c>
      <c r="AT290" s="156" t="n">
        <f aca="false">IF($B290=" ",0,AT$25)</f>
        <v>1</v>
      </c>
      <c r="AU290" s="156" t="n">
        <f aca="false">IF($B290=" ",0,AU$25)</f>
        <v>2.3</v>
      </c>
      <c r="AV290" s="157" t="n">
        <f aca="false">+AS290*SUM(J290:K290)/1000</f>
        <v>0</v>
      </c>
      <c r="AW290" s="157" t="n">
        <f aca="false">+AT290*SUM(L290:M290)/1000</f>
        <v>0</v>
      </c>
      <c r="AX290" s="157" t="n">
        <f aca="false">+AU290*SUM(N290:O290)/1000</f>
        <v>11537.9859375</v>
      </c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</row>
    <row r="291" customFormat="false" ht="12.75" hidden="true" customHeight="false" outlineLevel="1" collapsed="false">
      <c r="A291" s="164" t="n">
        <f aca="false">+IF(B291=" ",A290,B291)</f>
        <v>44136</v>
      </c>
      <c r="B291" s="148" t="n">
        <f aca="false">IF(B290=" "," ",IF(EDATE(B290,1)&gt;=EndDate," ",EDATE(B290,1)))</f>
        <v>44136</v>
      </c>
      <c r="C291" s="149" t="n">
        <f aca="false">IF($B291&lt;&gt;" ",C290+1,C290)</f>
        <v>241</v>
      </c>
      <c r="D291" s="150" t="n">
        <f aca="false">C291/12</f>
        <v>20.0833333333333</v>
      </c>
      <c r="F291" s="157" t="n">
        <f aca="false">+SUM($T291:$U291)</f>
        <v>14883.5779284771</v>
      </c>
      <c r="G291" s="152" t="n">
        <f aca="false">-SUM($AA291,$AG291,$AM291,$AQ291,$AV291:$AX291)</f>
        <v>-17009.8594068521</v>
      </c>
      <c r="H291" s="152" t="n">
        <f aca="false">+SUM(F291:G291)</f>
        <v>-2126.28147837502</v>
      </c>
      <c r="I291" s="124"/>
      <c r="J291" s="153" t="n">
        <f aca="false">+IF($B291=" ",0,IF(AND($B291&gt;=J$26,$B291&lt;J$28),J$33,0))</f>
        <v>0</v>
      </c>
      <c r="K291" s="153" t="n">
        <f aca="false">+IF($B291=" ",0,IF(AND($B291&gt;=K$26,$B291&lt;K$28),K$33,0))</f>
        <v>0</v>
      </c>
      <c r="L291" s="153" t="n">
        <f aca="false">+IF($B291=" ",0,IF(AND($B291&gt;=L$26,$B291&lt;L$28),L$33,0))</f>
        <v>0</v>
      </c>
      <c r="M291" s="153" t="n">
        <f aca="false">+IF($B291=" ",0,IF(AND($B291&gt;=M$26,$B291&lt;M$28),M$33,0))</f>
        <v>0</v>
      </c>
      <c r="N291" s="153" t="n">
        <f aca="false">+IF($B291=" ",0,IF(AND($B291&gt;=N$26,$B291&lt;N$28),N$33,0))</f>
        <v>0</v>
      </c>
      <c r="O291" s="154" t="n">
        <f aca="false">+IF($B291=" ",0,IF(AND($B291&gt;=O$26,$B291&lt;O$28),O$33,0))</f>
        <v>5016515.625</v>
      </c>
      <c r="Q291" s="83" t="n">
        <f aca="false">IF($B291=" ",0,IF($B291&lt;=DATE(2003,12,31),3.55,2.9))</f>
        <v>2.9</v>
      </c>
      <c r="R291" s="155" t="n">
        <f aca="false">IF($B291=" ",0,R$25)</f>
        <v>-0.07</v>
      </c>
      <c r="S291" s="156" t="n">
        <f aca="false">IF($B291=" ",0,S$25)</f>
        <v>0.1</v>
      </c>
      <c r="T291" s="157" t="n">
        <f aca="false">+SUM($Q291,$S291)/1000*(SUM($J291*$J$37,$K291*$K$37,$L291*$L$37,$M291*$M$37,$N291*$N$37,$O291*$O$37))</f>
        <v>14883.5779284771</v>
      </c>
      <c r="U291" s="157" t="n">
        <f aca="false">+SUM($Q291,$R291)/1000*(SUM(0))</f>
        <v>0</v>
      </c>
      <c r="W291" s="158" t="n">
        <f aca="false">IF($B291=" ",0,1)*(IF($B291&gt;=W$25,1,0)*IF($B291&lt;=W$29,W$27,IF($B291&lt;=W$33,W$31,0))*($D291-$D290)*365/1000)</f>
        <v>486.66666666666</v>
      </c>
      <c r="X291" s="158" t="n">
        <f aca="false">IF($B291=" ",0,IF($B291&gt;=X$25,IF($B291&lt;=X$29,X$27,IF($B291&lt;=X$33,X$31,X$31*(1+X$38)^(IF(X$36&gt;$B291,-1,1)*(YEARFRAC($B291,X$36)))))*($D291-$D290)*365/1000,0))</f>
        <v>495.082247204161</v>
      </c>
      <c r="Y291" s="159" t="n">
        <f aca="false">IF($B291=" ",0,Y$25*(1+Y$30)^(IF(Y$28&gt;$B291,-1,1)*(YEARFRAC($B291,Y$28))))</f>
        <v>0.622304714993598</v>
      </c>
      <c r="Z291" s="159" t="n">
        <f aca="false">IF($B291=" ",0,Z$25*(1+Z$30)^(IF(Z$28&gt;$B291,-1,1)*(YEARFRAC($B291,Z$28))))</f>
        <v>0.594070092001223</v>
      </c>
      <c r="AA291" s="162" t="n">
        <f aca="false">+W291+X291+Z291*SUM($J291*$J$37,$L291*$L$37,$N291*$N$37)/1000</f>
        <v>981.748913870821</v>
      </c>
      <c r="AB291" s="161"/>
      <c r="AC291" s="158" t="n">
        <f aca="false">IF($B291=" ",0,1)*(IF($B291&gt;=AC$25,1,0)*IF($B291&lt;=AC$29,AC$27,IF($B291&lt;=AC$33,AC$31,0))*($D291-$D290)*365/1000)</f>
        <v>1591.66666666664</v>
      </c>
      <c r="AD291" s="158" t="n">
        <f aca="false">IF($B291=" ",0,IF($B291&gt;=AD$25,IF($B291&lt;=AD$29,AD$27,IF($B291&lt;=AD$33,AD$31,AD$31*(1+AD$38)^(IF(AD$36&gt;$B291,-1,1)*(YEARFRAC($B291,AD$36)))))*($D291-$D290)*365/1000,0))</f>
        <v>440.731450841575</v>
      </c>
      <c r="AE291" s="159" t="n">
        <f aca="false">IF($B291=" ",0,AE$25*(1+AE$30)^(IF(AE$28&gt;$B291,-1,1)*(YEARFRAC($B291,AE$28))))</f>
        <v>0.515576166148685</v>
      </c>
      <c r="AF291" s="159" t="n">
        <f aca="false">IF($B291=" ",0,AF$25*(1+AF$30)^(IF(AF$28&gt;$B291,-1,1)*(YEARFRAC($B291,AF$28))))</f>
        <v>0.184987559178007</v>
      </c>
      <c r="AG291" s="162" t="n">
        <f aca="false">+AC291+AD291+AF291*SUM($K291*$K$37,$M291*$M$37,$O291*$O$37)/1000</f>
        <v>2950.15703511643</v>
      </c>
      <c r="AI291" s="158" t="n">
        <f aca="false">IF($B291=" ",0,1)*IF($B291&gt;=AI$33,AI$25*($D291-$D290),0)</f>
        <v>485.186570908327</v>
      </c>
      <c r="AJ291" s="158" t="n">
        <f aca="false">IF($B291=" ",0,IF($B291&gt;=AJ$33,AJ$25*(1+AJ$30)^(IF(AJ$28&gt;$B291,-1,1)*(YEARFRAC($B291,AJ$28)))*($D291-$D290),0))</f>
        <v>599.523961813532</v>
      </c>
      <c r="AK291" s="159" t="n">
        <f aca="false">IF($B291=" ",0,AK$25*(1+AK$30)^(IF(AK$28&gt;$B291,-1,1)*(YEARFRAC($B291,AK$28))))</f>
        <v>0.0342636182302572</v>
      </c>
      <c r="AL291" s="159" t="n">
        <f aca="false">IF($B291=" ",0,AL$25*AL$28)</f>
        <v>0.0575</v>
      </c>
      <c r="AM291" s="162" t="n">
        <f aca="false">+AI291+AJ291+SUM(AK291:AL291)*SUM($J291*$J$37,$K291*$K$37,$L291*$L$37,$M291*$M$37,$N291*$N$37,$O291*$O$37)/1000</f>
        <v>1539.96752036488</v>
      </c>
      <c r="AO291" s="163" t="n">
        <f aca="false">IF($B291=" ",0,$AO$25)</f>
        <v>0.25</v>
      </c>
      <c r="AP291" s="159" t="n">
        <f aca="false">IF($B291=" ",0,AP$25*AP$28)</f>
        <v>0.03105</v>
      </c>
      <c r="AQ291" s="162" t="n">
        <f aca="false">SUM(AO291:AP291)*SUM(0)/1000</f>
        <v>0</v>
      </c>
      <c r="AS291" s="155" t="n">
        <f aca="false">IF($B291=" ",0,AS$25)</f>
        <v>1</v>
      </c>
      <c r="AT291" s="156" t="n">
        <f aca="false">IF($B291=" ",0,AT$25)</f>
        <v>1</v>
      </c>
      <c r="AU291" s="156" t="n">
        <f aca="false">IF($B291=" ",0,AU$25)</f>
        <v>2.3</v>
      </c>
      <c r="AV291" s="157" t="n">
        <f aca="false">+AS291*SUM(J291:K291)/1000</f>
        <v>0</v>
      </c>
      <c r="AW291" s="157" t="n">
        <f aca="false">+AT291*SUM(L291:M291)/1000</f>
        <v>0</v>
      </c>
      <c r="AX291" s="157" t="n">
        <f aca="false">+AU291*SUM(N291:O291)/1000</f>
        <v>11537.9859375</v>
      </c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</row>
    <row r="292" customFormat="false" ht="12.75" hidden="true" customHeight="false" outlineLevel="1" collapsed="false">
      <c r="A292" s="164" t="n">
        <f aca="false">+IF(B292=" ",A291,B292)</f>
        <v>44166</v>
      </c>
      <c r="B292" s="148" t="n">
        <f aca="false">IF(B291=" "," ",IF(EDATE(B291,1)&gt;=EndDate," ",EDATE(B291,1)))</f>
        <v>44166</v>
      </c>
      <c r="C292" s="149" t="n">
        <f aca="false">IF($B292&lt;&gt;" ",C291+1,C291)</f>
        <v>242</v>
      </c>
      <c r="D292" s="150" t="n">
        <f aca="false">C292/12</f>
        <v>20.1666666666667</v>
      </c>
      <c r="F292" s="157" t="n">
        <f aca="false">+SUM($T292:$U292)</f>
        <v>14883.5779284771</v>
      </c>
      <c r="G292" s="152" t="n">
        <f aca="false">-SUM($AA292,$AG292,$AM292,$AQ292,$AV292:$AX292)</f>
        <v>-17013.2113739217</v>
      </c>
      <c r="H292" s="152" t="n">
        <f aca="false">+SUM(F292:G292)</f>
        <v>-2129.6334454446</v>
      </c>
      <c r="I292" s="124"/>
      <c r="J292" s="153" t="n">
        <f aca="false">+IF($B292=" ",0,IF(AND($B292&gt;=J$26,$B292&lt;J$28),J$33,0))</f>
        <v>0</v>
      </c>
      <c r="K292" s="153" t="n">
        <f aca="false">+IF($B292=" ",0,IF(AND($B292&gt;=K$26,$B292&lt;K$28),K$33,0))</f>
        <v>0</v>
      </c>
      <c r="L292" s="153" t="n">
        <f aca="false">+IF($B292=" ",0,IF(AND($B292&gt;=L$26,$B292&lt;L$28),L$33,0))</f>
        <v>0</v>
      </c>
      <c r="M292" s="153" t="n">
        <f aca="false">+IF($B292=" ",0,IF(AND($B292&gt;=M$26,$B292&lt;M$28),M$33,0))</f>
        <v>0</v>
      </c>
      <c r="N292" s="153" t="n">
        <f aca="false">+IF($B292=" ",0,IF(AND($B292&gt;=N$26,$B292&lt;N$28),N$33,0))</f>
        <v>0</v>
      </c>
      <c r="O292" s="154" t="n">
        <f aca="false">+IF($B292=" ",0,IF(AND($B292&gt;=O$26,$B292&lt;O$28),O$33,0))</f>
        <v>5016515.625</v>
      </c>
      <c r="Q292" s="83" t="n">
        <f aca="false">IF($B292=" ",0,IF($B292&lt;=DATE(2003,12,31),3.55,2.9))</f>
        <v>2.9</v>
      </c>
      <c r="R292" s="155" t="n">
        <f aca="false">IF($B292=" ",0,R$25)</f>
        <v>-0.07</v>
      </c>
      <c r="S292" s="156" t="n">
        <f aca="false">IF($B292=" ",0,S$25)</f>
        <v>0.1</v>
      </c>
      <c r="T292" s="157" t="n">
        <f aca="false">+SUM($Q292,$S292)/1000*(SUM($J292*$J$37,$K292*$K$37,$L292*$L$37,$M292*$M$37,$N292*$N$37,$O292*$O$37))</f>
        <v>14883.5779284771</v>
      </c>
      <c r="U292" s="157" t="n">
        <f aca="false">+SUM($Q292,$R292)/1000*(SUM(0))</f>
        <v>0</v>
      </c>
      <c r="W292" s="158" t="n">
        <f aca="false">IF($B292=" ",0,1)*(IF($B292&gt;=W$25,1,0)*IF($B292&lt;=W$29,W$27,IF($B292&lt;=W$33,W$31,0))*($D292-$D291)*365/1000)</f>
        <v>486.666666666681</v>
      </c>
      <c r="X292" s="158" t="n">
        <f aca="false">IF($B292=" ",0,IF($B292&gt;=X$25,IF($B292&lt;=X$29,X$27,IF($B292&lt;=X$33,X$31,X$31*(1+X$38)^(IF(X$36&gt;$B292,-1,1)*(YEARFRAC($B292,X$36)))))*($D292-$D291)*365/1000,0))</f>
        <v>495.764664087291</v>
      </c>
      <c r="Y292" s="159" t="n">
        <f aca="false">IF($B292=" ",0,Y$25*(1+Y$30)^(IF(Y$28&gt;$B292,-1,1)*(YEARFRAC($B292,Y$28))))</f>
        <v>0.623162494173417</v>
      </c>
      <c r="Z292" s="159" t="n">
        <f aca="false">IF($B292=" ",0,Z$25*(1+Z$30)^(IF(Z$28&gt;$B292,-1,1)*(YEARFRAC($B292,Z$28))))</f>
        <v>0.594888952832571</v>
      </c>
      <c r="AA292" s="162" t="n">
        <f aca="false">+W292+X292+Z292*SUM($J292*$J$37,$L292*$L$37,$N292*$N$37)/1000</f>
        <v>982.431330753971</v>
      </c>
      <c r="AB292" s="161"/>
      <c r="AC292" s="158" t="n">
        <f aca="false">IF($B292=" ",0,1)*(IF($B292&gt;=AC$25,1,0)*IF($B292&lt;=AC$29,AC$27,IF($B292&lt;=AC$33,AC$31,0))*($D292-$D291)*365/1000)</f>
        <v>1591.66666666671</v>
      </c>
      <c r="AD292" s="158" t="n">
        <f aca="false">IF($B292=" ",0,IF($B292&gt;=AD$25,IF($B292&lt;=AD$29,AD$27,IF($B292&lt;=AD$33,AD$31,AD$31*(1+AD$38)^(IF(AD$36&gt;$B292,-1,1)*(YEARFRAC($B292,AD$36)))))*($D292-$D291)*365/1000,0))</f>
        <v>441.338951079523</v>
      </c>
      <c r="AE292" s="159" t="n">
        <f aca="false">IF($B292=" ",0,AE$25*(1+AE$30)^(IF(AE$28&gt;$B292,-1,1)*(YEARFRAC($B292,AE$28))))</f>
        <v>0.516286831663951</v>
      </c>
      <c r="AF292" s="159" t="n">
        <f aca="false">IF($B292=" ",0,AF$25*(1+AF$30)^(IF(AF$28&gt;$B292,-1,1)*(YEARFRAC($B292,AF$28))))</f>
        <v>0.18524254435322</v>
      </c>
      <c r="AG292" s="162" t="n">
        <f aca="false">+AC292+AD292+AF292*SUM($K292*$K$37,$M292*$M$37,$O292*$O$37)/1000</f>
        <v>2952.02956592974</v>
      </c>
      <c r="AI292" s="158" t="n">
        <f aca="false">IF($B292=" ",0,1)*IF($B292&gt;=AI$33,AI$25*($D292-$D291),0)</f>
        <v>485.186570908347</v>
      </c>
      <c r="AJ292" s="158" t="n">
        <f aca="false">IF($B292=" ",0,IF($B292&gt;=AJ$33,AJ$25*(1+AJ$30)^(IF(AJ$28&gt;$B292,-1,1)*(YEARFRAC($B292,AJ$28)))*($D292-$D291),0))</f>
        <v>600.144916367722</v>
      </c>
      <c r="AK292" s="159" t="n">
        <f aca="false">IF($B292=" ",0,AK$25*(1+AK$30)^(IF(AK$28&gt;$B292,-1,1)*(YEARFRAC($B292,AK$28))))</f>
        <v>0.0342991066362883</v>
      </c>
      <c r="AL292" s="159" t="n">
        <f aca="false">IF($B292=" ",0,AL$25*AL$28)</f>
        <v>0.0575</v>
      </c>
      <c r="AM292" s="162" t="n">
        <f aca="false">+AI292+AJ292+SUM(AK292:AL292)*SUM($J292*$J$37,$K292*$K$37,$L292*$L$37,$M292*$M$37,$N292*$N$37,$O292*$O$37)/1000</f>
        <v>1540.764539738</v>
      </c>
      <c r="AO292" s="163" t="n">
        <f aca="false">IF($B292=" ",0,$AO$25)</f>
        <v>0.25</v>
      </c>
      <c r="AP292" s="159" t="n">
        <f aca="false">IF($B292=" ",0,AP$25*AP$28)</f>
        <v>0.03105</v>
      </c>
      <c r="AQ292" s="162" t="n">
        <f aca="false">SUM(AO292:AP292)*SUM(0)/1000</f>
        <v>0</v>
      </c>
      <c r="AS292" s="155" t="n">
        <f aca="false">IF($B292=" ",0,AS$25)</f>
        <v>1</v>
      </c>
      <c r="AT292" s="156" t="n">
        <f aca="false">IF($B292=" ",0,AT$25)</f>
        <v>1</v>
      </c>
      <c r="AU292" s="156" t="n">
        <f aca="false">IF($B292=" ",0,AU$25)</f>
        <v>2.3</v>
      </c>
      <c r="AV292" s="157" t="n">
        <f aca="false">+AS292*SUM(J292:K292)/1000</f>
        <v>0</v>
      </c>
      <c r="AW292" s="157" t="n">
        <f aca="false">+AT292*SUM(L292:M292)/1000</f>
        <v>0</v>
      </c>
      <c r="AX292" s="157" t="n">
        <f aca="false">+AU292*SUM(N292:O292)/1000</f>
        <v>11537.9859375</v>
      </c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</row>
    <row r="293" customFormat="false" ht="12.75" hidden="true" customHeight="false" outlineLevel="1" collapsed="false">
      <c r="A293" s="164" t="n">
        <f aca="false">+IF(B293=" ",A292,B293)</f>
        <v>44197</v>
      </c>
      <c r="B293" s="148" t="n">
        <f aca="false">IF(B292=" "," ",IF(EDATE(B292,1)&gt;=EndDate," ",EDATE(B292,1)))</f>
        <v>44197</v>
      </c>
      <c r="C293" s="149" t="n">
        <f aca="false">IF($B293&lt;&gt;" ",C292+1,C292)</f>
        <v>243</v>
      </c>
      <c r="D293" s="150" t="n">
        <f aca="false">C293/12</f>
        <v>20.25</v>
      </c>
      <c r="F293" s="157" t="n">
        <f aca="false">+SUM($T293:$U293)</f>
        <v>14883.5779284771</v>
      </c>
      <c r="G293" s="152" t="n">
        <f aca="false">-SUM($AA293,$AG293,$AM293,$AQ293,$AV293:$AX293)</f>
        <v>-17016.5676882173</v>
      </c>
      <c r="H293" s="152" t="n">
        <f aca="false">+SUM(F293:G293)</f>
        <v>-2132.98975974022</v>
      </c>
      <c r="I293" s="124"/>
      <c r="J293" s="153" t="n">
        <f aca="false">+IF($B293=" ",0,IF(AND($B293&gt;=J$26,$B293&lt;J$28),J$33,0))</f>
        <v>0</v>
      </c>
      <c r="K293" s="153" t="n">
        <f aca="false">+IF($B293=" ",0,IF(AND($B293&gt;=K$26,$B293&lt;K$28),K$33,0))</f>
        <v>0</v>
      </c>
      <c r="L293" s="153" t="n">
        <f aca="false">+IF($B293=" ",0,IF(AND($B293&gt;=L$26,$B293&lt;L$28),L$33,0))</f>
        <v>0</v>
      </c>
      <c r="M293" s="153" t="n">
        <f aca="false">+IF($B293=" ",0,IF(AND($B293&gt;=M$26,$B293&lt;M$28),M$33,0))</f>
        <v>0</v>
      </c>
      <c r="N293" s="153" t="n">
        <f aca="false">+IF($B293=" ",0,IF(AND($B293&gt;=N$26,$B293&lt;N$28),N$33,0))</f>
        <v>0</v>
      </c>
      <c r="O293" s="154" t="n">
        <f aca="false">+IF($B293=" ",0,IF(AND($B293&gt;=O$26,$B293&lt;O$28),O$33,0))</f>
        <v>5016515.625</v>
      </c>
      <c r="Q293" s="83" t="n">
        <f aca="false">IF($B293=" ",0,IF($B293&lt;=DATE(2003,12,31),3.55,2.9))</f>
        <v>2.9</v>
      </c>
      <c r="R293" s="155" t="n">
        <f aca="false">IF($B293=" ",0,R$25)</f>
        <v>-0.07</v>
      </c>
      <c r="S293" s="156" t="n">
        <f aca="false">IF($B293=" ",0,S$25)</f>
        <v>0.1</v>
      </c>
      <c r="T293" s="157" t="n">
        <f aca="false">+SUM($Q293,$S293)/1000*(SUM($J293*$J$37,$K293*$K$37,$L293*$L$37,$M293*$M$37,$N293*$N$37,$O293*$O$37))</f>
        <v>14883.5779284771</v>
      </c>
      <c r="U293" s="157" t="n">
        <f aca="false">+SUM($Q293,$R293)/1000*(SUM(0))</f>
        <v>0</v>
      </c>
      <c r="W293" s="158" t="n">
        <f aca="false">IF($B293=" ",0,1)*(IF($B293&gt;=W$25,1,0)*IF($B293&lt;=W$29,W$27,IF($B293&lt;=W$33,W$31,0))*($D293-$D292)*365/1000)</f>
        <v>486.66666666666</v>
      </c>
      <c r="X293" s="158" t="n">
        <f aca="false">IF($B293=" ",0,IF($B293&gt;=X$25,IF($B293&lt;=X$29,X$27,IF($B293&lt;=X$33,X$31,X$31*(1+X$38)^(IF(X$36&gt;$B293,-1,1)*(YEARFRAC($B293,X$36)))))*($D293-$D292)*365/1000,0))</f>
        <v>496.448021607625</v>
      </c>
      <c r="Y293" s="159" t="n">
        <f aca="false">IF($B293=" ",0,Y$25*(1+Y$30)^(IF(Y$28&gt;$B293,-1,1)*(YEARFRAC($B293,Y$28))))</f>
        <v>0.624021455708284</v>
      </c>
      <c r="Z293" s="159" t="n">
        <f aca="false">IF($B293=" ",0,Z$25*(1+Z$30)^(IF(Z$28&gt;$B293,-1,1)*(YEARFRAC($B293,Z$28))))</f>
        <v>0.595708942374268</v>
      </c>
      <c r="AA293" s="162" t="n">
        <f aca="false">+W293+X293+Z293*SUM($J293*$J$37,$L293*$L$37,$N293*$N$37)/1000</f>
        <v>983.114688274285</v>
      </c>
      <c r="AB293" s="161"/>
      <c r="AC293" s="158" t="n">
        <f aca="false">IF($B293=" ",0,1)*(IF($B293&gt;=AC$25,1,0)*IF($B293&lt;=AC$29,AC$27,IF($B293&lt;=AC$33,AC$31,0))*($D293-$D292)*365/1000)</f>
        <v>1591.66666666664</v>
      </c>
      <c r="AD293" s="158" t="n">
        <f aca="false">IF($B293=" ",0,IF($B293&gt;=AD$25,IF($B293&lt;=AD$29,AD$27,IF($B293&lt;=AD$33,AD$31,AD$31*(1+AD$38)^(IF(AD$36&gt;$B293,-1,1)*(YEARFRAC($B293,AD$36)))))*($D293-$D292)*365/1000,0))</f>
        <v>441.947288690257</v>
      </c>
      <c r="AE293" s="159" t="n">
        <f aca="false">IF($B293=" ",0,AE$25*(1+AE$30)^(IF(AE$28&gt;$B293,-1,1)*(YEARFRAC($B293,AE$28))))</f>
        <v>0.516998476754122</v>
      </c>
      <c r="AF293" s="159" t="n">
        <f aca="false">IF($B293=" ",0,AF$25*(1+AF$30)^(IF(AF$28&gt;$B293,-1,1)*(YEARFRAC($B293,AF$28))))</f>
        <v>0.185497880997688</v>
      </c>
      <c r="AG293" s="162" t="n">
        <f aca="false">+AC293+AD293+AF293*SUM($K293*$K$37,$M293*$M$37,$O293*$O$37)/1000</f>
        <v>2953.90467782239</v>
      </c>
      <c r="AI293" s="158" t="n">
        <f aca="false">IF($B293=" ",0,1)*IF($B293&gt;=AI$33,AI$25*($D293-$D292),0)</f>
        <v>485.186570908327</v>
      </c>
      <c r="AJ293" s="158" t="n">
        <f aca="false">IF($B293=" ",0,IF($B293&gt;=AJ$33,AJ$25*(1+AJ$30)^(IF(AJ$28&gt;$B293,-1,1)*(YEARFRAC($B293,AJ$28)))*($D293-$D292),0))</f>
        <v>600.766514073066</v>
      </c>
      <c r="AK293" s="159" t="n">
        <f aca="false">IF($B293=" ",0,AK$25*(1+AK$30)^(IF(AK$28&gt;$B293,-1,1)*(YEARFRAC($B293,AK$28))))</f>
        <v>0.0343346317992946</v>
      </c>
      <c r="AL293" s="159" t="n">
        <f aca="false">IF($B293=" ",0,AL$25*AL$28)</f>
        <v>0.0575</v>
      </c>
      <c r="AM293" s="162" t="n">
        <f aca="false">+AI293+AJ293+SUM(AK293:AL293)*SUM($J293*$J$37,$K293*$K$37,$L293*$L$37,$M293*$M$37,$N293*$N$37,$O293*$O$37)/1000</f>
        <v>1541.56238462066</v>
      </c>
      <c r="AO293" s="163" t="n">
        <f aca="false">IF($B293=" ",0,$AO$25)</f>
        <v>0.25</v>
      </c>
      <c r="AP293" s="159" t="n">
        <f aca="false">IF($B293=" ",0,AP$25*AP$28)</f>
        <v>0.03105</v>
      </c>
      <c r="AQ293" s="162" t="n">
        <f aca="false">SUM(AO293:AP293)*SUM(0)/1000</f>
        <v>0</v>
      </c>
      <c r="AS293" s="155" t="n">
        <f aca="false">IF($B293=" ",0,AS$25)</f>
        <v>1</v>
      </c>
      <c r="AT293" s="156" t="n">
        <f aca="false">IF($B293=" ",0,AT$25)</f>
        <v>1</v>
      </c>
      <c r="AU293" s="156" t="n">
        <f aca="false">IF($B293=" ",0,AU$25)</f>
        <v>2.3</v>
      </c>
      <c r="AV293" s="157" t="n">
        <f aca="false">+AS293*SUM(J293:K293)/1000</f>
        <v>0</v>
      </c>
      <c r="AW293" s="157" t="n">
        <f aca="false">+AT293*SUM(L293:M293)/1000</f>
        <v>0</v>
      </c>
      <c r="AX293" s="157" t="n">
        <f aca="false">+AU293*SUM(N293:O293)/1000</f>
        <v>11537.9859375</v>
      </c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</row>
    <row r="294" customFormat="false" ht="12.75" hidden="true" customHeight="false" outlineLevel="1" collapsed="false">
      <c r="A294" s="164" t="n">
        <f aca="false">+IF(B294=" ",A293,B294)</f>
        <v>44228</v>
      </c>
      <c r="B294" s="148" t="n">
        <f aca="false">IF(B293=" "," ",IF(EDATE(B293,1)&gt;=EndDate," ",EDATE(B293,1)))</f>
        <v>44228</v>
      </c>
      <c r="C294" s="149" t="n">
        <f aca="false">IF($B294&lt;&gt;" ",C293+1,C293)</f>
        <v>244</v>
      </c>
      <c r="D294" s="150" t="n">
        <f aca="false">C294/12</f>
        <v>20.3333333333333</v>
      </c>
      <c r="F294" s="157" t="n">
        <f aca="false">+SUM($T294:$U294)</f>
        <v>14883.5779284771</v>
      </c>
      <c r="G294" s="152" t="n">
        <f aca="false">-SUM($AA294,$AG294,$AM294,$AQ294,$AV294:$AX294)</f>
        <v>-17019.9283554488</v>
      </c>
      <c r="H294" s="152" t="n">
        <f aca="false">+SUM(F294:G294)</f>
        <v>-2136.35042697173</v>
      </c>
      <c r="I294" s="124"/>
      <c r="J294" s="153" t="n">
        <f aca="false">+IF($B294=" ",0,IF(AND($B294&gt;=J$26,$B294&lt;J$28),J$33,0))</f>
        <v>0</v>
      </c>
      <c r="K294" s="153" t="n">
        <f aca="false">+IF($B294=" ",0,IF(AND($B294&gt;=K$26,$B294&lt;K$28),K$33,0))</f>
        <v>0</v>
      </c>
      <c r="L294" s="153" t="n">
        <f aca="false">+IF($B294=" ",0,IF(AND($B294&gt;=L$26,$B294&lt;L$28),L$33,0))</f>
        <v>0</v>
      </c>
      <c r="M294" s="153" t="n">
        <f aca="false">+IF($B294=" ",0,IF(AND($B294&gt;=M$26,$B294&lt;M$28),M$33,0))</f>
        <v>0</v>
      </c>
      <c r="N294" s="153" t="n">
        <f aca="false">+IF($B294=" ",0,IF(AND($B294&gt;=N$26,$B294&lt;N$28),N$33,0))</f>
        <v>0</v>
      </c>
      <c r="O294" s="154" t="n">
        <f aca="false">+IF($B294=" ",0,IF(AND($B294&gt;=O$26,$B294&lt;O$28),O$33,0))</f>
        <v>5016515.625</v>
      </c>
      <c r="Q294" s="83" t="n">
        <f aca="false">IF($B294=" ",0,IF($B294&lt;=DATE(2003,12,31),3.55,2.9))</f>
        <v>2.9</v>
      </c>
      <c r="R294" s="155" t="n">
        <f aca="false">IF($B294=" ",0,R$25)</f>
        <v>-0.07</v>
      </c>
      <c r="S294" s="156" t="n">
        <f aca="false">IF($B294=" ",0,S$25)</f>
        <v>0.1</v>
      </c>
      <c r="T294" s="157" t="n">
        <f aca="false">+SUM($Q294,$S294)/1000*(SUM($J294*$J$37,$K294*$K$37,$L294*$L$37,$M294*$M$37,$N294*$N$37,$O294*$O$37))</f>
        <v>14883.5779284771</v>
      </c>
      <c r="U294" s="157" t="n">
        <f aca="false">+SUM($Q294,$R294)/1000*(SUM(0))</f>
        <v>0</v>
      </c>
      <c r="W294" s="158" t="n">
        <f aca="false">IF($B294=" ",0,1)*(IF($B294&gt;=W$25,1,0)*IF($B294&lt;=W$29,W$27,IF($B294&lt;=W$33,W$31,0))*($D294-$D293)*365/1000)</f>
        <v>486.66666666666</v>
      </c>
      <c r="X294" s="158" t="n">
        <f aca="false">IF($B294=" ",0,IF($B294&gt;=X$25,IF($B294&lt;=X$29,X$27,IF($B294&lt;=X$33,X$31,X$31*(1+X$38)^(IF(X$36&gt;$B294,-1,1)*(YEARFRAC($B294,X$36)))))*($D294-$D293)*365/1000,0))</f>
        <v>497.132321061795</v>
      </c>
      <c r="Y294" s="159" t="n">
        <f aca="false">IF($B294=" ",0,Y$25*(1+Y$30)^(IF(Y$28&gt;$B294,-1,1)*(YEARFRAC($B294,Y$28))))</f>
        <v>0.624881601227946</v>
      </c>
      <c r="Z294" s="159" t="n">
        <f aca="false">IF($B294=" ",0,Z$25*(1+Z$30)^(IF(Z$28&gt;$B294,-1,1)*(YEARFRAC($B294,Z$28))))</f>
        <v>0.59653006218212</v>
      </c>
      <c r="AA294" s="162" t="n">
        <f aca="false">+W294+X294+Z294*SUM($J294*$J$37,$L294*$L$37,$N294*$N$37)/1000</f>
        <v>983.798987728454</v>
      </c>
      <c r="AB294" s="161"/>
      <c r="AC294" s="158" t="n">
        <f aca="false">IF($B294=" ",0,1)*(IF($B294&gt;=AC$25,1,0)*IF($B294&lt;=AC$29,AC$27,IF($B294&lt;=AC$33,AC$31,0))*($D294-$D293)*365/1000)</f>
        <v>1591.66666666664</v>
      </c>
      <c r="AD294" s="158" t="n">
        <f aca="false">IF($B294=" ",0,IF($B294&gt;=AD$25,IF($B294&lt;=AD$29,AD$27,IF($B294&lt;=AD$33,AD$31,AD$31*(1+AD$38)^(IF(AD$36&gt;$B294,-1,1)*(YEARFRAC($B294,AD$36)))))*($D294-$D293)*365/1000,0))</f>
        <v>442.556464828059</v>
      </c>
      <c r="AE294" s="159" t="n">
        <f aca="false">IF($B294=" ",0,AE$25*(1+AE$30)^(IF(AE$28&gt;$B294,-1,1)*(YEARFRAC($B294,AE$28))))</f>
        <v>0.517711102769437</v>
      </c>
      <c r="AF294" s="159" t="n">
        <f aca="false">IF($B294=" ",0,AF$25*(1+AF$30)^(IF(AF$28&gt;$B294,-1,1)*(YEARFRAC($B294,AF$28))))</f>
        <v>0.185753569595872</v>
      </c>
      <c r="AG294" s="162" t="n">
        <f aca="false">+AC294+AD294+AF294*SUM($K294*$K$37,$M294*$M$37,$O294*$O$37)/1000</f>
        <v>2955.78237435236</v>
      </c>
      <c r="AI294" s="158" t="n">
        <f aca="false">IF($B294=" ",0,1)*IF($B294&gt;=AI$33,AI$25*($D294-$D293),0)</f>
        <v>485.186570908327</v>
      </c>
      <c r="AJ294" s="158" t="n">
        <f aca="false">IF($B294=" ",0,IF($B294&gt;=AJ$33,AJ$25*(1+AJ$30)^(IF(AJ$28&gt;$B294,-1,1)*(YEARFRAC($B294,AJ$28)))*($D294-$D293),0))</f>
        <v>601.388755595782</v>
      </c>
      <c r="AK294" s="159" t="n">
        <f aca="false">IF($B294=" ",0,AK$25*(1+AK$30)^(IF(AK$28&gt;$B294,-1,1)*(YEARFRAC($B294,AK$28))))</f>
        <v>0.0343701937573468</v>
      </c>
      <c r="AL294" s="159" t="n">
        <f aca="false">IF($B294=" ",0,AL$25*AL$28)</f>
        <v>0.0575</v>
      </c>
      <c r="AM294" s="162" t="n">
        <f aca="false">+AI294+AJ294+SUM(AK294:AL294)*SUM($J294*$J$37,$K294*$K$37,$L294*$L$37,$M294*$M$37,$N294*$N$37,$O294*$O$37)/1000</f>
        <v>1542.36105586803</v>
      </c>
      <c r="AO294" s="163" t="n">
        <f aca="false">IF($B294=" ",0,$AO$25)</f>
        <v>0.25</v>
      </c>
      <c r="AP294" s="159" t="n">
        <f aca="false">IF($B294=" ",0,AP$25*AP$28)</f>
        <v>0.03105</v>
      </c>
      <c r="AQ294" s="162" t="n">
        <f aca="false">SUM(AO294:AP294)*SUM(0)/1000</f>
        <v>0</v>
      </c>
      <c r="AS294" s="155" t="n">
        <f aca="false">IF($B294=" ",0,AS$25)</f>
        <v>1</v>
      </c>
      <c r="AT294" s="156" t="n">
        <f aca="false">IF($B294=" ",0,AT$25)</f>
        <v>1</v>
      </c>
      <c r="AU294" s="156" t="n">
        <f aca="false">IF($B294=" ",0,AU$25)</f>
        <v>2.3</v>
      </c>
      <c r="AV294" s="157" t="n">
        <f aca="false">+AS294*SUM(J294:K294)/1000</f>
        <v>0</v>
      </c>
      <c r="AW294" s="157" t="n">
        <f aca="false">+AT294*SUM(L294:M294)/1000</f>
        <v>0</v>
      </c>
      <c r="AX294" s="157" t="n">
        <f aca="false">+AU294*SUM(N294:O294)/1000</f>
        <v>11537.9859375</v>
      </c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</row>
    <row r="295" customFormat="false" ht="12.75" hidden="true" customHeight="false" outlineLevel="1" collapsed="false">
      <c r="A295" s="164" t="n">
        <f aca="false">+IF(B295=" ",A294,B295)</f>
        <v>44256</v>
      </c>
      <c r="B295" s="148" t="n">
        <f aca="false">IF(B294=" "," ",IF(EDATE(B294,1)&gt;=EndDate," ",EDATE(B294,1)))</f>
        <v>44256</v>
      </c>
      <c r="C295" s="149" t="n">
        <f aca="false">IF($B295&lt;&gt;" ",C294+1,C294)</f>
        <v>245</v>
      </c>
      <c r="D295" s="150" t="n">
        <f aca="false">C295/12</f>
        <v>20.4166666666667</v>
      </c>
      <c r="F295" s="157" t="n">
        <f aca="false">+SUM($T295:$U295)</f>
        <v>14883.5779284771</v>
      </c>
      <c r="G295" s="152" t="n">
        <f aca="false">-SUM($AA295,$AG295,$AM295,$AQ295,$AV295:$AX295)</f>
        <v>-17023.2933813331</v>
      </c>
      <c r="H295" s="152" t="n">
        <f aca="false">+SUM(F295:G295)</f>
        <v>-2139.71545285602</v>
      </c>
      <c r="I295" s="124"/>
      <c r="J295" s="153" t="n">
        <f aca="false">+IF($B295=" ",0,IF(AND($B295&gt;=J$26,$B295&lt;J$28),J$33,0))</f>
        <v>0</v>
      </c>
      <c r="K295" s="153" t="n">
        <f aca="false">+IF($B295=" ",0,IF(AND($B295&gt;=K$26,$B295&lt;K$28),K$33,0))</f>
        <v>0</v>
      </c>
      <c r="L295" s="153" t="n">
        <f aca="false">+IF($B295=" ",0,IF(AND($B295&gt;=L$26,$B295&lt;L$28),L$33,0))</f>
        <v>0</v>
      </c>
      <c r="M295" s="153" t="n">
        <f aca="false">+IF($B295=" ",0,IF(AND($B295&gt;=M$26,$B295&lt;M$28),M$33,0))</f>
        <v>0</v>
      </c>
      <c r="N295" s="153" t="n">
        <f aca="false">+IF($B295=" ",0,IF(AND($B295&gt;=N$26,$B295&lt;N$28),N$33,0))</f>
        <v>0</v>
      </c>
      <c r="O295" s="154" t="n">
        <f aca="false">+IF($B295=" ",0,IF(AND($B295&gt;=O$26,$B295&lt;O$28),O$33,0))</f>
        <v>5016515.625</v>
      </c>
      <c r="Q295" s="83" t="n">
        <f aca="false">IF($B295=" ",0,IF($B295&lt;=DATE(2003,12,31),3.55,2.9))</f>
        <v>2.9</v>
      </c>
      <c r="R295" s="155" t="n">
        <f aca="false">IF($B295=" ",0,R$25)</f>
        <v>-0.07</v>
      </c>
      <c r="S295" s="156" t="n">
        <f aca="false">IF($B295=" ",0,S$25)</f>
        <v>0.1</v>
      </c>
      <c r="T295" s="157" t="n">
        <f aca="false">+SUM($Q295,$S295)/1000*(SUM($J295*$J$37,$K295*$K$37,$L295*$L$37,$M295*$M$37,$N295*$N$37,$O295*$O$37))</f>
        <v>14883.5779284771</v>
      </c>
      <c r="U295" s="157" t="n">
        <f aca="false">+SUM($Q295,$R295)/1000*(SUM(0))</f>
        <v>0</v>
      </c>
      <c r="W295" s="158" t="n">
        <f aca="false">IF($B295=" ",0,1)*(IF($B295&gt;=W$25,1,0)*IF($B295&lt;=W$29,W$27,IF($B295&lt;=W$33,W$31,0))*($D295-$D294)*365/1000)</f>
        <v>486.666666666681</v>
      </c>
      <c r="X295" s="158" t="n">
        <f aca="false">IF($B295=" ",0,IF($B295&gt;=X$25,IF($B295&lt;=X$29,X$27,IF($B295&lt;=X$33,X$31,X$31*(1+X$38)^(IF(X$36&gt;$B295,-1,1)*(YEARFRAC($B295,X$36)))))*($D295-$D294)*365/1000,0))</f>
        <v>497.817563748152</v>
      </c>
      <c r="Y295" s="159" t="n">
        <f aca="false">IF($B295=" ",0,Y$25*(1+Y$30)^(IF(Y$28&gt;$B295,-1,1)*(YEARFRAC($B295,Y$28))))</f>
        <v>0.625742932364399</v>
      </c>
      <c r="Z295" s="159" t="n">
        <f aca="false">IF($B295=" ",0,Z$25*(1+Z$30)^(IF(Z$28&gt;$B295,-1,1)*(YEARFRAC($B295,Z$28))))</f>
        <v>0.597352313814073</v>
      </c>
      <c r="AA295" s="162" t="n">
        <f aca="false">+W295+X295+Z295*SUM($J295*$J$37,$L295*$L$37,$N295*$N$37)/1000</f>
        <v>984.484230414832</v>
      </c>
      <c r="AB295" s="161"/>
      <c r="AC295" s="158" t="n">
        <f aca="false">IF($B295=" ",0,1)*(IF($B295&gt;=AC$25,1,0)*IF($B295&lt;=AC$29,AC$27,IF($B295&lt;=AC$33,AC$31,0))*($D295-$D294)*365/1000)</f>
        <v>1591.66666666671</v>
      </c>
      <c r="AD295" s="158" t="n">
        <f aca="false">IF($B295=" ",0,IF($B295&gt;=AD$25,IF($B295&lt;=AD$29,AD$27,IF($B295&lt;=AD$33,AD$31,AD$31*(1+AD$38)^(IF(AD$36&gt;$B295,-1,1)*(YEARFRAC($B295,AD$36)))))*($D295-$D294)*365/1000,0))</f>
        <v>443.166480648747</v>
      </c>
      <c r="AE295" s="159" t="n">
        <f aca="false">IF($B295=" ",0,AE$25*(1+AE$30)^(IF(AE$28&gt;$B295,-1,1)*(YEARFRAC($B295,AE$28))))</f>
        <v>0.518424711061994</v>
      </c>
      <c r="AF295" s="159" t="n">
        <f aca="false">IF($B295=" ",0,AF$25*(1+AF$30)^(IF(AF$28&gt;$B295,-1,1)*(YEARFRAC($B295,AF$28))))</f>
        <v>0.186009610632903</v>
      </c>
      <c r="AG295" s="162" t="n">
        <f aca="false">+AC295+AD295+AF295*SUM($K295*$K$37,$M295*$M$37,$O295*$O$37)/1000</f>
        <v>2957.66265908229</v>
      </c>
      <c r="AI295" s="158" t="n">
        <f aca="false">IF($B295=" ",0,1)*IF($B295&gt;=AI$33,AI$25*($D295-$D294),0)</f>
        <v>485.186570908347</v>
      </c>
      <c r="AJ295" s="158" t="n">
        <f aca="false">IF($B295=" ",0,IF($B295&gt;=AJ$33,AJ$25*(1+AJ$30)^(IF(AJ$28&gt;$B295,-1,1)*(YEARFRAC($B295,AJ$28)))*($D295-$D294),0))</f>
        <v>602.0116416027</v>
      </c>
      <c r="AK295" s="159" t="n">
        <f aca="false">IF($B295=" ",0,AK$25*(1+AK$30)^(IF(AK$28&gt;$B295,-1,1)*(YEARFRAC($B295,AK$28))))</f>
        <v>0.0344057925485554</v>
      </c>
      <c r="AL295" s="159" t="n">
        <f aca="false">IF($B295=" ",0,AL$25*AL$28)</f>
        <v>0.0575</v>
      </c>
      <c r="AM295" s="162" t="n">
        <f aca="false">+AI295+AJ295+SUM(AK295:AL295)*SUM($J295*$J$37,$K295*$K$37,$L295*$L$37,$M295*$M$37,$N295*$N$37,$O295*$O$37)/1000</f>
        <v>1543.16055433601</v>
      </c>
      <c r="AO295" s="163" t="n">
        <f aca="false">IF($B295=" ",0,$AO$25)</f>
        <v>0.25</v>
      </c>
      <c r="AP295" s="159" t="n">
        <f aca="false">IF($B295=" ",0,AP$25*AP$28)</f>
        <v>0.03105</v>
      </c>
      <c r="AQ295" s="162" t="n">
        <f aca="false">SUM(AO295:AP295)*SUM(0)/1000</f>
        <v>0</v>
      </c>
      <c r="AS295" s="155" t="n">
        <f aca="false">IF($B295=" ",0,AS$25)</f>
        <v>1</v>
      </c>
      <c r="AT295" s="156" t="n">
        <f aca="false">IF($B295=" ",0,AT$25)</f>
        <v>1</v>
      </c>
      <c r="AU295" s="156" t="n">
        <f aca="false">IF($B295=" ",0,AU$25)</f>
        <v>2.3</v>
      </c>
      <c r="AV295" s="157" t="n">
        <f aca="false">+AS295*SUM(J295:K295)/1000</f>
        <v>0</v>
      </c>
      <c r="AW295" s="157" t="n">
        <f aca="false">+AT295*SUM(L295:M295)/1000</f>
        <v>0</v>
      </c>
      <c r="AX295" s="157" t="n">
        <f aca="false">+AU295*SUM(N295:O295)/1000</f>
        <v>11537.9859375</v>
      </c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</row>
    <row r="296" customFormat="false" ht="12.75" hidden="true" customHeight="false" outlineLevel="1" collapsed="false">
      <c r="A296" s="164" t="n">
        <f aca="false">+IF(B296=" ",A295,B296)</f>
        <v>44287</v>
      </c>
      <c r="B296" s="148" t="n">
        <f aca="false">IF(B295=" "," ",IF(EDATE(B295,1)&gt;=EndDate," ",EDATE(B295,1)))</f>
        <v>44287</v>
      </c>
      <c r="C296" s="149" t="n">
        <f aca="false">IF($B296&lt;&gt;" ",C295+1,C295)</f>
        <v>246</v>
      </c>
      <c r="D296" s="150" t="n">
        <f aca="false">C296/12</f>
        <v>20.5</v>
      </c>
      <c r="F296" s="157" t="n">
        <f aca="false">+SUM($T296:$U296)</f>
        <v>14883.5779284771</v>
      </c>
      <c r="G296" s="152" t="n">
        <f aca="false">-SUM($AA296,$AG296,$AM296,$AQ296,$AV296:$AX296)</f>
        <v>-17026.6627715942</v>
      </c>
      <c r="H296" s="152" t="n">
        <f aca="false">+SUM(F296:G296)</f>
        <v>-2143.08484311705</v>
      </c>
      <c r="I296" s="124"/>
      <c r="J296" s="153" t="n">
        <f aca="false">+IF($B296=" ",0,IF(AND($B296&gt;=J$26,$B296&lt;J$28),J$33,0))</f>
        <v>0</v>
      </c>
      <c r="K296" s="153" t="n">
        <f aca="false">+IF($B296=" ",0,IF(AND($B296&gt;=K$26,$B296&lt;K$28),K$33,0))</f>
        <v>0</v>
      </c>
      <c r="L296" s="153" t="n">
        <f aca="false">+IF($B296=" ",0,IF(AND($B296&gt;=L$26,$B296&lt;L$28),L$33,0))</f>
        <v>0</v>
      </c>
      <c r="M296" s="153" t="n">
        <f aca="false">+IF($B296=" ",0,IF(AND($B296&gt;=M$26,$B296&lt;M$28),M$33,0))</f>
        <v>0</v>
      </c>
      <c r="N296" s="153" t="n">
        <f aca="false">+IF($B296=" ",0,IF(AND($B296&gt;=N$26,$B296&lt;N$28),N$33,0))</f>
        <v>0</v>
      </c>
      <c r="O296" s="154" t="n">
        <f aca="false">+IF($B296=" ",0,IF(AND($B296&gt;=O$26,$B296&lt;O$28),O$33,0))</f>
        <v>5016515.625</v>
      </c>
      <c r="Q296" s="83" t="n">
        <f aca="false">IF($B296=" ",0,IF($B296&lt;=DATE(2003,12,31),3.55,2.9))</f>
        <v>2.9</v>
      </c>
      <c r="R296" s="155" t="n">
        <f aca="false">IF($B296=" ",0,R$25)</f>
        <v>-0.07</v>
      </c>
      <c r="S296" s="156" t="n">
        <f aca="false">IF($B296=" ",0,S$25)</f>
        <v>0.1</v>
      </c>
      <c r="T296" s="157" t="n">
        <f aca="false">+SUM($Q296,$S296)/1000*(SUM($J296*$J$37,$K296*$K$37,$L296*$L$37,$M296*$M$37,$N296*$N$37,$O296*$O$37))</f>
        <v>14883.5779284771</v>
      </c>
      <c r="U296" s="157" t="n">
        <f aca="false">+SUM($Q296,$R296)/1000*(SUM(0))</f>
        <v>0</v>
      </c>
      <c r="W296" s="158" t="n">
        <f aca="false">IF($B296=" ",0,1)*(IF($B296&gt;=W$25,1,0)*IF($B296&lt;=W$29,W$27,IF($B296&lt;=W$33,W$31,0))*($D296-$D295)*365/1000)</f>
        <v>486.66666666666</v>
      </c>
      <c r="X296" s="158" t="n">
        <f aca="false">IF($B296=" ",0,IF($B296&gt;=X$25,IF($B296&lt;=X$29,X$27,IF($B296&lt;=X$33,X$31,X$31*(1+X$38)^(IF(X$36&gt;$B296,-1,1)*(YEARFRAC($B296,X$36)))))*($D296-$D295)*365/1000,0))</f>
        <v>498.503750966776</v>
      </c>
      <c r="Y296" s="159" t="n">
        <f aca="false">IF($B296=" ",0,Y$25*(1+Y$30)^(IF(Y$28&gt;$B296,-1,1)*(YEARFRAC($B296,Y$28))))</f>
        <v>0.626605450751884</v>
      </c>
      <c r="Z296" s="159" t="n">
        <f aca="false">IF($B296=" ",0,Z$25*(1+Z$30)^(IF(Z$28&gt;$B296,-1,1)*(YEARFRAC($B296,Z$28))))</f>
        <v>0.598175698830224</v>
      </c>
      <c r="AA296" s="162" t="n">
        <f aca="false">+W296+X296+Z296*SUM($J296*$J$37,$L296*$L$37,$N296*$N$37)/1000</f>
        <v>985.170417633435</v>
      </c>
      <c r="AB296" s="161"/>
      <c r="AC296" s="158" t="n">
        <f aca="false">IF($B296=" ",0,1)*(IF($B296&gt;=AC$25,1,0)*IF($B296&lt;=AC$29,AC$27,IF($B296&lt;=AC$33,AC$31,0))*($D296-$D295)*365/1000)</f>
        <v>1591.66666666664</v>
      </c>
      <c r="AD296" s="158" t="n">
        <f aca="false">IF($B296=" ",0,IF($B296&gt;=AD$25,IF($B296&lt;=AD$29,AD$27,IF($B296&lt;=AD$33,AD$31,AD$31*(1+AD$38)^(IF(AD$36&gt;$B296,-1,1)*(YEARFRAC($B296,AD$36)))))*($D296-$D295)*365/1000,0))</f>
        <v>443.777337309678</v>
      </c>
      <c r="AE296" s="159" t="n">
        <f aca="false">IF($B296=" ",0,AE$25*(1+AE$30)^(IF(AE$28&gt;$B296,-1,1)*(YEARFRAC($B296,AE$28))))</f>
        <v>0.519139302985754</v>
      </c>
      <c r="AF296" s="159" t="n">
        <f aca="false">IF($B296=" ",0,AF$25*(1+AF$30)^(IF(AF$28&gt;$B296,-1,1)*(YEARFRAC($B296,AF$28))))</f>
        <v>0.186266004594579</v>
      </c>
      <c r="AG296" s="162" t="n">
        <f aca="false">+AC296+AD296+AF296*SUM($K296*$K$37,$M296*$M$37,$O296*$O$37)/1000</f>
        <v>2959.54553557949</v>
      </c>
      <c r="AI296" s="158" t="n">
        <f aca="false">IF($B296=" ",0,1)*IF($B296&gt;=AI$33,AI$25*($D296-$D295),0)</f>
        <v>485.186570908327</v>
      </c>
      <c r="AJ296" s="158" t="n">
        <f aca="false">IF($B296=" ",0,IF($B296&gt;=AJ$33,AJ$25*(1+AJ$30)^(IF(AJ$28&gt;$B296,-1,1)*(YEARFRAC($B296,AJ$28)))*($D296-$D295),0))</f>
        <v>602.635172761266</v>
      </c>
      <c r="AK296" s="159" t="n">
        <f aca="false">IF($B296=" ",0,AK$25*(1+AK$30)^(IF(AK$28&gt;$B296,-1,1)*(YEARFRAC($B296,AK$28))))</f>
        <v>0.0344414282110701</v>
      </c>
      <c r="AL296" s="159" t="n">
        <f aca="false">IF($B296=" ",0,AL$25*AL$28)</f>
        <v>0.0575</v>
      </c>
      <c r="AM296" s="162" t="n">
        <f aca="false">+AI296+AJ296+SUM(AK296:AL296)*SUM($J296*$J$37,$K296*$K$37,$L296*$L$37,$M296*$M$37,$N296*$N$37,$O296*$O$37)/1000</f>
        <v>1543.96088088124</v>
      </c>
      <c r="AO296" s="163" t="n">
        <f aca="false">IF($B296=" ",0,$AO$25)</f>
        <v>0.25</v>
      </c>
      <c r="AP296" s="159" t="n">
        <f aca="false">IF($B296=" ",0,AP$25*AP$28)</f>
        <v>0.03105</v>
      </c>
      <c r="AQ296" s="162" t="n">
        <f aca="false">SUM(AO296:AP296)*SUM(0)/1000</f>
        <v>0</v>
      </c>
      <c r="AS296" s="155" t="n">
        <f aca="false">IF($B296=" ",0,AS$25)</f>
        <v>1</v>
      </c>
      <c r="AT296" s="156" t="n">
        <f aca="false">IF($B296=" ",0,AT$25)</f>
        <v>1</v>
      </c>
      <c r="AU296" s="156" t="n">
        <f aca="false">IF($B296=" ",0,AU$25)</f>
        <v>2.3</v>
      </c>
      <c r="AV296" s="157" t="n">
        <f aca="false">+AS296*SUM(J296:K296)/1000</f>
        <v>0</v>
      </c>
      <c r="AW296" s="157" t="n">
        <f aca="false">+AT296*SUM(L296:M296)/1000</f>
        <v>0</v>
      </c>
      <c r="AX296" s="157" t="n">
        <f aca="false">+AU296*SUM(N296:O296)/1000</f>
        <v>11537.9859375</v>
      </c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</row>
    <row r="297" customFormat="false" ht="12.75" hidden="true" customHeight="false" outlineLevel="1" collapsed="false">
      <c r="A297" s="164" t="n">
        <f aca="false">+IF(B297=" ",A296,B297)</f>
        <v>44317</v>
      </c>
      <c r="B297" s="148" t="n">
        <f aca="false">IF(B296=" "," ",IF(EDATE(B296,1)&gt;=EndDate," ",EDATE(B296,1)))</f>
        <v>44317</v>
      </c>
      <c r="C297" s="149" t="n">
        <f aca="false">IF($B297&lt;&gt;" ",C296+1,C296)</f>
        <v>247</v>
      </c>
      <c r="D297" s="150" t="n">
        <f aca="false">C297/12</f>
        <v>20.5833333333333</v>
      </c>
      <c r="F297" s="157" t="n">
        <f aca="false">+SUM($T297:$U297)</f>
        <v>14883.5779284771</v>
      </c>
      <c r="G297" s="152" t="n">
        <f aca="false">-SUM($AA297,$AG297,$AM297,$AQ297,$AV297:$AX297)</f>
        <v>-17030.0365319646</v>
      </c>
      <c r="H297" s="152" t="n">
        <f aca="false">+SUM(F297:G297)</f>
        <v>-2146.45860348744</v>
      </c>
      <c r="I297" s="124"/>
      <c r="J297" s="153" t="n">
        <f aca="false">+IF($B297=" ",0,IF(AND($B297&gt;=J$26,$B297&lt;J$28),J$33,0))</f>
        <v>0</v>
      </c>
      <c r="K297" s="153" t="n">
        <f aca="false">+IF($B297=" ",0,IF(AND($B297&gt;=K$26,$B297&lt;K$28),K$33,0))</f>
        <v>0</v>
      </c>
      <c r="L297" s="153" t="n">
        <f aca="false">+IF($B297=" ",0,IF(AND($B297&gt;=L$26,$B297&lt;L$28),L$33,0))</f>
        <v>0</v>
      </c>
      <c r="M297" s="153" t="n">
        <f aca="false">+IF($B297=" ",0,IF(AND($B297&gt;=M$26,$B297&lt;M$28),M$33,0))</f>
        <v>0</v>
      </c>
      <c r="N297" s="153" t="n">
        <f aca="false">+IF($B297=" ",0,IF(AND($B297&gt;=N$26,$B297&lt;N$28),N$33,0))</f>
        <v>0</v>
      </c>
      <c r="O297" s="154" t="n">
        <f aca="false">+IF($B297=" ",0,IF(AND($B297&gt;=O$26,$B297&lt;O$28),O$33,0))</f>
        <v>5016515.625</v>
      </c>
      <c r="Q297" s="83" t="n">
        <f aca="false">IF($B297=" ",0,IF($B297&lt;=DATE(2003,12,31),3.55,2.9))</f>
        <v>2.9</v>
      </c>
      <c r="R297" s="155" t="n">
        <f aca="false">IF($B297=" ",0,R$25)</f>
        <v>-0.07</v>
      </c>
      <c r="S297" s="156" t="n">
        <f aca="false">IF($B297=" ",0,S$25)</f>
        <v>0.1</v>
      </c>
      <c r="T297" s="157" t="n">
        <f aca="false">+SUM($Q297,$S297)/1000*(SUM($J297*$J$37,$K297*$K$37,$L297*$L$37,$M297*$M$37,$N297*$N$37,$O297*$O$37))</f>
        <v>14883.5779284771</v>
      </c>
      <c r="U297" s="157" t="n">
        <f aca="false">+SUM($Q297,$R297)/1000*(SUM(0))</f>
        <v>0</v>
      </c>
      <c r="W297" s="158" t="n">
        <f aca="false">IF($B297=" ",0,1)*(IF($B297&gt;=W$25,1,0)*IF($B297&lt;=W$29,W$27,IF($B297&lt;=W$33,W$31,0))*($D297-$D296)*365/1000)</f>
        <v>486.66666666666</v>
      </c>
      <c r="X297" s="158" t="n">
        <f aca="false">IF($B297=" ",0,IF($B297&gt;=X$25,IF($B297&lt;=X$29,X$27,IF($B297&lt;=X$33,X$31,X$31*(1+X$38)^(IF(X$36&gt;$B297,-1,1)*(YEARFRAC($B297,X$36)))))*($D297-$D296)*365/1000,0))</f>
        <v>499.190884019665</v>
      </c>
      <c r="Y297" s="159" t="n">
        <f aca="false">IF($B297=" ",0,Y$25*(1+Y$30)^(IF(Y$28&gt;$B297,-1,1)*(YEARFRAC($B297,Y$28))))</f>
        <v>0.627469158026898</v>
      </c>
      <c r="Z297" s="159" t="n">
        <f aca="false">IF($B297=" ",0,Z$25*(1+Z$30)^(IF(Z$28&gt;$B297,-1,1)*(YEARFRAC($B297,Z$28))))</f>
        <v>0.599000218792821</v>
      </c>
      <c r="AA297" s="162" t="n">
        <f aca="false">+W297+X297+Z297*SUM($J297*$J$37,$L297*$L$37,$N297*$N$37)/1000</f>
        <v>985.857550686324</v>
      </c>
      <c r="AB297" s="161"/>
      <c r="AC297" s="158" t="n">
        <f aca="false">IF($B297=" ",0,1)*(IF($B297&gt;=AC$25,1,0)*IF($B297&lt;=AC$29,AC$27,IF($B297&lt;=AC$33,AC$31,0))*($D297-$D296)*365/1000)</f>
        <v>1591.66666666664</v>
      </c>
      <c r="AD297" s="158" t="n">
        <f aca="false">IF($B297=" ",0,IF($B297&gt;=AD$25,IF($B297&lt;=AD$29,AD$27,IF($B297&lt;=AD$33,AD$31,AD$31*(1+AD$38)^(IF(AD$36&gt;$B297,-1,1)*(YEARFRAC($B297,AD$36)))))*($D297-$D296)*365/1000,0))</f>
        <v>444.389035969913</v>
      </c>
      <c r="AE297" s="159" t="n">
        <f aca="false">IF($B297=" ",0,AE$25*(1+AE$30)^(IF(AE$28&gt;$B297,-1,1)*(YEARFRAC($B297,AE$28))))</f>
        <v>0.519854879896547</v>
      </c>
      <c r="AF297" s="159" t="n">
        <f aca="false">IF($B297=" ",0,AF$25*(1+AF$30)^(IF(AF$28&gt;$B297,-1,1)*(YEARFRAC($B297,AF$28))))</f>
        <v>0.186522751967369</v>
      </c>
      <c r="AG297" s="162" t="n">
        <f aca="false">+AC297+AD297+AF297*SUM($K297*$K$37,$M297*$M$37,$O297*$O$37)/1000</f>
        <v>2961.43100741667</v>
      </c>
      <c r="AI297" s="158" t="n">
        <f aca="false">IF($B297=" ",0,1)*IF($B297&gt;=AI$33,AI$25*($D297-$D296),0)</f>
        <v>485.186570908327</v>
      </c>
      <c r="AJ297" s="158" t="n">
        <f aca="false">IF($B297=" ",0,IF($B297&gt;=AJ$33,AJ$25*(1+AJ$30)^(IF(AJ$28&gt;$B297,-1,1)*(YEARFRAC($B297,AJ$28)))*($D297-$D296),0))</f>
        <v>603.259349739771</v>
      </c>
      <c r="AK297" s="159" t="n">
        <f aca="false">IF($B297=" ",0,AK$25*(1+AK$30)^(IF(AK$28&gt;$B297,-1,1)*(YEARFRAC($B297,AK$28))))</f>
        <v>0.0344771007830803</v>
      </c>
      <c r="AL297" s="159" t="n">
        <f aca="false">IF($B297=" ",0,AL$25*AL$28)</f>
        <v>0.0575</v>
      </c>
      <c r="AM297" s="162" t="n">
        <f aca="false">+AI297+AJ297+SUM(AK297:AL297)*SUM($J297*$J$37,$K297*$K$37,$L297*$L$37,$M297*$M$37,$N297*$N$37,$O297*$O$37)/1000</f>
        <v>1544.76203636155</v>
      </c>
      <c r="AO297" s="163" t="n">
        <f aca="false">IF($B297=" ",0,$AO$25)</f>
        <v>0.25</v>
      </c>
      <c r="AP297" s="159" t="n">
        <f aca="false">IF($B297=" ",0,AP$25*AP$28)</f>
        <v>0.03105</v>
      </c>
      <c r="AQ297" s="162" t="n">
        <f aca="false">SUM(AO297:AP297)*SUM(0)/1000</f>
        <v>0</v>
      </c>
      <c r="AS297" s="155" t="n">
        <f aca="false">IF($B297=" ",0,AS$25)</f>
        <v>1</v>
      </c>
      <c r="AT297" s="156" t="n">
        <f aca="false">IF($B297=" ",0,AT$25)</f>
        <v>1</v>
      </c>
      <c r="AU297" s="156" t="n">
        <f aca="false">IF($B297=" ",0,AU$25)</f>
        <v>2.3</v>
      </c>
      <c r="AV297" s="157" t="n">
        <f aca="false">+AS297*SUM(J297:K297)/1000</f>
        <v>0</v>
      </c>
      <c r="AW297" s="157" t="n">
        <f aca="false">+AT297*SUM(L297:M297)/1000</f>
        <v>0</v>
      </c>
      <c r="AX297" s="157" t="n">
        <f aca="false">+AU297*SUM(N297:O297)/1000</f>
        <v>11537.9859375</v>
      </c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</row>
    <row r="298" customFormat="false" ht="12.75" hidden="true" customHeight="false" outlineLevel="1" collapsed="false">
      <c r="A298" s="164" t="n">
        <f aca="false">+IF(B298=" ",A297,B298)</f>
        <v>44348</v>
      </c>
      <c r="B298" s="148" t="n">
        <f aca="false">IF(B297=" "," ",IF(EDATE(B297,1)&gt;=EndDate," ",EDATE(B297,1)))</f>
        <v>44348</v>
      </c>
      <c r="C298" s="149" t="n">
        <f aca="false">IF($B298&lt;&gt;" ",C297+1,C297)</f>
        <v>248</v>
      </c>
      <c r="D298" s="150" t="n">
        <f aca="false">C298/12</f>
        <v>20.6666666666667</v>
      </c>
      <c r="F298" s="157" t="n">
        <f aca="false">+SUM($T298:$U298)</f>
        <v>14883.5779284771</v>
      </c>
      <c r="G298" s="152" t="n">
        <f aca="false">-SUM($AA298,$AG298,$AM298,$AQ298,$AV298:$AX298)</f>
        <v>-17033.414668184</v>
      </c>
      <c r="H298" s="152" t="n">
        <f aca="false">+SUM(F298:G298)</f>
        <v>-2149.83673970686</v>
      </c>
      <c r="I298" s="124"/>
      <c r="J298" s="153" t="n">
        <f aca="false">+IF($B298=" ",0,IF(AND($B298&gt;=J$26,$B298&lt;J$28),J$33,0))</f>
        <v>0</v>
      </c>
      <c r="K298" s="153" t="n">
        <f aca="false">+IF($B298=" ",0,IF(AND($B298&gt;=K$26,$B298&lt;K$28),K$33,0))</f>
        <v>0</v>
      </c>
      <c r="L298" s="153" t="n">
        <f aca="false">+IF($B298=" ",0,IF(AND($B298&gt;=L$26,$B298&lt;L$28),L$33,0))</f>
        <v>0</v>
      </c>
      <c r="M298" s="153" t="n">
        <f aca="false">+IF($B298=" ",0,IF(AND($B298&gt;=M$26,$B298&lt;M$28),M$33,0))</f>
        <v>0</v>
      </c>
      <c r="N298" s="153" t="n">
        <f aca="false">+IF($B298=" ",0,IF(AND($B298&gt;=N$26,$B298&lt;N$28),N$33,0))</f>
        <v>0</v>
      </c>
      <c r="O298" s="154" t="n">
        <f aca="false">+IF($B298=" ",0,IF(AND($B298&gt;=O$26,$B298&lt;O$28),O$33,0))</f>
        <v>5016515.625</v>
      </c>
      <c r="Q298" s="83" t="n">
        <f aca="false">IF($B298=" ",0,IF($B298&lt;=DATE(2003,12,31),3.55,2.9))</f>
        <v>2.9</v>
      </c>
      <c r="R298" s="155" t="n">
        <f aca="false">IF($B298=" ",0,R$25)</f>
        <v>-0.07</v>
      </c>
      <c r="S298" s="156" t="n">
        <f aca="false">IF($B298=" ",0,S$25)</f>
        <v>0.1</v>
      </c>
      <c r="T298" s="157" t="n">
        <f aca="false">+SUM($Q298,$S298)/1000*(SUM($J298*$J$37,$K298*$K$37,$L298*$L$37,$M298*$M$37,$N298*$N$37,$O298*$O$37))</f>
        <v>14883.5779284771</v>
      </c>
      <c r="U298" s="157" t="n">
        <f aca="false">+SUM($Q298,$R298)/1000*(SUM(0))</f>
        <v>0</v>
      </c>
      <c r="W298" s="158" t="n">
        <f aca="false">IF($B298=" ",0,1)*(IF($B298&gt;=W$25,1,0)*IF($B298&lt;=W$29,W$27,IF($B298&lt;=W$33,W$31,0))*($D298-$D297)*365/1000)</f>
        <v>486.666666666681</v>
      </c>
      <c r="X298" s="158" t="n">
        <f aca="false">IF($B298=" ",0,IF($B298&gt;=X$25,IF($B298&lt;=X$29,X$27,IF($B298&lt;=X$33,X$31,X$31*(1+X$38)^(IF(X$36&gt;$B298,-1,1)*(YEARFRAC($B298,X$36)))))*($D298-$D297)*365/1000,0))</f>
        <v>499.878964210548</v>
      </c>
      <c r="Y298" s="159" t="n">
        <f aca="false">IF($B298=" ",0,Y$25*(1+Y$30)^(IF(Y$28&gt;$B298,-1,1)*(YEARFRAC($B298,Y$28))))</f>
        <v>0.628334055828194</v>
      </c>
      <c r="Z298" s="159" t="n">
        <f aca="false">IF($B298=" ",0,Z$25*(1+Z$30)^(IF(Z$28&gt;$B298,-1,1)*(YEARFRAC($B298,Z$28))))</f>
        <v>0.599825875266261</v>
      </c>
      <c r="AA298" s="162" t="n">
        <f aca="false">+W298+X298+Z298*SUM($J298*$J$37,$L298*$L$37,$N298*$N$37)/1000</f>
        <v>986.545630877229</v>
      </c>
      <c r="AB298" s="161"/>
      <c r="AC298" s="158" t="n">
        <f aca="false">IF($B298=" ",0,1)*(IF($B298&gt;=AC$25,1,0)*IF($B298&lt;=AC$29,AC$27,IF($B298&lt;=AC$33,AC$31,0))*($D298-$D297)*365/1000)</f>
        <v>1591.66666666671</v>
      </c>
      <c r="AD298" s="158" t="n">
        <f aca="false">IF($B298=" ",0,IF($B298&gt;=AD$25,IF($B298&lt;=AD$29,AD$27,IF($B298&lt;=AD$33,AD$31,AD$31*(1+AD$38)^(IF(AD$36&gt;$B298,-1,1)*(YEARFRAC($B298,AD$36)))))*($D298-$D297)*365/1000,0))</f>
        <v>445.001577790057</v>
      </c>
      <c r="AE298" s="159" t="n">
        <f aca="false">IF($B298=" ",0,AE$25*(1+AE$30)^(IF(AE$28&gt;$B298,-1,1)*(YEARFRAC($B298,AE$28))))</f>
        <v>0.520571443152068</v>
      </c>
      <c r="AF298" s="159" t="n">
        <f aca="false">IF($B298=" ",0,AF$25*(1+AF$30)^(IF(AF$28&gt;$B298,-1,1)*(YEARFRAC($B298,AF$28))))</f>
        <v>0.186779853238411</v>
      </c>
      <c r="AG298" s="162" t="n">
        <f aca="false">+AC298+AD298+AF298*SUM($K298*$K$37,$M298*$M$37,$O298*$O$37)/1000</f>
        <v>2963.31907817124</v>
      </c>
      <c r="AI298" s="158" t="n">
        <f aca="false">IF($B298=" ",0,1)*IF($B298&gt;=AI$33,AI$25*($D298-$D297),0)</f>
        <v>485.186570908347</v>
      </c>
      <c r="AJ298" s="158" t="n">
        <f aca="false">IF($B298=" ",0,IF($B298&gt;=AJ$33,AJ$25*(1+AJ$30)^(IF(AJ$28&gt;$B298,-1,1)*(YEARFRAC($B298,AJ$28)))*($D298-$D297),0))</f>
        <v>603.884173207119</v>
      </c>
      <c r="AK298" s="159" t="n">
        <f aca="false">IF($B298=" ",0,AK$25*(1+AK$30)^(IF(AK$28&gt;$B298,-1,1)*(YEARFRAC($B298,AK$28))))</f>
        <v>0.0345128103028147</v>
      </c>
      <c r="AL298" s="159" t="n">
        <f aca="false">IF($B298=" ",0,AL$25*AL$28)</f>
        <v>0.0575</v>
      </c>
      <c r="AM298" s="162" t="n">
        <f aca="false">+AI298+AJ298+SUM(AK298:AL298)*SUM($J298*$J$37,$K298*$K$37,$L298*$L$37,$M298*$M$37,$N298*$N$37,$O298*$O$37)/1000</f>
        <v>1545.56402163551</v>
      </c>
      <c r="AO298" s="163" t="n">
        <f aca="false">IF($B298=" ",0,$AO$25)</f>
        <v>0.25</v>
      </c>
      <c r="AP298" s="159" t="n">
        <f aca="false">IF($B298=" ",0,AP$25*AP$28)</f>
        <v>0.03105</v>
      </c>
      <c r="AQ298" s="162" t="n">
        <f aca="false">SUM(AO298:AP298)*SUM(0)/1000</f>
        <v>0</v>
      </c>
      <c r="AS298" s="155" t="n">
        <f aca="false">IF($B298=" ",0,AS$25)</f>
        <v>1</v>
      </c>
      <c r="AT298" s="156" t="n">
        <f aca="false">IF($B298=" ",0,AT$25)</f>
        <v>1</v>
      </c>
      <c r="AU298" s="156" t="n">
        <f aca="false">IF($B298=" ",0,AU$25)</f>
        <v>2.3</v>
      </c>
      <c r="AV298" s="157" t="n">
        <f aca="false">+AS298*SUM(J298:K298)/1000</f>
        <v>0</v>
      </c>
      <c r="AW298" s="157" t="n">
        <f aca="false">+AT298*SUM(L298:M298)/1000</f>
        <v>0</v>
      </c>
      <c r="AX298" s="157" t="n">
        <f aca="false">+AU298*SUM(N298:O298)/1000</f>
        <v>11537.9859375</v>
      </c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</row>
    <row r="299" customFormat="false" ht="12.75" hidden="true" customHeight="false" outlineLevel="1" collapsed="false">
      <c r="A299" s="164" t="n">
        <f aca="false">+IF(B299=" ",A298,B299)</f>
        <v>44378</v>
      </c>
      <c r="B299" s="148" t="n">
        <f aca="false">IF(B298=" "," ",IF(EDATE(B298,1)&gt;=EndDate," ",EDATE(B298,1)))</f>
        <v>44378</v>
      </c>
      <c r="C299" s="149" t="n">
        <f aca="false">IF($B299&lt;&gt;" ",C298+1,C298)</f>
        <v>249</v>
      </c>
      <c r="D299" s="150" t="n">
        <f aca="false">C299/12</f>
        <v>20.75</v>
      </c>
      <c r="F299" s="157" t="n">
        <f aca="false">+SUM($T299:$U299)</f>
        <v>14883.5779284771</v>
      </c>
      <c r="G299" s="152" t="n">
        <f aca="false">-SUM($AA299,$AG299,$AM299,$AQ299,$AV299:$AX299)</f>
        <v>-17036.7971859992</v>
      </c>
      <c r="H299" s="152" t="n">
        <f aca="false">+SUM(F299:G299)</f>
        <v>-2153.2192575221</v>
      </c>
      <c r="I299" s="124"/>
      <c r="J299" s="153" t="n">
        <f aca="false">+IF($B299=" ",0,IF(AND($B299&gt;=J$26,$B299&lt;J$28),J$33,0))</f>
        <v>0</v>
      </c>
      <c r="K299" s="153" t="n">
        <f aca="false">+IF($B299=" ",0,IF(AND($B299&gt;=K$26,$B299&lt;K$28),K$33,0))</f>
        <v>0</v>
      </c>
      <c r="L299" s="153" t="n">
        <f aca="false">+IF($B299=" ",0,IF(AND($B299&gt;=L$26,$B299&lt;L$28),L$33,0))</f>
        <v>0</v>
      </c>
      <c r="M299" s="153" t="n">
        <f aca="false">+IF($B299=" ",0,IF(AND($B299&gt;=M$26,$B299&lt;M$28),M$33,0))</f>
        <v>0</v>
      </c>
      <c r="N299" s="153" t="n">
        <f aca="false">+IF($B299=" ",0,IF(AND($B299&gt;=N$26,$B299&lt;N$28),N$33,0))</f>
        <v>0</v>
      </c>
      <c r="O299" s="154" t="n">
        <f aca="false">+IF($B299=" ",0,IF(AND($B299&gt;=O$26,$B299&lt;O$28),O$33,0))</f>
        <v>5016515.625</v>
      </c>
      <c r="Q299" s="83" t="n">
        <f aca="false">IF($B299=" ",0,IF($B299&lt;=DATE(2003,12,31),3.55,2.9))</f>
        <v>2.9</v>
      </c>
      <c r="R299" s="155" t="n">
        <f aca="false">IF($B299=" ",0,R$25)</f>
        <v>-0.07</v>
      </c>
      <c r="S299" s="156" t="n">
        <f aca="false">IF($B299=" ",0,S$25)</f>
        <v>0.1</v>
      </c>
      <c r="T299" s="157" t="n">
        <f aca="false">+SUM($Q299,$S299)/1000*(SUM($J299*$J$37,$K299*$K$37,$L299*$L$37,$M299*$M$37,$N299*$N$37,$O299*$O$37))</f>
        <v>14883.5779284771</v>
      </c>
      <c r="U299" s="157" t="n">
        <f aca="false">+SUM($Q299,$R299)/1000*(SUM(0))</f>
        <v>0</v>
      </c>
      <c r="W299" s="158" t="n">
        <f aca="false">IF($B299=" ",0,1)*(IF($B299&gt;=W$25,1,0)*IF($B299&lt;=W$29,W$27,IF($B299&lt;=W$33,W$31,0))*($D299-$D298)*365/1000)</f>
        <v>486.66666666666</v>
      </c>
      <c r="X299" s="158" t="n">
        <f aca="false">IF($B299=" ",0,IF($B299&gt;=X$25,IF($B299&lt;=X$29,X$27,IF($B299&lt;=X$33,X$31,X$31*(1+X$38)^(IF(X$36&gt;$B299,-1,1)*(YEARFRAC($B299,X$36)))))*($D299-$D298)*365/1000,0))</f>
        <v>500.567992844889</v>
      </c>
      <c r="Y299" s="159" t="n">
        <f aca="false">IF($B299=" ",0,Y$25*(1+Y$30)^(IF(Y$28&gt;$B299,-1,1)*(YEARFRAC($B299,Y$28))))</f>
        <v>0.629200145796781</v>
      </c>
      <c r="Z299" s="159" t="n">
        <f aca="false">IF($B299=" ",0,Z$25*(1+Z$30)^(IF(Z$28&gt;$B299,-1,1)*(YEARFRAC($B299,Z$28))))</f>
        <v>0.600652669817103</v>
      </c>
      <c r="AA299" s="162" t="n">
        <f aca="false">+W299+X299+Z299*SUM($J299*$J$37,$L299*$L$37,$N299*$N$37)/1000</f>
        <v>987.234659511548</v>
      </c>
      <c r="AB299" s="161"/>
      <c r="AC299" s="158" t="n">
        <f aca="false">IF($B299=" ",0,1)*(IF($B299&gt;=AC$25,1,0)*IF($B299&lt;=AC$29,AC$27,IF($B299&lt;=AC$33,AC$31,0))*($D299-$D298)*365/1000)</f>
        <v>1591.66666666664</v>
      </c>
      <c r="AD299" s="158" t="n">
        <f aca="false">IF($B299=" ",0,IF($B299&gt;=AD$25,IF($B299&lt;=AD$29,AD$27,IF($B299&lt;=AD$33,AD$31,AD$31*(1+AD$38)^(IF(AD$36&gt;$B299,-1,1)*(YEARFRAC($B299,AD$36)))))*($D299-$D298)*365/1000,0))</f>
        <v>445.614963932257</v>
      </c>
      <c r="AE299" s="159" t="n">
        <f aca="false">IF($B299=" ",0,AE$25*(1+AE$30)^(IF(AE$28&gt;$B299,-1,1)*(YEARFRAC($B299,AE$28))))</f>
        <v>0.521288994111888</v>
      </c>
      <c r="AF299" s="159" t="n">
        <f aca="false">IF($B299=" ",0,AF$25*(1+AF$30)^(IF(AF$28&gt;$B299,-1,1)*(YEARFRAC($B299,AF$28))))</f>
        <v>0.187037308895515</v>
      </c>
      <c r="AG299" s="162" t="n">
        <f aca="false">+AC299+AD299+AF299*SUM($K299*$K$37,$M299*$M$37,$O299*$O$37)/1000</f>
        <v>2965.20975142525</v>
      </c>
      <c r="AI299" s="158" t="n">
        <f aca="false">IF($B299=" ",0,1)*IF($B299&gt;=AI$33,AI$25*($D299-$D298),0)</f>
        <v>485.186570908327</v>
      </c>
      <c r="AJ299" s="158" t="n">
        <f aca="false">IF($B299=" ",0,IF($B299&gt;=AJ$33,AJ$25*(1+AJ$30)^(IF(AJ$28&gt;$B299,-1,1)*(YEARFRAC($B299,AJ$28)))*($D299-$D298),0))</f>
        <v>604.509643832832</v>
      </c>
      <c r="AK299" s="159" t="n">
        <f aca="false">IF($B299=" ",0,AK$25*(1+AK$30)^(IF(AK$28&gt;$B299,-1,1)*(YEARFRAC($B299,AK$28))))</f>
        <v>0.0345485568085419</v>
      </c>
      <c r="AL299" s="159" t="n">
        <f aca="false">IF($B299=" ",0,AL$25*AL$28)</f>
        <v>0.0575</v>
      </c>
      <c r="AM299" s="162" t="n">
        <f aca="false">+AI299+AJ299+SUM(AK299:AL299)*SUM($J299*$J$37,$K299*$K$37,$L299*$L$37,$M299*$M$37,$N299*$N$37,$O299*$O$37)/1000</f>
        <v>1546.36683756242</v>
      </c>
      <c r="AO299" s="163" t="n">
        <f aca="false">IF($B299=" ",0,$AO$25)</f>
        <v>0.25</v>
      </c>
      <c r="AP299" s="159" t="n">
        <f aca="false">IF($B299=" ",0,AP$25*AP$28)</f>
        <v>0.03105</v>
      </c>
      <c r="AQ299" s="162" t="n">
        <f aca="false">SUM(AO299:AP299)*SUM(0)/1000</f>
        <v>0</v>
      </c>
      <c r="AS299" s="155" t="n">
        <f aca="false">IF($B299=" ",0,AS$25)</f>
        <v>1</v>
      </c>
      <c r="AT299" s="156" t="n">
        <f aca="false">IF($B299=" ",0,AT$25)</f>
        <v>1</v>
      </c>
      <c r="AU299" s="156" t="n">
        <f aca="false">IF($B299=" ",0,AU$25)</f>
        <v>2.3</v>
      </c>
      <c r="AV299" s="157" t="n">
        <f aca="false">+AS299*SUM(J299:K299)/1000</f>
        <v>0</v>
      </c>
      <c r="AW299" s="157" t="n">
        <f aca="false">+AT299*SUM(L299:M299)/1000</f>
        <v>0</v>
      </c>
      <c r="AX299" s="157" t="n">
        <f aca="false">+AU299*SUM(N299:O299)/1000</f>
        <v>11537.9859375</v>
      </c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</row>
    <row r="300" customFormat="false" ht="12.75" hidden="true" customHeight="false" outlineLevel="1" collapsed="false">
      <c r="A300" s="164" t="n">
        <f aca="false">+IF(B300=" ",A299,B300)</f>
        <v>44409</v>
      </c>
      <c r="B300" s="148" t="n">
        <f aca="false">IF(B299=" "," ",IF(EDATE(B299,1)&gt;=EndDate," ",EDATE(B299,1)))</f>
        <v>44409</v>
      </c>
      <c r="C300" s="149" t="n">
        <f aca="false">IF($B300&lt;&gt;" ",C299+1,C299)</f>
        <v>250</v>
      </c>
      <c r="D300" s="150" t="n">
        <f aca="false">C300/12</f>
        <v>20.8333333333333</v>
      </c>
      <c r="F300" s="157" t="n">
        <f aca="false">+SUM($T300:$U300)</f>
        <v>14883.5779284771</v>
      </c>
      <c r="G300" s="152" t="n">
        <f aca="false">-SUM($AA300,$AG300,$AM300,$AQ300,$AV300:$AX300)</f>
        <v>-17040.1840911657</v>
      </c>
      <c r="H300" s="152" t="n">
        <f aca="false">+SUM(F300:G300)</f>
        <v>-2156.60616268862</v>
      </c>
      <c r="I300" s="124"/>
      <c r="J300" s="153" t="n">
        <f aca="false">+IF($B300=" ",0,IF(AND($B300&gt;=J$26,$B300&lt;J$28),J$33,0))</f>
        <v>0</v>
      </c>
      <c r="K300" s="153" t="n">
        <f aca="false">+IF($B300=" ",0,IF(AND($B300&gt;=K$26,$B300&lt;K$28),K$33,0))</f>
        <v>0</v>
      </c>
      <c r="L300" s="153" t="n">
        <f aca="false">+IF($B300=" ",0,IF(AND($B300&gt;=L$26,$B300&lt;L$28),L$33,0))</f>
        <v>0</v>
      </c>
      <c r="M300" s="153" t="n">
        <f aca="false">+IF($B300=" ",0,IF(AND($B300&gt;=M$26,$B300&lt;M$28),M$33,0))</f>
        <v>0</v>
      </c>
      <c r="N300" s="153" t="n">
        <f aca="false">+IF($B300=" ",0,IF(AND($B300&gt;=N$26,$B300&lt;N$28),N$33,0))</f>
        <v>0</v>
      </c>
      <c r="O300" s="154" t="n">
        <f aca="false">+IF($B300=" ",0,IF(AND($B300&gt;=O$26,$B300&lt;O$28),O$33,0))</f>
        <v>5016515.625</v>
      </c>
      <c r="Q300" s="83" t="n">
        <f aca="false">IF($B300=" ",0,IF($B300&lt;=DATE(2003,12,31),3.55,2.9))</f>
        <v>2.9</v>
      </c>
      <c r="R300" s="155" t="n">
        <f aca="false">IF($B300=" ",0,R$25)</f>
        <v>-0.07</v>
      </c>
      <c r="S300" s="156" t="n">
        <f aca="false">IF($B300=" ",0,S$25)</f>
        <v>0.1</v>
      </c>
      <c r="T300" s="157" t="n">
        <f aca="false">+SUM($Q300,$S300)/1000*(SUM($J300*$J$37,$K300*$K$37,$L300*$L$37,$M300*$M$37,$N300*$N$37,$O300*$O$37))</f>
        <v>14883.5779284771</v>
      </c>
      <c r="U300" s="157" t="n">
        <f aca="false">+SUM($Q300,$R300)/1000*(SUM(0))</f>
        <v>0</v>
      </c>
      <c r="W300" s="158" t="n">
        <f aca="false">IF($B300=" ",0,1)*(IF($B300&gt;=W$25,1,0)*IF($B300&lt;=W$29,W$27,IF($B300&lt;=W$33,W$31,0))*($D300-$D299)*365/1000)</f>
        <v>486.66666666666</v>
      </c>
      <c r="X300" s="158" t="n">
        <f aca="false">IF($B300=" ",0,IF($B300&gt;=X$25,IF($B300&lt;=X$29,X$27,IF($B300&lt;=X$33,X$31,X$31*(1+X$38)^(IF(X$36&gt;$B300,-1,1)*(YEARFRAC($B300,X$36)))))*($D300-$D299)*365/1000,0))</f>
        <v>501.257971230076</v>
      </c>
      <c r="Y300" s="159" t="n">
        <f aca="false">IF($B300=" ",0,Y$25*(1+Y$30)^(IF(Y$28&gt;$B300,-1,1)*(YEARFRAC($B300,Y$28))))</f>
        <v>0.630067429575932</v>
      </c>
      <c r="Z300" s="159" t="n">
        <f aca="false">IF($B300=" ",0,Z$25*(1+Z$30)^(IF(Z$28&gt;$B300,-1,1)*(YEARFRAC($B300,Z$28))))</f>
        <v>0.601480604014061</v>
      </c>
      <c r="AA300" s="162" t="n">
        <f aca="false">+W300+X300+Z300*SUM($J300*$J$37,$L300*$L$37,$N300*$N$37)/1000</f>
        <v>987.924637896736</v>
      </c>
      <c r="AB300" s="161"/>
      <c r="AC300" s="158" t="n">
        <f aca="false">IF($B300=" ",0,1)*(IF($B300&gt;=AC$25,1,0)*IF($B300&lt;=AC$29,AC$27,IF($B300&lt;=AC$33,AC$31,0))*($D300-$D299)*365/1000)</f>
        <v>1591.66666666664</v>
      </c>
      <c r="AD300" s="158" t="n">
        <f aca="false">IF($B300=" ",0,IF($B300&gt;=AD$25,IF($B300&lt;=AD$29,AD$27,IF($B300&lt;=AD$33,AD$31,AD$31*(1+AD$38)^(IF(AD$36&gt;$B300,-1,1)*(YEARFRAC($B300,AD$36)))))*($D300-$D299)*365/1000,0))</f>
        <v>446.229195560376</v>
      </c>
      <c r="AE300" s="159" t="n">
        <f aca="false">IF($B300=" ",0,AE$25*(1+AE$30)^(IF(AE$28&gt;$B300,-1,1)*(YEARFRAC($B300,AE$28))))</f>
        <v>0.522007534137448</v>
      </c>
      <c r="AF300" s="159" t="n">
        <f aca="false">IF($B300=" ",0,AF$25*(1+AF$30)^(IF(AF$28&gt;$B300,-1,1)*(YEARFRAC($B300,AF$28))))</f>
        <v>0.187295119427163</v>
      </c>
      <c r="AG300" s="162" t="n">
        <f aca="false">+AC300+AD300+AF300*SUM($K300*$K$37,$M300*$M$37,$O300*$O$37)/1000</f>
        <v>2967.10303076622</v>
      </c>
      <c r="AI300" s="158" t="n">
        <f aca="false">IF($B300=" ",0,1)*IF($B300&gt;=AI$33,AI$25*($D300-$D299),0)</f>
        <v>485.186570908327</v>
      </c>
      <c r="AJ300" s="158" t="n">
        <f aca="false">IF($B300=" ",0,IF($B300&gt;=AJ$33,AJ$25*(1+AJ$30)^(IF(AJ$28&gt;$B300,-1,1)*(YEARFRAC($B300,AJ$28)))*($D300-$D299),0))</f>
        <v>605.135762287279</v>
      </c>
      <c r="AK300" s="159" t="n">
        <f aca="false">IF($B300=" ",0,AK$25*(1+AK$30)^(IF(AK$28&gt;$B300,-1,1)*(YEARFRAC($B300,AK$28))))</f>
        <v>0.0345843403385699</v>
      </c>
      <c r="AL300" s="159" t="n">
        <f aca="false">IF($B300=" ",0,AL$25*AL$28)</f>
        <v>0.0575</v>
      </c>
      <c r="AM300" s="162" t="n">
        <f aca="false">+AI300+AJ300+SUM(AK300:AL300)*SUM($J300*$J$37,$K300*$K$37,$L300*$L$37,$M300*$M$37,$N300*$N$37,$O300*$O$37)/1000</f>
        <v>1547.17048500278</v>
      </c>
      <c r="AO300" s="163" t="n">
        <f aca="false">IF($B300=" ",0,$AO$25)</f>
        <v>0.25</v>
      </c>
      <c r="AP300" s="159" t="n">
        <f aca="false">IF($B300=" ",0,AP$25*AP$28)</f>
        <v>0.03105</v>
      </c>
      <c r="AQ300" s="162" t="n">
        <f aca="false">SUM(AO300:AP300)*SUM(0)/1000</f>
        <v>0</v>
      </c>
      <c r="AS300" s="155" t="n">
        <f aca="false">IF($B300=" ",0,AS$25)</f>
        <v>1</v>
      </c>
      <c r="AT300" s="156" t="n">
        <f aca="false">IF($B300=" ",0,AT$25)</f>
        <v>1</v>
      </c>
      <c r="AU300" s="156" t="n">
        <f aca="false">IF($B300=" ",0,AU$25)</f>
        <v>2.3</v>
      </c>
      <c r="AV300" s="157" t="n">
        <f aca="false">+AS300*SUM(J300:K300)/1000</f>
        <v>0</v>
      </c>
      <c r="AW300" s="157" t="n">
        <f aca="false">+AT300*SUM(L300:M300)/1000</f>
        <v>0</v>
      </c>
      <c r="AX300" s="157" t="n">
        <f aca="false">+AU300*SUM(N300:O300)/1000</f>
        <v>11537.9859375</v>
      </c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</row>
    <row r="301" customFormat="false" ht="12.75" hidden="true" customHeight="false" outlineLevel="1" collapsed="false">
      <c r="A301" s="164" t="n">
        <f aca="false">+IF(B301=" ",A300,B301)</f>
        <v>44440</v>
      </c>
      <c r="B301" s="148" t="n">
        <f aca="false">IF(B300=" "," ",IF(EDATE(B300,1)&gt;=EndDate," ",EDATE(B300,1)))</f>
        <v>44440</v>
      </c>
      <c r="C301" s="149" t="n">
        <f aca="false">IF($B301&lt;&gt;" ",C300+1,C300)</f>
        <v>251</v>
      </c>
      <c r="D301" s="150" t="n">
        <f aca="false">C301/12</f>
        <v>20.9166666666667</v>
      </c>
      <c r="F301" s="157" t="n">
        <f aca="false">+SUM($T301:$U301)</f>
        <v>14883.5779284771</v>
      </c>
      <c r="G301" s="152" t="n">
        <f aca="false">-SUM($AA301,$AG301,$AM301,$AQ301,$AV301:$AX301)</f>
        <v>-17043.5753894461</v>
      </c>
      <c r="H301" s="152" t="n">
        <f aca="false">+SUM(F301:G301)</f>
        <v>-2159.99746096899</v>
      </c>
      <c r="I301" s="124"/>
      <c r="J301" s="153" t="n">
        <f aca="false">+IF($B301=" ",0,IF(AND($B301&gt;=J$26,$B301&lt;J$28),J$33,0))</f>
        <v>0</v>
      </c>
      <c r="K301" s="153" t="n">
        <f aca="false">+IF($B301=" ",0,IF(AND($B301&gt;=K$26,$B301&lt;K$28),K$33,0))</f>
        <v>0</v>
      </c>
      <c r="L301" s="153" t="n">
        <f aca="false">+IF($B301=" ",0,IF(AND($B301&gt;=L$26,$B301&lt;L$28),L$33,0))</f>
        <v>0</v>
      </c>
      <c r="M301" s="153" t="n">
        <f aca="false">+IF($B301=" ",0,IF(AND($B301&gt;=M$26,$B301&lt;M$28),M$33,0))</f>
        <v>0</v>
      </c>
      <c r="N301" s="153" t="n">
        <f aca="false">+IF($B301=" ",0,IF(AND($B301&gt;=N$26,$B301&lt;N$28),N$33,0))</f>
        <v>0</v>
      </c>
      <c r="O301" s="154" t="n">
        <f aca="false">+IF($B301=" ",0,IF(AND($B301&gt;=O$26,$B301&lt;O$28),O$33,0))</f>
        <v>5016515.625</v>
      </c>
      <c r="Q301" s="83" t="n">
        <f aca="false">IF($B301=" ",0,IF($B301&lt;=DATE(2003,12,31),3.55,2.9))</f>
        <v>2.9</v>
      </c>
      <c r="R301" s="155" t="n">
        <f aca="false">IF($B301=" ",0,R$25)</f>
        <v>-0.07</v>
      </c>
      <c r="S301" s="156" t="n">
        <f aca="false">IF($B301=" ",0,S$25)</f>
        <v>0.1</v>
      </c>
      <c r="T301" s="157" t="n">
        <f aca="false">+SUM($Q301,$S301)/1000*(SUM($J301*$J$37,$K301*$K$37,$L301*$L$37,$M301*$M$37,$N301*$N$37,$O301*$O$37))</f>
        <v>14883.5779284771</v>
      </c>
      <c r="U301" s="157" t="n">
        <f aca="false">+SUM($Q301,$R301)/1000*(SUM(0))</f>
        <v>0</v>
      </c>
      <c r="W301" s="158" t="n">
        <f aca="false">IF($B301=" ",0,1)*(IF($B301&gt;=W$25,1,0)*IF($B301&lt;=W$29,W$27,IF($B301&lt;=W$33,W$31,0))*($D301-$D300)*365/1000)</f>
        <v>486.666666666681</v>
      </c>
      <c r="X301" s="158" t="n">
        <f aca="false">IF($B301=" ",0,IF($B301&gt;=X$25,IF($B301&lt;=X$29,X$27,IF($B301&lt;=X$33,X$31,X$31*(1+X$38)^(IF(X$36&gt;$B301,-1,1)*(YEARFRAC($B301,X$36)))))*($D301-$D300)*365/1000,0))</f>
        <v>501.948900675239</v>
      </c>
      <c r="Y301" s="159" t="n">
        <f aca="false">IF($B301=" ",0,Y$25*(1+Y$30)^(IF(Y$28&gt;$B301,-1,1)*(YEARFRAC($B301,Y$28))))</f>
        <v>0.630935908811185</v>
      </c>
      <c r="Z301" s="159" t="n">
        <f aca="false">IF($B301=" ",0,Z$25*(1+Z$30)^(IF(Z$28&gt;$B301,-1,1)*(YEARFRAC($B301,Z$28))))</f>
        <v>0.602309679428014</v>
      </c>
      <c r="AA301" s="162" t="n">
        <f aca="false">+W301+X301+Z301*SUM($J301*$J$37,$L301*$L$37,$N301*$N$37)/1000</f>
        <v>988.615567341919</v>
      </c>
      <c r="AB301" s="161"/>
      <c r="AC301" s="158" t="n">
        <f aca="false">IF($B301=" ",0,1)*(IF($B301&gt;=AC$25,1,0)*IF($B301&lt;=AC$29,AC$27,IF($B301&lt;=AC$33,AC$31,0))*($D301-$D300)*365/1000)</f>
        <v>1591.66666666671</v>
      </c>
      <c r="AD301" s="158" t="n">
        <f aca="false">IF($B301=" ",0,IF($B301&gt;=AD$25,IF($B301&lt;=AD$29,AD$27,IF($B301&lt;=AD$33,AD$31,AD$31*(1+AD$38)^(IF(AD$36&gt;$B301,-1,1)*(YEARFRAC($B301,AD$36)))))*($D301-$D300)*365/1000,0))</f>
        <v>446.844273839824</v>
      </c>
      <c r="AE301" s="159" t="n">
        <f aca="false">IF($B301=" ",0,AE$25*(1+AE$30)^(IF(AE$28&gt;$B301,-1,1)*(YEARFRAC($B301,AE$28))))</f>
        <v>0.522727064592068</v>
      </c>
      <c r="AF301" s="159" t="n">
        <f aca="false">IF($B301=" ",0,AF$25*(1+AF$30)^(IF(AF$28&gt;$B301,-1,1)*(YEARFRAC($B301,AF$28))))</f>
        <v>0.187553285322512</v>
      </c>
      <c r="AG301" s="162" t="n">
        <f aca="false">+AC301+AD301+AF301*SUM($K301*$K$37,$M301*$M$37,$O301*$O$37)/1000</f>
        <v>2968.99891978637</v>
      </c>
      <c r="AI301" s="158" t="n">
        <f aca="false">IF($B301=" ",0,1)*IF($B301&gt;=AI$33,AI$25*($D301-$D300),0)</f>
        <v>485.186570908347</v>
      </c>
      <c r="AJ301" s="158" t="n">
        <f aca="false">IF($B301=" ",0,IF($B301&gt;=AJ$33,AJ$25*(1+AJ$30)^(IF(AJ$28&gt;$B301,-1,1)*(YEARFRAC($B301,AJ$28)))*($D301-$D300),0))</f>
        <v>605.762529241445</v>
      </c>
      <c r="AK301" s="159" t="n">
        <f aca="false">IF($B301=" ",0,AK$25*(1+AK$30)^(IF(AK$28&gt;$B301,-1,1)*(YEARFRAC($B301,AK$28))))</f>
        <v>0.0346201609312466</v>
      </c>
      <c r="AL301" s="159" t="n">
        <f aca="false">IF($B301=" ",0,AL$25*AL$28)</f>
        <v>0.0575</v>
      </c>
      <c r="AM301" s="162" t="n">
        <f aca="false">+AI301+AJ301+SUM(AK301:AL301)*SUM($J301*$J$37,$K301*$K$37,$L301*$L$37,$M301*$M$37,$N301*$N$37,$O301*$O$37)/1000</f>
        <v>1547.97496481781</v>
      </c>
      <c r="AO301" s="163" t="n">
        <f aca="false">IF($B301=" ",0,$AO$25)</f>
        <v>0.25</v>
      </c>
      <c r="AP301" s="159" t="n">
        <f aca="false">IF($B301=" ",0,AP$25*AP$28)</f>
        <v>0.03105</v>
      </c>
      <c r="AQ301" s="162" t="n">
        <f aca="false">SUM(AO301:AP301)*SUM(0)/1000</f>
        <v>0</v>
      </c>
      <c r="AS301" s="155" t="n">
        <f aca="false">IF($B301=" ",0,AS$25)</f>
        <v>1</v>
      </c>
      <c r="AT301" s="156" t="n">
        <f aca="false">IF($B301=" ",0,AT$25)</f>
        <v>1</v>
      </c>
      <c r="AU301" s="156" t="n">
        <f aca="false">IF($B301=" ",0,AU$25)</f>
        <v>2.3</v>
      </c>
      <c r="AV301" s="157" t="n">
        <f aca="false">+AS301*SUM(J301:K301)/1000</f>
        <v>0</v>
      </c>
      <c r="AW301" s="157" t="n">
        <f aca="false">+AT301*SUM(L301:M301)/1000</f>
        <v>0</v>
      </c>
      <c r="AX301" s="157" t="n">
        <f aca="false">+AU301*SUM(N301:O301)/1000</f>
        <v>11537.9859375</v>
      </c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</row>
    <row r="302" customFormat="false" ht="12.75" hidden="true" customHeight="false" outlineLevel="1" collapsed="false">
      <c r="A302" s="164" t="n">
        <f aca="false">+IF(B302=" ",A301,B302)</f>
        <v>44470</v>
      </c>
      <c r="B302" s="148" t="n">
        <f aca="false">IF(B301=" "," ",IF(EDATE(B301,1)&gt;=EndDate," ",EDATE(B301,1)))</f>
        <v>44470</v>
      </c>
      <c r="C302" s="149" t="n">
        <f aca="false">IF($B302&lt;&gt;" ",C301+1,C301)</f>
        <v>252</v>
      </c>
      <c r="D302" s="150" t="n">
        <f aca="false">C302/12</f>
        <v>21</v>
      </c>
      <c r="F302" s="157" t="n">
        <f aca="false">+SUM($T302:$U302)</f>
        <v>14883.5779284771</v>
      </c>
      <c r="G302" s="152" t="n">
        <f aca="false">-SUM($AA302,$AG302,$AM302,$AQ302,$AV302:$AX302)</f>
        <v>-17046.97108661</v>
      </c>
      <c r="H302" s="152" t="n">
        <f aca="false">+SUM(F302:G302)</f>
        <v>-2163.3931581329</v>
      </c>
      <c r="I302" s="124"/>
      <c r="J302" s="153" t="n">
        <f aca="false">+IF($B302=" ",0,IF(AND($B302&gt;=J$26,$B302&lt;J$28),J$33,0))</f>
        <v>0</v>
      </c>
      <c r="K302" s="153" t="n">
        <f aca="false">+IF($B302=" ",0,IF(AND($B302&gt;=K$26,$B302&lt;K$28),K$33,0))</f>
        <v>0</v>
      </c>
      <c r="L302" s="153" t="n">
        <f aca="false">+IF($B302=" ",0,IF(AND($B302&gt;=L$26,$B302&lt;L$28),L$33,0))</f>
        <v>0</v>
      </c>
      <c r="M302" s="153" t="n">
        <f aca="false">+IF($B302=" ",0,IF(AND($B302&gt;=M$26,$B302&lt;M$28),M$33,0))</f>
        <v>0</v>
      </c>
      <c r="N302" s="153" t="n">
        <f aca="false">+IF($B302=" ",0,IF(AND($B302&gt;=N$26,$B302&lt;N$28),N$33,0))</f>
        <v>0</v>
      </c>
      <c r="O302" s="154" t="n">
        <f aca="false">+IF($B302=" ",0,IF(AND($B302&gt;=O$26,$B302&lt;O$28),O$33,0))</f>
        <v>5016515.625</v>
      </c>
      <c r="Q302" s="83" t="n">
        <f aca="false">IF($B302=" ",0,IF($B302&lt;=DATE(2003,12,31),3.55,2.9))</f>
        <v>2.9</v>
      </c>
      <c r="R302" s="155" t="n">
        <f aca="false">IF($B302=" ",0,R$25)</f>
        <v>-0.07</v>
      </c>
      <c r="S302" s="156" t="n">
        <f aca="false">IF($B302=" ",0,S$25)</f>
        <v>0.1</v>
      </c>
      <c r="T302" s="157" t="n">
        <f aca="false">+SUM($Q302,$S302)/1000*(SUM($J302*$J$37,$K302*$K$37,$L302*$L$37,$M302*$M$37,$N302*$N$37,$O302*$O$37))</f>
        <v>14883.5779284771</v>
      </c>
      <c r="U302" s="157" t="n">
        <f aca="false">+SUM($Q302,$R302)/1000*(SUM(0))</f>
        <v>0</v>
      </c>
      <c r="W302" s="158" t="n">
        <f aca="false">IF($B302=" ",0,1)*(IF($B302&gt;=W$25,1,0)*IF($B302&lt;=W$29,W$27,IF($B302&lt;=W$33,W$31,0))*($D302-$D301)*365/1000)</f>
        <v>486.66666666666</v>
      </c>
      <c r="X302" s="158" t="n">
        <f aca="false">IF($B302=" ",0,IF($B302&gt;=X$25,IF($B302&lt;=X$29,X$27,IF($B302&lt;=X$33,X$31,X$31*(1+X$38)^(IF(X$36&gt;$B302,-1,1)*(YEARFRAC($B302,X$36)))))*($D302-$D301)*365/1000,0))</f>
        <v>502.640782491245</v>
      </c>
      <c r="Y302" s="159" t="n">
        <f aca="false">IF($B302=" ",0,Y$25*(1+Y$30)^(IF(Y$28&gt;$B302,-1,1)*(YEARFRAC($B302,Y$28))))</f>
        <v>0.631805585150346</v>
      </c>
      <c r="Z302" s="159" t="n">
        <f aca="false">IF($B302=" ",0,Z$25*(1+Z$30)^(IF(Z$28&gt;$B302,-1,1)*(YEARFRAC($B302,Z$28))))</f>
        <v>0.603139897632004</v>
      </c>
      <c r="AA302" s="162" t="n">
        <f aca="false">+W302+X302+Z302*SUM($J302*$J$37,$L302*$L$37,$N302*$N$37)/1000</f>
        <v>989.307449157904</v>
      </c>
      <c r="AB302" s="161"/>
      <c r="AC302" s="158" t="n">
        <f aca="false">IF($B302=" ",0,1)*(IF($B302&gt;=AC$25,1,0)*IF($B302&lt;=AC$29,AC$27,IF($B302&lt;=AC$33,AC$31,0))*($D302-$D301)*365/1000)</f>
        <v>1591.66666666664</v>
      </c>
      <c r="AD302" s="158" t="n">
        <f aca="false">IF($B302=" ",0,IF($B302&gt;=AD$25,IF($B302&lt;=AD$29,AD$27,IF($B302&lt;=AD$33,AD$31,AD$31*(1+AD$38)^(IF(AD$36&gt;$B302,-1,1)*(YEARFRAC($B302,AD$36)))))*($D302-$D301)*365/1000,0))</f>
        <v>447.460199937561</v>
      </c>
      <c r="AE302" s="159" t="n">
        <f aca="false">IF($B302=" ",0,AE$25*(1+AE$30)^(IF(AE$28&gt;$B302,-1,1)*(YEARFRAC($B302,AE$28))))</f>
        <v>0.523447586840946</v>
      </c>
      <c r="AF302" s="159" t="n">
        <f aca="false">IF($B302=" ",0,AF$25*(1+AF$30)^(IF(AF$28&gt;$B302,-1,1)*(YEARFRAC($B302,AF$28))))</f>
        <v>0.187811807071392</v>
      </c>
      <c r="AG302" s="162" t="n">
        <f aca="false">+AC302+AD302+AF302*SUM($K302*$K$37,$M302*$M$37,$O302*$O$37)/1000</f>
        <v>2970.89742208259</v>
      </c>
      <c r="AI302" s="158" t="n">
        <f aca="false">IF($B302=" ",0,1)*IF($B302&gt;=AI$33,AI$25*($D302-$D301),0)</f>
        <v>485.186570908327</v>
      </c>
      <c r="AJ302" s="158" t="n">
        <f aca="false">IF($B302=" ",0,IF($B302&gt;=AJ$33,AJ$25*(1+AJ$30)^(IF(AJ$28&gt;$B302,-1,1)*(YEARFRAC($B302,AJ$28)))*($D302-$D301),0))</f>
        <v>606.389945366935</v>
      </c>
      <c r="AK302" s="159" t="n">
        <f aca="false">IF($B302=" ",0,AK$25*(1+AK$30)^(IF(AK$28&gt;$B302,-1,1)*(YEARFRAC($B302,AK$28))))</f>
        <v>0.0346560186249593</v>
      </c>
      <c r="AL302" s="159" t="n">
        <f aca="false">IF($B302=" ",0,AL$25*AL$28)</f>
        <v>0.0575</v>
      </c>
      <c r="AM302" s="162" t="n">
        <f aca="false">+AI302+AJ302+SUM(AK302:AL302)*SUM($J302*$J$37,$K302*$K$37,$L302*$L$37,$M302*$M$37,$N302*$N$37,$O302*$O$37)/1000</f>
        <v>1548.78027786952</v>
      </c>
      <c r="AO302" s="163" t="n">
        <f aca="false">IF($B302=" ",0,$AO$25)</f>
        <v>0.25</v>
      </c>
      <c r="AP302" s="159" t="n">
        <f aca="false">IF($B302=" ",0,AP$25*AP$28)</f>
        <v>0.03105</v>
      </c>
      <c r="AQ302" s="162" t="n">
        <f aca="false">SUM(AO302:AP302)*SUM(0)/1000</f>
        <v>0</v>
      </c>
      <c r="AS302" s="155" t="n">
        <f aca="false">IF($B302=" ",0,AS$25)</f>
        <v>1</v>
      </c>
      <c r="AT302" s="156" t="n">
        <f aca="false">IF($B302=" ",0,AT$25)</f>
        <v>1</v>
      </c>
      <c r="AU302" s="156" t="n">
        <f aca="false">IF($B302=" ",0,AU$25)</f>
        <v>2.3</v>
      </c>
      <c r="AV302" s="157" t="n">
        <f aca="false">+AS302*SUM(J302:K302)/1000</f>
        <v>0</v>
      </c>
      <c r="AW302" s="157" t="n">
        <f aca="false">+AT302*SUM(L302:M302)/1000</f>
        <v>0</v>
      </c>
      <c r="AX302" s="157" t="n">
        <f aca="false">+AU302*SUM(N302:O302)/1000</f>
        <v>11537.9859375</v>
      </c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</row>
    <row r="303" customFormat="false" ht="12.75" hidden="true" customHeight="false" outlineLevel="1" collapsed="false">
      <c r="A303" s="164" t="n">
        <f aca="false">+IF(B303=" ",A302,B303)</f>
        <v>44501</v>
      </c>
      <c r="B303" s="148" t="n">
        <f aca="false">IF(B302=" "," ",IF(EDATE(B302,1)&gt;=EndDate," ",EDATE(B302,1)))</f>
        <v>44501</v>
      </c>
      <c r="C303" s="149" t="n">
        <f aca="false">IF($B303&lt;&gt;" ",C302+1,C302)</f>
        <v>253</v>
      </c>
      <c r="D303" s="150" t="n">
        <f aca="false">C303/12</f>
        <v>21.0833333333333</v>
      </c>
      <c r="F303" s="157" t="n">
        <f aca="false">+SUM($T303:$U303)</f>
        <v>14883.5779284771</v>
      </c>
      <c r="G303" s="152" t="n">
        <f aca="false">-SUM($AA303,$AG303,$AM303,$AQ303,$AV303:$AX303)</f>
        <v>-17050.3711884359</v>
      </c>
      <c r="H303" s="152" t="n">
        <f aca="false">+SUM(F303:G303)</f>
        <v>-2166.79325995876</v>
      </c>
      <c r="I303" s="124"/>
      <c r="J303" s="153" t="n">
        <f aca="false">+IF($B303=" ",0,IF(AND($B303&gt;=J$26,$B303&lt;J$28),J$33,0))</f>
        <v>0</v>
      </c>
      <c r="K303" s="153" t="n">
        <f aca="false">+IF($B303=" ",0,IF(AND($B303&gt;=K$26,$B303&lt;K$28),K$33,0))</f>
        <v>0</v>
      </c>
      <c r="L303" s="153" t="n">
        <f aca="false">+IF($B303=" ",0,IF(AND($B303&gt;=L$26,$B303&lt;L$28),L$33,0))</f>
        <v>0</v>
      </c>
      <c r="M303" s="153" t="n">
        <f aca="false">+IF($B303=" ",0,IF(AND($B303&gt;=M$26,$B303&lt;M$28),M$33,0))</f>
        <v>0</v>
      </c>
      <c r="N303" s="153" t="n">
        <f aca="false">+IF($B303=" ",0,IF(AND($B303&gt;=N$26,$B303&lt;N$28),N$33,0))</f>
        <v>0</v>
      </c>
      <c r="O303" s="154" t="n">
        <f aca="false">+IF($B303=" ",0,IF(AND($B303&gt;=O$26,$B303&lt;O$28),O$33,0))</f>
        <v>5016515.625</v>
      </c>
      <c r="Q303" s="83" t="n">
        <f aca="false">IF($B303=" ",0,IF($B303&lt;=DATE(2003,12,31),3.55,2.9))</f>
        <v>2.9</v>
      </c>
      <c r="R303" s="155" t="n">
        <f aca="false">IF($B303=" ",0,R$25)</f>
        <v>-0.07</v>
      </c>
      <c r="S303" s="156" t="n">
        <f aca="false">IF($B303=" ",0,S$25)</f>
        <v>0.1</v>
      </c>
      <c r="T303" s="157" t="n">
        <f aca="false">+SUM($Q303,$S303)/1000*(SUM($J303*$J$37,$K303*$K$37,$L303*$L$37,$M303*$M$37,$N303*$N$37,$O303*$O$37))</f>
        <v>14883.5779284771</v>
      </c>
      <c r="U303" s="157" t="n">
        <f aca="false">+SUM($Q303,$R303)/1000*(SUM(0))</f>
        <v>0</v>
      </c>
      <c r="W303" s="158" t="n">
        <f aca="false">IF($B303=" ",0,1)*(IF($B303&gt;=W$25,1,0)*IF($B303&lt;=W$29,W$27,IF($B303&lt;=W$33,W$31,0))*($D303-$D302)*365/1000)</f>
        <v>486.66666666666</v>
      </c>
      <c r="X303" s="158" t="n">
        <f aca="false">IF($B303=" ",0,IF($B303&gt;=X$25,IF($B303&lt;=X$29,X$27,IF($B303&lt;=X$33,X$31,X$31*(1+X$38)^(IF(X$36&gt;$B303,-1,1)*(YEARFRAC($B303,X$36)))))*($D303-$D302)*365/1000,0))</f>
        <v>503.333617990897</v>
      </c>
      <c r="Y303" s="159" t="n">
        <f aca="false">IF($B303=" ",0,Y$25*(1+Y$30)^(IF(Y$28&gt;$B303,-1,1)*(YEARFRAC($B303,Y$28))))</f>
        <v>0.632676460243492</v>
      </c>
      <c r="Z303" s="159" t="n">
        <f aca="false">IF($B303=" ",0,Z$25*(1+Z$30)^(IF(Z$28&gt;$B303,-1,1)*(YEARFRAC($B303,Z$28))))</f>
        <v>0.603971260201243</v>
      </c>
      <c r="AA303" s="162" t="n">
        <f aca="false">+W303+X303+Z303*SUM($J303*$J$37,$L303*$L$37,$N303*$N$37)/1000</f>
        <v>990.000284657557</v>
      </c>
      <c r="AB303" s="161"/>
      <c r="AC303" s="158" t="n">
        <f aca="false">IF($B303=" ",0,1)*(IF($B303&gt;=AC$25,1,0)*IF($B303&lt;=AC$29,AC$27,IF($B303&lt;=AC$33,AC$31,0))*($D303-$D302)*365/1000)</f>
        <v>1591.66666666664</v>
      </c>
      <c r="AD303" s="158" t="n">
        <f aca="false">IF($B303=" ",0,IF($B303&gt;=AD$25,IF($B303&lt;=AD$29,AD$27,IF($B303&lt;=AD$33,AD$31,AD$31*(1+AD$38)^(IF(AD$36&gt;$B303,-1,1)*(YEARFRAC($B303,AD$36)))))*($D303-$D302)*365/1000,0))</f>
        <v>448.076975022268</v>
      </c>
      <c r="AE303" s="159" t="n">
        <f aca="false">IF($B303=" ",0,AE$25*(1+AE$30)^(IF(AE$28&gt;$B303,-1,1)*(YEARFRAC($B303,AE$28))))</f>
        <v>0.524169102251163</v>
      </c>
      <c r="AF303" s="159" t="n">
        <f aca="false">IF($B303=" ",0,AF$25*(1+AF$30)^(IF(AF$28&gt;$B303,-1,1)*(YEARFRAC($B303,AF$28))))</f>
        <v>0.188070685164307</v>
      </c>
      <c r="AG303" s="162" t="n">
        <f aca="false">+AC303+AD303+AF303*SUM($K303*$K$37,$M303*$M$37,$O303*$O$37)/1000</f>
        <v>2972.79854125726</v>
      </c>
      <c r="AI303" s="158" t="n">
        <f aca="false">IF($B303=" ",0,1)*IF($B303&gt;=AI$33,AI$25*($D303-$D302),0)</f>
        <v>485.186570908327</v>
      </c>
      <c r="AJ303" s="158" t="n">
        <f aca="false">IF($B303=" ",0,IF($B303&gt;=AJ$33,AJ$25*(1+AJ$30)^(IF(AJ$28&gt;$B303,-1,1)*(YEARFRAC($B303,AJ$28)))*($D303-$D302),0))</f>
        <v>607.018011336201</v>
      </c>
      <c r="AK303" s="159" t="n">
        <f aca="false">IF($B303=" ",0,AK$25*(1+AK$30)^(IF(AK$28&gt;$B303,-1,1)*(YEARFRAC($B303,AK$28))))</f>
        <v>0.0346919134581354</v>
      </c>
      <c r="AL303" s="159" t="n">
        <f aca="false">IF($B303=" ",0,AL$25*AL$28)</f>
        <v>0.0575</v>
      </c>
      <c r="AM303" s="162" t="n">
        <f aca="false">+AI303+AJ303+SUM(AK303:AL303)*SUM($J303*$J$37,$K303*$K$37,$L303*$L$37,$M303*$M$37,$N303*$N$37,$O303*$O$37)/1000</f>
        <v>1549.58642502105</v>
      </c>
      <c r="AO303" s="163" t="n">
        <f aca="false">IF($B303=" ",0,$AO$25)</f>
        <v>0.25</v>
      </c>
      <c r="AP303" s="159" t="n">
        <f aca="false">IF($B303=" ",0,AP$25*AP$28)</f>
        <v>0.03105</v>
      </c>
      <c r="AQ303" s="162" t="n">
        <f aca="false">SUM(AO303:AP303)*SUM(0)/1000</f>
        <v>0</v>
      </c>
      <c r="AS303" s="155" t="n">
        <f aca="false">IF($B303=" ",0,AS$25)</f>
        <v>1</v>
      </c>
      <c r="AT303" s="156" t="n">
        <f aca="false">IF($B303=" ",0,AT$25)</f>
        <v>1</v>
      </c>
      <c r="AU303" s="156" t="n">
        <f aca="false">IF($B303=" ",0,AU$25)</f>
        <v>2.3</v>
      </c>
      <c r="AV303" s="157" t="n">
        <f aca="false">+AS303*SUM(J303:K303)/1000</f>
        <v>0</v>
      </c>
      <c r="AW303" s="157" t="n">
        <f aca="false">+AT303*SUM(L303:M303)/1000</f>
        <v>0</v>
      </c>
      <c r="AX303" s="157" t="n">
        <f aca="false">+AU303*SUM(N303:O303)/1000</f>
        <v>11537.9859375</v>
      </c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</row>
    <row r="304" customFormat="false" ht="12.75" hidden="true" customHeight="false" outlineLevel="1" collapsed="false">
      <c r="A304" s="164" t="n">
        <f aca="false">+IF(B304=" ",A303,B304)</f>
        <v>44531</v>
      </c>
      <c r="B304" s="148" t="n">
        <f aca="false">IF(B303=" "," ",IF(EDATE(B303,1)&gt;=EndDate," ",EDATE(B303,1)))</f>
        <v>44531</v>
      </c>
      <c r="C304" s="149" t="n">
        <f aca="false">IF($B304&lt;&gt;" ",C303+1,C303)</f>
        <v>254</v>
      </c>
      <c r="D304" s="150" t="n">
        <f aca="false">C304/12</f>
        <v>21.1666666666667</v>
      </c>
      <c r="F304" s="157" t="n">
        <f aca="false">+SUM($T304:$U304)</f>
        <v>14883.5779284771</v>
      </c>
      <c r="G304" s="152" t="n">
        <f aca="false">-SUM($AA304,$AG304,$AM304,$AQ304,$AV304:$AX304)</f>
        <v>-17053.7757007092</v>
      </c>
      <c r="H304" s="152" t="n">
        <f aca="false">+SUM(F304:G304)</f>
        <v>-2170.19777223211</v>
      </c>
      <c r="I304" s="124"/>
      <c r="J304" s="153" t="n">
        <f aca="false">+IF($B304=" ",0,IF(AND($B304&gt;=J$26,$B304&lt;J$28),J$33,0))</f>
        <v>0</v>
      </c>
      <c r="K304" s="153" t="n">
        <f aca="false">+IF($B304=" ",0,IF(AND($B304&gt;=K$26,$B304&lt;K$28),K$33,0))</f>
        <v>0</v>
      </c>
      <c r="L304" s="153" t="n">
        <f aca="false">+IF($B304=" ",0,IF(AND($B304&gt;=L$26,$B304&lt;L$28),L$33,0))</f>
        <v>0</v>
      </c>
      <c r="M304" s="153" t="n">
        <f aca="false">+IF($B304=" ",0,IF(AND($B304&gt;=M$26,$B304&lt;M$28),M$33,0))</f>
        <v>0</v>
      </c>
      <c r="N304" s="153" t="n">
        <f aca="false">+IF($B304=" ",0,IF(AND($B304&gt;=N$26,$B304&lt;N$28),N$33,0))</f>
        <v>0</v>
      </c>
      <c r="O304" s="154" t="n">
        <f aca="false">+IF($B304=" ",0,IF(AND($B304&gt;=O$26,$B304&lt;O$28),O$33,0))</f>
        <v>5016515.625</v>
      </c>
      <c r="Q304" s="83" t="n">
        <f aca="false">IF($B304=" ",0,IF($B304&lt;=DATE(2003,12,31),3.55,2.9))</f>
        <v>2.9</v>
      </c>
      <c r="R304" s="155" t="n">
        <f aca="false">IF($B304=" ",0,R$25)</f>
        <v>-0.07</v>
      </c>
      <c r="S304" s="156" t="n">
        <f aca="false">IF($B304=" ",0,S$25)</f>
        <v>0.1</v>
      </c>
      <c r="T304" s="157" t="n">
        <f aca="false">+SUM($Q304,$S304)/1000*(SUM($J304*$J$37,$K304*$K$37,$L304*$L$37,$M304*$M$37,$N304*$N$37,$O304*$O$37))</f>
        <v>14883.5779284771</v>
      </c>
      <c r="U304" s="157" t="n">
        <f aca="false">+SUM($Q304,$R304)/1000*(SUM(0))</f>
        <v>0</v>
      </c>
      <c r="W304" s="158" t="n">
        <f aca="false">IF($B304=" ",0,1)*(IF($B304&gt;=W$25,1,0)*IF($B304&lt;=W$29,W$27,IF($B304&lt;=W$33,W$31,0))*($D304-$D303)*365/1000)</f>
        <v>486.666666666681</v>
      </c>
      <c r="X304" s="158" t="n">
        <f aca="false">IF($B304=" ",0,IF($B304&gt;=X$25,IF($B304&lt;=X$29,X$27,IF($B304&lt;=X$33,X$31,X$31*(1+X$38)^(IF(X$36&gt;$B304,-1,1)*(YEARFRAC($B304,X$36)))))*($D304-$D303)*365/1000,0))</f>
        <v>504.027408488745</v>
      </c>
      <c r="Y304" s="159" t="n">
        <f aca="false">IF($B304=" ",0,Y$25*(1+Y$30)^(IF(Y$28&gt;$B304,-1,1)*(YEARFRAC($B304,Y$28))))</f>
        <v>0.633548535742974</v>
      </c>
      <c r="Z304" s="159" t="n">
        <f aca="false">IF($B304=" ",0,Z$25*(1+Z$30)^(IF(Z$28&gt;$B304,-1,1)*(YEARFRAC($B304,Z$28))))</f>
        <v>0.604803768713114</v>
      </c>
      <c r="AA304" s="162" t="n">
        <f aca="false">+W304+X304+Z304*SUM($J304*$J$37,$L304*$L$37,$N304*$N$37)/1000</f>
        <v>990.694075155426</v>
      </c>
      <c r="AB304" s="161"/>
      <c r="AC304" s="158" t="n">
        <f aca="false">IF($B304=" ",0,1)*(IF($B304&gt;=AC$25,1,0)*IF($B304&lt;=AC$29,AC$27,IF($B304&lt;=AC$33,AC$31,0))*($D304-$D303)*365/1000)</f>
        <v>1591.66666666671</v>
      </c>
      <c r="AD304" s="158" t="n">
        <f aca="false">IF($B304=" ",0,IF($B304&gt;=AD$25,IF($B304&lt;=AD$29,AD$27,IF($B304&lt;=AD$33,AD$31,AD$31*(1+AD$38)^(IF(AD$36&gt;$B304,-1,1)*(YEARFRAC($B304,AD$36)))))*($D304-$D303)*365/1000,0))</f>
        <v>448.694600264182</v>
      </c>
      <c r="AE304" s="159" t="n">
        <f aca="false">IF($B304=" ",0,AE$25*(1+AE$30)^(IF(AE$28&gt;$B304,-1,1)*(YEARFRAC($B304,AE$28))))</f>
        <v>0.524891612191683</v>
      </c>
      <c r="AF304" s="159" t="n">
        <f aca="false">IF($B304=" ",0,AF$25*(1+AF$30)^(IF(AF$28&gt;$B304,-1,1)*(YEARFRAC($B304,AF$28))))</f>
        <v>0.18832992009244</v>
      </c>
      <c r="AG304" s="162" t="n">
        <f aca="false">+AC304+AD304+AF304*SUM($K304*$K$37,$M304*$M$37,$O304*$O$37)/1000</f>
        <v>2974.70228091746</v>
      </c>
      <c r="AI304" s="158" t="n">
        <f aca="false">IF($B304=" ",0,1)*IF($B304&gt;=AI$33,AI$25*($D304-$D303),0)</f>
        <v>485.186570908347</v>
      </c>
      <c r="AJ304" s="158" t="n">
        <f aca="false">IF($B304=" ",0,IF($B304&gt;=AJ$33,AJ$25*(1+AJ$30)^(IF(AJ$28&gt;$B304,-1,1)*(YEARFRAC($B304,AJ$28)))*($D304-$D303),0))</f>
        <v>607.646727822319</v>
      </c>
      <c r="AK304" s="159" t="n">
        <f aca="false">IF($B304=" ",0,AK$25*(1+AK$30)^(IF(AK$28&gt;$B304,-1,1)*(YEARFRAC($B304,AK$28))))</f>
        <v>0.0347278454692419</v>
      </c>
      <c r="AL304" s="159" t="n">
        <f aca="false">IF($B304=" ",0,AL$25*AL$28)</f>
        <v>0.0575</v>
      </c>
      <c r="AM304" s="162" t="n">
        <f aca="false">+AI304+AJ304+SUM(AK304:AL304)*SUM($J304*$J$37,$K304*$K$37,$L304*$L$37,$M304*$M$37,$N304*$N$37,$O304*$O$37)/1000</f>
        <v>1550.39340713634</v>
      </c>
      <c r="AO304" s="163" t="n">
        <f aca="false">IF($B304=" ",0,$AO$25)</f>
        <v>0.25</v>
      </c>
      <c r="AP304" s="159" t="n">
        <f aca="false">IF($B304=" ",0,AP$25*AP$28)</f>
        <v>0.03105</v>
      </c>
      <c r="AQ304" s="162" t="n">
        <f aca="false">SUM(AO304:AP304)*SUM(0)/1000</f>
        <v>0</v>
      </c>
      <c r="AS304" s="155" t="n">
        <f aca="false">IF($B304=" ",0,AS$25)</f>
        <v>1</v>
      </c>
      <c r="AT304" s="156" t="n">
        <f aca="false">IF($B304=" ",0,AT$25)</f>
        <v>1</v>
      </c>
      <c r="AU304" s="156" t="n">
        <f aca="false">IF($B304=" ",0,AU$25)</f>
        <v>2.3</v>
      </c>
      <c r="AV304" s="157" t="n">
        <f aca="false">+AS304*SUM(J304:K304)/1000</f>
        <v>0</v>
      </c>
      <c r="AW304" s="157" t="n">
        <f aca="false">+AT304*SUM(L304:M304)/1000</f>
        <v>0</v>
      </c>
      <c r="AX304" s="157" t="n">
        <f aca="false">+AU304*SUM(N304:O304)/1000</f>
        <v>11537.9859375</v>
      </c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</row>
    <row r="305" customFormat="false" ht="12.75" hidden="true" customHeight="false" outlineLevel="1" collapsed="false">
      <c r="A305" s="164" t="n">
        <f aca="false">+IF(B305=" ",A304,B305)</f>
        <v>44562</v>
      </c>
      <c r="B305" s="148" t="n">
        <f aca="false">IF(B304=" "," ",IF(EDATE(B304,1)&gt;=EndDate," ",EDATE(B304,1)))</f>
        <v>44562</v>
      </c>
      <c r="C305" s="149" t="n">
        <f aca="false">IF($B305&lt;&gt;" ",C304+1,C304)</f>
        <v>255</v>
      </c>
      <c r="D305" s="150" t="n">
        <f aca="false">C305/12</f>
        <v>21.25</v>
      </c>
      <c r="F305" s="157" t="n">
        <f aca="false">+SUM($T305:$U305)</f>
        <v>14883.5779284771</v>
      </c>
      <c r="G305" s="152" t="n">
        <f aca="false">-SUM($AA305,$AG305,$AM305,$AQ305,$AV305:$AX305)</f>
        <v>-17057.1846292228</v>
      </c>
      <c r="H305" s="152" t="n">
        <f aca="false">+SUM(F305:G305)</f>
        <v>-2173.60670074565</v>
      </c>
      <c r="I305" s="124"/>
      <c r="J305" s="153" t="n">
        <f aca="false">+IF($B305=" ",0,IF(AND($B305&gt;=J$26,$B305&lt;J$28),J$33,0))</f>
        <v>0</v>
      </c>
      <c r="K305" s="153" t="n">
        <f aca="false">+IF($B305=" ",0,IF(AND($B305&gt;=K$26,$B305&lt;K$28),K$33,0))</f>
        <v>0</v>
      </c>
      <c r="L305" s="153" t="n">
        <f aca="false">+IF($B305=" ",0,IF(AND($B305&gt;=L$26,$B305&lt;L$28),L$33,0))</f>
        <v>0</v>
      </c>
      <c r="M305" s="153" t="n">
        <f aca="false">+IF($B305=" ",0,IF(AND($B305&gt;=M$26,$B305&lt;M$28),M$33,0))</f>
        <v>0</v>
      </c>
      <c r="N305" s="153" t="n">
        <f aca="false">+IF($B305=" ",0,IF(AND($B305&gt;=N$26,$B305&lt;N$28),N$33,0))</f>
        <v>0</v>
      </c>
      <c r="O305" s="154" t="n">
        <f aca="false">+IF($B305=" ",0,IF(AND($B305&gt;=O$26,$B305&lt;O$28),O$33,0))</f>
        <v>5016515.625</v>
      </c>
      <c r="Q305" s="83" t="n">
        <f aca="false">IF($B305=" ",0,IF($B305&lt;=DATE(2003,12,31),3.55,2.9))</f>
        <v>2.9</v>
      </c>
      <c r="R305" s="155" t="n">
        <f aca="false">IF($B305=" ",0,R$25)</f>
        <v>-0.07</v>
      </c>
      <c r="S305" s="156" t="n">
        <f aca="false">IF($B305=" ",0,S$25)</f>
        <v>0.1</v>
      </c>
      <c r="T305" s="157" t="n">
        <f aca="false">+SUM($Q305,$S305)/1000*(SUM($J305*$J$37,$K305*$K$37,$L305*$L$37,$M305*$M$37,$N305*$N$37,$O305*$O$37))</f>
        <v>14883.5779284771</v>
      </c>
      <c r="U305" s="157" t="n">
        <f aca="false">+SUM($Q305,$R305)/1000*(SUM(0))</f>
        <v>0</v>
      </c>
      <c r="W305" s="158" t="n">
        <f aca="false">IF($B305=" ",0,1)*(IF($B305&gt;=W$25,1,0)*IF($B305&lt;=W$29,W$27,IF($B305&lt;=W$33,W$31,0))*($D305-$D304)*365/1000)</f>
        <v>486.66666666666</v>
      </c>
      <c r="X305" s="158" t="n">
        <f aca="false">IF($B305=" ",0,IF($B305&gt;=X$25,IF($B305&lt;=X$29,X$27,IF($B305&lt;=X$33,X$31,X$31*(1+X$38)^(IF(X$36&gt;$B305,-1,1)*(YEARFRAC($B305,X$36)))))*($D305-$D304)*365/1000,0))</f>
        <v>504.722155301086</v>
      </c>
      <c r="Y305" s="159" t="n">
        <f aca="false">IF($B305=" ",0,Y$25*(1+Y$30)^(IF(Y$28&gt;$B305,-1,1)*(YEARFRAC($B305,Y$28))))</f>
        <v>0.634421813303422</v>
      </c>
      <c r="Z305" s="159" t="n">
        <f aca="false">IF($B305=" ",0,Z$25*(1+Z$30)^(IF(Z$28&gt;$B305,-1,1)*(YEARFRAC($B305,Z$28))))</f>
        <v>0.605637424747173</v>
      </c>
      <c r="AA305" s="162" t="n">
        <f aca="false">+W305+X305+Z305*SUM($J305*$J$37,$L305*$L$37,$N305*$N$37)/1000</f>
        <v>991.388821967745</v>
      </c>
      <c r="AB305" s="161"/>
      <c r="AC305" s="158" t="n">
        <f aca="false">IF($B305=" ",0,1)*(IF($B305&gt;=AC$25,1,0)*IF($B305&lt;=AC$29,AC$27,IF($B305&lt;=AC$33,AC$31,0))*($D305-$D304)*365/1000)</f>
        <v>1591.66666666664</v>
      </c>
      <c r="AD305" s="158" t="n">
        <f aca="false">IF($B305=" ",0,IF($B305&gt;=AD$25,IF($B305&lt;=AD$29,AD$27,IF($B305&lt;=AD$33,AD$31,AD$31*(1+AD$38)^(IF(AD$36&gt;$B305,-1,1)*(YEARFRAC($B305,AD$36)))))*($D305-$D304)*365/1000,0))</f>
        <v>449.313076835094</v>
      </c>
      <c r="AE305" s="159" t="n">
        <f aca="false">IF($B305=" ",0,AE$25*(1+AE$30)^(IF(AE$28&gt;$B305,-1,1)*(YEARFRAC($B305,AE$28))))</f>
        <v>0.525615118033358</v>
      </c>
      <c r="AF305" s="159" t="n">
        <f aca="false">IF($B305=" ",0,AF$25*(1+AF$30)^(IF(AF$28&gt;$B305,-1,1)*(YEARFRAC($B305,AF$28))))</f>
        <v>0.188589512347649</v>
      </c>
      <c r="AG305" s="162" t="n">
        <f aca="false">+AC305+AD305+AF305*SUM($K305*$K$37,$M305*$M$37,$O305*$O$37)/1000</f>
        <v>2976.60864467498</v>
      </c>
      <c r="AI305" s="158" t="n">
        <f aca="false">IF($B305=" ",0,1)*IF($B305&gt;=AI$33,AI$25*($D305-$D304),0)</f>
        <v>485.186570908327</v>
      </c>
      <c r="AJ305" s="158" t="n">
        <f aca="false">IF($B305=" ",0,IF($B305&gt;=AJ$33,AJ$25*(1+AJ$30)^(IF(AJ$28&gt;$B305,-1,1)*(YEARFRAC($B305,AJ$28)))*($D305-$D304),0))</f>
        <v>608.27609549898</v>
      </c>
      <c r="AK305" s="159" t="n">
        <f aca="false">IF($B305=" ",0,AK$25*(1+AK$30)^(IF(AK$28&gt;$B305,-1,1)*(YEARFRAC($B305,AK$28))))</f>
        <v>0.0347638146967858</v>
      </c>
      <c r="AL305" s="159" t="n">
        <f aca="false">IF($B305=" ",0,AL$25*AL$28)</f>
        <v>0.0575</v>
      </c>
      <c r="AM305" s="162" t="n">
        <f aca="false">+AI305+AJ305+SUM(AK305:AL305)*SUM($J305*$J$37,$K305*$K$37,$L305*$L$37,$M305*$M$37,$N305*$N$37,$O305*$O$37)/1000</f>
        <v>1551.20122508003</v>
      </c>
      <c r="AO305" s="163" t="n">
        <f aca="false">IF($B305=" ",0,$AO$25)</f>
        <v>0.25</v>
      </c>
      <c r="AP305" s="159" t="n">
        <f aca="false">IF($B305=" ",0,AP$25*AP$28)</f>
        <v>0.03105</v>
      </c>
      <c r="AQ305" s="162" t="n">
        <f aca="false">SUM(AO305:AP305)*SUM(0)/1000</f>
        <v>0</v>
      </c>
      <c r="AS305" s="155" t="n">
        <f aca="false">IF($B305=" ",0,AS$25)</f>
        <v>1</v>
      </c>
      <c r="AT305" s="156" t="n">
        <f aca="false">IF($B305=" ",0,AT$25)</f>
        <v>1</v>
      </c>
      <c r="AU305" s="156" t="n">
        <f aca="false">IF($B305=" ",0,AU$25)</f>
        <v>2.3</v>
      </c>
      <c r="AV305" s="157" t="n">
        <f aca="false">+AS305*SUM(J305:K305)/1000</f>
        <v>0</v>
      </c>
      <c r="AW305" s="157" t="n">
        <f aca="false">+AT305*SUM(L305:M305)/1000</f>
        <v>0</v>
      </c>
      <c r="AX305" s="157" t="n">
        <f aca="false">+AU305*SUM(N305:O305)/1000</f>
        <v>11537.9859375</v>
      </c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</row>
    <row r="306" customFormat="false" ht="12.75" hidden="true" customHeight="false" outlineLevel="1" collapsed="false">
      <c r="A306" s="164" t="n">
        <f aca="false">+IF(B306=" ",A305,B306)</f>
        <v>44593</v>
      </c>
      <c r="B306" s="148" t="n">
        <f aca="false">IF(B305=" "," ",IF(EDATE(B305,1)&gt;=EndDate," ",EDATE(B305,1)))</f>
        <v>44593</v>
      </c>
      <c r="C306" s="149" t="n">
        <f aca="false">IF($B306&lt;&gt;" ",C305+1,C305)</f>
        <v>256</v>
      </c>
      <c r="D306" s="150" t="n">
        <f aca="false">C306/12</f>
        <v>21.3333333333333</v>
      </c>
      <c r="F306" s="157" t="n">
        <f aca="false">+SUM($T306:$U306)</f>
        <v>14883.5779284771</v>
      </c>
      <c r="G306" s="152" t="n">
        <f aca="false">-SUM($AA306,$AG306,$AM306,$AQ306,$AV306:$AX306)</f>
        <v>-17060.5979797779</v>
      </c>
      <c r="H306" s="152" t="n">
        <f aca="false">+SUM(F306:G306)</f>
        <v>-2177.02005130082</v>
      </c>
      <c r="I306" s="124"/>
      <c r="J306" s="153" t="n">
        <f aca="false">+IF($B306=" ",0,IF(AND($B306&gt;=J$26,$B306&lt;J$28),J$33,0))</f>
        <v>0</v>
      </c>
      <c r="K306" s="153" t="n">
        <f aca="false">+IF($B306=" ",0,IF(AND($B306&gt;=K$26,$B306&lt;K$28),K$33,0))</f>
        <v>0</v>
      </c>
      <c r="L306" s="153" t="n">
        <f aca="false">+IF($B306=" ",0,IF(AND($B306&gt;=L$26,$B306&lt;L$28),L$33,0))</f>
        <v>0</v>
      </c>
      <c r="M306" s="153" t="n">
        <f aca="false">+IF($B306=" ",0,IF(AND($B306&gt;=M$26,$B306&lt;M$28),M$33,0))</f>
        <v>0</v>
      </c>
      <c r="N306" s="153" t="n">
        <f aca="false">+IF($B306=" ",0,IF(AND($B306&gt;=N$26,$B306&lt;N$28),N$33,0))</f>
        <v>0</v>
      </c>
      <c r="O306" s="154" t="n">
        <f aca="false">+IF($B306=" ",0,IF(AND($B306&gt;=O$26,$B306&lt;O$28),O$33,0))</f>
        <v>5016515.625</v>
      </c>
      <c r="Q306" s="83" t="n">
        <f aca="false">IF($B306=" ",0,IF($B306&lt;=DATE(2003,12,31),3.55,2.9))</f>
        <v>2.9</v>
      </c>
      <c r="R306" s="155" t="n">
        <f aca="false">IF($B306=" ",0,R$25)</f>
        <v>-0.07</v>
      </c>
      <c r="S306" s="156" t="n">
        <f aca="false">IF($B306=" ",0,S$25)</f>
        <v>0.1</v>
      </c>
      <c r="T306" s="157" t="n">
        <f aca="false">+SUM($Q306,$S306)/1000*(SUM($J306*$J$37,$K306*$K$37,$L306*$L$37,$M306*$M$37,$N306*$N$37,$O306*$O$37))</f>
        <v>14883.5779284771</v>
      </c>
      <c r="U306" s="157" t="n">
        <f aca="false">+SUM($Q306,$R306)/1000*(SUM(0))</f>
        <v>0</v>
      </c>
      <c r="W306" s="158" t="n">
        <f aca="false">IF($B306=" ",0,1)*(IF($B306&gt;=W$25,1,0)*IF($B306&lt;=W$29,W$27,IF($B306&lt;=W$33,W$31,0))*($D306-$D305)*365/1000)</f>
        <v>486.66666666666</v>
      </c>
      <c r="X306" s="158" t="n">
        <f aca="false">IF($B306=" ",0,IF($B306&gt;=X$25,IF($B306&lt;=X$29,X$27,IF($B306&lt;=X$33,X$31,X$31*(1+X$38)^(IF(X$36&gt;$B306,-1,1)*(YEARFRAC($B306,X$36)))))*($D306-$D305)*365/1000,0))</f>
        <v>505.417859746158</v>
      </c>
      <c r="Y306" s="159" t="n">
        <f aca="false">IF($B306=" ",0,Y$25*(1+Y$30)^(IF(Y$28&gt;$B306,-1,1)*(YEARFRAC($B306,Y$28))))</f>
        <v>0.635296294581745</v>
      </c>
      <c r="Z306" s="159" t="n">
        <f aca="false">IF($B306=" ",0,Z$25*(1+Z$30)^(IF(Z$28&gt;$B306,-1,1)*(YEARFRAC($B306,Z$28))))</f>
        <v>0.606472229885155</v>
      </c>
      <c r="AA306" s="162" t="n">
        <f aca="false">+W306+X306+Z306*SUM($J306*$J$37,$L306*$L$37,$N306*$N$37)/1000</f>
        <v>992.084526412818</v>
      </c>
      <c r="AB306" s="161"/>
      <c r="AC306" s="158" t="n">
        <f aca="false">IF($B306=" ",0,1)*(IF($B306&gt;=AC$25,1,0)*IF($B306&lt;=AC$29,AC$27,IF($B306&lt;=AC$33,AC$31,0))*($D306-$D305)*365/1000)</f>
        <v>1591.66666666664</v>
      </c>
      <c r="AD306" s="158" t="n">
        <f aca="false">IF($B306=" ",0,IF($B306&gt;=AD$25,IF($B306&lt;=AD$29,AD$27,IF($B306&lt;=AD$33,AD$31,AD$31*(1+AD$38)^(IF(AD$36&gt;$B306,-1,1)*(YEARFRAC($B306,AD$36)))))*($D306-$D305)*365/1000,0))</f>
        <v>449.932405908526</v>
      </c>
      <c r="AE306" s="159" t="n">
        <f aca="false">IF($B306=" ",0,AE$25*(1+AE$30)^(IF(AE$28&gt;$B306,-1,1)*(YEARFRAC($B306,AE$28))))</f>
        <v>0.526339621148928</v>
      </c>
      <c r="AF306" s="159" t="n">
        <f aca="false">IF($B306=" ",0,AF$25*(1+AF$30)^(IF(AF$28&gt;$B306,-1,1)*(YEARFRAC($B306,AF$28))))</f>
        <v>0.18884946242247</v>
      </c>
      <c r="AG306" s="162" t="n">
        <f aca="false">+AC306+AD306+AF306*SUM($K306*$K$37,$M306*$M$37,$O306*$O$37)/1000</f>
        <v>2978.51763614712</v>
      </c>
      <c r="AI306" s="158" t="n">
        <f aca="false">IF($B306=" ",0,1)*IF($B306&gt;=AI$33,AI$25*($D306-$D305),0)</f>
        <v>485.186570908327</v>
      </c>
      <c r="AJ306" s="158" t="n">
        <f aca="false">IF($B306=" ",0,IF($B306&gt;=AJ$33,AJ$25*(1+AJ$30)^(IF(AJ$28&gt;$B306,-1,1)*(YEARFRAC($B306,AJ$28)))*($D306-$D305),0))</f>
        <v>608.906115040729</v>
      </c>
      <c r="AK306" s="159" t="n">
        <f aca="false">IF($B306=" ",0,AK$25*(1+AK$30)^(IF(AK$28&gt;$B306,-1,1)*(YEARFRAC($B306,AK$28))))</f>
        <v>0.0347998211793137</v>
      </c>
      <c r="AL306" s="159" t="n">
        <f aca="false">IF($B306=" ",0,AL$25*AL$28)</f>
        <v>0.0575</v>
      </c>
      <c r="AM306" s="162" t="n">
        <f aca="false">+AI306+AJ306+SUM(AK306:AL306)*SUM($J306*$J$37,$K306*$K$37,$L306*$L$37,$M306*$M$37,$N306*$N$37,$O306*$O$37)/1000</f>
        <v>1552.00987971799</v>
      </c>
      <c r="AO306" s="163" t="n">
        <f aca="false">IF($B306=" ",0,$AO$25)</f>
        <v>0.25</v>
      </c>
      <c r="AP306" s="159" t="n">
        <f aca="false">IF($B306=" ",0,AP$25*AP$28)</f>
        <v>0.03105</v>
      </c>
      <c r="AQ306" s="162" t="n">
        <f aca="false">SUM(AO306:AP306)*SUM(0)/1000</f>
        <v>0</v>
      </c>
      <c r="AS306" s="155" t="n">
        <f aca="false">IF($B306=" ",0,AS$25)</f>
        <v>1</v>
      </c>
      <c r="AT306" s="156" t="n">
        <f aca="false">IF($B306=" ",0,AT$25)</f>
        <v>1</v>
      </c>
      <c r="AU306" s="156" t="n">
        <f aca="false">IF($B306=" ",0,AU$25)</f>
        <v>2.3</v>
      </c>
      <c r="AV306" s="157" t="n">
        <f aca="false">+AS306*SUM(J306:K306)/1000</f>
        <v>0</v>
      </c>
      <c r="AW306" s="157" t="n">
        <f aca="false">+AT306*SUM(L306:M306)/1000</f>
        <v>0</v>
      </c>
      <c r="AX306" s="157" t="n">
        <f aca="false">+AU306*SUM(N306:O306)/1000</f>
        <v>11537.9859375</v>
      </c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</row>
    <row r="307" customFormat="false" ht="12.75" hidden="true" customHeight="false" outlineLevel="1" collapsed="false">
      <c r="A307" s="164" t="n">
        <f aca="false">+IF(B307=" ",A306,B307)</f>
        <v>44621</v>
      </c>
      <c r="B307" s="148" t="n">
        <f aca="false">IF(B306=" "," ",IF(EDATE(B306,1)&gt;=EndDate," ",EDATE(B306,1)))</f>
        <v>44621</v>
      </c>
      <c r="C307" s="149" t="n">
        <f aca="false">IF($B307&lt;&gt;" ",C306+1,C306)</f>
        <v>257</v>
      </c>
      <c r="D307" s="150" t="n">
        <f aca="false">C307/12</f>
        <v>21.4166666666667</v>
      </c>
      <c r="F307" s="157" t="n">
        <f aca="false">+SUM($T307:$U307)</f>
        <v>14883.5779284771</v>
      </c>
      <c r="G307" s="152" t="n">
        <f aca="false">-SUM($AA307,$AG307,$AM307,$AQ307,$AV307:$AX307)</f>
        <v>-17064.0157581833</v>
      </c>
      <c r="H307" s="152" t="n">
        <f aca="false">+SUM(F307:G307)</f>
        <v>-2180.43782970623</v>
      </c>
      <c r="I307" s="124"/>
      <c r="J307" s="153" t="n">
        <f aca="false">+IF($B307=" ",0,IF(AND($B307&gt;=J$26,$B307&lt;J$28),J$33,0))</f>
        <v>0</v>
      </c>
      <c r="K307" s="153" t="n">
        <f aca="false">+IF($B307=" ",0,IF(AND($B307&gt;=K$26,$B307&lt;K$28),K$33,0))</f>
        <v>0</v>
      </c>
      <c r="L307" s="153" t="n">
        <f aca="false">+IF($B307=" ",0,IF(AND($B307&gt;=L$26,$B307&lt;L$28),L$33,0))</f>
        <v>0</v>
      </c>
      <c r="M307" s="153" t="n">
        <f aca="false">+IF($B307=" ",0,IF(AND($B307&gt;=M$26,$B307&lt;M$28),M$33,0))</f>
        <v>0</v>
      </c>
      <c r="N307" s="153" t="n">
        <f aca="false">+IF($B307=" ",0,IF(AND($B307&gt;=N$26,$B307&lt;N$28),N$33,0))</f>
        <v>0</v>
      </c>
      <c r="O307" s="154" t="n">
        <f aca="false">+IF($B307=" ",0,IF(AND($B307&gt;=O$26,$B307&lt;O$28),O$33,0))</f>
        <v>5016515.625</v>
      </c>
      <c r="Q307" s="83" t="n">
        <f aca="false">IF($B307=" ",0,IF($B307&lt;=DATE(2003,12,31),3.55,2.9))</f>
        <v>2.9</v>
      </c>
      <c r="R307" s="155" t="n">
        <f aca="false">IF($B307=" ",0,R$25)</f>
        <v>-0.07</v>
      </c>
      <c r="S307" s="156" t="n">
        <f aca="false">IF($B307=" ",0,S$25)</f>
        <v>0.1</v>
      </c>
      <c r="T307" s="157" t="n">
        <f aca="false">+SUM($Q307,$S307)/1000*(SUM($J307*$J$37,$K307*$K$37,$L307*$L$37,$M307*$M$37,$N307*$N$37,$O307*$O$37))</f>
        <v>14883.5779284771</v>
      </c>
      <c r="U307" s="157" t="n">
        <f aca="false">+SUM($Q307,$R307)/1000*(SUM(0))</f>
        <v>0</v>
      </c>
      <c r="W307" s="158" t="n">
        <f aca="false">IF($B307=" ",0,1)*(IF($B307&gt;=W$25,1,0)*IF($B307&lt;=W$29,W$27,IF($B307&lt;=W$33,W$31,0))*($D307-$D306)*365/1000)</f>
        <v>486.666666666681</v>
      </c>
      <c r="X307" s="158" t="n">
        <f aca="false">IF($B307=" ",0,IF($B307&gt;=X$25,IF($B307&lt;=X$29,X$27,IF($B307&lt;=X$33,X$31,X$31*(1+X$38)^(IF(X$36&gt;$B307,-1,1)*(YEARFRAC($B307,X$36)))))*($D307-$D306)*365/1000,0))</f>
        <v>506.114523143954</v>
      </c>
      <c r="Y307" s="159" t="n">
        <f aca="false">IF($B307=" ",0,Y$25*(1+Y$30)^(IF(Y$28&gt;$B307,-1,1)*(YEARFRAC($B307,Y$28))))</f>
        <v>0.636171981237139</v>
      </c>
      <c r="Z307" s="159" t="n">
        <f aca="false">IF($B307=" ",0,Z$25*(1+Z$30)^(IF(Z$28&gt;$B307,-1,1)*(YEARFRAC($B307,Z$28))))</f>
        <v>0.607308185710974</v>
      </c>
      <c r="AA307" s="162" t="n">
        <f aca="false">+W307+X307+Z307*SUM($J307*$J$37,$L307*$L$37,$N307*$N$37)/1000</f>
        <v>992.781189810635</v>
      </c>
      <c r="AB307" s="161"/>
      <c r="AC307" s="158" t="n">
        <f aca="false">IF($B307=" ",0,1)*(IF($B307&gt;=AC$25,1,0)*IF($B307&lt;=AC$29,AC$27,IF($B307&lt;=AC$33,AC$31,0))*($D307-$D306)*365/1000)</f>
        <v>1591.66666666671</v>
      </c>
      <c r="AD307" s="158" t="n">
        <f aca="false">IF($B307=" ",0,IF($B307&gt;=AD$25,IF($B307&lt;=AD$29,AD$27,IF($B307&lt;=AD$33,AD$31,AD$31*(1+AD$38)^(IF(AD$36&gt;$B307,-1,1)*(YEARFRAC($B307,AD$36)))))*($D307-$D306)*365/1000,0))</f>
        <v>450.55258865956</v>
      </c>
      <c r="AE307" s="159" t="n">
        <f aca="false">IF($B307=" ",0,AE$25*(1+AE$30)^(IF(AE$28&gt;$B307,-1,1)*(YEARFRAC($B307,AE$28))))</f>
        <v>0.527065122913027</v>
      </c>
      <c r="AF307" s="159" t="n">
        <f aca="false">IF($B307=" ",0,AF$25*(1+AF$30)^(IF(AF$28&gt;$B307,-1,1)*(YEARFRAC($B307,AF$28))))</f>
        <v>0.189109770810118</v>
      </c>
      <c r="AG307" s="162" t="n">
        <f aca="false">+AC307+AD307+AF307*SUM($K307*$K$37,$M307*$M$37,$O307*$O$37)/1000</f>
        <v>2980.42925895589</v>
      </c>
      <c r="AI307" s="158" t="n">
        <f aca="false">IF($B307=" ",0,1)*IF($B307&gt;=AI$33,AI$25*($D307-$D306),0)</f>
        <v>485.186570908347</v>
      </c>
      <c r="AJ307" s="158" t="n">
        <f aca="false">IF($B307=" ",0,IF($B307&gt;=AJ$33,AJ$25*(1+AJ$30)^(IF(AJ$28&gt;$B307,-1,1)*(YEARFRAC($B307,AJ$28)))*($D307-$D306),0))</f>
        <v>609.536787122734</v>
      </c>
      <c r="AK307" s="159" t="n">
        <f aca="false">IF($B307=" ",0,AK$25*(1+AK$30)^(IF(AK$28&gt;$B307,-1,1)*(YEARFRAC($B307,AK$28))))</f>
        <v>0.0348358649554124</v>
      </c>
      <c r="AL307" s="159" t="n">
        <f aca="false">IF($B307=" ",0,AL$25*AL$28)</f>
        <v>0.0575</v>
      </c>
      <c r="AM307" s="162" t="n">
        <f aca="false">+AI307+AJ307+SUM(AK307:AL307)*SUM($J307*$J$37,$K307*$K$37,$L307*$L$37,$M307*$M$37,$N307*$N$37,$O307*$O$37)/1000</f>
        <v>1552.81937191682</v>
      </c>
      <c r="AO307" s="163" t="n">
        <f aca="false">IF($B307=" ",0,$AO$25)</f>
        <v>0.25</v>
      </c>
      <c r="AP307" s="159" t="n">
        <f aca="false">IF($B307=" ",0,AP$25*AP$28)</f>
        <v>0.03105</v>
      </c>
      <c r="AQ307" s="162" t="n">
        <f aca="false">SUM(AO307:AP307)*SUM(0)/1000</f>
        <v>0</v>
      </c>
      <c r="AS307" s="155" t="n">
        <f aca="false">IF($B307=" ",0,AS$25)</f>
        <v>1</v>
      </c>
      <c r="AT307" s="156" t="n">
        <f aca="false">IF($B307=" ",0,AT$25)</f>
        <v>1</v>
      </c>
      <c r="AU307" s="156" t="n">
        <f aca="false">IF($B307=" ",0,AU$25)</f>
        <v>2.3</v>
      </c>
      <c r="AV307" s="157" t="n">
        <f aca="false">+AS307*SUM(J307:K307)/1000</f>
        <v>0</v>
      </c>
      <c r="AW307" s="157" t="n">
        <f aca="false">+AT307*SUM(L307:M307)/1000</f>
        <v>0</v>
      </c>
      <c r="AX307" s="157" t="n">
        <f aca="false">+AU307*SUM(N307:O307)/1000</f>
        <v>11537.9859375</v>
      </c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</row>
    <row r="308" customFormat="false" ht="12.75" hidden="true" customHeight="false" outlineLevel="1" collapsed="false">
      <c r="A308" s="164" t="n">
        <f aca="false">+IF(B308=" ",A307,B308)</f>
        <v>44652</v>
      </c>
      <c r="B308" s="148" t="n">
        <f aca="false">IF(B307=" "," ",IF(EDATE(B307,1)&gt;=EndDate," ",EDATE(B307,1)))</f>
        <v>44652</v>
      </c>
      <c r="C308" s="149" t="n">
        <f aca="false">IF($B308&lt;&gt;" ",C307+1,C307)</f>
        <v>258</v>
      </c>
      <c r="D308" s="150" t="n">
        <f aca="false">C308/12</f>
        <v>21.5</v>
      </c>
      <c r="F308" s="157" t="n">
        <f aca="false">+SUM($T308:$U308)</f>
        <v>14883.5779284771</v>
      </c>
      <c r="G308" s="152" t="n">
        <f aca="false">-SUM($AA308,$AG308,$AM308,$AQ308,$AV308:$AX308)</f>
        <v>-17067.4379702548</v>
      </c>
      <c r="H308" s="152" t="n">
        <f aca="false">+SUM(F308:G308)</f>
        <v>-2183.86004177768</v>
      </c>
      <c r="I308" s="124"/>
      <c r="J308" s="153" t="n">
        <f aca="false">+IF($B308=" ",0,IF(AND($B308&gt;=J$26,$B308&lt;J$28),J$33,0))</f>
        <v>0</v>
      </c>
      <c r="K308" s="153" t="n">
        <f aca="false">+IF($B308=" ",0,IF(AND($B308&gt;=K$26,$B308&lt;K$28),K$33,0))</f>
        <v>0</v>
      </c>
      <c r="L308" s="153" t="n">
        <f aca="false">+IF($B308=" ",0,IF(AND($B308&gt;=L$26,$B308&lt;L$28),L$33,0))</f>
        <v>0</v>
      </c>
      <c r="M308" s="153" t="n">
        <f aca="false">+IF($B308=" ",0,IF(AND($B308&gt;=M$26,$B308&lt;M$28),M$33,0))</f>
        <v>0</v>
      </c>
      <c r="N308" s="153" t="n">
        <f aca="false">+IF($B308=" ",0,IF(AND($B308&gt;=N$26,$B308&lt;N$28),N$33,0))</f>
        <v>0</v>
      </c>
      <c r="O308" s="154" t="n">
        <f aca="false">+IF($B308=" ",0,IF(AND($B308&gt;=O$26,$B308&lt;O$28),O$33,0))</f>
        <v>5016515.625</v>
      </c>
      <c r="Q308" s="83" t="n">
        <f aca="false">IF($B308=" ",0,IF($B308&lt;=DATE(2003,12,31),3.55,2.9))</f>
        <v>2.9</v>
      </c>
      <c r="R308" s="155" t="n">
        <f aca="false">IF($B308=" ",0,R$25)</f>
        <v>-0.07</v>
      </c>
      <c r="S308" s="156" t="n">
        <f aca="false">IF($B308=" ",0,S$25)</f>
        <v>0.1</v>
      </c>
      <c r="T308" s="157" t="n">
        <f aca="false">+SUM($Q308,$S308)/1000*(SUM($J308*$J$37,$K308*$K$37,$L308*$L$37,$M308*$M$37,$N308*$N$37,$O308*$O$37))</f>
        <v>14883.5779284771</v>
      </c>
      <c r="U308" s="157" t="n">
        <f aca="false">+SUM($Q308,$R308)/1000*(SUM(0))</f>
        <v>0</v>
      </c>
      <c r="W308" s="158" t="n">
        <f aca="false">IF($B308=" ",0,1)*(IF($B308&gt;=W$25,1,0)*IF($B308&lt;=W$29,W$27,IF($B308&lt;=W$33,W$31,0))*($D308-$D307)*365/1000)</f>
        <v>486.66666666666</v>
      </c>
      <c r="X308" s="158" t="n">
        <f aca="false">IF($B308=" ",0,IF($B308&gt;=X$25,IF($B308&lt;=X$29,X$27,IF($B308&lt;=X$33,X$31,X$31*(1+X$38)^(IF(X$36&gt;$B308,-1,1)*(YEARFRAC($B308,X$36)))))*($D308-$D307)*365/1000,0))</f>
        <v>506.812146816222</v>
      </c>
      <c r="Y308" s="159" t="n">
        <f aca="false">IF($B308=" ",0,Y$25*(1+Y$30)^(IF(Y$28&gt;$B308,-1,1)*(YEARFRAC($B308,Y$28))))</f>
        <v>0.637048874931082</v>
      </c>
      <c r="Z308" s="159" t="n">
        <f aca="false">IF($B308=" ",0,Z$25*(1+Z$30)^(IF(Z$28&gt;$B308,-1,1)*(YEARFRAC($B308,Z$28))))</f>
        <v>0.608145293810728</v>
      </c>
      <c r="AA308" s="162" t="n">
        <f aca="false">+W308+X308+Z308*SUM($J308*$J$37,$L308*$L$37,$N308*$N$37)/1000</f>
        <v>993.478813482882</v>
      </c>
      <c r="AB308" s="161"/>
      <c r="AC308" s="158" t="n">
        <f aca="false">IF($B308=" ",0,1)*(IF($B308&gt;=AC$25,1,0)*IF($B308&lt;=AC$29,AC$27,IF($B308&lt;=AC$33,AC$31,0))*($D308-$D307)*365/1000)</f>
        <v>1591.66666666664</v>
      </c>
      <c r="AD308" s="158" t="n">
        <f aca="false">IF($B308=" ",0,IF($B308&gt;=AD$25,IF($B308&lt;=AD$29,AD$27,IF($B308&lt;=AD$33,AD$31,AD$31*(1+AD$38)^(IF(AD$36&gt;$B308,-1,1)*(YEARFRAC($B308,AD$36)))))*($D308-$D307)*365/1000,0))</f>
        <v>451.173626264839</v>
      </c>
      <c r="AE308" s="159" t="n">
        <f aca="false">IF($B308=" ",0,AE$25*(1+AE$30)^(IF(AE$28&gt;$B308,-1,1)*(YEARFRAC($B308,AE$28))))</f>
        <v>0.527791624702183</v>
      </c>
      <c r="AF308" s="159" t="n">
        <f aca="false">IF($B308=" ",0,AF$25*(1+AF$30)^(IF(AF$28&gt;$B308,-1,1)*(YEARFRAC($B308,AF$28))))</f>
        <v>0.189370438004489</v>
      </c>
      <c r="AG308" s="162" t="n">
        <f aca="false">+AC308+AD308+AF308*SUM($K308*$K$37,$M308*$M$37,$O308*$O$37)/1000</f>
        <v>2982.34351672804</v>
      </c>
      <c r="AI308" s="158" t="n">
        <f aca="false">IF($B308=" ",0,1)*IF($B308&gt;=AI$33,AI$25*($D308-$D307),0)</f>
        <v>485.186570908327</v>
      </c>
      <c r="AJ308" s="158" t="n">
        <f aca="false">IF($B308=" ",0,IF($B308&gt;=AJ$33,AJ$25*(1+AJ$30)^(IF(AJ$28&gt;$B308,-1,1)*(YEARFRAC($B308,AJ$28)))*($D308-$D307),0))</f>
        <v>610.168112420782</v>
      </c>
      <c r="AK308" s="159" t="n">
        <f aca="false">IF($B308=" ",0,AK$25*(1+AK$30)^(IF(AK$28&gt;$B308,-1,1)*(YEARFRAC($B308,AK$28))))</f>
        <v>0.0348719460637085</v>
      </c>
      <c r="AL308" s="159" t="n">
        <f aca="false">IF($B308=" ",0,AL$25*AL$28)</f>
        <v>0.0575</v>
      </c>
      <c r="AM308" s="162" t="n">
        <f aca="false">+AI308+AJ308+SUM(AK308:AL308)*SUM($J308*$J$37,$K308*$K$37,$L308*$L$37,$M308*$M$37,$N308*$N$37,$O308*$O$37)/1000</f>
        <v>1553.62970254387</v>
      </c>
      <c r="AO308" s="163" t="n">
        <f aca="false">IF($B308=" ",0,$AO$25)</f>
        <v>0.25</v>
      </c>
      <c r="AP308" s="159" t="n">
        <f aca="false">IF($B308=" ",0,AP$25*AP$28)</f>
        <v>0.03105</v>
      </c>
      <c r="AQ308" s="162" t="n">
        <f aca="false">SUM(AO308:AP308)*SUM(0)/1000</f>
        <v>0</v>
      </c>
      <c r="AS308" s="155" t="n">
        <f aca="false">IF($B308=" ",0,AS$25)</f>
        <v>1</v>
      </c>
      <c r="AT308" s="156" t="n">
        <f aca="false">IF($B308=" ",0,AT$25)</f>
        <v>1</v>
      </c>
      <c r="AU308" s="156" t="n">
        <f aca="false">IF($B308=" ",0,AU$25)</f>
        <v>2.3</v>
      </c>
      <c r="AV308" s="157" t="n">
        <f aca="false">+AS308*SUM(J308:K308)/1000</f>
        <v>0</v>
      </c>
      <c r="AW308" s="157" t="n">
        <f aca="false">+AT308*SUM(L308:M308)/1000</f>
        <v>0</v>
      </c>
      <c r="AX308" s="157" t="n">
        <f aca="false">+AU308*SUM(N308:O308)/1000</f>
        <v>11537.9859375</v>
      </c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</row>
    <row r="309" customFormat="false" ht="12.75" hidden="true" customHeight="false" outlineLevel="1" collapsed="false">
      <c r="A309" s="164" t="n">
        <f aca="false">+IF(B309=" ",A308,B309)</f>
        <v>44682</v>
      </c>
      <c r="B309" s="148" t="n">
        <f aca="false">IF(B308=" "," ",IF(EDATE(B308,1)&gt;=EndDate," ",EDATE(B308,1)))</f>
        <v>44682</v>
      </c>
      <c r="C309" s="149" t="n">
        <f aca="false">IF($B309&lt;&gt;" ",C308+1,C308)</f>
        <v>259</v>
      </c>
      <c r="D309" s="150" t="n">
        <f aca="false">C309/12</f>
        <v>21.5833333333333</v>
      </c>
      <c r="F309" s="157" t="n">
        <f aca="false">+SUM($T309:$U309)</f>
        <v>14883.5779284771</v>
      </c>
      <c r="G309" s="152" t="n">
        <f aca="false">-SUM($AA309,$AG309,$AM309,$AQ309,$AV309:$AX309)</f>
        <v>-17070.8646218168</v>
      </c>
      <c r="H309" s="152" t="n">
        <f aca="false">+SUM(F309:G309)</f>
        <v>-2187.28669333973</v>
      </c>
      <c r="I309" s="124"/>
      <c r="J309" s="153" t="n">
        <f aca="false">+IF($B309=" ",0,IF(AND($B309&gt;=J$26,$B309&lt;J$28),J$33,0))</f>
        <v>0</v>
      </c>
      <c r="K309" s="153" t="n">
        <f aca="false">+IF($B309=" ",0,IF(AND($B309&gt;=K$26,$B309&lt;K$28),K$33,0))</f>
        <v>0</v>
      </c>
      <c r="L309" s="153" t="n">
        <f aca="false">+IF($B309=" ",0,IF(AND($B309&gt;=L$26,$B309&lt;L$28),L$33,0))</f>
        <v>0</v>
      </c>
      <c r="M309" s="153" t="n">
        <f aca="false">+IF($B309=" ",0,IF(AND($B309&gt;=M$26,$B309&lt;M$28),M$33,0))</f>
        <v>0</v>
      </c>
      <c r="N309" s="153" t="n">
        <f aca="false">+IF($B309=" ",0,IF(AND($B309&gt;=N$26,$B309&lt;N$28),N$33,0))</f>
        <v>0</v>
      </c>
      <c r="O309" s="154" t="n">
        <f aca="false">+IF($B309=" ",0,IF(AND($B309&gt;=O$26,$B309&lt;O$28),O$33,0))</f>
        <v>5016515.625</v>
      </c>
      <c r="Q309" s="83" t="n">
        <f aca="false">IF($B309=" ",0,IF($B309&lt;=DATE(2003,12,31),3.55,2.9))</f>
        <v>2.9</v>
      </c>
      <c r="R309" s="155" t="n">
        <f aca="false">IF($B309=" ",0,R$25)</f>
        <v>-0.07</v>
      </c>
      <c r="S309" s="156" t="n">
        <f aca="false">IF($B309=" ",0,S$25)</f>
        <v>0.1</v>
      </c>
      <c r="T309" s="157" t="n">
        <f aca="false">+SUM($Q309,$S309)/1000*(SUM($J309*$J$37,$K309*$K$37,$L309*$L$37,$M309*$M$37,$N309*$N$37,$O309*$O$37))</f>
        <v>14883.5779284771</v>
      </c>
      <c r="U309" s="157" t="n">
        <f aca="false">+SUM($Q309,$R309)/1000*(SUM(0))</f>
        <v>0</v>
      </c>
      <c r="W309" s="158" t="n">
        <f aca="false">IF($B309=" ",0,1)*(IF($B309&gt;=W$25,1,0)*IF($B309&lt;=W$29,W$27,IF($B309&lt;=W$33,W$31,0))*($D309-$D308)*365/1000)</f>
        <v>486.66666666666</v>
      </c>
      <c r="X309" s="158" t="n">
        <f aca="false">IF($B309=" ",0,IF($B309&gt;=X$25,IF($B309&lt;=X$29,X$27,IF($B309&lt;=X$33,X$31,X$31*(1+X$38)^(IF(X$36&gt;$B309,-1,1)*(YEARFRAC($B309,X$36)))))*($D309-$D308)*365/1000,0))</f>
        <v>507.510732086659</v>
      </c>
      <c r="Y309" s="159" t="n">
        <f aca="false">IF($B309=" ",0,Y$25*(1+Y$30)^(IF(Y$28&gt;$B309,-1,1)*(YEARFRAC($B309,Y$28))))</f>
        <v>0.637926977327347</v>
      </c>
      <c r="Z309" s="159" t="n">
        <f aca="false">IF($B309=" ",0,Z$25*(1+Z$30)^(IF(Z$28&gt;$B309,-1,1)*(YEARFRAC($B309,Z$28))))</f>
        <v>0.608983555772701</v>
      </c>
      <c r="AA309" s="162" t="n">
        <f aca="false">+W309+X309+Z309*SUM($J309*$J$37,$L309*$L$37,$N309*$N$37)/1000</f>
        <v>994.177398753319</v>
      </c>
      <c r="AB309" s="161"/>
      <c r="AC309" s="158" t="n">
        <f aca="false">IF($B309=" ",0,1)*(IF($B309&gt;=AC$25,1,0)*IF($B309&lt;=AC$29,AC$27,IF($B309&lt;=AC$33,AC$31,0))*($D309-$D308)*365/1000)</f>
        <v>1591.66666666664</v>
      </c>
      <c r="AD309" s="158" t="n">
        <f aca="false">IF($B309=" ",0,IF($B309&gt;=AD$25,IF($B309&lt;=AD$29,AD$27,IF($B309&lt;=AD$33,AD$31,AD$31*(1+AD$38)^(IF(AD$36&gt;$B309,-1,1)*(YEARFRAC($B309,AD$36)))))*($D309-$D308)*365/1000,0))</f>
        <v>451.795519902745</v>
      </c>
      <c r="AE309" s="159" t="n">
        <f aca="false">IF($B309=" ",0,AE$25*(1+AE$30)^(IF(AE$28&gt;$B309,-1,1)*(YEARFRAC($B309,AE$28))))</f>
        <v>0.528519127894822</v>
      </c>
      <c r="AF309" s="159" t="n">
        <f aca="false">IF($B309=" ",0,AF$25*(1+AF$30)^(IF(AF$28&gt;$B309,-1,1)*(YEARFRAC($B309,AF$28))))</f>
        <v>0.189631464500159</v>
      </c>
      <c r="AG309" s="162" t="n">
        <f aca="false">+AC309+AD309+AF309*SUM($K309*$K$37,$M309*$M$37,$O309*$O$37)/1000</f>
        <v>2984.26041309584</v>
      </c>
      <c r="AI309" s="158" t="n">
        <f aca="false">IF($B309=" ",0,1)*IF($B309&gt;=AI$33,AI$25*($D309-$D308),0)</f>
        <v>485.186570908327</v>
      </c>
      <c r="AJ309" s="158" t="n">
        <f aca="false">IF($B309=" ",0,IF($B309&gt;=AJ$33,AJ$25*(1+AJ$30)^(IF(AJ$28&gt;$B309,-1,1)*(YEARFRAC($B309,AJ$28)))*($D309-$D308),0))</f>
        <v>610.800091611518</v>
      </c>
      <c r="AK309" s="159" t="n">
        <f aca="false">IF($B309=" ",0,AK$25*(1+AK$30)^(IF(AK$28&gt;$B309,-1,1)*(YEARFRAC($B309,AK$28))))</f>
        <v>0.0349080645428688</v>
      </c>
      <c r="AL309" s="159" t="n">
        <f aca="false">IF($B309=" ",0,AL$25*AL$28)</f>
        <v>0.0575</v>
      </c>
      <c r="AM309" s="162" t="n">
        <f aca="false">+AI309+AJ309+SUM(AK309:AL309)*SUM($J309*$J$37,$K309*$K$37,$L309*$L$37,$M309*$M$37,$N309*$N$37,$O309*$O$37)/1000</f>
        <v>1554.44087246769</v>
      </c>
      <c r="AO309" s="163" t="n">
        <f aca="false">IF($B309=" ",0,$AO$25)</f>
        <v>0.25</v>
      </c>
      <c r="AP309" s="159" t="n">
        <f aca="false">IF($B309=" ",0,AP$25*AP$28)</f>
        <v>0.03105</v>
      </c>
      <c r="AQ309" s="162" t="n">
        <f aca="false">SUM(AO309:AP309)*SUM(0)/1000</f>
        <v>0</v>
      </c>
      <c r="AS309" s="155" t="n">
        <f aca="false">IF($B309=" ",0,AS$25)</f>
        <v>1</v>
      </c>
      <c r="AT309" s="156" t="n">
        <f aca="false">IF($B309=" ",0,AT$25)</f>
        <v>1</v>
      </c>
      <c r="AU309" s="156" t="n">
        <f aca="false">IF($B309=" ",0,AU$25)</f>
        <v>2.3</v>
      </c>
      <c r="AV309" s="157" t="n">
        <f aca="false">+AS309*SUM(J309:K309)/1000</f>
        <v>0</v>
      </c>
      <c r="AW309" s="157" t="n">
        <f aca="false">+AT309*SUM(L309:M309)/1000</f>
        <v>0</v>
      </c>
      <c r="AX309" s="157" t="n">
        <f aca="false">+AU309*SUM(N309:O309)/1000</f>
        <v>11537.9859375</v>
      </c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</row>
    <row r="310" customFormat="false" ht="12.75" hidden="true" customHeight="false" outlineLevel="1" collapsed="false">
      <c r="A310" s="164" t="n">
        <f aca="false">+IF(B310=" ",A309,B310)</f>
        <v>44713</v>
      </c>
      <c r="B310" s="148" t="n">
        <f aca="false">IF(B309=" "," ",IF(EDATE(B309,1)&gt;=EndDate," ",EDATE(B309,1)))</f>
        <v>44713</v>
      </c>
      <c r="C310" s="149" t="n">
        <f aca="false">IF($B310&lt;&gt;" ",C309+1,C309)</f>
        <v>260</v>
      </c>
      <c r="D310" s="150" t="n">
        <f aca="false">C310/12</f>
        <v>21.6666666666667</v>
      </c>
      <c r="F310" s="157" t="n">
        <f aca="false">+SUM($T310:$U310)</f>
        <v>14883.5779284771</v>
      </c>
      <c r="G310" s="152" t="n">
        <f aca="false">-SUM($AA310,$AG310,$AM310,$AQ310,$AV310:$AX310)</f>
        <v>-17074.2957187013</v>
      </c>
      <c r="H310" s="152" t="n">
        <f aca="false">+SUM(F310:G310)</f>
        <v>-2190.71779022417</v>
      </c>
      <c r="I310" s="124"/>
      <c r="J310" s="153" t="n">
        <f aca="false">+IF($B310=" ",0,IF(AND($B310&gt;=J$26,$B310&lt;J$28),J$33,0))</f>
        <v>0</v>
      </c>
      <c r="K310" s="153" t="n">
        <f aca="false">+IF($B310=" ",0,IF(AND($B310&gt;=K$26,$B310&lt;K$28),K$33,0))</f>
        <v>0</v>
      </c>
      <c r="L310" s="153" t="n">
        <f aca="false">+IF($B310=" ",0,IF(AND($B310&gt;=L$26,$B310&lt;L$28),L$33,0))</f>
        <v>0</v>
      </c>
      <c r="M310" s="153" t="n">
        <f aca="false">+IF($B310=" ",0,IF(AND($B310&gt;=M$26,$B310&lt;M$28),M$33,0))</f>
        <v>0</v>
      </c>
      <c r="N310" s="153" t="n">
        <f aca="false">+IF($B310=" ",0,IF(AND($B310&gt;=N$26,$B310&lt;N$28),N$33,0))</f>
        <v>0</v>
      </c>
      <c r="O310" s="154" t="n">
        <f aca="false">+IF($B310=" ",0,IF(AND($B310&gt;=O$26,$B310&lt;O$28),O$33,0))</f>
        <v>5016515.625</v>
      </c>
      <c r="Q310" s="83" t="n">
        <f aca="false">IF($B310=" ",0,IF($B310&lt;=DATE(2003,12,31),3.55,2.9))</f>
        <v>2.9</v>
      </c>
      <c r="R310" s="155" t="n">
        <f aca="false">IF($B310=" ",0,R$25)</f>
        <v>-0.07</v>
      </c>
      <c r="S310" s="156" t="n">
        <f aca="false">IF($B310=" ",0,S$25)</f>
        <v>0.1</v>
      </c>
      <c r="T310" s="157" t="n">
        <f aca="false">+SUM($Q310,$S310)/1000*(SUM($J310*$J$37,$K310*$K$37,$L310*$L$37,$M310*$M$37,$N310*$N$37,$O310*$O$37))</f>
        <v>14883.5779284771</v>
      </c>
      <c r="U310" s="157" t="n">
        <f aca="false">+SUM($Q310,$R310)/1000*(SUM(0))</f>
        <v>0</v>
      </c>
      <c r="W310" s="158" t="n">
        <f aca="false">IF($B310=" ",0,1)*(IF($B310&gt;=W$25,1,0)*IF($B310&lt;=W$29,W$27,IF($B310&lt;=W$33,W$31,0))*($D310-$D309)*365/1000)</f>
        <v>486.666666666681</v>
      </c>
      <c r="X310" s="158" t="n">
        <f aca="false">IF($B310=" ",0,IF($B310&gt;=X$25,IF($B310&lt;=X$29,X$27,IF($B310&lt;=X$33,X$31,X$31*(1+X$38)^(IF(X$36&gt;$B310,-1,1)*(YEARFRAC($B310,X$36)))))*($D310-$D309)*365/1000,0))</f>
        <v>508.210280280724</v>
      </c>
      <c r="Y310" s="159" t="n">
        <f aca="false">IF($B310=" ",0,Y$25*(1+Y$30)^(IF(Y$28&gt;$B310,-1,1)*(YEARFRAC($B310,Y$28))))</f>
        <v>0.638806290091997</v>
      </c>
      <c r="Z310" s="159" t="n">
        <f aca="false">IF($B310=" ",0,Z$25*(1+Z$30)^(IF(Z$28&gt;$B310,-1,1)*(YEARFRAC($B310,Z$28))))</f>
        <v>0.609822973187366</v>
      </c>
      <c r="AA310" s="162" t="n">
        <f aca="false">+W310+X310+Z310*SUM($J310*$J$37,$L310*$L$37,$N310*$N$37)/1000</f>
        <v>994.876946947404</v>
      </c>
      <c r="AB310" s="161"/>
      <c r="AC310" s="158" t="n">
        <f aca="false">IF($B310=" ",0,1)*(IF($B310&gt;=AC$25,1,0)*IF($B310&lt;=AC$29,AC$27,IF($B310&lt;=AC$33,AC$31,0))*($D310-$D309)*365/1000)</f>
        <v>1591.66666666671</v>
      </c>
      <c r="AD310" s="158" t="n">
        <f aca="false">IF($B310=" ",0,IF($B310&gt;=AD$25,IF($B310&lt;=AD$29,AD$27,IF($B310&lt;=AD$33,AD$31,AD$31*(1+AD$38)^(IF(AD$36&gt;$B310,-1,1)*(YEARFRAC($B310,AD$36)))))*($D310-$D309)*365/1000,0))</f>
        <v>452.418270753225</v>
      </c>
      <c r="AE310" s="159" t="n">
        <f aca="false">IF($B310=" ",0,AE$25*(1+AE$30)^(IF(AE$28&gt;$B310,-1,1)*(YEARFRAC($B310,AE$28))))</f>
        <v>0.529247633871269</v>
      </c>
      <c r="AF310" s="159" t="n">
        <f aca="false">IF($B310=" ",0,AF$25*(1+AF$30)^(IF(AF$28&gt;$B310,-1,1)*(YEARFRAC($B310,AF$28))))</f>
        <v>0.189892850792384</v>
      </c>
      <c r="AG310" s="162" t="n">
        <f aca="false">+AC310+AD310+AF310*SUM($K310*$K$37,$M310*$M$37,$O310*$O$37)/1000</f>
        <v>2986.17995169631</v>
      </c>
      <c r="AI310" s="158" t="n">
        <f aca="false">IF($B310=" ",0,1)*IF($B310&gt;=AI$33,AI$25*($D310-$D309),0)</f>
        <v>485.186570908347</v>
      </c>
      <c r="AJ310" s="158" t="n">
        <f aca="false">IF($B310=" ",0,IF($B310&gt;=AJ$33,AJ$25*(1+AJ$30)^(IF(AJ$28&gt;$B310,-1,1)*(YEARFRAC($B310,AJ$28)))*($D310-$D309),0))</f>
        <v>611.432725372208</v>
      </c>
      <c r="AK310" s="159" t="n">
        <f aca="false">IF($B310=" ",0,AK$25*(1+AK$30)^(IF(AK$28&gt;$B310,-1,1)*(YEARFRAC($B310,AK$28))))</f>
        <v>0.0349442204315999</v>
      </c>
      <c r="AL310" s="159" t="n">
        <f aca="false">IF($B310=" ",0,AL$25*AL$28)</f>
        <v>0.0575</v>
      </c>
      <c r="AM310" s="162" t="n">
        <f aca="false">+AI310+AJ310+SUM(AK310:AL310)*SUM($J310*$J$37,$K310*$K$37,$L310*$L$37,$M310*$M$37,$N310*$N$37,$O310*$O$37)/1000</f>
        <v>1555.25288255757</v>
      </c>
      <c r="AO310" s="163" t="n">
        <f aca="false">IF($B310=" ",0,$AO$25)</f>
        <v>0.25</v>
      </c>
      <c r="AP310" s="159" t="n">
        <f aca="false">IF($B310=" ",0,AP$25*AP$28)</f>
        <v>0.03105</v>
      </c>
      <c r="AQ310" s="162" t="n">
        <f aca="false">SUM(AO310:AP310)*SUM(0)/1000</f>
        <v>0</v>
      </c>
      <c r="AS310" s="155" t="n">
        <f aca="false">IF($B310=" ",0,AS$25)</f>
        <v>1</v>
      </c>
      <c r="AT310" s="156" t="n">
        <f aca="false">IF($B310=" ",0,AT$25)</f>
        <v>1</v>
      </c>
      <c r="AU310" s="156" t="n">
        <f aca="false">IF($B310=" ",0,AU$25)</f>
        <v>2.3</v>
      </c>
      <c r="AV310" s="157" t="n">
        <f aca="false">+AS310*SUM(J310:K310)/1000</f>
        <v>0</v>
      </c>
      <c r="AW310" s="157" t="n">
        <f aca="false">+AT310*SUM(L310:M310)/1000</f>
        <v>0</v>
      </c>
      <c r="AX310" s="157" t="n">
        <f aca="false">+AU310*SUM(N310:O310)/1000</f>
        <v>11537.9859375</v>
      </c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</row>
    <row r="311" customFormat="false" ht="12.75" hidden="true" customHeight="false" outlineLevel="1" collapsed="false">
      <c r="A311" s="164" t="n">
        <f aca="false">+IF(B311=" ",A310,B311)</f>
        <v>44743</v>
      </c>
      <c r="B311" s="148" t="n">
        <f aca="false">IF(B310=" "," ",IF(EDATE(B310,1)&gt;=EndDate," ",EDATE(B310,1)))</f>
        <v>44743</v>
      </c>
      <c r="C311" s="149" t="n">
        <f aca="false">IF($B311&lt;&gt;" ",C310+1,C310)</f>
        <v>261</v>
      </c>
      <c r="D311" s="150" t="n">
        <f aca="false">C311/12</f>
        <v>21.75</v>
      </c>
      <c r="F311" s="157" t="n">
        <f aca="false">+SUM($T311:$U311)</f>
        <v>14883.5779284771</v>
      </c>
      <c r="G311" s="152" t="n">
        <f aca="false">-SUM($AA311,$AG311,$AM311,$AQ311,$AV311:$AX311)</f>
        <v>-17077.7312667471</v>
      </c>
      <c r="H311" s="152" t="n">
        <f aca="false">+SUM(F311:G311)</f>
        <v>-2194.15333826997</v>
      </c>
      <c r="I311" s="124"/>
      <c r="J311" s="153" t="n">
        <f aca="false">+IF($B311=" ",0,IF(AND($B311&gt;=J$26,$B311&lt;J$28),J$33,0))</f>
        <v>0</v>
      </c>
      <c r="K311" s="153" t="n">
        <f aca="false">+IF($B311=" ",0,IF(AND($B311&gt;=K$26,$B311&lt;K$28),K$33,0))</f>
        <v>0</v>
      </c>
      <c r="L311" s="153" t="n">
        <f aca="false">+IF($B311=" ",0,IF(AND($B311&gt;=L$26,$B311&lt;L$28),L$33,0))</f>
        <v>0</v>
      </c>
      <c r="M311" s="153" t="n">
        <f aca="false">+IF($B311=" ",0,IF(AND($B311&gt;=M$26,$B311&lt;M$28),M$33,0))</f>
        <v>0</v>
      </c>
      <c r="N311" s="153" t="n">
        <f aca="false">+IF($B311=" ",0,IF(AND($B311&gt;=N$26,$B311&lt;N$28),N$33,0))</f>
        <v>0</v>
      </c>
      <c r="O311" s="154" t="n">
        <f aca="false">+IF($B311=" ",0,IF(AND($B311&gt;=O$26,$B311&lt;O$28),O$33,0))</f>
        <v>5016515.625</v>
      </c>
      <c r="Q311" s="83" t="n">
        <f aca="false">IF($B311=" ",0,IF($B311&lt;=DATE(2003,12,31),3.55,2.9))</f>
        <v>2.9</v>
      </c>
      <c r="R311" s="155" t="n">
        <f aca="false">IF($B311=" ",0,R$25)</f>
        <v>-0.07</v>
      </c>
      <c r="S311" s="156" t="n">
        <f aca="false">IF($B311=" ",0,S$25)</f>
        <v>0.1</v>
      </c>
      <c r="T311" s="157" t="n">
        <f aca="false">+SUM($Q311,$S311)/1000*(SUM($J311*$J$37,$K311*$K$37,$L311*$L$37,$M311*$M$37,$N311*$N$37,$O311*$O$37))</f>
        <v>14883.5779284771</v>
      </c>
      <c r="U311" s="157" t="n">
        <f aca="false">+SUM($Q311,$R311)/1000*(SUM(0))</f>
        <v>0</v>
      </c>
      <c r="W311" s="158" t="n">
        <f aca="false">IF($B311=" ",0,1)*(IF($B311&gt;=W$25,1,0)*IF($B311&lt;=W$29,W$27,IF($B311&lt;=W$33,W$31,0))*($D311-$D310)*365/1000)</f>
        <v>486.66666666666</v>
      </c>
      <c r="X311" s="158" t="n">
        <f aca="false">IF($B311=" ",0,IF($B311&gt;=X$25,IF($B311&lt;=X$29,X$27,IF($B311&lt;=X$33,X$31,X$31*(1+X$38)^(IF(X$36&gt;$B311,-1,1)*(YEARFRAC($B311,X$36)))))*($D311-$D310)*365/1000,0))</f>
        <v>508.910792725637</v>
      </c>
      <c r="Y311" s="159" t="n">
        <f aca="false">IF($B311=" ",0,Y$25*(1+Y$30)^(IF(Y$28&gt;$B311,-1,1)*(YEARFRAC($B311,Y$28))))</f>
        <v>0.639686814893394</v>
      </c>
      <c r="Z311" s="159" t="n">
        <f aca="false">IF($B311=" ",0,Z$25*(1+Z$30)^(IF(Z$28&gt;$B311,-1,1)*(YEARFRAC($B311,Z$28))))</f>
        <v>0.610663547647388</v>
      </c>
      <c r="AA311" s="162" t="n">
        <f aca="false">+W311+X311+Z311*SUM($J311*$J$37,$L311*$L$37,$N311*$N$37)/1000</f>
        <v>995.577459392297</v>
      </c>
      <c r="AB311" s="161"/>
      <c r="AC311" s="158" t="n">
        <f aca="false">IF($B311=" ",0,1)*(IF($B311&gt;=AC$25,1,0)*IF($B311&lt;=AC$29,AC$27,IF($B311&lt;=AC$33,AC$31,0))*($D311-$D310)*365/1000)</f>
        <v>1591.66666666664</v>
      </c>
      <c r="AD311" s="158" t="n">
        <f aca="false">IF($B311=" ",0,IF($B311&gt;=AD$25,IF($B311&lt;=AD$29,AD$27,IF($B311&lt;=AD$33,AD$31,AD$31*(1+AD$38)^(IF(AD$36&gt;$B311,-1,1)*(YEARFRAC($B311,AD$36)))))*($D311-$D310)*365/1000,0))</f>
        <v>453.041879997795</v>
      </c>
      <c r="AE311" s="159" t="n">
        <f aca="false">IF($B311=" ",0,AE$25*(1+AE$30)^(IF(AE$28&gt;$B311,-1,1)*(YEARFRAC($B311,AE$28))))</f>
        <v>0.529977144013753</v>
      </c>
      <c r="AF311" s="159" t="n">
        <f aca="false">IF($B311=" ",0,AF$25*(1+AF$30)^(IF(AF$28&gt;$B311,-1,1)*(YEARFRAC($B311,AF$28))))</f>
        <v>0.190154597377106</v>
      </c>
      <c r="AG311" s="162" t="n">
        <f aca="false">+AC311+AD311+AF311*SUM($K311*$K$37,$M311*$M$37,$O311*$O$37)/1000</f>
        <v>2988.10213617122</v>
      </c>
      <c r="AI311" s="158" t="n">
        <f aca="false">IF($B311=" ",0,1)*IF($B311&gt;=AI$33,AI$25*($D311-$D310),0)</f>
        <v>485.186570908327</v>
      </c>
      <c r="AJ311" s="158" t="n">
        <f aca="false">IF($B311=" ",0,IF($B311&gt;=AJ$33,AJ$25*(1+AJ$30)^(IF(AJ$28&gt;$B311,-1,1)*(YEARFRAC($B311,AJ$28)))*($D311-$D310),0))</f>
        <v>612.066014380742</v>
      </c>
      <c r="AK311" s="159" t="n">
        <f aca="false">IF($B311=" ",0,AK$25*(1+AK$30)^(IF(AK$28&gt;$B311,-1,1)*(YEARFRAC($B311,AK$28))))</f>
        <v>0.0349804137686487</v>
      </c>
      <c r="AL311" s="159" t="n">
        <f aca="false">IF($B311=" ",0,AL$25*AL$28)</f>
        <v>0.0575</v>
      </c>
      <c r="AM311" s="162" t="n">
        <f aca="false">+AI311+AJ311+SUM(AK311:AL311)*SUM($J311*$J$37,$K311*$K$37,$L311*$L$37,$M311*$M$37,$N311*$N$37,$O311*$O$37)/1000</f>
        <v>1556.06573368357</v>
      </c>
      <c r="AO311" s="163" t="n">
        <f aca="false">IF($B311=" ",0,$AO$25)</f>
        <v>0.25</v>
      </c>
      <c r="AP311" s="159" t="n">
        <f aca="false">IF($B311=" ",0,AP$25*AP$28)</f>
        <v>0.03105</v>
      </c>
      <c r="AQ311" s="162" t="n">
        <f aca="false">SUM(AO311:AP311)*SUM(0)/1000</f>
        <v>0</v>
      </c>
      <c r="AS311" s="155" t="n">
        <f aca="false">IF($B311=" ",0,AS$25)</f>
        <v>1</v>
      </c>
      <c r="AT311" s="156" t="n">
        <f aca="false">IF($B311=" ",0,AT$25)</f>
        <v>1</v>
      </c>
      <c r="AU311" s="156" t="n">
        <f aca="false">IF($B311=" ",0,AU$25)</f>
        <v>2.3</v>
      </c>
      <c r="AV311" s="157" t="n">
        <f aca="false">+AS311*SUM(J311:K311)/1000</f>
        <v>0</v>
      </c>
      <c r="AW311" s="157" t="n">
        <f aca="false">+AT311*SUM(L311:M311)/1000</f>
        <v>0</v>
      </c>
      <c r="AX311" s="157" t="n">
        <f aca="false">+AU311*SUM(N311:O311)/1000</f>
        <v>11537.9859375</v>
      </c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</row>
    <row r="312" customFormat="false" ht="12.75" hidden="true" customHeight="false" outlineLevel="1" collapsed="false">
      <c r="A312" s="164" t="n">
        <f aca="false">+IF(B312=" ",A311,B312)</f>
        <v>44774</v>
      </c>
      <c r="B312" s="148" t="n">
        <f aca="false">IF(B311=" "," ",IF(EDATE(B311,1)&gt;=EndDate," ",EDATE(B311,1)))</f>
        <v>44774</v>
      </c>
      <c r="C312" s="149" t="n">
        <f aca="false">IF($B312&lt;&gt;" ",C311+1,C311)</f>
        <v>262</v>
      </c>
      <c r="D312" s="150" t="n">
        <f aca="false">C312/12</f>
        <v>21.8333333333333</v>
      </c>
      <c r="F312" s="157" t="n">
        <f aca="false">+SUM($T312:$U312)</f>
        <v>14883.5779284771</v>
      </c>
      <c r="G312" s="152" t="n">
        <f aca="false">-SUM($AA312,$AG312,$AM312,$AQ312,$AV312:$AX312)</f>
        <v>-17081.171271802</v>
      </c>
      <c r="H312" s="152" t="n">
        <f aca="false">+SUM(F312:G312)</f>
        <v>-2197.59334332493</v>
      </c>
      <c r="I312" s="124"/>
      <c r="J312" s="153" t="n">
        <f aca="false">+IF($B312=" ",0,IF(AND($B312&gt;=J$26,$B312&lt;J$28),J$33,0))</f>
        <v>0</v>
      </c>
      <c r="K312" s="153" t="n">
        <f aca="false">+IF($B312=" ",0,IF(AND($B312&gt;=K$26,$B312&lt;K$28),K$33,0))</f>
        <v>0</v>
      </c>
      <c r="L312" s="153" t="n">
        <f aca="false">+IF($B312=" ",0,IF(AND($B312&gt;=L$26,$B312&lt;L$28),L$33,0))</f>
        <v>0</v>
      </c>
      <c r="M312" s="153" t="n">
        <f aca="false">+IF($B312=" ",0,IF(AND($B312&gt;=M$26,$B312&lt;M$28),M$33,0))</f>
        <v>0</v>
      </c>
      <c r="N312" s="153" t="n">
        <f aca="false">+IF($B312=" ",0,IF(AND($B312&gt;=N$26,$B312&lt;N$28),N$33,0))</f>
        <v>0</v>
      </c>
      <c r="O312" s="154" t="n">
        <f aca="false">+IF($B312=" ",0,IF(AND($B312&gt;=O$26,$B312&lt;O$28),O$33,0))</f>
        <v>5016515.625</v>
      </c>
      <c r="Q312" s="83" t="n">
        <f aca="false">IF($B312=" ",0,IF($B312&lt;=DATE(2003,12,31),3.55,2.9))</f>
        <v>2.9</v>
      </c>
      <c r="R312" s="155" t="n">
        <f aca="false">IF($B312=" ",0,R$25)</f>
        <v>-0.07</v>
      </c>
      <c r="S312" s="156" t="n">
        <f aca="false">IF($B312=" ",0,S$25)</f>
        <v>0.1</v>
      </c>
      <c r="T312" s="157" t="n">
        <f aca="false">+SUM($Q312,$S312)/1000*(SUM($J312*$J$37,$K312*$K$37,$L312*$L$37,$M312*$M$37,$N312*$N$37,$O312*$O$37))</f>
        <v>14883.5779284771</v>
      </c>
      <c r="U312" s="157" t="n">
        <f aca="false">+SUM($Q312,$R312)/1000*(SUM(0))</f>
        <v>0</v>
      </c>
      <c r="W312" s="158" t="n">
        <f aca="false">IF($B312=" ",0,1)*(IF($B312&gt;=W$25,1,0)*IF($B312&lt;=W$29,W$27,IF($B312&lt;=W$33,W$31,0))*($D312-$D311)*365/1000)</f>
        <v>486.66666666666</v>
      </c>
      <c r="X312" s="158" t="n">
        <f aca="false">IF($B312=" ",0,IF($B312&gt;=X$25,IF($B312&lt;=X$29,X$27,IF($B312&lt;=X$33,X$31,X$31*(1+X$38)^(IF(X$36&gt;$B312,-1,1)*(YEARFRAC($B312,X$36)))))*($D312-$D311)*365/1000,0))</f>
        <v>509.612270750578</v>
      </c>
      <c r="Y312" s="159" t="n">
        <f aca="false">IF($B312=" ",0,Y$25*(1+Y$30)^(IF(Y$28&gt;$B312,-1,1)*(YEARFRAC($B312,Y$28))))</f>
        <v>0.640568553402198</v>
      </c>
      <c r="Z312" s="159" t="n">
        <f aca="false">IF($B312=" ",0,Z$25*(1+Z$30)^(IF(Z$28&gt;$B312,-1,1)*(YEARFRAC($B312,Z$28))))</f>
        <v>0.611505280747629</v>
      </c>
      <c r="AA312" s="162" t="n">
        <f aca="false">+W312+X312+Z312*SUM($J312*$J$37,$L312*$L$37,$N312*$N$37)/1000</f>
        <v>996.278937417237</v>
      </c>
      <c r="AB312" s="161"/>
      <c r="AC312" s="158" t="n">
        <f aca="false">IF($B312=" ",0,1)*(IF($B312&gt;=AC$25,1,0)*IF($B312&lt;=AC$29,AC$27,IF($B312&lt;=AC$33,AC$31,0))*($D312-$D311)*365/1000)</f>
        <v>1591.66666666664</v>
      </c>
      <c r="AD312" s="158" t="n">
        <f aca="false">IF($B312=" ",0,IF($B312&gt;=AD$25,IF($B312&lt;=AD$29,AD$27,IF($B312&lt;=AD$33,AD$31,AD$31*(1+AD$38)^(IF(AD$36&gt;$B312,-1,1)*(YEARFRAC($B312,AD$36)))))*($D312-$D311)*365/1000,0))</f>
        <v>453.666348819716</v>
      </c>
      <c r="AE312" s="159" t="n">
        <f aca="false">IF($B312=" ",0,AE$25*(1+AE$30)^(IF(AE$28&gt;$B312,-1,1)*(YEARFRAC($B312,AE$28))))</f>
        <v>0.530707659706405</v>
      </c>
      <c r="AF312" s="159" t="n">
        <f aca="false">IF($B312=" ",0,AF$25*(1+AF$30)^(IF(AF$28&gt;$B312,-1,1)*(YEARFRAC($B312,AF$28))))</f>
        <v>0.190416704750949</v>
      </c>
      <c r="AG312" s="162" t="n">
        <f aca="false">+AC312+AD312+AF312*SUM($K312*$K$37,$M312*$M$37,$O312*$O$37)/1000</f>
        <v>2990.02697016788</v>
      </c>
      <c r="AI312" s="158" t="n">
        <f aca="false">IF($B312=" ",0,1)*IF($B312&gt;=AI$33,AI$25*($D312-$D311),0)</f>
        <v>485.186570908327</v>
      </c>
      <c r="AJ312" s="158" t="n">
        <f aca="false">IF($B312=" ",0,IF($B312&gt;=AJ$33,AJ$25*(1+AJ$30)^(IF(AJ$28&gt;$B312,-1,1)*(YEARFRAC($B312,AJ$28)))*($D312-$D311),0))</f>
        <v>612.69995931587</v>
      </c>
      <c r="AK312" s="159" t="n">
        <f aca="false">IF($B312=" ",0,AK$25*(1+AK$30)^(IF(AK$28&gt;$B312,-1,1)*(YEARFRAC($B312,AK$28))))</f>
        <v>0.035016644592802</v>
      </c>
      <c r="AL312" s="159" t="n">
        <f aca="false">IF($B312=" ",0,AL$25*AL$28)</f>
        <v>0.0575</v>
      </c>
      <c r="AM312" s="162" t="n">
        <f aca="false">+AI312+AJ312+SUM(AK312:AL312)*SUM($J312*$J$37,$K312*$K$37,$L312*$L$37,$M312*$M$37,$N312*$N$37,$O312*$O$37)/1000</f>
        <v>1556.87942671693</v>
      </c>
      <c r="AO312" s="163" t="n">
        <f aca="false">IF($B312=" ",0,$AO$25)</f>
        <v>0.25</v>
      </c>
      <c r="AP312" s="159" t="n">
        <f aca="false">IF($B312=" ",0,AP$25*AP$28)</f>
        <v>0.03105</v>
      </c>
      <c r="AQ312" s="162" t="n">
        <f aca="false">SUM(AO312:AP312)*SUM(0)/1000</f>
        <v>0</v>
      </c>
      <c r="AS312" s="155" t="n">
        <f aca="false">IF($B312=" ",0,AS$25)</f>
        <v>1</v>
      </c>
      <c r="AT312" s="156" t="n">
        <f aca="false">IF($B312=" ",0,AT$25)</f>
        <v>1</v>
      </c>
      <c r="AU312" s="156" t="n">
        <f aca="false">IF($B312=" ",0,AU$25)</f>
        <v>2.3</v>
      </c>
      <c r="AV312" s="157" t="n">
        <f aca="false">+AS312*SUM(J312:K312)/1000</f>
        <v>0</v>
      </c>
      <c r="AW312" s="157" t="n">
        <f aca="false">+AT312*SUM(L312:M312)/1000</f>
        <v>0</v>
      </c>
      <c r="AX312" s="157" t="n">
        <f aca="false">+AU312*SUM(N312:O312)/1000</f>
        <v>11537.9859375</v>
      </c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</row>
    <row r="313" customFormat="false" ht="12.75" hidden="true" customHeight="false" outlineLevel="1" collapsed="false">
      <c r="A313" s="164" t="n">
        <f aca="false">+IF(B313=" ",A312,B313)</f>
        <v>44805</v>
      </c>
      <c r="B313" s="148" t="n">
        <f aca="false">IF(B312=" "," ",IF(EDATE(B312,1)&gt;=EndDate," ",EDATE(B312,1)))</f>
        <v>44805</v>
      </c>
      <c r="C313" s="149" t="n">
        <f aca="false">IF($B313&lt;&gt;" ",C312+1,C312)</f>
        <v>263</v>
      </c>
      <c r="D313" s="150" t="n">
        <f aca="false">C313/12</f>
        <v>21.9166666666667</v>
      </c>
      <c r="F313" s="157" t="n">
        <f aca="false">+SUM($T313:$U313)</f>
        <v>14883.5779284771</v>
      </c>
      <c r="G313" s="152" t="n">
        <f aca="false">-SUM($AA313,$AG313,$AM313,$AQ313,$AV313:$AX313)</f>
        <v>-17084.6157397212</v>
      </c>
      <c r="H313" s="152" t="n">
        <f aca="false">+SUM(F313:G313)</f>
        <v>-2201.03781124408</v>
      </c>
      <c r="I313" s="124"/>
      <c r="J313" s="153" t="n">
        <f aca="false">+IF($B313=" ",0,IF(AND($B313&gt;=J$26,$B313&lt;J$28),J$33,0))</f>
        <v>0</v>
      </c>
      <c r="K313" s="153" t="n">
        <f aca="false">+IF($B313=" ",0,IF(AND($B313&gt;=K$26,$B313&lt;K$28),K$33,0))</f>
        <v>0</v>
      </c>
      <c r="L313" s="153" t="n">
        <f aca="false">+IF($B313=" ",0,IF(AND($B313&gt;=L$26,$B313&lt;L$28),L$33,0))</f>
        <v>0</v>
      </c>
      <c r="M313" s="153" t="n">
        <f aca="false">+IF($B313=" ",0,IF(AND($B313&gt;=M$26,$B313&lt;M$28),M$33,0))</f>
        <v>0</v>
      </c>
      <c r="N313" s="153" t="n">
        <f aca="false">+IF($B313=" ",0,IF(AND($B313&gt;=N$26,$B313&lt;N$28),N$33,0))</f>
        <v>0</v>
      </c>
      <c r="O313" s="154" t="n">
        <f aca="false">+IF($B313=" ",0,IF(AND($B313&gt;=O$26,$B313&lt;O$28),O$33,0))</f>
        <v>5016515.625</v>
      </c>
      <c r="Q313" s="83" t="n">
        <f aca="false">IF($B313=" ",0,IF($B313&lt;=DATE(2003,12,31),3.55,2.9))</f>
        <v>2.9</v>
      </c>
      <c r="R313" s="155" t="n">
        <f aca="false">IF($B313=" ",0,R$25)</f>
        <v>-0.07</v>
      </c>
      <c r="S313" s="156" t="n">
        <f aca="false">IF($B313=" ",0,S$25)</f>
        <v>0.1</v>
      </c>
      <c r="T313" s="157" t="n">
        <f aca="false">+SUM($Q313,$S313)/1000*(SUM($J313*$J$37,$K313*$K$37,$L313*$L$37,$M313*$M$37,$N313*$N$37,$O313*$O$37))</f>
        <v>14883.5779284771</v>
      </c>
      <c r="U313" s="157" t="n">
        <f aca="false">+SUM($Q313,$R313)/1000*(SUM(0))</f>
        <v>0</v>
      </c>
      <c r="W313" s="158" t="n">
        <f aca="false">IF($B313=" ",0,1)*(IF($B313&gt;=W$25,1,0)*IF($B313&lt;=W$29,W$27,IF($B313&lt;=W$33,W$31,0))*($D313-$D312)*365/1000)</f>
        <v>486.666666666681</v>
      </c>
      <c r="X313" s="158" t="n">
        <f aca="false">IF($B313=" ",0,IF($B313&gt;=X$25,IF($B313&lt;=X$29,X$27,IF($B313&lt;=X$33,X$31,X$31*(1+X$38)^(IF(X$36&gt;$B313,-1,1)*(YEARFRAC($B313,X$36)))))*($D313-$D312)*365/1000,0))</f>
        <v>510.314715686493</v>
      </c>
      <c r="Y313" s="159" t="n">
        <f aca="false">IF($B313=" ",0,Y$25*(1+Y$30)^(IF(Y$28&gt;$B313,-1,1)*(YEARFRAC($B313,Y$28))))</f>
        <v>0.641451507291372</v>
      </c>
      <c r="Z313" s="159" t="n">
        <f aca="false">IF($B313=" ",0,Z$25*(1+Z$30)^(IF(Z$28&gt;$B313,-1,1)*(YEARFRAC($B313,Z$28))))</f>
        <v>0.612348174085147</v>
      </c>
      <c r="AA313" s="162" t="n">
        <f aca="false">+W313+X313+Z313*SUM($J313*$J$37,$L313*$L$37,$N313*$N$37)/1000</f>
        <v>996.981382353173</v>
      </c>
      <c r="AB313" s="161"/>
      <c r="AC313" s="158" t="n">
        <f aca="false">IF($B313=" ",0,1)*(IF($B313&gt;=AC$25,1,0)*IF($B313&lt;=AC$29,AC$27,IF($B313&lt;=AC$33,AC$31,0))*($D313-$D312)*365/1000)</f>
        <v>1591.66666666671</v>
      </c>
      <c r="AD313" s="158" t="n">
        <f aca="false">IF($B313=" ",0,IF($B313&gt;=AD$25,IF($B313&lt;=AD$29,AD$27,IF($B313&lt;=AD$33,AD$31,AD$31*(1+AD$38)^(IF(AD$36&gt;$B313,-1,1)*(YEARFRAC($B313,AD$36)))))*($D313-$D312)*365/1000,0))</f>
        <v>454.291678403821</v>
      </c>
      <c r="AE313" s="159" t="n">
        <f aca="false">IF($B313=" ",0,AE$25*(1+AE$30)^(IF(AE$28&gt;$B313,-1,1)*(YEARFRAC($B313,AE$28))))</f>
        <v>0.531439182335269</v>
      </c>
      <c r="AF313" s="159" t="n">
        <f aca="false">IF($B313=" ",0,AF$25*(1+AF$30)^(IF(AF$28&gt;$B313,-1,1)*(YEARFRAC($B313,AF$28))))</f>
        <v>0.190679173411221</v>
      </c>
      <c r="AG313" s="162" t="n">
        <f aca="false">+AC313+AD313+AF313*SUM($K313*$K$37,$M313*$M$37,$O313*$O$37)/1000</f>
        <v>2991.95445733837</v>
      </c>
      <c r="AI313" s="158" t="n">
        <f aca="false">IF($B313=" ",0,1)*IF($B313&gt;=AI$33,AI$25*($D313-$D312),0)</f>
        <v>485.186570908347</v>
      </c>
      <c r="AJ313" s="158" t="n">
        <f aca="false">IF($B313=" ",0,IF($B313&gt;=AJ$33,AJ$25*(1+AJ$30)^(IF(AJ$28&gt;$B313,-1,1)*(YEARFRAC($B313,AJ$28)))*($D313-$D312),0))</f>
        <v>613.334560856963</v>
      </c>
      <c r="AK313" s="159" t="n">
        <f aca="false">IF($B313=" ",0,AK$25*(1+AK$30)^(IF(AK$28&gt;$B313,-1,1)*(YEARFRAC($B313,AK$28))))</f>
        <v>0.0350529129428871</v>
      </c>
      <c r="AL313" s="159" t="n">
        <f aca="false">IF($B313=" ",0,AL$25*AL$28)</f>
        <v>0.0575</v>
      </c>
      <c r="AM313" s="162" t="n">
        <f aca="false">+AI313+AJ313+SUM(AK313:AL313)*SUM($J313*$J$37,$K313*$K$37,$L313*$L$37,$M313*$M$37,$N313*$N$37,$O313*$O$37)/1000</f>
        <v>1557.69396252965</v>
      </c>
      <c r="AO313" s="163" t="n">
        <f aca="false">IF($B313=" ",0,$AO$25)</f>
        <v>0.25</v>
      </c>
      <c r="AP313" s="159" t="n">
        <f aca="false">IF($B313=" ",0,AP$25*AP$28)</f>
        <v>0.03105</v>
      </c>
      <c r="AQ313" s="162" t="n">
        <f aca="false">SUM(AO313:AP313)*SUM(0)/1000</f>
        <v>0</v>
      </c>
      <c r="AS313" s="155" t="n">
        <f aca="false">IF($B313=" ",0,AS$25)</f>
        <v>1</v>
      </c>
      <c r="AT313" s="156" t="n">
        <f aca="false">IF($B313=" ",0,AT$25)</f>
        <v>1</v>
      </c>
      <c r="AU313" s="156" t="n">
        <f aca="false">IF($B313=" ",0,AU$25)</f>
        <v>2.3</v>
      </c>
      <c r="AV313" s="157" t="n">
        <f aca="false">+AS313*SUM(J313:K313)/1000</f>
        <v>0</v>
      </c>
      <c r="AW313" s="157" t="n">
        <f aca="false">+AT313*SUM(L313:M313)/1000</f>
        <v>0</v>
      </c>
      <c r="AX313" s="157" t="n">
        <f aca="false">+AU313*SUM(N313:O313)/1000</f>
        <v>11537.9859375</v>
      </c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</row>
    <row r="314" customFormat="false" ht="12.75" hidden="true" customHeight="false" outlineLevel="1" collapsed="false">
      <c r="A314" s="164" t="n">
        <f aca="false">+IF(B314=" ",A313,B314)</f>
        <v>44835</v>
      </c>
      <c r="B314" s="148" t="n">
        <f aca="false">IF(B313=" "," ",IF(EDATE(B313,1)&gt;=EndDate," ",EDATE(B313,1)))</f>
        <v>44835</v>
      </c>
      <c r="C314" s="149" t="n">
        <f aca="false">IF($B314&lt;&gt;" ",C313+1,C313)</f>
        <v>264</v>
      </c>
      <c r="D314" s="150" t="n">
        <f aca="false">C314/12</f>
        <v>22</v>
      </c>
      <c r="F314" s="157" t="n">
        <f aca="false">+SUM($T314:$U314)</f>
        <v>14883.5779284771</v>
      </c>
      <c r="G314" s="152" t="n">
        <f aca="false">-SUM($AA314,$AG314,$AM314,$AQ314,$AV314:$AX314)</f>
        <v>-17088.0646763668</v>
      </c>
      <c r="H314" s="152" t="n">
        <f aca="false">+SUM(F314:G314)</f>
        <v>-2204.48674788967</v>
      </c>
      <c r="I314" s="124"/>
      <c r="J314" s="153" t="n">
        <f aca="false">+IF($B314=" ",0,IF(AND($B314&gt;=J$26,$B314&lt;J$28),J$33,0))</f>
        <v>0</v>
      </c>
      <c r="K314" s="153" t="n">
        <f aca="false">+IF($B314=" ",0,IF(AND($B314&gt;=K$26,$B314&lt;K$28),K$33,0))</f>
        <v>0</v>
      </c>
      <c r="L314" s="153" t="n">
        <f aca="false">+IF($B314=" ",0,IF(AND($B314&gt;=L$26,$B314&lt;L$28),L$33,0))</f>
        <v>0</v>
      </c>
      <c r="M314" s="153" t="n">
        <f aca="false">+IF($B314=" ",0,IF(AND($B314&gt;=M$26,$B314&lt;M$28),M$33,0))</f>
        <v>0</v>
      </c>
      <c r="N314" s="153" t="n">
        <f aca="false">+IF($B314=" ",0,IF(AND($B314&gt;=N$26,$B314&lt;N$28),N$33,0))</f>
        <v>0</v>
      </c>
      <c r="O314" s="154" t="n">
        <f aca="false">+IF($B314=" ",0,IF(AND($B314&gt;=O$26,$B314&lt;O$28),O$33,0))</f>
        <v>5016515.625</v>
      </c>
      <c r="Q314" s="83" t="n">
        <f aca="false">IF($B314=" ",0,IF($B314&lt;=DATE(2003,12,31),3.55,2.9))</f>
        <v>2.9</v>
      </c>
      <c r="R314" s="155" t="n">
        <f aca="false">IF($B314=" ",0,R$25)</f>
        <v>-0.07</v>
      </c>
      <c r="S314" s="156" t="n">
        <f aca="false">IF($B314=" ",0,S$25)</f>
        <v>0.1</v>
      </c>
      <c r="T314" s="157" t="n">
        <f aca="false">+SUM($Q314,$S314)/1000*(SUM($J314*$J$37,$K314*$K$37,$L314*$L$37,$M314*$M$37,$N314*$N$37,$O314*$O$37))</f>
        <v>14883.5779284771</v>
      </c>
      <c r="U314" s="157" t="n">
        <f aca="false">+SUM($Q314,$R314)/1000*(SUM(0))</f>
        <v>0</v>
      </c>
      <c r="W314" s="158" t="n">
        <f aca="false">IF($B314=" ",0,1)*(IF($B314&gt;=W$25,1,0)*IF($B314&lt;=W$29,W$27,IF($B314&lt;=W$33,W$31,0))*($D314-$D313)*365/1000)</f>
        <v>486.66666666666</v>
      </c>
      <c r="X314" s="158" t="n">
        <f aca="false">IF($B314=" ",0,IF($B314&gt;=X$25,IF($B314&lt;=X$29,X$27,IF($B314&lt;=X$33,X$31,X$31*(1+X$38)^(IF(X$36&gt;$B314,-1,1)*(YEARFRAC($B314,X$36)))))*($D314-$D313)*365/1000,0))</f>
        <v>511.018128866099</v>
      </c>
      <c r="Y314" s="159" t="n">
        <f aca="false">IF($B314=" ",0,Y$25*(1+Y$30)^(IF(Y$28&gt;$B314,-1,1)*(YEARFRAC($B314,Y$28))))</f>
        <v>0.642335678236185</v>
      </c>
      <c r="Z314" s="159" t="n">
        <f aca="false">IF($B314=" ",0,Z$25*(1+Z$30)^(IF(Z$28&gt;$B314,-1,1)*(YEARFRAC($B314,Z$28))))</f>
        <v>0.613192229259204</v>
      </c>
      <c r="AA314" s="162" t="n">
        <f aca="false">+W314+X314+Z314*SUM($J314*$J$37,$L314*$L$37,$N314*$N$37)/1000</f>
        <v>997.684795532758</v>
      </c>
      <c r="AB314" s="161"/>
      <c r="AC314" s="158" t="n">
        <f aca="false">IF($B314=" ",0,1)*(IF($B314&gt;=AC$25,1,0)*IF($B314&lt;=AC$29,AC$27,IF($B314&lt;=AC$33,AC$31,0))*($D314-$D313)*365/1000)</f>
        <v>1591.66666666664</v>
      </c>
      <c r="AD314" s="158" t="n">
        <f aca="false">IF($B314=" ",0,IF($B314&gt;=AD$25,IF($B314&lt;=AD$29,AD$27,IF($B314&lt;=AD$33,AD$31,AD$31*(1+AD$38)^(IF(AD$36&gt;$B314,-1,1)*(YEARFRAC($B314,AD$36)))))*($D314-$D313)*365/1000,0))</f>
        <v>454.91786993652</v>
      </c>
      <c r="AE314" s="159" t="n">
        <f aca="false">IF($B314=" ",0,AE$25*(1+AE$30)^(IF(AE$28&gt;$B314,-1,1)*(YEARFRAC($B314,AE$28))))</f>
        <v>0.532171713288295</v>
      </c>
      <c r="AF314" s="159" t="n">
        <f aca="false">IF($B314=" ",0,AF$25*(1+AF$30)^(IF(AF$28&gt;$B314,-1,1)*(YEARFRAC($B314,AF$28))))</f>
        <v>0.190942003855915</v>
      </c>
      <c r="AG314" s="162" t="n">
        <f aca="false">+AC314+AD314+AF314*SUM($K314*$K$37,$M314*$M$37,$O314*$O$37)/1000</f>
        <v>2993.88460133953</v>
      </c>
      <c r="AI314" s="158" t="n">
        <f aca="false">IF($B314=" ",0,1)*IF($B314&gt;=AI$33,AI$25*($D314-$D313),0)</f>
        <v>485.186570908327</v>
      </c>
      <c r="AJ314" s="158" t="n">
        <f aca="false">IF($B314=" ",0,IF($B314&gt;=AJ$33,AJ$25*(1+AJ$30)^(IF(AJ$28&gt;$B314,-1,1)*(YEARFRAC($B314,AJ$28)))*($D314-$D313),0))</f>
        <v>613.969819684021</v>
      </c>
      <c r="AK314" s="159" t="n">
        <f aca="false">IF($B314=" ",0,AK$25*(1+AK$30)^(IF(AK$28&gt;$B314,-1,1)*(YEARFRAC($B314,AK$28))))</f>
        <v>0.0350892188577713</v>
      </c>
      <c r="AL314" s="159" t="n">
        <f aca="false">IF($B314=" ",0,AL$25*AL$28)</f>
        <v>0.0575</v>
      </c>
      <c r="AM314" s="162" t="n">
        <f aca="false">+AI314+AJ314+SUM(AK314:AL314)*SUM($J314*$J$37,$K314*$K$37,$L314*$L$37,$M314*$M$37,$N314*$N$37,$O314*$O$37)/1000</f>
        <v>1558.5093419945</v>
      </c>
      <c r="AO314" s="163" t="n">
        <f aca="false">IF($B314=" ",0,$AO$25)</f>
        <v>0.25</v>
      </c>
      <c r="AP314" s="159" t="n">
        <f aca="false">IF($B314=" ",0,AP$25*AP$28)</f>
        <v>0.03105</v>
      </c>
      <c r="AQ314" s="162" t="n">
        <f aca="false">SUM(AO314:AP314)*SUM(0)/1000</f>
        <v>0</v>
      </c>
      <c r="AS314" s="155" t="n">
        <f aca="false">IF($B314=" ",0,AS$25)</f>
        <v>1</v>
      </c>
      <c r="AT314" s="156" t="n">
        <f aca="false">IF($B314=" ",0,AT$25)</f>
        <v>1</v>
      </c>
      <c r="AU314" s="156" t="n">
        <f aca="false">IF($B314=" ",0,AU$25)</f>
        <v>2.3</v>
      </c>
      <c r="AV314" s="157" t="n">
        <f aca="false">+AS314*SUM(J314:K314)/1000</f>
        <v>0</v>
      </c>
      <c r="AW314" s="157" t="n">
        <f aca="false">+AT314*SUM(L314:M314)/1000</f>
        <v>0</v>
      </c>
      <c r="AX314" s="157" t="n">
        <f aca="false">+AU314*SUM(N314:O314)/1000</f>
        <v>11537.9859375</v>
      </c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</row>
    <row r="315" customFormat="false" ht="12.75" hidden="true" customHeight="false" outlineLevel="1" collapsed="false">
      <c r="A315" s="164" t="n">
        <f aca="false">+IF(B315=" ",A314,B315)</f>
        <v>44866</v>
      </c>
      <c r="B315" s="148" t="n">
        <f aca="false">IF(B314=" "," ",IF(EDATE(B314,1)&gt;=EndDate," ",EDATE(B314,1)))</f>
        <v>44866</v>
      </c>
      <c r="C315" s="149" t="n">
        <f aca="false">IF($B315&lt;&gt;" ",C314+1,C314)</f>
        <v>265</v>
      </c>
      <c r="D315" s="150" t="n">
        <f aca="false">C315/12</f>
        <v>22.0833333333333</v>
      </c>
      <c r="F315" s="157" t="n">
        <f aca="false">+SUM($T315:$U315)</f>
        <v>14883.5779284771</v>
      </c>
      <c r="G315" s="152" t="n">
        <f aca="false">-SUM($AA315,$AG315,$AM315,$AQ315,$AV315:$AX315)</f>
        <v>-17091.5180876099</v>
      </c>
      <c r="H315" s="152" t="n">
        <f aca="false">+SUM(F315:G315)</f>
        <v>-2207.94015913283</v>
      </c>
      <c r="I315" s="124"/>
      <c r="J315" s="153" t="n">
        <f aca="false">+IF($B315=" ",0,IF(AND($B315&gt;=J$26,$B315&lt;J$28),J$33,0))</f>
        <v>0</v>
      </c>
      <c r="K315" s="153" t="n">
        <f aca="false">+IF($B315=" ",0,IF(AND($B315&gt;=K$26,$B315&lt;K$28),K$33,0))</f>
        <v>0</v>
      </c>
      <c r="L315" s="153" t="n">
        <f aca="false">+IF($B315=" ",0,IF(AND($B315&gt;=L$26,$B315&lt;L$28),L$33,0))</f>
        <v>0</v>
      </c>
      <c r="M315" s="153" t="n">
        <f aca="false">+IF($B315=" ",0,IF(AND($B315&gt;=M$26,$B315&lt;M$28),M$33,0))</f>
        <v>0</v>
      </c>
      <c r="N315" s="153" t="n">
        <f aca="false">+IF($B315=" ",0,IF(AND($B315&gt;=N$26,$B315&lt;N$28),N$33,0))</f>
        <v>0</v>
      </c>
      <c r="O315" s="154" t="n">
        <f aca="false">+IF($B315=" ",0,IF(AND($B315&gt;=O$26,$B315&lt;O$28),O$33,0))</f>
        <v>5016515.625</v>
      </c>
      <c r="Q315" s="83" t="n">
        <f aca="false">IF($B315=" ",0,IF($B315&lt;=DATE(2003,12,31),3.55,2.9))</f>
        <v>2.9</v>
      </c>
      <c r="R315" s="155" t="n">
        <f aca="false">IF($B315=" ",0,R$25)</f>
        <v>-0.07</v>
      </c>
      <c r="S315" s="156" t="n">
        <f aca="false">IF($B315=" ",0,S$25)</f>
        <v>0.1</v>
      </c>
      <c r="T315" s="157" t="n">
        <f aca="false">+SUM($Q315,$S315)/1000*(SUM($J315*$J$37,$K315*$K$37,$L315*$L$37,$M315*$M$37,$N315*$N$37,$O315*$O$37))</f>
        <v>14883.5779284771</v>
      </c>
      <c r="U315" s="157" t="n">
        <f aca="false">+SUM($Q315,$R315)/1000*(SUM(0))</f>
        <v>0</v>
      </c>
      <c r="W315" s="158" t="n">
        <f aca="false">IF($B315=" ",0,1)*(IF($B315&gt;=W$25,1,0)*IF($B315&lt;=W$29,W$27,IF($B315&lt;=W$33,W$31,0))*($D315-$D314)*365/1000)</f>
        <v>486.66666666666</v>
      </c>
      <c r="X315" s="158" t="n">
        <f aca="false">IF($B315=" ",0,IF($B315&gt;=X$25,IF($B315&lt;=X$29,X$27,IF($B315&lt;=X$33,X$31,X$31*(1+X$38)^(IF(X$36&gt;$B315,-1,1)*(YEARFRAC($B315,X$36)))))*($D315-$D314)*365/1000,0))</f>
        <v>511.722511624079</v>
      </c>
      <c r="Y315" s="159" t="n">
        <f aca="false">IF($B315=" ",0,Y$25*(1+Y$30)^(IF(Y$28&gt;$B315,-1,1)*(YEARFRAC($B315,Y$28))))</f>
        <v>0.643221067914216</v>
      </c>
      <c r="Z315" s="159" t="n">
        <f aca="false">IF($B315=" ",0,Z$25*(1+Z$30)^(IF(Z$28&gt;$B315,-1,1)*(YEARFRAC($B315,Z$28))))</f>
        <v>0.614037447871264</v>
      </c>
      <c r="AA315" s="162" t="n">
        <f aca="false">+W315+X315+Z315*SUM($J315*$J$37,$L315*$L$37,$N315*$N$37)/1000</f>
        <v>998.389178290739</v>
      </c>
      <c r="AB315" s="161"/>
      <c r="AC315" s="158" t="n">
        <f aca="false">IF($B315=" ",0,1)*(IF($B315&gt;=AC$25,1,0)*IF($B315&lt;=AC$29,AC$27,IF($B315&lt;=AC$33,AC$31,0))*($D315-$D314)*365/1000)</f>
        <v>1591.66666666664</v>
      </c>
      <c r="AD315" s="158" t="n">
        <f aca="false">IF($B315=" ",0,IF($B315&gt;=AD$25,IF($B315&lt;=AD$29,AD$27,IF($B315&lt;=AD$33,AD$31,AD$31*(1+AD$38)^(IF(AD$36&gt;$B315,-1,1)*(YEARFRAC($B315,AD$36)))))*($D315-$D314)*365/1000,0))</f>
        <v>455.544924605973</v>
      </c>
      <c r="AE315" s="159" t="n">
        <f aca="false">IF($B315=" ",0,AE$25*(1+AE$30)^(IF(AE$28&gt;$B315,-1,1)*(YEARFRAC($B315,AE$28))))</f>
        <v>0.532905253955349</v>
      </c>
      <c r="AF315" s="159" t="n">
        <f aca="false">IF($B315=" ",0,AF$25*(1+AF$30)^(IF(AF$28&gt;$B315,-1,1)*(YEARFRAC($B315,AF$28))))</f>
        <v>0.191205196583713</v>
      </c>
      <c r="AG315" s="162" t="n">
        <f aca="false">+AC315+AD315+AF315*SUM($K315*$K$37,$M315*$M$37,$O315*$O$37)/1000</f>
        <v>2995.81740583377</v>
      </c>
      <c r="AI315" s="158" t="n">
        <f aca="false">IF($B315=" ",0,1)*IF($B315&gt;=AI$33,AI$25*($D315-$D314),0)</f>
        <v>485.186570908327</v>
      </c>
      <c r="AJ315" s="158" t="n">
        <f aca="false">IF($B315=" ",0,IF($B315&gt;=AJ$33,AJ$25*(1+AJ$30)^(IF(AJ$28&gt;$B315,-1,1)*(YEARFRAC($B315,AJ$28)))*($D315-$D314),0))</f>
        <v>614.605736477904</v>
      </c>
      <c r="AK315" s="159" t="n">
        <f aca="false">IF($B315=" ",0,AK$25*(1+AK$30)^(IF(AK$28&gt;$B315,-1,1)*(YEARFRAC($B315,AK$28))))</f>
        <v>0.0351255623763621</v>
      </c>
      <c r="AL315" s="159" t="n">
        <f aca="false">IF($B315=" ",0,AL$25*AL$28)</f>
        <v>0.0575</v>
      </c>
      <c r="AM315" s="162" t="n">
        <f aca="false">+AI315+AJ315+SUM(AK315:AL315)*SUM($J315*$J$37,$K315*$K$37,$L315*$L$37,$M315*$M$37,$N315*$N$37,$O315*$O$37)/1000</f>
        <v>1559.32556598543</v>
      </c>
      <c r="AO315" s="163" t="n">
        <f aca="false">IF($B315=" ",0,$AO$25)</f>
        <v>0.25</v>
      </c>
      <c r="AP315" s="159" t="n">
        <f aca="false">IF($B315=" ",0,AP$25*AP$28)</f>
        <v>0.03105</v>
      </c>
      <c r="AQ315" s="162" t="n">
        <f aca="false">SUM(AO315:AP315)*SUM(0)/1000</f>
        <v>0</v>
      </c>
      <c r="AS315" s="155" t="n">
        <f aca="false">IF($B315=" ",0,AS$25)</f>
        <v>1</v>
      </c>
      <c r="AT315" s="156" t="n">
        <f aca="false">IF($B315=" ",0,AT$25)</f>
        <v>1</v>
      </c>
      <c r="AU315" s="156" t="n">
        <f aca="false">IF($B315=" ",0,AU$25)</f>
        <v>2.3</v>
      </c>
      <c r="AV315" s="157" t="n">
        <f aca="false">+AS315*SUM(J315:K315)/1000</f>
        <v>0</v>
      </c>
      <c r="AW315" s="157" t="n">
        <f aca="false">+AT315*SUM(L315:M315)/1000</f>
        <v>0</v>
      </c>
      <c r="AX315" s="157" t="n">
        <f aca="false">+AU315*SUM(N315:O315)/1000</f>
        <v>11537.9859375</v>
      </c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</row>
    <row r="316" customFormat="false" ht="12.75" hidden="true" customHeight="false" outlineLevel="1" collapsed="false">
      <c r="A316" s="164" t="n">
        <f aca="false">+IF(B316=" ",A315,B316)</f>
        <v>44896</v>
      </c>
      <c r="B316" s="148" t="n">
        <f aca="false">IF(B315=" "," ",IF(EDATE(B315,1)&gt;=EndDate," ",EDATE(B315,1)))</f>
        <v>44896</v>
      </c>
      <c r="C316" s="149" t="n">
        <f aca="false">IF($B316&lt;&gt;" ",C315+1,C315)</f>
        <v>266</v>
      </c>
      <c r="D316" s="150" t="n">
        <f aca="false">C316/12</f>
        <v>22.1666666666667</v>
      </c>
      <c r="F316" s="157" t="n">
        <f aca="false">+SUM($T316:$U316)</f>
        <v>14883.5779284771</v>
      </c>
      <c r="G316" s="152" t="n">
        <f aca="false">-SUM($AA316,$AG316,$AM316,$AQ316,$AV316:$AX316)</f>
        <v>-17094.975979329</v>
      </c>
      <c r="H316" s="152" t="n">
        <f aca="false">+SUM(F316:G316)</f>
        <v>-2211.39805085192</v>
      </c>
      <c r="I316" s="124"/>
      <c r="J316" s="153" t="n">
        <f aca="false">+IF($B316=" ",0,IF(AND($B316&gt;=J$26,$B316&lt;J$28),J$33,0))</f>
        <v>0</v>
      </c>
      <c r="K316" s="153" t="n">
        <f aca="false">+IF($B316=" ",0,IF(AND($B316&gt;=K$26,$B316&lt;K$28),K$33,0))</f>
        <v>0</v>
      </c>
      <c r="L316" s="153" t="n">
        <f aca="false">+IF($B316=" ",0,IF(AND($B316&gt;=L$26,$B316&lt;L$28),L$33,0))</f>
        <v>0</v>
      </c>
      <c r="M316" s="153" t="n">
        <f aca="false">+IF($B316=" ",0,IF(AND($B316&gt;=M$26,$B316&lt;M$28),M$33,0))</f>
        <v>0</v>
      </c>
      <c r="N316" s="153" t="n">
        <f aca="false">+IF($B316=" ",0,IF(AND($B316&gt;=N$26,$B316&lt;N$28),N$33,0))</f>
        <v>0</v>
      </c>
      <c r="O316" s="154" t="n">
        <f aca="false">+IF($B316=" ",0,IF(AND($B316&gt;=O$26,$B316&lt;O$28),O$33,0))</f>
        <v>5016515.625</v>
      </c>
      <c r="Q316" s="83" t="n">
        <f aca="false">IF($B316=" ",0,IF($B316&lt;=DATE(2003,12,31),3.55,2.9))</f>
        <v>2.9</v>
      </c>
      <c r="R316" s="155" t="n">
        <f aca="false">IF($B316=" ",0,R$25)</f>
        <v>-0.07</v>
      </c>
      <c r="S316" s="156" t="n">
        <f aca="false">IF($B316=" ",0,S$25)</f>
        <v>0.1</v>
      </c>
      <c r="T316" s="157" t="n">
        <f aca="false">+SUM($Q316,$S316)/1000*(SUM($J316*$J$37,$K316*$K$37,$L316*$L$37,$M316*$M$37,$N316*$N$37,$O316*$O$37))</f>
        <v>14883.5779284771</v>
      </c>
      <c r="U316" s="157" t="n">
        <f aca="false">+SUM($Q316,$R316)/1000*(SUM(0))</f>
        <v>0</v>
      </c>
      <c r="W316" s="158" t="n">
        <f aca="false">IF($B316=" ",0,1)*(IF($B316&gt;=W$25,1,0)*IF($B316&lt;=W$29,W$27,IF($B316&lt;=W$33,W$31,0))*($D316-$D315)*365/1000)</f>
        <v>486.666666666681</v>
      </c>
      <c r="X316" s="158" t="n">
        <f aca="false">IF($B316=" ",0,IF($B316&gt;=X$25,IF($B316&lt;=X$29,X$27,IF($B316&lt;=X$33,X$31,X$31*(1+X$38)^(IF(X$36&gt;$B316,-1,1)*(YEARFRAC($B316,X$36)))))*($D316-$D315)*365/1000,0))</f>
        <v>512.427865296891</v>
      </c>
      <c r="Y316" s="159" t="n">
        <f aca="false">IF($B316=" ",0,Y$25*(1+Y$30)^(IF(Y$28&gt;$B316,-1,1)*(YEARFRAC($B316,Y$28))))</f>
        <v>0.644107678005357</v>
      </c>
      <c r="Z316" s="159" t="n">
        <f aca="false">IF($B316=" ",0,Z$25*(1+Z$30)^(IF(Z$28&gt;$B316,-1,1)*(YEARFRAC($B316,Z$28))))</f>
        <v>0.614883831524999</v>
      </c>
      <c r="AA316" s="162" t="n">
        <f aca="false">+W316+X316+Z316*SUM($J316*$J$37,$L316*$L$37,$N316*$N$37)/1000</f>
        <v>999.094531963572</v>
      </c>
      <c r="AB316" s="161"/>
      <c r="AC316" s="158" t="n">
        <f aca="false">IF($B316=" ",0,1)*(IF($B316&gt;=AC$25,1,0)*IF($B316&lt;=AC$29,AC$27,IF($B316&lt;=AC$33,AC$31,0))*($D316-$D315)*365/1000)</f>
        <v>1591.66666666671</v>
      </c>
      <c r="AD316" s="158" t="n">
        <f aca="false">IF($B316=" ",0,IF($B316&gt;=AD$25,IF($B316&lt;=AD$29,AD$27,IF($B316&lt;=AD$33,AD$31,AD$31*(1+AD$38)^(IF(AD$36&gt;$B316,-1,1)*(YEARFRAC($B316,AD$36)))))*($D316-$D315)*365/1000,0))</f>
        <v>456.172843601918</v>
      </c>
      <c r="AE316" s="159" t="n">
        <f aca="false">IF($B316=" ",0,AE$25*(1+AE$30)^(IF(AE$28&gt;$B316,-1,1)*(YEARFRAC($B316,AE$28))))</f>
        <v>0.533639805728211</v>
      </c>
      <c r="AF316" s="159" t="n">
        <f aca="false">IF($B316=" ",0,AF$25*(1+AF$30)^(IF(AF$28&gt;$B316,-1,1)*(YEARFRAC($B316,AF$28))))</f>
        <v>0.191468752093981</v>
      </c>
      <c r="AG316" s="162" t="n">
        <f aca="false">+AC316+AD316+AF316*SUM($K316*$K$37,$M316*$M$37,$O316*$O$37)/1000</f>
        <v>2997.75287448831</v>
      </c>
      <c r="AI316" s="158" t="n">
        <f aca="false">IF($B316=" ",0,1)*IF($B316&gt;=AI$33,AI$25*($D316-$D315),0)</f>
        <v>485.186570908347</v>
      </c>
      <c r="AJ316" s="158" t="n">
        <f aca="false">IF($B316=" ",0,IF($B316&gt;=AJ$33,AJ$25*(1+AJ$30)^(IF(AJ$28&gt;$B316,-1,1)*(YEARFRAC($B316,AJ$28)))*($D316-$D315),0))</f>
        <v>615.242311920098</v>
      </c>
      <c r="AK316" s="159" t="n">
        <f aca="false">IF($B316=" ",0,AK$25*(1+AK$30)^(IF(AK$28&gt;$B316,-1,1)*(YEARFRAC($B316,AK$28))))</f>
        <v>0.0351619435376075</v>
      </c>
      <c r="AL316" s="159" t="n">
        <f aca="false">IF($B316=" ",0,AL$25*AL$28)</f>
        <v>0.0575</v>
      </c>
      <c r="AM316" s="162" t="n">
        <f aca="false">+AI316+AJ316+SUM(AK316:AL316)*SUM($J316*$J$37,$K316*$K$37,$L316*$L$37,$M316*$M$37,$N316*$N$37,$O316*$O$37)/1000</f>
        <v>1560.14263537715</v>
      </c>
      <c r="AO316" s="163" t="n">
        <f aca="false">IF($B316=" ",0,$AO$25)</f>
        <v>0.25</v>
      </c>
      <c r="AP316" s="159" t="n">
        <f aca="false">IF($B316=" ",0,AP$25*AP$28)</f>
        <v>0.03105</v>
      </c>
      <c r="AQ316" s="162" t="n">
        <f aca="false">SUM(AO316:AP316)*SUM(0)/1000</f>
        <v>0</v>
      </c>
      <c r="AS316" s="155" t="n">
        <f aca="false">IF($B316=" ",0,AS$25)</f>
        <v>1</v>
      </c>
      <c r="AT316" s="156" t="n">
        <f aca="false">IF($B316=" ",0,AT$25)</f>
        <v>1</v>
      </c>
      <c r="AU316" s="156" t="n">
        <f aca="false">IF($B316=" ",0,AU$25)</f>
        <v>2.3</v>
      </c>
      <c r="AV316" s="157" t="n">
        <f aca="false">+AS316*SUM(J316:K316)/1000</f>
        <v>0</v>
      </c>
      <c r="AW316" s="157" t="n">
        <f aca="false">+AT316*SUM(L316:M316)/1000</f>
        <v>0</v>
      </c>
      <c r="AX316" s="157" t="n">
        <f aca="false">+AU316*SUM(N316:O316)/1000</f>
        <v>11537.9859375</v>
      </c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</row>
    <row r="317" customFormat="false" ht="12.75" hidden="true" customHeight="false" outlineLevel="1" collapsed="false">
      <c r="A317" s="164" t="n">
        <f aca="false">+IF(B317=" ",A316,B317)</f>
        <v>44927</v>
      </c>
      <c r="B317" s="148" t="n">
        <f aca="false">IF(B316=" "," ",IF(EDATE(B316,1)&gt;=EndDate," ",EDATE(B316,1)))</f>
        <v>44927</v>
      </c>
      <c r="C317" s="149" t="n">
        <f aca="false">IF($B317&lt;&gt;" ",C316+1,C316)</f>
        <v>267</v>
      </c>
      <c r="D317" s="150" t="n">
        <f aca="false">C317/12</f>
        <v>22.25</v>
      </c>
      <c r="F317" s="157" t="n">
        <f aca="false">+SUM($T317:$U317)</f>
        <v>14883.5779284771</v>
      </c>
      <c r="G317" s="152" t="n">
        <f aca="false">-SUM($AA317,$AG317,$AM317,$AQ317,$AV317:$AX317)</f>
        <v>-17098.4383574097</v>
      </c>
      <c r="H317" s="152" t="n">
        <f aca="false">+SUM(F317:G317)</f>
        <v>-2214.86042893259</v>
      </c>
      <c r="I317" s="124"/>
      <c r="J317" s="153" t="n">
        <f aca="false">+IF($B317=" ",0,IF(AND($B317&gt;=J$26,$B317&lt;J$28),J$33,0))</f>
        <v>0</v>
      </c>
      <c r="K317" s="153" t="n">
        <f aca="false">+IF($B317=" ",0,IF(AND($B317&gt;=K$26,$B317&lt;K$28),K$33,0))</f>
        <v>0</v>
      </c>
      <c r="L317" s="153" t="n">
        <f aca="false">+IF($B317=" ",0,IF(AND($B317&gt;=L$26,$B317&lt;L$28),L$33,0))</f>
        <v>0</v>
      </c>
      <c r="M317" s="153" t="n">
        <f aca="false">+IF($B317=" ",0,IF(AND($B317&gt;=M$26,$B317&lt;M$28),M$33,0))</f>
        <v>0</v>
      </c>
      <c r="N317" s="153" t="n">
        <f aca="false">+IF($B317=" ",0,IF(AND($B317&gt;=N$26,$B317&lt;N$28),N$33,0))</f>
        <v>0</v>
      </c>
      <c r="O317" s="154" t="n">
        <f aca="false">+IF($B317=" ",0,IF(AND($B317&gt;=O$26,$B317&lt;O$28),O$33,0))</f>
        <v>5016515.625</v>
      </c>
      <c r="Q317" s="83" t="n">
        <f aca="false">IF($B317=" ",0,IF($B317&lt;=DATE(2003,12,31),3.55,2.9))</f>
        <v>2.9</v>
      </c>
      <c r="R317" s="155" t="n">
        <f aca="false">IF($B317=" ",0,R$25)</f>
        <v>-0.07</v>
      </c>
      <c r="S317" s="156" t="n">
        <f aca="false">IF($B317=" ",0,S$25)</f>
        <v>0.1</v>
      </c>
      <c r="T317" s="157" t="n">
        <f aca="false">+SUM($Q317,$S317)/1000*(SUM($J317*$J$37,$K317*$K$37,$L317*$L$37,$M317*$M$37,$N317*$N$37,$O317*$O$37))</f>
        <v>14883.5779284771</v>
      </c>
      <c r="U317" s="157" t="n">
        <f aca="false">+SUM($Q317,$R317)/1000*(SUM(0))</f>
        <v>0</v>
      </c>
      <c r="W317" s="158" t="n">
        <f aca="false">IF($B317=" ",0,1)*(IF($B317&gt;=W$25,1,0)*IF($B317&lt;=W$29,W$27,IF($B317&lt;=W$33,W$31,0))*($D317-$D316)*365/1000)</f>
        <v>486.66666666666</v>
      </c>
      <c r="X317" s="158" t="n">
        <f aca="false">IF($B317=" ",0,IF($B317&gt;=X$25,IF($B317&lt;=X$29,X$27,IF($B317&lt;=X$33,X$31,X$31*(1+X$38)^(IF(X$36&gt;$B317,-1,1)*(YEARFRAC($B317,X$36)))))*($D317-$D316)*365/1000,0))</f>
        <v>513.13419122277</v>
      </c>
      <c r="Y317" s="159" t="n">
        <f aca="false">IF($B317=" ",0,Y$25*(1+Y$30)^(IF(Y$28&gt;$B317,-1,1)*(YEARFRAC($B317,Y$28))))</f>
        <v>0.644995510191812</v>
      </c>
      <c r="Z317" s="159" t="n">
        <f aca="false">IF($B317=" ",0,Z$25*(1+Z$30)^(IF(Z$28&gt;$B317,-1,1)*(YEARFRAC($B317,Z$28))))</f>
        <v>0.615731381826292</v>
      </c>
      <c r="AA317" s="162" t="n">
        <f aca="false">+W317+X317+Z317*SUM($J317*$J$37,$L317*$L$37,$N317*$N$37)/1000</f>
        <v>999.80085788943</v>
      </c>
      <c r="AB317" s="161"/>
      <c r="AC317" s="158" t="n">
        <f aca="false">IF($B317=" ",0,1)*(IF($B317&gt;=AC$25,1,0)*IF($B317&lt;=AC$29,AC$27,IF($B317&lt;=AC$33,AC$31,0))*($D317-$D316)*365/1000)</f>
        <v>1591.66666666664</v>
      </c>
      <c r="AD317" s="158" t="n">
        <f aca="false">IF($B317=" ",0,IF($B317&gt;=AD$25,IF($B317&lt;=AD$29,AD$27,IF($B317&lt;=AD$33,AD$31,AD$31*(1+AD$38)^(IF(AD$36&gt;$B317,-1,1)*(YEARFRAC($B317,AD$36)))))*($D317-$D316)*365/1000,0))</f>
        <v>456.801628115679</v>
      </c>
      <c r="AE317" s="159" t="n">
        <f aca="false">IF($B317=" ",0,AE$25*(1+AE$30)^(IF(AE$28&gt;$B317,-1,1)*(YEARFRAC($B317,AE$28))))</f>
        <v>0.53437537000058</v>
      </c>
      <c r="AF317" s="159" t="n">
        <f aca="false">IF($B317=" ",0,AF$25*(1+AF$30)^(IF(AF$28&gt;$B317,-1,1)*(YEARFRAC($B317,AF$28))))</f>
        <v>0.191732670886776</v>
      </c>
      <c r="AG317" s="162" t="n">
        <f aca="false">+AC317+AD317+AF317*SUM($K317*$K$37,$M317*$M$37,$O317*$O$37)/1000</f>
        <v>2999.69101097512</v>
      </c>
      <c r="AI317" s="158" t="n">
        <f aca="false">IF($B317=" ",0,1)*IF($B317&gt;=AI$33,AI$25*($D317-$D316),0)</f>
        <v>485.186570908327</v>
      </c>
      <c r="AJ317" s="158" t="n">
        <f aca="false">IF($B317=" ",0,IF($B317&gt;=AJ$33,AJ$25*(1+AJ$30)^(IF(AJ$28&gt;$B317,-1,1)*(YEARFRAC($B317,AJ$28)))*($D317-$D316),0))</f>
        <v>615.879546692717</v>
      </c>
      <c r="AK317" s="159" t="n">
        <f aca="false">IF($B317=" ",0,AK$25*(1+AK$30)^(IF(AK$28&gt;$B317,-1,1)*(YEARFRAC($B317,AK$28))))</f>
        <v>0.0351983623804956</v>
      </c>
      <c r="AL317" s="159" t="n">
        <f aca="false">IF($B317=" ",0,AL$25*AL$28)</f>
        <v>0.0575</v>
      </c>
      <c r="AM317" s="162" t="n">
        <f aca="false">+AI317+AJ317+SUM(AK317:AL317)*SUM($J317*$J$37,$K317*$K$37,$L317*$L$37,$M317*$M$37,$N317*$N$37,$O317*$O$37)/1000</f>
        <v>1560.96055104515</v>
      </c>
      <c r="AO317" s="163" t="n">
        <f aca="false">IF($B317=" ",0,$AO$25)</f>
        <v>0.25</v>
      </c>
      <c r="AP317" s="159" t="n">
        <f aca="false">IF($B317=" ",0,AP$25*AP$28)</f>
        <v>0.03105</v>
      </c>
      <c r="AQ317" s="162" t="n">
        <f aca="false">SUM(AO317:AP317)*SUM(0)/1000</f>
        <v>0</v>
      </c>
      <c r="AS317" s="155" t="n">
        <f aca="false">IF($B317=" ",0,AS$25)</f>
        <v>1</v>
      </c>
      <c r="AT317" s="156" t="n">
        <f aca="false">IF($B317=" ",0,AT$25)</f>
        <v>1</v>
      </c>
      <c r="AU317" s="156" t="n">
        <f aca="false">IF($B317=" ",0,AU$25)</f>
        <v>2.3</v>
      </c>
      <c r="AV317" s="157" t="n">
        <f aca="false">+AS317*SUM(J317:K317)/1000</f>
        <v>0</v>
      </c>
      <c r="AW317" s="157" t="n">
        <f aca="false">+AT317*SUM(L317:M317)/1000</f>
        <v>0</v>
      </c>
      <c r="AX317" s="157" t="n">
        <f aca="false">+AU317*SUM(N317:O317)/1000</f>
        <v>11537.9859375</v>
      </c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</row>
    <row r="318" customFormat="false" ht="12.75" hidden="true" customHeight="false" outlineLevel="1" collapsed="false">
      <c r="A318" s="164" t="n">
        <f aca="false">+IF(B318=" ",A317,B318)</f>
        <v>44958</v>
      </c>
      <c r="B318" s="148" t="n">
        <f aca="false">IF(B317=" "," ",IF(EDATE(B317,1)&gt;=EndDate," ",EDATE(B317,1)))</f>
        <v>44958</v>
      </c>
      <c r="C318" s="149" t="n">
        <f aca="false">IF($B318&lt;&gt;" ",C317+1,C317)</f>
        <v>268</v>
      </c>
      <c r="D318" s="150" t="n">
        <f aca="false">C318/12</f>
        <v>22.3333333333333</v>
      </c>
      <c r="F318" s="157" t="n">
        <f aca="false">+SUM($T318:$U318)</f>
        <v>14883.5779284771</v>
      </c>
      <c r="G318" s="152" t="n">
        <f aca="false">-SUM($AA318,$AG318,$AM318,$AQ318,$AV318:$AX318)</f>
        <v>-17101.9052277465</v>
      </c>
      <c r="H318" s="152" t="n">
        <f aca="false">+SUM(F318:G318)</f>
        <v>-2218.32729926935</v>
      </c>
      <c r="I318" s="124"/>
      <c r="J318" s="153" t="n">
        <f aca="false">+IF($B318=" ",0,IF(AND($B318&gt;=J$26,$B318&lt;J$28),J$33,0))</f>
        <v>0</v>
      </c>
      <c r="K318" s="153" t="n">
        <f aca="false">+IF($B318=" ",0,IF(AND($B318&gt;=K$26,$B318&lt;K$28),K$33,0))</f>
        <v>0</v>
      </c>
      <c r="L318" s="153" t="n">
        <f aca="false">+IF($B318=" ",0,IF(AND($B318&gt;=L$26,$B318&lt;L$28),L$33,0))</f>
        <v>0</v>
      </c>
      <c r="M318" s="153" t="n">
        <f aca="false">+IF($B318=" ",0,IF(AND($B318&gt;=M$26,$B318&lt;M$28),M$33,0))</f>
        <v>0</v>
      </c>
      <c r="N318" s="153" t="n">
        <f aca="false">+IF($B318=" ",0,IF(AND($B318&gt;=N$26,$B318&lt;N$28),N$33,0))</f>
        <v>0</v>
      </c>
      <c r="O318" s="154" t="n">
        <f aca="false">+IF($B318=" ",0,IF(AND($B318&gt;=O$26,$B318&lt;O$28),O$33,0))</f>
        <v>5016515.625</v>
      </c>
      <c r="Q318" s="83" t="n">
        <f aca="false">IF($B318=" ",0,IF($B318&lt;=DATE(2003,12,31),3.55,2.9))</f>
        <v>2.9</v>
      </c>
      <c r="R318" s="155" t="n">
        <f aca="false">IF($B318=" ",0,R$25)</f>
        <v>-0.07</v>
      </c>
      <c r="S318" s="156" t="n">
        <f aca="false">IF($B318=" ",0,S$25)</f>
        <v>0.1</v>
      </c>
      <c r="T318" s="157" t="n">
        <f aca="false">+SUM($Q318,$S318)/1000*(SUM($J318*$J$37,$K318*$K$37,$L318*$L$37,$M318*$M$37,$N318*$N$37,$O318*$O$37))</f>
        <v>14883.5779284771</v>
      </c>
      <c r="U318" s="157" t="n">
        <f aca="false">+SUM($Q318,$R318)/1000*(SUM(0))</f>
        <v>0</v>
      </c>
      <c r="W318" s="158" t="n">
        <f aca="false">IF($B318=" ",0,1)*(IF($B318&gt;=W$25,1,0)*IF($B318&lt;=W$29,W$27,IF($B318&lt;=W$33,W$31,0))*($D318-$D317)*365/1000)</f>
        <v>486.66666666666</v>
      </c>
      <c r="X318" s="158" t="n">
        <f aca="false">IF($B318=" ",0,IF($B318&gt;=X$25,IF($B318&lt;=X$29,X$27,IF($B318&lt;=X$33,X$31,X$31*(1+X$38)^(IF(X$36&gt;$B318,-1,1)*(YEARFRAC($B318,X$36)))))*($D318-$D317)*365/1000,0))</f>
        <v>513.841490741927</v>
      </c>
      <c r="Y318" s="159" t="n">
        <f aca="false">IF($B318=" ",0,Y$25*(1+Y$30)^(IF(Y$28&gt;$B318,-1,1)*(YEARFRAC($B318,Y$28))))</f>
        <v>0.645884566158108</v>
      </c>
      <c r="Z318" s="159" t="n">
        <f aca="false">IF($B318=" ",0,Z$25*(1+Z$30)^(IF(Z$28&gt;$B318,-1,1)*(YEARFRAC($B318,Z$28))))</f>
        <v>0.616580100383241</v>
      </c>
      <c r="AA318" s="162" t="n">
        <f aca="false">+W318+X318+Z318*SUM($J318*$J$37,$L318*$L$37,$N318*$N$37)/1000</f>
        <v>1000.50815740859</v>
      </c>
      <c r="AB318" s="161"/>
      <c r="AC318" s="158" t="n">
        <f aca="false">IF($B318=" ",0,1)*(IF($B318&gt;=AC$25,1,0)*IF($B318&lt;=AC$29,AC$27,IF($B318&lt;=AC$33,AC$31,0))*($D318-$D317)*365/1000)</f>
        <v>1591.66666666664</v>
      </c>
      <c r="AD318" s="158" t="n">
        <f aca="false">IF($B318=" ",0,IF($B318&gt;=AD$25,IF($B318&lt;=AD$29,AD$27,IF($B318&lt;=AD$33,AD$31,AD$31*(1+AD$38)^(IF(AD$36&gt;$B318,-1,1)*(YEARFRAC($B318,AD$36)))))*($D318-$D317)*365/1000,0))</f>
        <v>457.431279340335</v>
      </c>
      <c r="AE318" s="159" t="n">
        <f aca="false">IF($B318=" ",0,AE$25*(1+AE$30)^(IF(AE$28&gt;$B318,-1,1)*(YEARFRAC($B318,AE$28))))</f>
        <v>0.535111948168076</v>
      </c>
      <c r="AF318" s="159" t="n">
        <f aca="false">IF($B318=" ",0,AF$25*(1+AF$30)^(IF(AF$28&gt;$B318,-1,1)*(YEARFRAC($B318,AF$28))))</f>
        <v>0.191996953462844</v>
      </c>
      <c r="AG318" s="162" t="n">
        <f aca="false">+AC318+AD318+AF318*SUM($K318*$K$37,$M318*$M$37,$O318*$O$37)/1000</f>
        <v>3001.63181897179</v>
      </c>
      <c r="AI318" s="158" t="n">
        <f aca="false">IF($B318=" ",0,1)*IF($B318&gt;=AI$33,AI$25*($D318-$D317),0)</f>
        <v>485.186570908327</v>
      </c>
      <c r="AJ318" s="158" t="n">
        <f aca="false">IF($B318=" ",0,IF($B318&gt;=AJ$33,AJ$25*(1+AJ$30)^(IF(AJ$28&gt;$B318,-1,1)*(YEARFRAC($B318,AJ$28)))*($D318-$D317),0))</f>
        <v>616.517441478738</v>
      </c>
      <c r="AK318" s="159" t="n">
        <f aca="false">IF($B318=" ",0,AK$25*(1+AK$30)^(IF(AK$28&gt;$B318,-1,1)*(YEARFRAC($B318,AK$28))))</f>
        <v>0.0352348189440551</v>
      </c>
      <c r="AL318" s="159" t="n">
        <f aca="false">IF($B318=" ",0,AL$25*AL$28)</f>
        <v>0.0575</v>
      </c>
      <c r="AM318" s="162" t="n">
        <f aca="false">+AI318+AJ318+SUM(AK318:AL318)*SUM($J318*$J$37,$K318*$K$37,$L318*$L$37,$M318*$M$37,$N318*$N$37,$O318*$O$37)/1000</f>
        <v>1561.77931386608</v>
      </c>
      <c r="AO318" s="163" t="n">
        <f aca="false">IF($B318=" ",0,$AO$25)</f>
        <v>0.25</v>
      </c>
      <c r="AP318" s="159" t="n">
        <f aca="false">IF($B318=" ",0,AP$25*AP$28)</f>
        <v>0.03105</v>
      </c>
      <c r="AQ318" s="162" t="n">
        <f aca="false">SUM(AO318:AP318)*SUM(0)/1000</f>
        <v>0</v>
      </c>
      <c r="AS318" s="155" t="n">
        <f aca="false">IF($B318=" ",0,AS$25)</f>
        <v>1</v>
      </c>
      <c r="AT318" s="156" t="n">
        <f aca="false">IF($B318=" ",0,AT$25)</f>
        <v>1</v>
      </c>
      <c r="AU318" s="156" t="n">
        <f aca="false">IF($B318=" ",0,AU$25)</f>
        <v>2.3</v>
      </c>
      <c r="AV318" s="157" t="n">
        <f aca="false">+AS318*SUM(J318:K318)/1000</f>
        <v>0</v>
      </c>
      <c r="AW318" s="157" t="n">
        <f aca="false">+AT318*SUM(L318:M318)/1000</f>
        <v>0</v>
      </c>
      <c r="AX318" s="157" t="n">
        <f aca="false">+AU318*SUM(N318:O318)/1000</f>
        <v>11537.9859375</v>
      </c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</row>
    <row r="319" customFormat="false" ht="12.75" hidden="true" customHeight="false" outlineLevel="1" collapsed="false">
      <c r="A319" s="164" t="n">
        <f aca="false">+IF(B319=" ",A318,B319)</f>
        <v>44986</v>
      </c>
      <c r="B319" s="148" t="n">
        <f aca="false">IF(B318=" "," ",IF(EDATE(B318,1)&gt;=EndDate," ",EDATE(B318,1)))</f>
        <v>44986</v>
      </c>
      <c r="C319" s="149" t="n">
        <f aca="false">IF($B319&lt;&gt;" ",C318+1,C318)</f>
        <v>269</v>
      </c>
      <c r="D319" s="150" t="n">
        <f aca="false">C319/12</f>
        <v>22.4166666666667</v>
      </c>
      <c r="F319" s="157" t="n">
        <f aca="false">+SUM($T319:$U319)</f>
        <v>14883.5779284771</v>
      </c>
      <c r="G319" s="152" t="n">
        <f aca="false">-SUM($AA319,$AG319,$AM319,$AQ319,$AV319:$AX319)</f>
        <v>-17105.3765962411</v>
      </c>
      <c r="H319" s="152" t="n">
        <f aca="false">+SUM(F319:G319)</f>
        <v>-2221.79866776402</v>
      </c>
      <c r="I319" s="124"/>
      <c r="J319" s="153" t="n">
        <f aca="false">+IF($B319=" ",0,IF(AND($B319&gt;=J$26,$B319&lt;J$28),J$33,0))</f>
        <v>0</v>
      </c>
      <c r="K319" s="153" t="n">
        <f aca="false">+IF($B319=" ",0,IF(AND($B319&gt;=K$26,$B319&lt;K$28),K$33,0))</f>
        <v>0</v>
      </c>
      <c r="L319" s="153" t="n">
        <f aca="false">+IF($B319=" ",0,IF(AND($B319&gt;=L$26,$B319&lt;L$28),L$33,0))</f>
        <v>0</v>
      </c>
      <c r="M319" s="153" t="n">
        <f aca="false">+IF($B319=" ",0,IF(AND($B319&gt;=M$26,$B319&lt;M$28),M$33,0))</f>
        <v>0</v>
      </c>
      <c r="N319" s="153" t="n">
        <f aca="false">+IF($B319=" ",0,IF(AND($B319&gt;=N$26,$B319&lt;N$28),N$33,0))</f>
        <v>0</v>
      </c>
      <c r="O319" s="154" t="n">
        <f aca="false">+IF($B319=" ",0,IF(AND($B319&gt;=O$26,$B319&lt;O$28),O$33,0))</f>
        <v>5016515.625</v>
      </c>
      <c r="Q319" s="83" t="n">
        <f aca="false">IF($B319=" ",0,IF($B319&lt;=DATE(2003,12,31),3.55,2.9))</f>
        <v>2.9</v>
      </c>
      <c r="R319" s="155" t="n">
        <f aca="false">IF($B319=" ",0,R$25)</f>
        <v>-0.07</v>
      </c>
      <c r="S319" s="156" t="n">
        <f aca="false">IF($B319=" ",0,S$25)</f>
        <v>0.1</v>
      </c>
      <c r="T319" s="157" t="n">
        <f aca="false">+SUM($Q319,$S319)/1000*(SUM($J319*$J$37,$K319*$K$37,$L319*$L$37,$M319*$M$37,$N319*$N$37,$O319*$O$37))</f>
        <v>14883.5779284771</v>
      </c>
      <c r="U319" s="157" t="n">
        <f aca="false">+SUM($Q319,$R319)/1000*(SUM(0))</f>
        <v>0</v>
      </c>
      <c r="W319" s="158" t="n">
        <f aca="false">IF($B319=" ",0,1)*(IF($B319&gt;=W$25,1,0)*IF($B319&lt;=W$29,W$27,IF($B319&lt;=W$33,W$31,0))*($D319-$D318)*365/1000)</f>
        <v>486.666666666681</v>
      </c>
      <c r="X319" s="158" t="n">
        <f aca="false">IF($B319=" ",0,IF($B319&gt;=X$25,IF($B319&lt;=X$29,X$27,IF($B319&lt;=X$33,X$31,X$31*(1+X$38)^(IF(X$36&gt;$B319,-1,1)*(YEARFRAC($B319,X$36)))))*($D319-$D318)*365/1000,0))</f>
        <v>514.549765196353</v>
      </c>
      <c r="Y319" s="159" t="n">
        <f aca="false">IF($B319=" ",0,Y$25*(1+Y$30)^(IF(Y$28&gt;$B319,-1,1)*(YEARFRAC($B319,Y$28))))</f>
        <v>0.646774847591091</v>
      </c>
      <c r="Z319" s="159" t="n">
        <f aca="false">IF($B319=" ",0,Z$25*(1+Z$30)^(IF(Z$28&gt;$B319,-1,1)*(YEARFRAC($B319,Z$28))))</f>
        <v>0.617429988806157</v>
      </c>
      <c r="AA319" s="162" t="n">
        <f aca="false">+W319+X319+Z319*SUM($J319*$J$37,$L319*$L$37,$N319*$N$37)/1000</f>
        <v>1001.21643186303</v>
      </c>
      <c r="AB319" s="161"/>
      <c r="AC319" s="158" t="n">
        <f aca="false">IF($B319=" ",0,1)*(IF($B319&gt;=AC$25,1,0)*IF($B319&lt;=AC$29,AC$27,IF($B319&lt;=AC$33,AC$31,0))*($D319-$D318)*365/1000)</f>
        <v>1591.66666666671</v>
      </c>
      <c r="AD319" s="158" t="n">
        <f aca="false">IF($B319=" ",0,IF($B319&gt;=AD$25,IF($B319&lt;=AD$29,AD$27,IF($B319&lt;=AD$33,AD$31,AD$31*(1+AD$38)^(IF(AD$36&gt;$B319,-1,1)*(YEARFRAC($B319,AD$36)))))*($D319-$D318)*365/1000,0))</f>
        <v>458.061798470553</v>
      </c>
      <c r="AE319" s="159" t="n">
        <f aca="false">IF($B319=" ",0,AE$25*(1+AE$30)^(IF(AE$28&gt;$B319,-1,1)*(YEARFRAC($B319,AE$28))))</f>
        <v>0.535849541628244</v>
      </c>
      <c r="AF319" s="159" t="n">
        <f aca="false">IF($B319=" ",0,AF$25*(1+AF$30)^(IF(AF$28&gt;$B319,-1,1)*(YEARFRAC($B319,AF$28))))</f>
        <v>0.19226160032362</v>
      </c>
      <c r="AG319" s="162" t="n">
        <f aca="false">+AC319+AD319+AF319*SUM($K319*$K$37,$M319*$M$37,$O319*$O$37)/1000</f>
        <v>3003.5753021607</v>
      </c>
      <c r="AI319" s="158" t="n">
        <f aca="false">IF($B319=" ",0,1)*IF($B319&gt;=AI$33,AI$25*($D319-$D318),0)</f>
        <v>485.186570908347</v>
      </c>
      <c r="AJ319" s="158" t="n">
        <f aca="false">IF($B319=" ",0,IF($B319&gt;=AJ$33,AJ$25*(1+AJ$30)^(IF(AJ$28&gt;$B319,-1,1)*(YEARFRAC($B319,AJ$28)))*($D319-$D318),0))</f>
        <v>617.155996961768</v>
      </c>
      <c r="AK319" s="159" t="n">
        <f aca="false">IF($B319=" ",0,AK$25*(1+AK$30)^(IF(AK$28&gt;$B319,-1,1)*(YEARFRAC($B319,AK$28))))</f>
        <v>0.035271313267355</v>
      </c>
      <c r="AL319" s="159" t="n">
        <f aca="false">IF($B319=" ",0,AL$25*AL$28)</f>
        <v>0.0575</v>
      </c>
      <c r="AM319" s="162" t="n">
        <f aca="false">+AI319+AJ319+SUM(AK319:AL319)*SUM($J319*$J$37,$K319*$K$37,$L319*$L$37,$M319*$M$37,$N319*$N$37,$O319*$O$37)/1000</f>
        <v>1562.5989247174</v>
      </c>
      <c r="AO319" s="163" t="n">
        <f aca="false">IF($B319=" ",0,$AO$25)</f>
        <v>0.25</v>
      </c>
      <c r="AP319" s="159" t="n">
        <f aca="false">IF($B319=" ",0,AP$25*AP$28)</f>
        <v>0.03105</v>
      </c>
      <c r="AQ319" s="162" t="n">
        <f aca="false">SUM(AO319:AP319)*SUM(0)/1000</f>
        <v>0</v>
      </c>
      <c r="AS319" s="155" t="n">
        <f aca="false">IF($B319=" ",0,AS$25)</f>
        <v>1</v>
      </c>
      <c r="AT319" s="156" t="n">
        <f aca="false">IF($B319=" ",0,AT$25)</f>
        <v>1</v>
      </c>
      <c r="AU319" s="156" t="n">
        <f aca="false">IF($B319=" ",0,AU$25)</f>
        <v>2.3</v>
      </c>
      <c r="AV319" s="157" t="n">
        <f aca="false">+AS319*SUM(J319:K319)/1000</f>
        <v>0</v>
      </c>
      <c r="AW319" s="157" t="n">
        <f aca="false">+AT319*SUM(L319:M319)/1000</f>
        <v>0</v>
      </c>
      <c r="AX319" s="157" t="n">
        <f aca="false">+AU319*SUM(N319:O319)/1000</f>
        <v>11537.9859375</v>
      </c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</row>
    <row r="320" customFormat="false" ht="12.75" hidden="true" customHeight="false" outlineLevel="1" collapsed="false">
      <c r="A320" s="164" t="n">
        <f aca="false">+IF(B320=" ",A319,B320)</f>
        <v>45017</v>
      </c>
      <c r="B320" s="148" t="n">
        <f aca="false">IF(B319=" "," ",IF(EDATE(B319,1)&gt;=EndDate," ",EDATE(B319,1)))</f>
        <v>45017</v>
      </c>
      <c r="C320" s="149" t="n">
        <f aca="false">IF($B320&lt;&gt;" ",C319+1,C319)</f>
        <v>270</v>
      </c>
      <c r="D320" s="150" t="n">
        <f aca="false">C320/12</f>
        <v>22.5</v>
      </c>
      <c r="F320" s="157" t="n">
        <f aca="false">+SUM($T320:$U320)</f>
        <v>14883.5779284771</v>
      </c>
      <c r="G320" s="152" t="n">
        <f aca="false">-SUM($AA320,$AG320,$AM320,$AQ320,$AV320:$AX320)</f>
        <v>-17108.8524688028</v>
      </c>
      <c r="H320" s="152" t="n">
        <f aca="false">+SUM(F320:G320)</f>
        <v>-2225.27454032572</v>
      </c>
      <c r="I320" s="124"/>
      <c r="J320" s="153" t="n">
        <f aca="false">+IF($B320=" ",0,IF(AND($B320&gt;=J$26,$B320&lt;J$28),J$33,0))</f>
        <v>0</v>
      </c>
      <c r="K320" s="153" t="n">
        <f aca="false">+IF($B320=" ",0,IF(AND($B320&gt;=K$26,$B320&lt;K$28),K$33,0))</f>
        <v>0</v>
      </c>
      <c r="L320" s="153" t="n">
        <f aca="false">+IF($B320=" ",0,IF(AND($B320&gt;=L$26,$B320&lt;L$28),L$33,0))</f>
        <v>0</v>
      </c>
      <c r="M320" s="153" t="n">
        <f aca="false">+IF($B320=" ",0,IF(AND($B320&gt;=M$26,$B320&lt;M$28),M$33,0))</f>
        <v>0</v>
      </c>
      <c r="N320" s="153" t="n">
        <f aca="false">+IF($B320=" ",0,IF(AND($B320&gt;=N$26,$B320&lt;N$28),N$33,0))</f>
        <v>0</v>
      </c>
      <c r="O320" s="154" t="n">
        <f aca="false">+IF($B320=" ",0,IF(AND($B320&gt;=O$26,$B320&lt;O$28),O$33,0))</f>
        <v>5016515.625</v>
      </c>
      <c r="Q320" s="83" t="n">
        <f aca="false">IF($B320=" ",0,IF($B320&lt;=DATE(2003,12,31),3.55,2.9))</f>
        <v>2.9</v>
      </c>
      <c r="R320" s="155" t="n">
        <f aca="false">IF($B320=" ",0,R$25)</f>
        <v>-0.07</v>
      </c>
      <c r="S320" s="156" t="n">
        <f aca="false">IF($B320=" ",0,S$25)</f>
        <v>0.1</v>
      </c>
      <c r="T320" s="157" t="n">
        <f aca="false">+SUM($Q320,$S320)/1000*(SUM($J320*$J$37,$K320*$K$37,$L320*$L$37,$M320*$M$37,$N320*$N$37,$O320*$O$37))</f>
        <v>14883.5779284771</v>
      </c>
      <c r="U320" s="157" t="n">
        <f aca="false">+SUM($Q320,$R320)/1000*(SUM(0))</f>
        <v>0</v>
      </c>
      <c r="W320" s="158" t="n">
        <f aca="false">IF($B320=" ",0,1)*(IF($B320&gt;=W$25,1,0)*IF($B320&lt;=W$29,W$27,IF($B320&lt;=W$33,W$31,0))*($D320-$D319)*365/1000)</f>
        <v>486.66666666666</v>
      </c>
      <c r="X320" s="158" t="n">
        <f aca="false">IF($B320=" ",0,IF($B320&gt;=X$25,IF($B320&lt;=X$29,X$27,IF($B320&lt;=X$33,X$31,X$31*(1+X$38)^(IF(X$36&gt;$B320,-1,1)*(YEARFRAC($B320,X$36)))))*($D320-$D319)*365/1000,0))</f>
        <v>515.259015929825</v>
      </c>
      <c r="Y320" s="159" t="n">
        <f aca="false">IF($B320=" ",0,Y$25*(1+Y$30)^(IF(Y$28&gt;$B320,-1,1)*(YEARFRAC($B320,Y$28))))</f>
        <v>0.647666356179933</v>
      </c>
      <c r="Z320" s="159" t="n">
        <f aca="false">IF($B320=" ",0,Z$25*(1+Z$30)^(IF(Z$28&gt;$B320,-1,1)*(YEARFRAC($B320,Z$28))))</f>
        <v>0.618281048707573</v>
      </c>
      <c r="AA320" s="162" t="n">
        <f aca="false">+W320+X320+Z320*SUM($J320*$J$37,$L320*$L$37,$N320*$N$37)/1000</f>
        <v>1001.92568259649</v>
      </c>
      <c r="AB320" s="161"/>
      <c r="AC320" s="158" t="n">
        <f aca="false">IF($B320=" ",0,1)*(IF($B320&gt;=AC$25,1,0)*IF($B320&lt;=AC$29,AC$27,IF($B320&lt;=AC$33,AC$31,0))*($D320-$D319)*365/1000)</f>
        <v>1591.66666666664</v>
      </c>
      <c r="AD320" s="158" t="n">
        <f aca="false">IF($B320=" ",0,IF($B320&gt;=AD$25,IF($B320&lt;=AD$29,AD$27,IF($B320&lt;=AD$33,AD$31,AD$31*(1+AD$38)^(IF(AD$36&gt;$B320,-1,1)*(YEARFRAC($B320,AD$36)))))*($D320-$D319)*365/1000,0))</f>
        <v>458.693186702586</v>
      </c>
      <c r="AE320" s="159" t="n">
        <f aca="false">IF($B320=" ",0,AE$25*(1+AE$30)^(IF(AE$28&gt;$B320,-1,1)*(YEARFRAC($B320,AE$28))))</f>
        <v>0.536588151780553</v>
      </c>
      <c r="AF320" s="159" t="n">
        <f aca="false">IF($B320=" ",0,AF$25*(1+AF$30)^(IF(AF$28&gt;$B320,-1,1)*(YEARFRAC($B320,AF$28))))</f>
        <v>0.192526611971231</v>
      </c>
      <c r="AG320" s="162" t="n">
        <f aca="false">+AC320+AD320+AF320*SUM($K320*$K$37,$M320*$M$37,$O320*$O$37)/1000</f>
        <v>3005.52146422906</v>
      </c>
      <c r="AI320" s="158" t="n">
        <f aca="false">IF($B320=" ",0,1)*IF($B320&gt;=AI$33,AI$25*($D320-$D319),0)</f>
        <v>485.186570908327</v>
      </c>
      <c r="AJ320" s="158" t="n">
        <f aca="false">IF($B320=" ",0,IF($B320&gt;=AJ$33,AJ$25*(1+AJ$30)^(IF(AJ$28&gt;$B320,-1,1)*(YEARFRAC($B320,AJ$28)))*($D320-$D319),0))</f>
        <v>617.795213826042</v>
      </c>
      <c r="AK320" s="159" t="n">
        <f aca="false">IF($B320=" ",0,AK$25*(1+AK$30)^(IF(AK$28&gt;$B320,-1,1)*(YEARFRAC($B320,AK$28))))</f>
        <v>0.0353078453895049</v>
      </c>
      <c r="AL320" s="159" t="n">
        <f aca="false">IF($B320=" ",0,AL$25*AL$28)</f>
        <v>0.0575</v>
      </c>
      <c r="AM320" s="162" t="n">
        <f aca="false">+AI320+AJ320+SUM(AK320:AL320)*SUM($J320*$J$37,$K320*$K$37,$L320*$L$37,$M320*$M$37,$N320*$N$37,$O320*$O$37)/1000</f>
        <v>1563.41938447729</v>
      </c>
      <c r="AO320" s="163" t="n">
        <f aca="false">IF($B320=" ",0,$AO$25)</f>
        <v>0.25</v>
      </c>
      <c r="AP320" s="159" t="n">
        <f aca="false">IF($B320=" ",0,AP$25*AP$28)</f>
        <v>0.03105</v>
      </c>
      <c r="AQ320" s="162" t="n">
        <f aca="false">SUM(AO320:AP320)*SUM(0)/1000</f>
        <v>0</v>
      </c>
      <c r="AS320" s="155" t="n">
        <f aca="false">IF($B320=" ",0,AS$25)</f>
        <v>1</v>
      </c>
      <c r="AT320" s="156" t="n">
        <f aca="false">IF($B320=" ",0,AT$25)</f>
        <v>1</v>
      </c>
      <c r="AU320" s="156" t="n">
        <f aca="false">IF($B320=" ",0,AU$25)</f>
        <v>2.3</v>
      </c>
      <c r="AV320" s="157" t="n">
        <f aca="false">+AS320*SUM(J320:K320)/1000</f>
        <v>0</v>
      </c>
      <c r="AW320" s="157" t="n">
        <f aca="false">+AT320*SUM(L320:M320)/1000</f>
        <v>0</v>
      </c>
      <c r="AX320" s="157" t="n">
        <f aca="false">+AU320*SUM(N320:O320)/1000</f>
        <v>11537.9859375</v>
      </c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</row>
    <row r="321" customFormat="false" ht="12.75" hidden="true" customHeight="false" outlineLevel="1" collapsed="false">
      <c r="A321" s="164" t="n">
        <f aca="false">+IF(B321=" ",A320,B321)</f>
        <v>45047</v>
      </c>
      <c r="B321" s="148" t="n">
        <f aca="false">IF(B320=" "," ",IF(EDATE(B320,1)&gt;=EndDate," ",EDATE(B320,1)))</f>
        <v>45047</v>
      </c>
      <c r="C321" s="149" t="n">
        <f aca="false">IF($B321&lt;&gt;" ",C320+1,C320)</f>
        <v>271</v>
      </c>
      <c r="D321" s="150" t="n">
        <f aca="false">C321/12</f>
        <v>22.5833333333333</v>
      </c>
      <c r="F321" s="157" t="n">
        <f aca="false">+SUM($T321:$U321)</f>
        <v>14883.5779284771</v>
      </c>
      <c r="G321" s="152" t="n">
        <f aca="false">-SUM($AA321,$AG321,$AM321,$AQ321,$AV321:$AX321)</f>
        <v>-17112.3328513496</v>
      </c>
      <c r="H321" s="152" t="n">
        <f aca="false">+SUM(F321:G321)</f>
        <v>-2228.75492287246</v>
      </c>
      <c r="I321" s="124"/>
      <c r="J321" s="153" t="n">
        <f aca="false">+IF($B321=" ",0,IF(AND($B321&gt;=J$26,$B321&lt;J$28),J$33,0))</f>
        <v>0</v>
      </c>
      <c r="K321" s="153" t="n">
        <f aca="false">+IF($B321=" ",0,IF(AND($B321&gt;=K$26,$B321&lt;K$28),K$33,0))</f>
        <v>0</v>
      </c>
      <c r="L321" s="153" t="n">
        <f aca="false">+IF($B321=" ",0,IF(AND($B321&gt;=L$26,$B321&lt;L$28),L$33,0))</f>
        <v>0</v>
      </c>
      <c r="M321" s="153" t="n">
        <f aca="false">+IF($B321=" ",0,IF(AND($B321&gt;=M$26,$B321&lt;M$28),M$33,0))</f>
        <v>0</v>
      </c>
      <c r="N321" s="153" t="n">
        <f aca="false">+IF($B321=" ",0,IF(AND($B321&gt;=N$26,$B321&lt;N$28),N$33,0))</f>
        <v>0</v>
      </c>
      <c r="O321" s="154" t="n">
        <f aca="false">+IF($B321=" ",0,IF(AND($B321&gt;=O$26,$B321&lt;O$28),O$33,0))</f>
        <v>5016515.625</v>
      </c>
      <c r="Q321" s="83" t="n">
        <f aca="false">IF($B321=" ",0,IF($B321&lt;=DATE(2003,12,31),3.55,2.9))</f>
        <v>2.9</v>
      </c>
      <c r="R321" s="155" t="n">
        <f aca="false">IF($B321=" ",0,R$25)</f>
        <v>-0.07</v>
      </c>
      <c r="S321" s="156" t="n">
        <f aca="false">IF($B321=" ",0,S$25)</f>
        <v>0.1</v>
      </c>
      <c r="T321" s="157" t="n">
        <f aca="false">+SUM($Q321,$S321)/1000*(SUM($J321*$J$37,$K321*$K$37,$L321*$L$37,$M321*$M$37,$N321*$N$37,$O321*$O$37))</f>
        <v>14883.5779284771</v>
      </c>
      <c r="U321" s="157" t="n">
        <f aca="false">+SUM($Q321,$R321)/1000*(SUM(0))</f>
        <v>0</v>
      </c>
      <c r="W321" s="158" t="n">
        <f aca="false">IF($B321=" ",0,1)*(IF($B321&gt;=W$25,1,0)*IF($B321&lt;=W$29,W$27,IF($B321&lt;=W$33,W$31,0))*($D321-$D320)*365/1000)</f>
        <v>486.66666666666</v>
      </c>
      <c r="X321" s="158" t="n">
        <f aca="false">IF($B321=" ",0,IF($B321&gt;=X$25,IF($B321&lt;=X$29,X$27,IF($B321&lt;=X$33,X$31,X$31*(1+X$38)^(IF(X$36&gt;$B321,-1,1)*(YEARFRAC($B321,X$36)))))*($D321-$D320)*365/1000,0))</f>
        <v>515.969244288103</v>
      </c>
      <c r="Y321" s="159" t="n">
        <f aca="false">IF($B321=" ",0,Y$25*(1+Y$30)^(IF(Y$28&gt;$B321,-1,1)*(YEARFRAC($B321,Y$28))))</f>
        <v>0.648559093616136</v>
      </c>
      <c r="Z321" s="159" t="n">
        <f aca="false">IF($B321=" ",0,Z$25*(1+Z$30)^(IF(Z$28&gt;$B321,-1,1)*(YEARFRAC($B321,Z$28))))</f>
        <v>0.619133281702246</v>
      </c>
      <c r="AA321" s="162" t="n">
        <f aca="false">+W321+X321+Z321*SUM($J321*$J$37,$L321*$L$37,$N321*$N$37)/1000</f>
        <v>1002.63591095476</v>
      </c>
      <c r="AB321" s="161"/>
      <c r="AC321" s="158" t="n">
        <f aca="false">IF($B321=" ",0,1)*(IF($B321&gt;=AC$25,1,0)*IF($B321&lt;=AC$29,AC$27,IF($B321&lt;=AC$33,AC$31,0))*($D321-$D320)*365/1000)</f>
        <v>1591.66666666664</v>
      </c>
      <c r="AD321" s="158" t="n">
        <f aca="false">IF($B321=" ",0,IF($B321&gt;=AD$25,IF($B321&lt;=AD$29,AD$27,IF($B321&lt;=AD$33,AD$31,AD$31*(1+AD$38)^(IF(AD$36&gt;$B321,-1,1)*(YEARFRAC($B321,AD$36)))))*($D321-$D320)*365/1000,0))</f>
        <v>459.325445234457</v>
      </c>
      <c r="AE321" s="159" t="n">
        <f aca="false">IF($B321=" ",0,AE$25*(1+AE$30)^(IF(AE$28&gt;$B321,-1,1)*(YEARFRAC($B321,AE$28))))</f>
        <v>0.537327780026403</v>
      </c>
      <c r="AF321" s="159" t="n">
        <f aca="false">IF($B321=" ",0,AF$25*(1+AF$30)^(IF(AF$28&gt;$B321,-1,1)*(YEARFRAC($B321,AF$28))))</f>
        <v>0.192791988908495</v>
      </c>
      <c r="AG321" s="162" t="n">
        <f aca="false">+AC321+AD321+AF321*SUM($K321*$K$37,$M321*$M$37,$O321*$O$37)/1000</f>
        <v>3007.47030886966</v>
      </c>
      <c r="AI321" s="158" t="n">
        <f aca="false">IF($B321=" ",0,1)*IF($B321&gt;=AI$33,AI$25*($D321-$D320),0)</f>
        <v>485.186570908327</v>
      </c>
      <c r="AJ321" s="158" t="n">
        <f aca="false">IF($B321=" ",0,IF($B321&gt;=AJ$33,AJ$25*(1+AJ$30)^(IF(AJ$28&gt;$B321,-1,1)*(YEARFRAC($B321,AJ$28)))*($D321-$D320),0))</f>
        <v>618.435092756662</v>
      </c>
      <c r="AK321" s="159" t="n">
        <f aca="false">IF($B321=" ",0,AK$25*(1+AK$30)^(IF(AK$28&gt;$B321,-1,1)*(YEARFRAC($B321,AK$28))))</f>
        <v>0.0353444153496546</v>
      </c>
      <c r="AL321" s="159" t="n">
        <f aca="false">IF($B321=" ",0,AL$25*AL$28)</f>
        <v>0.0575</v>
      </c>
      <c r="AM321" s="162" t="n">
        <f aca="false">+AI321+AJ321+SUM(AK321:AL321)*SUM($J321*$J$37,$K321*$K$37,$L321*$L$37,$M321*$M$37,$N321*$N$37,$O321*$O$37)/1000</f>
        <v>1564.24069402515</v>
      </c>
      <c r="AO321" s="163" t="n">
        <f aca="false">IF($B321=" ",0,$AO$25)</f>
        <v>0.25</v>
      </c>
      <c r="AP321" s="159" t="n">
        <f aca="false">IF($B321=" ",0,AP$25*AP$28)</f>
        <v>0.03105</v>
      </c>
      <c r="AQ321" s="162" t="n">
        <f aca="false">SUM(AO321:AP321)*SUM(0)/1000</f>
        <v>0</v>
      </c>
      <c r="AS321" s="155" t="n">
        <f aca="false">IF($B321=" ",0,AS$25)</f>
        <v>1</v>
      </c>
      <c r="AT321" s="156" t="n">
        <f aca="false">IF($B321=" ",0,AT$25)</f>
        <v>1</v>
      </c>
      <c r="AU321" s="156" t="n">
        <f aca="false">IF($B321=" ",0,AU$25)</f>
        <v>2.3</v>
      </c>
      <c r="AV321" s="157" t="n">
        <f aca="false">+AS321*SUM(J321:K321)/1000</f>
        <v>0</v>
      </c>
      <c r="AW321" s="157" t="n">
        <f aca="false">+AT321*SUM(L321:M321)/1000</f>
        <v>0</v>
      </c>
      <c r="AX321" s="157" t="n">
        <f aca="false">+AU321*SUM(N321:O321)/1000</f>
        <v>11537.9859375</v>
      </c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</row>
    <row r="322" customFormat="false" ht="12.75" hidden="true" customHeight="false" outlineLevel="1" collapsed="false">
      <c r="A322" s="164" t="n">
        <f aca="false">+IF(B322=" ",A321,B322)</f>
        <v>45078</v>
      </c>
      <c r="B322" s="148" t="n">
        <f aca="false">IF(B321=" "," ",IF(EDATE(B321,1)&gt;=EndDate," ",EDATE(B321,1)))</f>
        <v>45078</v>
      </c>
      <c r="C322" s="149" t="n">
        <f aca="false">IF($B322&lt;&gt;" ",C321+1,C321)</f>
        <v>272</v>
      </c>
      <c r="D322" s="150" t="n">
        <f aca="false">C322/12</f>
        <v>22.6666666666667</v>
      </c>
      <c r="F322" s="157" t="n">
        <f aca="false">+SUM($T322:$U322)</f>
        <v>14883.5779284771</v>
      </c>
      <c r="G322" s="152" t="n">
        <f aca="false">-SUM($AA322,$AG322,$AM322,$AQ322,$AV322:$AX322)</f>
        <v>-17115.8177498067</v>
      </c>
      <c r="H322" s="152" t="n">
        <f aca="false">+SUM(F322:G322)</f>
        <v>-2232.23982132959</v>
      </c>
      <c r="I322" s="124"/>
      <c r="J322" s="153" t="n">
        <f aca="false">+IF($B322=" ",0,IF(AND($B322&gt;=J$26,$B322&lt;J$28),J$33,0))</f>
        <v>0</v>
      </c>
      <c r="K322" s="153" t="n">
        <f aca="false">+IF($B322=" ",0,IF(AND($B322&gt;=K$26,$B322&lt;K$28),K$33,0))</f>
        <v>0</v>
      </c>
      <c r="L322" s="153" t="n">
        <f aca="false">+IF($B322=" ",0,IF(AND($B322&gt;=L$26,$B322&lt;L$28),L$33,0))</f>
        <v>0</v>
      </c>
      <c r="M322" s="153" t="n">
        <f aca="false">+IF($B322=" ",0,IF(AND($B322&gt;=M$26,$B322&lt;M$28),M$33,0))</f>
        <v>0</v>
      </c>
      <c r="N322" s="153" t="n">
        <f aca="false">+IF($B322=" ",0,IF(AND($B322&gt;=N$26,$B322&lt;N$28),N$33,0))</f>
        <v>0</v>
      </c>
      <c r="O322" s="154" t="n">
        <f aca="false">+IF($B322=" ",0,IF(AND($B322&gt;=O$26,$B322&lt;O$28),O$33,0))</f>
        <v>5016515.625</v>
      </c>
      <c r="Q322" s="83" t="n">
        <f aca="false">IF($B322=" ",0,IF($B322&lt;=DATE(2003,12,31),3.55,2.9))</f>
        <v>2.9</v>
      </c>
      <c r="R322" s="155" t="n">
        <f aca="false">IF($B322=" ",0,R$25)</f>
        <v>-0.07</v>
      </c>
      <c r="S322" s="156" t="n">
        <f aca="false">IF($B322=" ",0,S$25)</f>
        <v>0.1</v>
      </c>
      <c r="T322" s="157" t="n">
        <f aca="false">+SUM($Q322,$S322)/1000*(SUM($J322*$J$37,$K322*$K$37,$L322*$L$37,$M322*$M$37,$N322*$N$37,$O322*$O$37))</f>
        <v>14883.5779284771</v>
      </c>
      <c r="U322" s="157" t="n">
        <f aca="false">+SUM($Q322,$R322)/1000*(SUM(0))</f>
        <v>0</v>
      </c>
      <c r="W322" s="158" t="n">
        <f aca="false">IF($B322=" ",0,1)*(IF($B322&gt;=W$25,1,0)*IF($B322&lt;=W$29,W$27,IF($B322&lt;=W$33,W$31,0))*($D322-$D321)*365/1000)</f>
        <v>486.666666666681</v>
      </c>
      <c r="X322" s="158" t="n">
        <f aca="false">IF($B322=" ",0,IF($B322&gt;=X$25,IF($B322&lt;=X$29,X$27,IF($B322&lt;=X$33,X$31,X$31*(1+X$38)^(IF(X$36&gt;$B322,-1,1)*(YEARFRAC($B322,X$36)))))*($D322-$D321)*365/1000,0))</f>
        <v>516.680451618736</v>
      </c>
      <c r="Y322" s="159" t="n">
        <f aca="false">IF($B322=" ",0,Y$25*(1+Y$30)^(IF(Y$28&gt;$B322,-1,1)*(YEARFRAC($B322,Y$28))))</f>
        <v>0.64945306159353</v>
      </c>
      <c r="Z322" s="159" t="n">
        <f aca="false">IF($B322=" ",0,Z$25*(1+Z$30)^(IF(Z$28&gt;$B322,-1,1)*(YEARFRAC($B322,Z$28))))</f>
        <v>0.619986689407155</v>
      </c>
      <c r="AA322" s="162" t="n">
        <f aca="false">+W322+X322+Z322*SUM($J322*$J$37,$L322*$L$37,$N322*$N$37)/1000</f>
        <v>1003.34711828542</v>
      </c>
      <c r="AB322" s="161"/>
      <c r="AC322" s="158" t="n">
        <f aca="false">IF($B322=" ",0,1)*(IF($B322&gt;=AC$25,1,0)*IF($B322&lt;=AC$29,AC$27,IF($B322&lt;=AC$33,AC$31,0))*($D322-$D321)*365/1000)</f>
        <v>1591.66666666671</v>
      </c>
      <c r="AD322" s="158" t="n">
        <f aca="false">IF($B322=" ",0,IF($B322&gt;=AD$25,IF($B322&lt;=AD$29,AD$27,IF($B322&lt;=AD$33,AD$31,AD$31*(1+AD$38)^(IF(AD$36&gt;$B322,-1,1)*(YEARFRAC($B322,AD$36)))))*($D322-$D321)*365/1000,0))</f>
        <v>459.958575265778</v>
      </c>
      <c r="AE322" s="159" t="n">
        <f aca="false">IF($B322=" ",0,AE$25*(1+AE$30)^(IF(AE$28&gt;$B322,-1,1)*(YEARFRAC($B322,AE$28))))</f>
        <v>0.538068427769124</v>
      </c>
      <c r="AF322" s="159" t="n">
        <f aca="false">IF($B322=" ",0,AF$25*(1+AF$30)^(IF(AF$28&gt;$B322,-1,1)*(YEARFRAC($B322,AF$28))))</f>
        <v>0.193057731638924</v>
      </c>
      <c r="AG322" s="162" t="n">
        <f aca="false">+AC322+AD322+AF322*SUM($K322*$K$37,$M322*$M$37,$O322*$O$37)/1000</f>
        <v>3009.42183978014</v>
      </c>
      <c r="AI322" s="158" t="n">
        <f aca="false">IF($B322=" ",0,1)*IF($B322&gt;=AI$33,AI$25*($D322-$D321),0)</f>
        <v>485.186570908347</v>
      </c>
      <c r="AJ322" s="158" t="n">
        <f aca="false">IF($B322=" ",0,IF($B322&gt;=AJ$33,AJ$25*(1+AJ$30)^(IF(AJ$28&gt;$B322,-1,1)*(YEARFRAC($B322,AJ$28)))*($D322-$D321),0))</f>
        <v>619.075634439361</v>
      </c>
      <c r="AK322" s="159" t="n">
        <f aca="false">IF($B322=" ",0,AK$25*(1+AK$30)^(IF(AK$28&gt;$B322,-1,1)*(YEARFRAC($B322,AK$28))))</f>
        <v>0.0353810231869949</v>
      </c>
      <c r="AL322" s="159" t="n">
        <f aca="false">IF($B322=" ",0,AL$25*AL$28)</f>
        <v>0.0575</v>
      </c>
      <c r="AM322" s="162" t="n">
        <f aca="false">+AI322+AJ322+SUM(AK322:AL322)*SUM($J322*$J$37,$K322*$K$37,$L322*$L$37,$M322*$M$37,$N322*$N$37,$O322*$O$37)/1000</f>
        <v>1565.06285424115</v>
      </c>
      <c r="AO322" s="163" t="n">
        <f aca="false">IF($B322=" ",0,$AO$25)</f>
        <v>0.25</v>
      </c>
      <c r="AP322" s="159" t="n">
        <f aca="false">IF($B322=" ",0,AP$25*AP$28)</f>
        <v>0.03105</v>
      </c>
      <c r="AQ322" s="162" t="n">
        <f aca="false">SUM(AO322:AP322)*SUM(0)/1000</f>
        <v>0</v>
      </c>
      <c r="AS322" s="155" t="n">
        <f aca="false">IF($B322=" ",0,AS$25)</f>
        <v>1</v>
      </c>
      <c r="AT322" s="156" t="n">
        <f aca="false">IF($B322=" ",0,AT$25)</f>
        <v>1</v>
      </c>
      <c r="AU322" s="156" t="n">
        <f aca="false">IF($B322=" ",0,AU$25)</f>
        <v>2.3</v>
      </c>
      <c r="AV322" s="157" t="n">
        <f aca="false">+AS322*SUM(J322:K322)/1000</f>
        <v>0</v>
      </c>
      <c r="AW322" s="157" t="n">
        <f aca="false">+AT322*SUM(L322:M322)/1000</f>
        <v>0</v>
      </c>
      <c r="AX322" s="157" t="n">
        <f aca="false">+AU322*SUM(N322:O322)/1000</f>
        <v>11537.9859375</v>
      </c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</row>
    <row r="323" customFormat="false" ht="12.75" hidden="true" customHeight="false" outlineLevel="1" collapsed="false">
      <c r="A323" s="164" t="n">
        <f aca="false">+IF(B323=" ",A322,B323)</f>
        <v>45108</v>
      </c>
      <c r="B323" s="148" t="n">
        <f aca="false">IF(B322=" "," ",IF(EDATE(B322,1)&gt;=EndDate," ",EDATE(B322,1)))</f>
        <v>45108</v>
      </c>
      <c r="C323" s="149" t="n">
        <f aca="false">IF($B323&lt;&gt;" ",C322+1,C322)</f>
        <v>273</v>
      </c>
      <c r="D323" s="150" t="n">
        <f aca="false">C323/12</f>
        <v>22.75</v>
      </c>
      <c r="F323" s="157" t="n">
        <f aca="false">+SUM($T323:$U323)</f>
        <v>14883.5779284771</v>
      </c>
      <c r="G323" s="152" t="n">
        <f aca="false">-SUM($AA323,$AG323,$AM323,$AQ323,$AV323:$AX323)</f>
        <v>-17119.3071701069</v>
      </c>
      <c r="H323" s="152" t="n">
        <f aca="false">+SUM(F323:G323)</f>
        <v>-2235.7292416298</v>
      </c>
      <c r="I323" s="124"/>
      <c r="J323" s="153" t="n">
        <f aca="false">+IF($B323=" ",0,IF(AND($B323&gt;=J$26,$B323&lt;J$28),J$33,0))</f>
        <v>0</v>
      </c>
      <c r="K323" s="153" t="n">
        <f aca="false">+IF($B323=" ",0,IF(AND($B323&gt;=K$26,$B323&lt;K$28),K$33,0))</f>
        <v>0</v>
      </c>
      <c r="L323" s="153" t="n">
        <f aca="false">+IF($B323=" ",0,IF(AND($B323&gt;=L$26,$B323&lt;L$28),L$33,0))</f>
        <v>0</v>
      </c>
      <c r="M323" s="153" t="n">
        <f aca="false">+IF($B323=" ",0,IF(AND($B323&gt;=M$26,$B323&lt;M$28),M$33,0))</f>
        <v>0</v>
      </c>
      <c r="N323" s="153" t="n">
        <f aca="false">+IF($B323=" ",0,IF(AND($B323&gt;=N$26,$B323&lt;N$28),N$33,0))</f>
        <v>0</v>
      </c>
      <c r="O323" s="154" t="n">
        <f aca="false">+IF($B323=" ",0,IF(AND($B323&gt;=O$26,$B323&lt;O$28),O$33,0))</f>
        <v>5016515.625</v>
      </c>
      <c r="Q323" s="83" t="n">
        <f aca="false">IF($B323=" ",0,IF($B323&lt;=DATE(2003,12,31),3.55,2.9))</f>
        <v>2.9</v>
      </c>
      <c r="R323" s="155" t="n">
        <f aca="false">IF($B323=" ",0,R$25)</f>
        <v>-0.07</v>
      </c>
      <c r="S323" s="156" t="n">
        <f aca="false">IF($B323=" ",0,S$25)</f>
        <v>0.1</v>
      </c>
      <c r="T323" s="157" t="n">
        <f aca="false">+SUM($Q323,$S323)/1000*(SUM($J323*$J$37,$K323*$K$37,$L323*$L$37,$M323*$M$37,$N323*$N$37,$O323*$O$37))</f>
        <v>14883.5779284771</v>
      </c>
      <c r="U323" s="157" t="n">
        <f aca="false">+SUM($Q323,$R323)/1000*(SUM(0))</f>
        <v>0</v>
      </c>
      <c r="W323" s="158" t="n">
        <f aca="false">IF($B323=" ",0,1)*(IF($B323&gt;=W$25,1,0)*IF($B323&lt;=W$29,W$27,IF($B323&lt;=W$33,W$31,0))*($D323-$D322)*365/1000)</f>
        <v>486.66666666666</v>
      </c>
      <c r="X323" s="158" t="n">
        <f aca="false">IF($B323=" ",0,IF($B323&gt;=X$25,IF($B323&lt;=X$29,X$27,IF($B323&lt;=X$33,X$31,X$31*(1+X$38)^(IF(X$36&gt;$B323,-1,1)*(YEARFRAC($B323,X$36)))))*($D323-$D322)*365/1000,0))</f>
        <v>517.392639271064</v>
      </c>
      <c r="Y323" s="159" t="n">
        <f aca="false">IF($B323=" ",0,Y$25*(1+Y$30)^(IF(Y$28&gt;$B323,-1,1)*(YEARFRAC($B323,Y$28))))</f>
        <v>0.650348261808284</v>
      </c>
      <c r="Z323" s="159" t="n">
        <f aca="false">IF($B323=" ",0,Z$25*(1+Z$30)^(IF(Z$28&gt;$B323,-1,1)*(YEARFRAC($B323,Z$28))))</f>
        <v>0.620841273441511</v>
      </c>
      <c r="AA323" s="162" t="n">
        <f aca="false">+W323+X323+Z323*SUM($J323*$J$37,$L323*$L$37,$N323*$N$37)/1000</f>
        <v>1004.05930593772</v>
      </c>
      <c r="AB323" s="161"/>
      <c r="AC323" s="158" t="n">
        <f aca="false">IF($B323=" ",0,1)*(IF($B323&gt;=AC$25,1,0)*IF($B323&lt;=AC$29,AC$27,IF($B323&lt;=AC$33,AC$31,0))*($D323-$D322)*365/1000)</f>
        <v>1591.66666666664</v>
      </c>
      <c r="AD323" s="158" t="n">
        <f aca="false">IF($B323=" ",0,IF($B323&gt;=AD$25,IF($B323&lt;=AD$29,AD$27,IF($B323&lt;=AD$33,AD$31,AD$31*(1+AD$38)^(IF(AD$36&gt;$B323,-1,1)*(YEARFRAC($B323,AD$36)))))*($D323-$D322)*365/1000,0))</f>
        <v>460.592577997758</v>
      </c>
      <c r="AE323" s="159" t="n">
        <f aca="false">IF($B323=" ",0,AE$25*(1+AE$30)^(IF(AE$28&gt;$B323,-1,1)*(YEARFRAC($B323,AE$28))))</f>
        <v>0.538810096413982</v>
      </c>
      <c r="AF323" s="159" t="n">
        <f aca="false">IF($B323=" ",0,AF$25*(1+AF$30)^(IF(AF$28&gt;$B323,-1,1)*(YEARFRAC($B323,AF$28))))</f>
        <v>0.193323840666725</v>
      </c>
      <c r="AG323" s="162" t="n">
        <f aca="false">+AC323+AD323+AF323*SUM($K323*$K$37,$M323*$M$37,$O323*$O$37)/1000</f>
        <v>3011.37606066297</v>
      </c>
      <c r="AI323" s="158" t="n">
        <f aca="false">IF($B323=" ",0,1)*IF($B323&gt;=AI$33,AI$25*($D323-$D322),0)</f>
        <v>485.186570908327</v>
      </c>
      <c r="AJ323" s="158" t="n">
        <f aca="false">IF($B323=" ",0,IF($B323&gt;=AJ$33,AJ$25*(1+AJ$30)^(IF(AJ$28&gt;$B323,-1,1)*(YEARFRAC($B323,AJ$28)))*($D323-$D322),0))</f>
        <v>619.716839560502</v>
      </c>
      <c r="AK323" s="159" t="n">
        <f aca="false">IF($B323=" ",0,AK$25*(1+AK$30)^(IF(AK$28&gt;$B323,-1,1)*(YEARFRAC($B323,AK$28))))</f>
        <v>0.0354176689407568</v>
      </c>
      <c r="AL323" s="159" t="n">
        <f aca="false">IF($B323=" ",0,AL$25*AL$28)</f>
        <v>0.0575</v>
      </c>
      <c r="AM323" s="162" t="n">
        <f aca="false">+AI323+AJ323+SUM(AK323:AL323)*SUM($J323*$J$37,$K323*$K$37,$L323*$L$37,$M323*$M$37,$N323*$N$37,$O323*$O$37)/1000</f>
        <v>1565.88586600623</v>
      </c>
      <c r="AO323" s="163" t="n">
        <f aca="false">IF($B323=" ",0,$AO$25)</f>
        <v>0.25</v>
      </c>
      <c r="AP323" s="159" t="n">
        <f aca="false">IF($B323=" ",0,AP$25*AP$28)</f>
        <v>0.03105</v>
      </c>
      <c r="AQ323" s="162" t="n">
        <f aca="false">SUM(AO323:AP323)*SUM(0)/1000</f>
        <v>0</v>
      </c>
      <c r="AS323" s="155" t="n">
        <f aca="false">IF($B323=" ",0,AS$25)</f>
        <v>1</v>
      </c>
      <c r="AT323" s="156" t="n">
        <f aca="false">IF($B323=" ",0,AT$25)</f>
        <v>1</v>
      </c>
      <c r="AU323" s="156" t="n">
        <f aca="false">IF($B323=" ",0,AU$25)</f>
        <v>2.3</v>
      </c>
      <c r="AV323" s="157" t="n">
        <f aca="false">+AS323*SUM(J323:K323)/1000</f>
        <v>0</v>
      </c>
      <c r="AW323" s="157" t="n">
        <f aca="false">+AT323*SUM(L323:M323)/1000</f>
        <v>0</v>
      </c>
      <c r="AX323" s="157" t="n">
        <f aca="false">+AU323*SUM(N323:O323)/1000</f>
        <v>11537.9859375</v>
      </c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</row>
    <row r="324" customFormat="false" ht="12.75" hidden="true" customHeight="false" outlineLevel="1" collapsed="false">
      <c r="A324" s="164" t="n">
        <f aca="false">+IF(B324=" ",A323,B324)</f>
        <v>45139</v>
      </c>
      <c r="B324" s="148" t="n">
        <f aca="false">IF(B323=" "," ",IF(EDATE(B323,1)&gt;=EndDate," ",EDATE(B323,1)))</f>
        <v>45139</v>
      </c>
      <c r="C324" s="149" t="n">
        <f aca="false">IF($B324&lt;&gt;" ",C323+1,C323)</f>
        <v>274</v>
      </c>
      <c r="D324" s="150" t="n">
        <f aca="false">C324/12</f>
        <v>22.8333333333333</v>
      </c>
      <c r="F324" s="157" t="n">
        <f aca="false">+SUM($T324:$U324)</f>
        <v>14883.5779284771</v>
      </c>
      <c r="G324" s="152" t="n">
        <f aca="false">-SUM($AA324,$AG324,$AM324,$AQ324,$AV324:$AX324)</f>
        <v>-17122.8011181918</v>
      </c>
      <c r="H324" s="152" t="n">
        <f aca="false">+SUM(F324:G324)</f>
        <v>-2239.22318971471</v>
      </c>
      <c r="I324" s="124"/>
      <c r="J324" s="153" t="n">
        <f aca="false">+IF($B324=" ",0,IF(AND($B324&gt;=J$26,$B324&lt;J$28),J$33,0))</f>
        <v>0</v>
      </c>
      <c r="K324" s="153" t="n">
        <f aca="false">+IF($B324=" ",0,IF(AND($B324&gt;=K$26,$B324&lt;K$28),K$33,0))</f>
        <v>0</v>
      </c>
      <c r="L324" s="153" t="n">
        <f aca="false">+IF($B324=" ",0,IF(AND($B324&gt;=L$26,$B324&lt;L$28),L$33,0))</f>
        <v>0</v>
      </c>
      <c r="M324" s="153" t="n">
        <f aca="false">+IF($B324=" ",0,IF(AND($B324&gt;=M$26,$B324&lt;M$28),M$33,0))</f>
        <v>0</v>
      </c>
      <c r="N324" s="153" t="n">
        <f aca="false">+IF($B324=" ",0,IF(AND($B324&gt;=N$26,$B324&lt;N$28),N$33,0))</f>
        <v>0</v>
      </c>
      <c r="O324" s="154" t="n">
        <f aca="false">+IF($B324=" ",0,IF(AND($B324&gt;=O$26,$B324&lt;O$28),O$33,0))</f>
        <v>5016515.625</v>
      </c>
      <c r="Q324" s="83" t="n">
        <f aca="false">IF($B324=" ",0,IF($B324&lt;=DATE(2003,12,31),3.55,2.9))</f>
        <v>2.9</v>
      </c>
      <c r="R324" s="155" t="n">
        <f aca="false">IF($B324=" ",0,R$25)</f>
        <v>-0.07</v>
      </c>
      <c r="S324" s="156" t="n">
        <f aca="false">IF($B324=" ",0,S$25)</f>
        <v>0.1</v>
      </c>
      <c r="T324" s="157" t="n">
        <f aca="false">+SUM($Q324,$S324)/1000*(SUM($J324*$J$37,$K324*$K$37,$L324*$L$37,$M324*$M$37,$N324*$N$37,$O324*$O$37))</f>
        <v>14883.5779284771</v>
      </c>
      <c r="U324" s="157" t="n">
        <f aca="false">+SUM($Q324,$R324)/1000*(SUM(0))</f>
        <v>0</v>
      </c>
      <c r="W324" s="158" t="n">
        <f aca="false">IF($B324=" ",0,1)*(IF($B324&gt;=W$25,1,0)*IF($B324&lt;=W$29,W$27,IF($B324&lt;=W$33,W$31,0))*($D324-$D323)*365/1000)</f>
        <v>486.66666666666</v>
      </c>
      <c r="X324" s="158" t="n">
        <f aca="false">IF($B324=" ",0,IF($B324&gt;=X$25,IF($B324&lt;=X$29,X$27,IF($B324&lt;=X$33,X$31,X$31*(1+X$38)^(IF(X$36&gt;$B324,-1,1)*(YEARFRAC($B324,X$36)))))*($D324-$D323)*365/1000,0))</f>
        <v>518.105808596421</v>
      </c>
      <c r="Y324" s="159" t="n">
        <f aca="false">IF($B324=" ",0,Y$25*(1+Y$30)^(IF(Y$28&gt;$B324,-1,1)*(YEARFRAC($B324,Y$28))))</f>
        <v>0.651244695958901</v>
      </c>
      <c r="Z324" s="159" t="n">
        <f aca="false">IF($B324=" ",0,Z$25*(1+Z$30)^(IF(Z$28&gt;$B324,-1,1)*(YEARFRAC($B324,Z$28))))</f>
        <v>0.621697035426756</v>
      </c>
      <c r="AA324" s="162" t="n">
        <f aca="false">+W324+X324+Z324*SUM($J324*$J$37,$L324*$L$37,$N324*$N$37)/1000</f>
        <v>1004.77247526308</v>
      </c>
      <c r="AB324" s="161"/>
      <c r="AC324" s="158" t="n">
        <f aca="false">IF($B324=" ",0,1)*(IF($B324&gt;=AC$25,1,0)*IF($B324&lt;=AC$29,AC$27,IF($B324&lt;=AC$33,AC$31,0))*($D324-$D323)*365/1000)</f>
        <v>1591.66666666664</v>
      </c>
      <c r="AD324" s="158" t="n">
        <f aca="false">IF($B324=" ",0,IF($B324&gt;=AD$25,IF($B324&lt;=AD$29,AD$27,IF($B324&lt;=AD$33,AD$31,AD$31*(1+AD$38)^(IF(AD$36&gt;$B324,-1,1)*(YEARFRAC($B324,AD$36)))))*($D324-$D323)*365/1000,0))</f>
        <v>461.227454633378</v>
      </c>
      <c r="AE324" s="159" t="n">
        <f aca="false">IF($B324=" ",0,AE$25*(1+AE$30)^(IF(AE$28&gt;$B324,-1,1)*(YEARFRAC($B324,AE$28))))</f>
        <v>0.539552787368179</v>
      </c>
      <c r="AF324" s="159" t="n">
        <f aca="false">IF($B324=" ",0,AF$25*(1+AF$30)^(IF(AF$28&gt;$B324,-1,1)*(YEARFRAC($B324,AF$28))))</f>
        <v>0.193590316496798</v>
      </c>
      <c r="AG324" s="162" t="n">
        <f aca="false">+AC324+AD324+AF324*SUM($K324*$K$37,$M324*$M$37,$O324*$O$37)/1000</f>
        <v>3013.33297522624</v>
      </c>
      <c r="AI324" s="158" t="n">
        <f aca="false">IF($B324=" ",0,1)*IF($B324&gt;=AI$33,AI$25*($D324-$D323),0)</f>
        <v>485.186570908327</v>
      </c>
      <c r="AJ324" s="158" t="n">
        <f aca="false">IF($B324=" ",0,IF($B324&gt;=AJ$33,AJ$25*(1+AJ$30)^(IF(AJ$28&gt;$B324,-1,1)*(YEARFRAC($B324,AJ$28)))*($D324-$D323),0))</f>
        <v>620.358708807318</v>
      </c>
      <c r="AK324" s="159" t="n">
        <f aca="false">IF($B324=" ",0,AK$25*(1+AK$30)^(IF(AK$28&gt;$B324,-1,1)*(YEARFRAC($B324,AK$28))))</f>
        <v>0.035454352650212</v>
      </c>
      <c r="AL324" s="159" t="n">
        <f aca="false">IF($B324=" ",0,AL$25*AL$28)</f>
        <v>0.0575</v>
      </c>
      <c r="AM324" s="162" t="n">
        <f aca="false">+AI324+AJ324+SUM(AK324:AL324)*SUM($J324*$J$37,$K324*$K$37,$L324*$L$37,$M324*$M$37,$N324*$N$37,$O324*$O$37)/1000</f>
        <v>1566.7097302025</v>
      </c>
      <c r="AO324" s="163" t="n">
        <f aca="false">IF($B324=" ",0,$AO$25)</f>
        <v>0.25</v>
      </c>
      <c r="AP324" s="159" t="n">
        <f aca="false">IF($B324=" ",0,AP$25*AP$28)</f>
        <v>0.03105</v>
      </c>
      <c r="AQ324" s="162" t="n">
        <f aca="false">SUM(AO324:AP324)*SUM(0)/1000</f>
        <v>0</v>
      </c>
      <c r="AS324" s="155" t="n">
        <f aca="false">IF($B324=" ",0,AS$25)</f>
        <v>1</v>
      </c>
      <c r="AT324" s="156" t="n">
        <f aca="false">IF($B324=" ",0,AT$25)</f>
        <v>1</v>
      </c>
      <c r="AU324" s="156" t="n">
        <f aca="false">IF($B324=" ",0,AU$25)</f>
        <v>2.3</v>
      </c>
      <c r="AV324" s="157" t="n">
        <f aca="false">+AS324*SUM(J324:K324)/1000</f>
        <v>0</v>
      </c>
      <c r="AW324" s="157" t="n">
        <f aca="false">+AT324*SUM(L324:M324)/1000</f>
        <v>0</v>
      </c>
      <c r="AX324" s="157" t="n">
        <f aca="false">+AU324*SUM(N324:O324)/1000</f>
        <v>11537.9859375</v>
      </c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</row>
    <row r="325" customFormat="false" ht="12.75" hidden="true" customHeight="false" outlineLevel="1" collapsed="false">
      <c r="A325" s="164" t="n">
        <f aca="false">+IF(B325=" ",A324,B325)</f>
        <v>45170</v>
      </c>
      <c r="B325" s="148" t="n">
        <f aca="false">IF(B324=" "," ",IF(EDATE(B324,1)&gt;=EndDate," ",EDATE(B324,1)))</f>
        <v>45170</v>
      </c>
      <c r="C325" s="149" t="n">
        <f aca="false">IF($B325&lt;&gt;" ",C324+1,C324)</f>
        <v>275</v>
      </c>
      <c r="D325" s="150" t="n">
        <f aca="false">C325/12</f>
        <v>22.9166666666667</v>
      </c>
      <c r="F325" s="157" t="n">
        <f aca="false">+SUM($T325:$U325)</f>
        <v>14883.5779284771</v>
      </c>
      <c r="G325" s="152" t="n">
        <f aca="false">-SUM($AA325,$AG325,$AM325,$AQ325,$AV325:$AX325)</f>
        <v>-17126.2996000104</v>
      </c>
      <c r="H325" s="152" t="n">
        <f aca="false">+SUM(F325:G325)</f>
        <v>-2242.72167153328</v>
      </c>
      <c r="I325" s="124"/>
      <c r="J325" s="153" t="n">
        <f aca="false">+IF($B325=" ",0,IF(AND($B325&gt;=J$26,$B325&lt;J$28),J$33,0))</f>
        <v>0</v>
      </c>
      <c r="K325" s="153" t="n">
        <f aca="false">+IF($B325=" ",0,IF(AND($B325&gt;=K$26,$B325&lt;K$28),K$33,0))</f>
        <v>0</v>
      </c>
      <c r="L325" s="153" t="n">
        <f aca="false">+IF($B325=" ",0,IF(AND($B325&gt;=L$26,$B325&lt;L$28),L$33,0))</f>
        <v>0</v>
      </c>
      <c r="M325" s="153" t="n">
        <f aca="false">+IF($B325=" ",0,IF(AND($B325&gt;=M$26,$B325&lt;M$28),M$33,0))</f>
        <v>0</v>
      </c>
      <c r="N325" s="153" t="n">
        <f aca="false">+IF($B325=" ",0,IF(AND($B325&gt;=N$26,$B325&lt;N$28),N$33,0))</f>
        <v>0</v>
      </c>
      <c r="O325" s="154" t="n">
        <f aca="false">+IF($B325=" ",0,IF(AND($B325&gt;=O$26,$B325&lt;O$28),O$33,0))</f>
        <v>5016515.625</v>
      </c>
      <c r="Q325" s="83" t="n">
        <f aca="false">IF($B325=" ",0,IF($B325&lt;=DATE(2003,12,31),3.55,2.9))</f>
        <v>2.9</v>
      </c>
      <c r="R325" s="155" t="n">
        <f aca="false">IF($B325=" ",0,R$25)</f>
        <v>-0.07</v>
      </c>
      <c r="S325" s="156" t="n">
        <f aca="false">IF($B325=" ",0,S$25)</f>
        <v>0.1</v>
      </c>
      <c r="T325" s="157" t="n">
        <f aca="false">+SUM($Q325,$S325)/1000*(SUM($J325*$J$37,$K325*$K$37,$L325*$L$37,$M325*$M$37,$N325*$N$37,$O325*$O$37))</f>
        <v>14883.5779284771</v>
      </c>
      <c r="U325" s="157" t="n">
        <f aca="false">+SUM($Q325,$R325)/1000*(SUM(0))</f>
        <v>0</v>
      </c>
      <c r="W325" s="158" t="n">
        <f aca="false">IF($B325=" ",0,1)*(IF($B325&gt;=W$25,1,0)*IF($B325&lt;=W$29,W$27,IF($B325&lt;=W$33,W$31,0))*($D325-$D324)*365/1000)</f>
        <v>486.666666666681</v>
      </c>
      <c r="X325" s="158" t="n">
        <f aca="false">IF($B325=" ",0,IF($B325&gt;=X$25,IF($B325&lt;=X$29,X$27,IF($B325&lt;=X$33,X$31,X$31*(1+X$38)^(IF(X$36&gt;$B325,-1,1)*(YEARFRAC($B325,X$36)))))*($D325-$D324)*365/1000,0))</f>
        <v>518.819960947934</v>
      </c>
      <c r="Y325" s="159" t="n">
        <f aca="false">IF($B325=" ",0,Y$25*(1+Y$30)^(IF(Y$28&gt;$B325,-1,1)*(YEARFRAC($B325,Y$28))))</f>
        <v>0.652142365746228</v>
      </c>
      <c r="Z325" s="159" t="n">
        <f aca="false">IF($B325=" ",0,Z$25*(1+Z$30)^(IF(Z$28&gt;$B325,-1,1)*(YEARFRAC($B325,Z$28))))</f>
        <v>0.622553976986567</v>
      </c>
      <c r="AA325" s="162" t="n">
        <f aca="false">+W325+X325+Z325*SUM($J325*$J$37,$L325*$L$37,$N325*$N$37)/1000</f>
        <v>1005.48662761461</v>
      </c>
      <c r="AB325" s="161"/>
      <c r="AC325" s="158" t="n">
        <f aca="false">IF($B325=" ",0,1)*(IF($B325&gt;=AC$25,1,0)*IF($B325&lt;=AC$29,AC$27,IF($B325&lt;=AC$33,AC$31,0))*($D325-$D324)*365/1000)</f>
        <v>1591.66666666671</v>
      </c>
      <c r="AD325" s="158" t="n">
        <f aca="false">IF($B325=" ",0,IF($B325&gt;=AD$25,IF($B325&lt;=AD$29,AD$27,IF($B325&lt;=AD$33,AD$31,AD$31*(1+AD$38)^(IF(AD$36&gt;$B325,-1,1)*(YEARFRAC($B325,AD$36)))))*($D325-$D324)*365/1000,0))</f>
        <v>461.863206377218</v>
      </c>
      <c r="AE325" s="159" t="n">
        <f aca="false">IF($B325=" ",0,AE$25*(1+AE$30)^(IF(AE$28&gt;$B325,-1,1)*(YEARFRAC($B325,AE$28))))</f>
        <v>0.540296502040857</v>
      </c>
      <c r="AF325" s="159" t="n">
        <f aca="false">IF($B325=" ",0,AF$25*(1+AF$30)^(IF(AF$28&gt;$B325,-1,1)*(YEARFRAC($B325,AF$28))))</f>
        <v>0.193857159634741</v>
      </c>
      <c r="AG325" s="162" t="n">
        <f aca="false">+AC325+AD325+AF325*SUM($K325*$K$37,$M325*$M$37,$O325*$O$37)/1000</f>
        <v>3015.2925871829</v>
      </c>
      <c r="AI325" s="158" t="n">
        <f aca="false">IF($B325=" ",0,1)*IF($B325&gt;=AI$33,AI$25*($D325-$D324),0)</f>
        <v>485.186570908347</v>
      </c>
      <c r="AJ325" s="158" t="n">
        <f aca="false">IF($B325=" ",0,IF($B325&gt;=AJ$33,AJ$25*(1+AJ$30)^(IF(AJ$28&gt;$B325,-1,1)*(YEARFRAC($B325,AJ$28)))*($D325-$D324),0))</f>
        <v>621.001242867675</v>
      </c>
      <c r="AK325" s="159" t="n">
        <f aca="false">IF($B325=" ",0,AK$25*(1+AK$30)^(IF(AK$28&gt;$B325,-1,1)*(YEARFRAC($B325,AK$28))))</f>
        <v>0.0354910743546732</v>
      </c>
      <c r="AL325" s="159" t="n">
        <f aca="false">IF($B325=" ",0,AL$25*AL$28)</f>
        <v>0.0575</v>
      </c>
      <c r="AM325" s="162" t="n">
        <f aca="false">+AI325+AJ325+SUM(AK325:AL325)*SUM($J325*$J$37,$K325*$K$37,$L325*$L$37,$M325*$M$37,$N325*$N$37,$O325*$O$37)/1000</f>
        <v>1567.53444771288</v>
      </c>
      <c r="AO325" s="163" t="n">
        <f aca="false">IF($B325=" ",0,$AO$25)</f>
        <v>0.25</v>
      </c>
      <c r="AP325" s="159" t="n">
        <f aca="false">IF($B325=" ",0,AP$25*AP$28)</f>
        <v>0.03105</v>
      </c>
      <c r="AQ325" s="162" t="n">
        <f aca="false">SUM(AO325:AP325)*SUM(0)/1000</f>
        <v>0</v>
      </c>
      <c r="AS325" s="155" t="n">
        <f aca="false">IF($B325=" ",0,AS$25)</f>
        <v>1</v>
      </c>
      <c r="AT325" s="156" t="n">
        <f aca="false">IF($B325=" ",0,AT$25)</f>
        <v>1</v>
      </c>
      <c r="AU325" s="156" t="n">
        <f aca="false">IF($B325=" ",0,AU$25)</f>
        <v>2.3</v>
      </c>
      <c r="AV325" s="157" t="n">
        <f aca="false">+AS325*SUM(J325:K325)/1000</f>
        <v>0</v>
      </c>
      <c r="AW325" s="157" t="n">
        <f aca="false">+AT325*SUM(L325:M325)/1000</f>
        <v>0</v>
      </c>
      <c r="AX325" s="157" t="n">
        <f aca="false">+AU325*SUM(N325:O325)/1000</f>
        <v>11537.9859375</v>
      </c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</row>
    <row r="326" customFormat="false" ht="12.75" hidden="true" customHeight="false" outlineLevel="1" collapsed="false">
      <c r="A326" s="164" t="n">
        <f aca="false">+IF(B326=" ",A325,B326)</f>
        <v>45200</v>
      </c>
      <c r="B326" s="148" t="n">
        <f aca="false">IF(B325=" "," ",IF(EDATE(B325,1)&gt;=EndDate," ",EDATE(B325,1)))</f>
        <v>45200</v>
      </c>
      <c r="C326" s="149" t="n">
        <f aca="false">IF($B326&lt;&gt;" ",C325+1,C325)</f>
        <v>276</v>
      </c>
      <c r="D326" s="150" t="n">
        <f aca="false">C326/12</f>
        <v>23</v>
      </c>
      <c r="F326" s="157" t="n">
        <f aca="false">+SUM($T326:$U326)</f>
        <v>14883.5779284771</v>
      </c>
      <c r="G326" s="152" t="n">
        <f aca="false">-SUM($AA326,$AG326,$AM326,$AQ326,$AV326:$AX326)</f>
        <v>-17129.802621519</v>
      </c>
      <c r="H326" s="152" t="n">
        <f aca="false">+SUM(F326:G326)</f>
        <v>-2246.22469304187</v>
      </c>
      <c r="I326" s="124"/>
      <c r="J326" s="153" t="n">
        <f aca="false">+IF($B326=" ",0,IF(AND($B326&gt;=J$26,$B326&lt;J$28),J$33,0))</f>
        <v>0</v>
      </c>
      <c r="K326" s="153" t="n">
        <f aca="false">+IF($B326=" ",0,IF(AND($B326&gt;=K$26,$B326&lt;K$28),K$33,0))</f>
        <v>0</v>
      </c>
      <c r="L326" s="153" t="n">
        <f aca="false">+IF($B326=" ",0,IF(AND($B326&gt;=L$26,$B326&lt;L$28),L$33,0))</f>
        <v>0</v>
      </c>
      <c r="M326" s="153" t="n">
        <f aca="false">+IF($B326=" ",0,IF(AND($B326&gt;=M$26,$B326&lt;M$28),M$33,0))</f>
        <v>0</v>
      </c>
      <c r="N326" s="153" t="n">
        <f aca="false">+IF($B326=" ",0,IF(AND($B326&gt;=N$26,$B326&lt;N$28),N$33,0))</f>
        <v>0</v>
      </c>
      <c r="O326" s="154" t="n">
        <f aca="false">+IF($B326=" ",0,IF(AND($B326&gt;=O$26,$B326&lt;O$28),O$33,0))</f>
        <v>5016515.625</v>
      </c>
      <c r="Q326" s="83" t="n">
        <f aca="false">IF($B326=" ",0,IF($B326&lt;=DATE(2003,12,31),3.55,2.9))</f>
        <v>2.9</v>
      </c>
      <c r="R326" s="155" t="n">
        <f aca="false">IF($B326=" ",0,R$25)</f>
        <v>-0.07</v>
      </c>
      <c r="S326" s="156" t="n">
        <f aca="false">IF($B326=" ",0,S$25)</f>
        <v>0.1</v>
      </c>
      <c r="T326" s="157" t="n">
        <f aca="false">+SUM($Q326,$S326)/1000*(SUM($J326*$J$37,$K326*$K$37,$L326*$L$37,$M326*$M$37,$N326*$N$37,$O326*$O$37))</f>
        <v>14883.5779284771</v>
      </c>
      <c r="U326" s="157" t="n">
        <f aca="false">+SUM($Q326,$R326)/1000*(SUM(0))</f>
        <v>0</v>
      </c>
      <c r="W326" s="158" t="n">
        <f aca="false">IF($B326=" ",0,1)*(IF($B326&gt;=W$25,1,0)*IF($B326&lt;=W$29,W$27,IF($B326&lt;=W$33,W$31,0))*($D326-$D325)*365/1000)</f>
        <v>486.66666666666</v>
      </c>
      <c r="X326" s="158" t="n">
        <f aca="false">IF($B326=" ",0,IF($B326&gt;=X$25,IF($B326&lt;=X$29,X$27,IF($B326&lt;=X$33,X$31,X$31*(1+X$38)^(IF(X$36&gt;$B326,-1,1)*(YEARFRAC($B326,X$36)))))*($D326-$D325)*365/1000,0))</f>
        <v>519.535097680534</v>
      </c>
      <c r="Y326" s="159" t="n">
        <f aca="false">IF($B326=" ",0,Y$25*(1+Y$30)^(IF(Y$28&gt;$B326,-1,1)*(YEARFRAC($B326,Y$28))))</f>
        <v>0.653041272873455</v>
      </c>
      <c r="Z326" s="159" t="n">
        <f aca="false">IF($B326=" ",0,Z$25*(1+Z$30)^(IF(Z$28&gt;$B326,-1,1)*(YEARFRAC($B326,Z$28))))</f>
        <v>0.623412099746857</v>
      </c>
      <c r="AA326" s="162" t="n">
        <f aca="false">+W326+X326+Z326*SUM($J326*$J$37,$L326*$L$37,$N326*$N$37)/1000</f>
        <v>1006.20176434719</v>
      </c>
      <c r="AB326" s="161"/>
      <c r="AC326" s="158" t="n">
        <f aca="false">IF($B326=" ",0,1)*(IF($B326&gt;=AC$25,1,0)*IF($B326&lt;=AC$29,AC$27,IF($B326&lt;=AC$33,AC$31,0))*($D326-$D325)*365/1000)</f>
        <v>1591.66666666664</v>
      </c>
      <c r="AD326" s="158" t="n">
        <f aca="false">IF($B326=" ",0,IF($B326&gt;=AD$25,IF($B326&lt;=AD$29,AD$27,IF($B326&lt;=AD$33,AD$31,AD$31*(1+AD$38)^(IF(AD$36&gt;$B326,-1,1)*(YEARFRAC($B326,AD$36)))))*($D326-$D325)*365/1000,0))</f>
        <v>462.499834435462</v>
      </c>
      <c r="AE326" s="159" t="n">
        <f aca="false">IF($B326=" ",0,AE$25*(1+AE$30)^(IF(AE$28&gt;$B326,-1,1)*(YEARFRAC($B326,AE$28))))</f>
        <v>0.5410412418431</v>
      </c>
      <c r="AF326" s="159" t="n">
        <f aca="false">IF($B326=" ",0,AF$25*(1+AF$30)^(IF(AF$28&gt;$B326,-1,1)*(YEARFRAC($B326,AF$28))))</f>
        <v>0.194124370586847</v>
      </c>
      <c r="AG326" s="162" t="n">
        <f aca="false">+AC326+AD326+AF326*SUM($K326*$K$37,$M326*$M$37,$O326*$O$37)/1000</f>
        <v>3017.25490025074</v>
      </c>
      <c r="AI326" s="158" t="n">
        <f aca="false">IF($B326=" ",0,1)*IF($B326&gt;=AI$33,AI$25*($D326-$D325),0)</f>
        <v>485.186570908327</v>
      </c>
      <c r="AJ326" s="158" t="n">
        <f aca="false">IF($B326=" ",0,IF($B326&gt;=AJ$33,AJ$25*(1+AJ$30)^(IF(AJ$28&gt;$B326,-1,1)*(YEARFRAC($B326,AJ$28)))*($D326-$D325),0))</f>
        <v>621.644442430071</v>
      </c>
      <c r="AK326" s="159" t="n">
        <f aca="false">IF($B326=" ",0,AK$25*(1+AK$30)^(IF(AK$28&gt;$B326,-1,1)*(YEARFRAC($B326,AK$28))))</f>
        <v>0.0355278340934934</v>
      </c>
      <c r="AL326" s="159" t="n">
        <f aca="false">IF($B326=" ",0,AL$25*AL$28)</f>
        <v>0.0575</v>
      </c>
      <c r="AM326" s="162" t="n">
        <f aca="false">+AI326+AJ326+SUM(AK326:AL326)*SUM($J326*$J$37,$K326*$K$37,$L326*$L$37,$M326*$M$37,$N326*$N$37,$O326*$O$37)/1000</f>
        <v>1568.36001942105</v>
      </c>
      <c r="AO326" s="163" t="n">
        <f aca="false">IF($B326=" ",0,$AO$25)</f>
        <v>0.25</v>
      </c>
      <c r="AP326" s="159" t="n">
        <f aca="false">IF($B326=" ",0,AP$25*AP$28)</f>
        <v>0.03105</v>
      </c>
      <c r="AQ326" s="162" t="n">
        <f aca="false">SUM(AO326:AP326)*SUM(0)/1000</f>
        <v>0</v>
      </c>
      <c r="AS326" s="155" t="n">
        <f aca="false">IF($B326=" ",0,AS$25)</f>
        <v>1</v>
      </c>
      <c r="AT326" s="156" t="n">
        <f aca="false">IF($B326=" ",0,AT$25)</f>
        <v>1</v>
      </c>
      <c r="AU326" s="156" t="n">
        <f aca="false">IF($B326=" ",0,AU$25)</f>
        <v>2.3</v>
      </c>
      <c r="AV326" s="157" t="n">
        <f aca="false">+AS326*SUM(J326:K326)/1000</f>
        <v>0</v>
      </c>
      <c r="AW326" s="157" t="n">
        <f aca="false">+AT326*SUM(L326:M326)/1000</f>
        <v>0</v>
      </c>
      <c r="AX326" s="157" t="n">
        <f aca="false">+AU326*SUM(N326:O326)/1000</f>
        <v>11537.9859375</v>
      </c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</row>
    <row r="327" customFormat="false" ht="12.75" hidden="true" customHeight="false" outlineLevel="1" collapsed="false">
      <c r="A327" s="164" t="n">
        <f aca="false">+IF(B327=" ",A326,B327)</f>
        <v>45231</v>
      </c>
      <c r="B327" s="148" t="n">
        <f aca="false">IF(B326=" "," ",IF(EDATE(B326,1)&gt;=EndDate," ",EDATE(B326,1)))</f>
        <v>45231</v>
      </c>
      <c r="C327" s="149" t="n">
        <f aca="false">IF($B327&lt;&gt;" ",C326+1,C326)</f>
        <v>277</v>
      </c>
      <c r="D327" s="150" t="n">
        <f aca="false">C327/12</f>
        <v>23.0833333333333</v>
      </c>
      <c r="F327" s="157" t="n">
        <f aca="false">+SUM($T327:$U327)</f>
        <v>14883.5779284771</v>
      </c>
      <c r="G327" s="152" t="n">
        <f aca="false">-SUM($AA327,$AG327,$AM327,$AQ327,$AV327:$AX327)</f>
        <v>-17133.3101886829</v>
      </c>
      <c r="H327" s="152" t="n">
        <f aca="false">+SUM(F327:G327)</f>
        <v>-2249.73226020578</v>
      </c>
      <c r="I327" s="124"/>
      <c r="J327" s="153" t="n">
        <f aca="false">+IF($B327=" ",0,IF(AND($B327&gt;=J$26,$B327&lt;J$28),J$33,0))</f>
        <v>0</v>
      </c>
      <c r="K327" s="153" t="n">
        <f aca="false">+IF($B327=" ",0,IF(AND($B327&gt;=K$26,$B327&lt;K$28),K$33,0))</f>
        <v>0</v>
      </c>
      <c r="L327" s="153" t="n">
        <f aca="false">+IF($B327=" ",0,IF(AND($B327&gt;=L$26,$B327&lt;L$28),L$33,0))</f>
        <v>0</v>
      </c>
      <c r="M327" s="153" t="n">
        <f aca="false">+IF($B327=" ",0,IF(AND($B327&gt;=M$26,$B327&lt;M$28),M$33,0))</f>
        <v>0</v>
      </c>
      <c r="N327" s="153" t="n">
        <f aca="false">+IF($B327=" ",0,IF(AND($B327&gt;=N$26,$B327&lt;N$28),N$33,0))</f>
        <v>0</v>
      </c>
      <c r="O327" s="154" t="n">
        <f aca="false">+IF($B327=" ",0,IF(AND($B327&gt;=O$26,$B327&lt;O$28),O$33,0))</f>
        <v>5016515.625</v>
      </c>
      <c r="Q327" s="83" t="n">
        <f aca="false">IF($B327=" ",0,IF($B327&lt;=DATE(2003,12,31),3.55,2.9))</f>
        <v>2.9</v>
      </c>
      <c r="R327" s="155" t="n">
        <f aca="false">IF($B327=" ",0,R$25)</f>
        <v>-0.07</v>
      </c>
      <c r="S327" s="156" t="n">
        <f aca="false">IF($B327=" ",0,S$25)</f>
        <v>0.1</v>
      </c>
      <c r="T327" s="157" t="n">
        <f aca="false">+SUM($Q327,$S327)/1000*(SUM($J327*$J$37,$K327*$K$37,$L327*$L$37,$M327*$M$37,$N327*$N$37,$O327*$O$37))</f>
        <v>14883.5779284771</v>
      </c>
      <c r="U327" s="157" t="n">
        <f aca="false">+SUM($Q327,$R327)/1000*(SUM(0))</f>
        <v>0</v>
      </c>
      <c r="W327" s="158" t="n">
        <f aca="false">IF($B327=" ",0,1)*(IF($B327&gt;=W$25,1,0)*IF($B327&lt;=W$29,W$27,IF($B327&lt;=W$33,W$31,0))*($D327-$D326)*365/1000)</f>
        <v>486.66666666666</v>
      </c>
      <c r="X327" s="158" t="n">
        <f aca="false">IF($B327=" ",0,IF($B327&gt;=X$25,IF($B327&lt;=X$29,X$27,IF($B327&lt;=X$33,X$31,X$31*(1+X$38)^(IF(X$36&gt;$B327,-1,1)*(YEARFRAC($B327,X$36)))))*($D327-$D326)*365/1000,0))</f>
        <v>520.251220151147</v>
      </c>
      <c r="Y327" s="159" t="n">
        <f aca="false">IF($B327=" ",0,Y$25*(1+Y$30)^(IF(Y$28&gt;$B327,-1,1)*(YEARFRAC($B327,Y$28))))</f>
        <v>0.65394141904612</v>
      </c>
      <c r="Z327" s="159" t="n">
        <f aca="false">IF($B327=" ",0,Z$25*(1+Z$30)^(IF(Z$28&gt;$B327,-1,1)*(YEARFRAC($B327,Z$28))))</f>
        <v>0.624271405335785</v>
      </c>
      <c r="AA327" s="162" t="n">
        <f aca="false">+W327+X327+Z327*SUM($J327*$J$37,$L327*$L$37,$N327*$N$37)/1000</f>
        <v>1006.91788681781</v>
      </c>
      <c r="AB327" s="161"/>
      <c r="AC327" s="158" t="n">
        <f aca="false">IF($B327=" ",0,1)*(IF($B327&gt;=AC$25,1,0)*IF($B327&lt;=AC$29,AC$27,IF($B327&lt;=AC$33,AC$31,0))*($D327-$D326)*365/1000)</f>
        <v>1591.66666666664</v>
      </c>
      <c r="AD327" s="158" t="n">
        <f aca="false">IF($B327=" ",0,IF($B327&gt;=AD$25,IF($B327&lt;=AD$29,AD$27,IF($B327&lt;=AD$33,AD$31,AD$31*(1+AD$38)^(IF(AD$36&gt;$B327,-1,1)*(YEARFRAC($B327,AD$36)))))*($D327-$D326)*365/1000,0))</f>
        <v>463.137340016072</v>
      </c>
      <c r="AE327" s="159" t="n">
        <f aca="false">IF($B327=" ",0,AE$25*(1+AE$30)^(IF(AE$28&gt;$B327,-1,1)*(YEARFRAC($B327,AE$28))))</f>
        <v>0.541787008187938</v>
      </c>
      <c r="AF327" s="159" t="n">
        <f aca="false">IF($B327=" ",0,AF$25*(1+AF$30)^(IF(AF$28&gt;$B327,-1,1)*(YEARFRAC($B327,AF$28))))</f>
        <v>0.194391949860108</v>
      </c>
      <c r="AG327" s="162" t="n">
        <f aca="false">+AC327+AD327+AF327*SUM($K327*$K$37,$M327*$M$37,$O327*$O$37)/1000</f>
        <v>3019.21991815323</v>
      </c>
      <c r="AI327" s="158" t="n">
        <f aca="false">IF($B327=" ",0,1)*IF($B327&gt;=AI$33,AI$25*($D327-$D326),0)</f>
        <v>485.186570908327</v>
      </c>
      <c r="AJ327" s="158" t="n">
        <f aca="false">IF($B327=" ",0,IF($B327&gt;=AJ$33,AJ$25*(1+AJ$30)^(IF(AJ$28&gt;$B327,-1,1)*(YEARFRAC($B327,AJ$28)))*($D327-$D326),0))</f>
        <v>622.288308183878</v>
      </c>
      <c r="AK327" s="159" t="n">
        <f aca="false">IF($B327=" ",0,AK$25*(1+AK$30)^(IF(AK$28&gt;$B327,-1,1)*(YEARFRAC($B327,AK$28))))</f>
        <v>0.0355646319060666</v>
      </c>
      <c r="AL327" s="159" t="n">
        <f aca="false">IF($B327=" ",0,AL$25*AL$28)</f>
        <v>0.0575</v>
      </c>
      <c r="AM327" s="162" t="n">
        <f aca="false">+AI327+AJ327+SUM(AK327:AL327)*SUM($J327*$J$37,$K327*$K$37,$L327*$L$37,$M327*$M$37,$N327*$N$37,$O327*$O$37)/1000</f>
        <v>1569.18644621186</v>
      </c>
      <c r="AO327" s="163" t="n">
        <f aca="false">IF($B327=" ",0,$AO$25)</f>
        <v>0.25</v>
      </c>
      <c r="AP327" s="159" t="n">
        <f aca="false">IF($B327=" ",0,AP$25*AP$28)</f>
        <v>0.03105</v>
      </c>
      <c r="AQ327" s="162" t="n">
        <f aca="false">SUM(AO327:AP327)*SUM(0)/1000</f>
        <v>0</v>
      </c>
      <c r="AS327" s="155" t="n">
        <f aca="false">IF($B327=" ",0,AS$25)</f>
        <v>1</v>
      </c>
      <c r="AT327" s="156" t="n">
        <f aca="false">IF($B327=" ",0,AT$25)</f>
        <v>1</v>
      </c>
      <c r="AU327" s="156" t="n">
        <f aca="false">IF($B327=" ",0,AU$25)</f>
        <v>2.3</v>
      </c>
      <c r="AV327" s="157" t="n">
        <f aca="false">+AS327*SUM(J327:K327)/1000</f>
        <v>0</v>
      </c>
      <c r="AW327" s="157" t="n">
        <f aca="false">+AT327*SUM(L327:M327)/1000</f>
        <v>0</v>
      </c>
      <c r="AX327" s="157" t="n">
        <f aca="false">+AU327*SUM(N327:O327)/1000</f>
        <v>11537.9859375</v>
      </c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</row>
    <row r="328" customFormat="false" ht="12.75" hidden="true" customHeight="false" outlineLevel="1" collapsed="false">
      <c r="A328" s="164" t="n">
        <f aca="false">+IF(B328=" ",A327,B328)</f>
        <v>45261</v>
      </c>
      <c r="B328" s="148" t="n">
        <f aca="false">IF(B327=" "," ",IF(EDATE(B327,1)&gt;=EndDate," ",EDATE(B327,1)))</f>
        <v>45261</v>
      </c>
      <c r="C328" s="149" t="n">
        <f aca="false">IF($B328&lt;&gt;" ",C327+1,C327)</f>
        <v>278</v>
      </c>
      <c r="D328" s="150" t="n">
        <f aca="false">C328/12</f>
        <v>23.1666666666667</v>
      </c>
      <c r="F328" s="157" t="n">
        <f aca="false">+SUM($T328:$U328)</f>
        <v>14883.5779284771</v>
      </c>
      <c r="G328" s="152" t="n">
        <f aca="false">-SUM($AA328,$AG328,$AM328,$AQ328,$AV328:$AX328)</f>
        <v>-17136.8223074748</v>
      </c>
      <c r="H328" s="152" t="n">
        <f aca="false">+SUM(F328:G328)</f>
        <v>-2253.24437899772</v>
      </c>
      <c r="I328" s="124"/>
      <c r="J328" s="153" t="n">
        <f aca="false">+IF($B328=" ",0,IF(AND($B328&gt;=J$26,$B328&lt;J$28),J$33,0))</f>
        <v>0</v>
      </c>
      <c r="K328" s="153" t="n">
        <f aca="false">+IF($B328=" ",0,IF(AND($B328&gt;=K$26,$B328&lt;K$28),K$33,0))</f>
        <v>0</v>
      </c>
      <c r="L328" s="153" t="n">
        <f aca="false">+IF($B328=" ",0,IF(AND($B328&gt;=L$26,$B328&lt;L$28),L$33,0))</f>
        <v>0</v>
      </c>
      <c r="M328" s="153" t="n">
        <f aca="false">+IF($B328=" ",0,IF(AND($B328&gt;=M$26,$B328&lt;M$28),M$33,0))</f>
        <v>0</v>
      </c>
      <c r="N328" s="153" t="n">
        <f aca="false">+IF($B328=" ",0,IF(AND($B328&gt;=N$26,$B328&lt;N$28),N$33,0))</f>
        <v>0</v>
      </c>
      <c r="O328" s="154" t="n">
        <f aca="false">+IF($B328=" ",0,IF(AND($B328&gt;=O$26,$B328&lt;O$28),O$33,0))</f>
        <v>5016515.625</v>
      </c>
      <c r="Q328" s="83" t="n">
        <f aca="false">IF($B328=" ",0,IF($B328&lt;=DATE(2003,12,31),3.55,2.9))</f>
        <v>2.9</v>
      </c>
      <c r="R328" s="155" t="n">
        <f aca="false">IF($B328=" ",0,R$25)</f>
        <v>-0.07</v>
      </c>
      <c r="S328" s="156" t="n">
        <f aca="false">IF($B328=" ",0,S$25)</f>
        <v>0.1</v>
      </c>
      <c r="T328" s="157" t="n">
        <f aca="false">+SUM($Q328,$S328)/1000*(SUM($J328*$J$37,$K328*$K$37,$L328*$L$37,$M328*$M$37,$N328*$N$37,$O328*$O$37))</f>
        <v>14883.5779284771</v>
      </c>
      <c r="U328" s="157" t="n">
        <f aca="false">+SUM($Q328,$R328)/1000*(SUM(0))</f>
        <v>0</v>
      </c>
      <c r="W328" s="158" t="n">
        <f aca="false">IF($B328=" ",0,1)*(IF($B328&gt;=W$25,1,0)*IF($B328&lt;=W$29,W$27,IF($B328&lt;=W$33,W$31,0))*($D328-$D327)*365/1000)</f>
        <v>486.666666666681</v>
      </c>
      <c r="X328" s="158" t="n">
        <f aca="false">IF($B328=" ",0,IF($B328&gt;=X$25,IF($B328&lt;=X$29,X$27,IF($B328&lt;=X$33,X$31,X$31*(1+X$38)^(IF(X$36&gt;$B328,-1,1)*(YEARFRAC($B328,X$36)))))*($D328-$D327)*365/1000,0))</f>
        <v>520.968329718506</v>
      </c>
      <c r="Y328" s="159" t="n">
        <f aca="false">IF($B328=" ",0,Y$25*(1+Y$30)^(IF(Y$28&gt;$B328,-1,1)*(YEARFRAC($B328,Y$28))))</f>
        <v>0.654842805972113</v>
      </c>
      <c r="Z328" s="159" t="n">
        <f aca="false">IF($B328=" ",0,Z$25*(1+Z$30)^(IF(Z$28&gt;$B328,-1,1)*(YEARFRAC($B328,Z$28))))</f>
        <v>0.625131895383749</v>
      </c>
      <c r="AA328" s="162" t="n">
        <f aca="false">+W328+X328+Z328*SUM($J328*$J$37,$L328*$L$37,$N328*$N$37)/1000</f>
        <v>1007.63499638519</v>
      </c>
      <c r="AB328" s="161"/>
      <c r="AC328" s="158" t="n">
        <f aca="false">IF($B328=" ",0,1)*(IF($B328&gt;=AC$25,1,0)*IF($B328&lt;=AC$29,AC$27,IF($B328&lt;=AC$33,AC$31,0))*($D328-$D327)*365/1000)</f>
        <v>1591.66666666671</v>
      </c>
      <c r="AD328" s="158" t="n">
        <f aca="false">IF($B328=" ",0,IF($B328&gt;=AD$25,IF($B328&lt;=AD$29,AD$27,IF($B328&lt;=AD$33,AD$31,AD$31*(1+AD$38)^(IF(AD$36&gt;$B328,-1,1)*(YEARFRAC($B328,AD$36)))))*($D328-$D327)*365/1000,0))</f>
        <v>463.775724328617</v>
      </c>
      <c r="AE328" s="159" t="n">
        <f aca="false">IF($B328=" ",0,AE$25*(1+AE$30)^(IF(AE$28&gt;$B328,-1,1)*(YEARFRAC($B328,AE$28))))</f>
        <v>0.542533802490348</v>
      </c>
      <c r="AF328" s="159" t="n">
        <f aca="false">IF($B328=" ",0,AF$25*(1+AF$30)^(IF(AF$28&gt;$B328,-1,1)*(YEARFRAC($B328,AF$28))))</f>
        <v>0.194659897962214</v>
      </c>
      <c r="AG328" s="162" t="n">
        <f aca="false">+AC328+AD328+AF328*SUM($K328*$K$37,$M328*$M$37,$O328*$O$37)/1000</f>
        <v>3021.18764461867</v>
      </c>
      <c r="AI328" s="158" t="n">
        <f aca="false">IF($B328=" ",0,1)*IF($B328&gt;=AI$33,AI$25*($D328-$D327),0)</f>
        <v>485.186570908347</v>
      </c>
      <c r="AJ328" s="158" t="n">
        <f aca="false">IF($B328=" ",0,IF($B328&gt;=AJ$33,AJ$25*(1+AJ$30)^(IF(AJ$28&gt;$B328,-1,1)*(YEARFRAC($B328,AJ$28)))*($D328-$D327),0))</f>
        <v>622.932840819099</v>
      </c>
      <c r="AK328" s="159" t="n">
        <f aca="false">IF($B328=" ",0,AK$25*(1+AK$30)^(IF(AK$28&gt;$B328,-1,1)*(YEARFRAC($B328,AK$28))))</f>
        <v>0.0356014678318276</v>
      </c>
      <c r="AL328" s="159" t="n">
        <f aca="false">IF($B328=" ",0,AL$25*AL$28)</f>
        <v>0.0575</v>
      </c>
      <c r="AM328" s="162" t="n">
        <f aca="false">+AI328+AJ328+SUM(AK328:AL328)*SUM($J328*$J$37,$K328*$K$37,$L328*$L$37,$M328*$M$37,$N328*$N$37,$O328*$O$37)/1000</f>
        <v>1570.01372897098</v>
      </c>
      <c r="AO328" s="163" t="n">
        <f aca="false">IF($B328=" ",0,$AO$25)</f>
        <v>0.25</v>
      </c>
      <c r="AP328" s="159" t="n">
        <f aca="false">IF($B328=" ",0,AP$25*AP$28)</f>
        <v>0.03105</v>
      </c>
      <c r="AQ328" s="162" t="n">
        <f aca="false">SUM(AO328:AP328)*SUM(0)/1000</f>
        <v>0</v>
      </c>
      <c r="AS328" s="155" t="n">
        <f aca="false">IF($B328=" ",0,AS$25)</f>
        <v>1</v>
      </c>
      <c r="AT328" s="156" t="n">
        <f aca="false">IF($B328=" ",0,AT$25)</f>
        <v>1</v>
      </c>
      <c r="AU328" s="156" t="n">
        <f aca="false">IF($B328=" ",0,AU$25)</f>
        <v>2.3</v>
      </c>
      <c r="AV328" s="157" t="n">
        <f aca="false">+AS328*SUM(J328:K328)/1000</f>
        <v>0</v>
      </c>
      <c r="AW328" s="157" t="n">
        <f aca="false">+AT328*SUM(L328:M328)/1000</f>
        <v>0</v>
      </c>
      <c r="AX328" s="157" t="n">
        <f aca="false">+AU328*SUM(N328:O328)/1000</f>
        <v>11537.9859375</v>
      </c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</row>
    <row r="329" customFormat="false" ht="12.75" hidden="false" customHeight="false" outlineLevel="0" collapsed="false">
      <c r="A329" s="164" t="n">
        <f aca="false">+IF(B329=" ",A328,B329)</f>
        <v>45292</v>
      </c>
      <c r="B329" s="148" t="n">
        <f aca="false">IF(B328=" "," ",IF(EDATE(B328,1)&gt;=EndDate," ",EDATE(B328,1)))</f>
        <v>45292</v>
      </c>
      <c r="C329" s="149" t="n">
        <f aca="false">IF($B329&lt;&gt;" ",C328+1,C328)</f>
        <v>279</v>
      </c>
      <c r="D329" s="150" t="n">
        <f aca="false">C329/12</f>
        <v>23.25</v>
      </c>
      <c r="F329" s="157" t="n">
        <f aca="false">+SUM($T329:$U329)</f>
        <v>14883.5779284771</v>
      </c>
      <c r="G329" s="152" t="n">
        <f aca="false">-SUM($AA329,$AG329,$AM329,$AQ329,$AV329:$AX329)</f>
        <v>-17140.3389838749</v>
      </c>
      <c r="H329" s="152" t="n">
        <f aca="false">+SUM(F329:G329)</f>
        <v>-2256.76105539779</v>
      </c>
      <c r="I329" s="124"/>
      <c r="J329" s="153" t="n">
        <f aca="false">+IF($B329=" ",0,IF(AND($B329&gt;=J$26,$B329&lt;J$28),J$33,0))</f>
        <v>0</v>
      </c>
      <c r="K329" s="153" t="n">
        <f aca="false">+IF($B329=" ",0,IF(AND($B329&gt;=K$26,$B329&lt;K$28),K$33,0))</f>
        <v>0</v>
      </c>
      <c r="L329" s="153" t="n">
        <f aca="false">+IF($B329=" ",0,IF(AND($B329&gt;=L$26,$B329&lt;L$28),L$33,0))</f>
        <v>0</v>
      </c>
      <c r="M329" s="153" t="n">
        <f aca="false">+IF($B329=" ",0,IF(AND($B329&gt;=M$26,$B329&lt;M$28),M$33,0))</f>
        <v>0</v>
      </c>
      <c r="N329" s="153" t="n">
        <f aca="false">+IF($B329=" ",0,IF(AND($B329&gt;=N$26,$B329&lt;N$28),N$33,0))</f>
        <v>0</v>
      </c>
      <c r="O329" s="154" t="n">
        <f aca="false">+IF($B329=" ",0,IF(AND($B329&gt;=O$26,$B329&lt;O$28),O$33,0))</f>
        <v>5016515.625</v>
      </c>
      <c r="Q329" s="83" t="n">
        <f aca="false">IF($B329=" ",0,IF($B329&lt;=DATE(2003,12,31),3.55,2.9))</f>
        <v>2.9</v>
      </c>
      <c r="R329" s="155" t="n">
        <f aca="false">IF($B329=" ",0,R$25)</f>
        <v>-0.07</v>
      </c>
      <c r="S329" s="156" t="n">
        <f aca="false">IF($B329=" ",0,S$25)</f>
        <v>0.1</v>
      </c>
      <c r="T329" s="157" t="n">
        <f aca="false">+SUM($Q329,$S329)/1000*(SUM($J329*$J$37,$K329*$K$37,$L329*$L$37,$M329*$M$37,$N329*$N$37,$O329*$O$37))</f>
        <v>14883.5779284771</v>
      </c>
      <c r="U329" s="157" t="n">
        <f aca="false">+SUM($Q329,$R329)/1000*(SUM(0))</f>
        <v>0</v>
      </c>
      <c r="W329" s="158" t="n">
        <f aca="false">IF($B329=" ",0,1)*(IF($B329&gt;=W$25,1,0)*IF($B329&lt;=W$29,W$27,IF($B329&lt;=W$33,W$31,0))*($D329-$D328)*365/1000)</f>
        <v>486.66666666666</v>
      </c>
      <c r="X329" s="158" t="n">
        <f aca="false">IF($B329=" ",0,IF($B329&gt;=X$25,IF($B329&lt;=X$29,X$27,IF($B329&lt;=X$33,X$31,X$31*(1+X$38)^(IF(X$36&gt;$B329,-1,1)*(YEARFRAC($B329,X$36)))))*($D329-$D328)*365/1000,0))</f>
        <v>521.68642774315</v>
      </c>
      <c r="Y329" s="159" t="n">
        <f aca="false">IF($B329=" ",0,Y$25*(1+Y$30)^(IF(Y$28&gt;$B329,-1,1)*(YEARFRAC($B329,Y$28))))</f>
        <v>0.655745435361676</v>
      </c>
      <c r="Z329" s="159" t="n">
        <f aca="false">IF($B329=" ",0,Z$25*(1+Z$30)^(IF(Z$28&gt;$B329,-1,1)*(YEARFRAC($B329,Z$28))))</f>
        <v>0.625993571523397</v>
      </c>
      <c r="AA329" s="162" t="n">
        <f aca="false">+W329+X329+Z329*SUM($J329*$J$37,$L329*$L$37,$N329*$N$37)/1000</f>
        <v>1008.35309440981</v>
      </c>
      <c r="AB329" s="161"/>
      <c r="AC329" s="158" t="n">
        <f aca="false">IF($B329=" ",0,1)*(IF($B329&gt;=AC$25,1,0)*IF($B329&lt;=AC$29,AC$27,IF($B329&lt;=AC$33,AC$31,0))*($D329-$D328)*365/1000)</f>
        <v>1591.66666666664</v>
      </c>
      <c r="AD329" s="158" t="n">
        <f aca="false">IF($B329=" ",0,IF($B329&gt;=AD$25,IF($B329&lt;=AD$29,AD$27,IF($B329&lt;=AD$33,AD$31,AD$31*(1+AD$38)^(IF(AD$36&gt;$B329,-1,1)*(YEARFRAC($B329,AD$36)))))*($D329-$D328)*365/1000,0))</f>
        <v>464.414988584274</v>
      </c>
      <c r="AE329" s="159" t="n">
        <f aca="false">IF($B329=" ",0,AE$25*(1+AE$30)^(IF(AE$28&gt;$B329,-1,1)*(YEARFRAC($B329,AE$28))))</f>
        <v>0.543281626167256</v>
      </c>
      <c r="AF329" s="159" t="n">
        <f aca="false">IF($B329=" ",0,AF$25*(1+AF$30)^(IF(AF$28&gt;$B329,-1,1)*(YEARFRAC($B329,AF$28))))</f>
        <v>0.194928215401556</v>
      </c>
      <c r="AG329" s="162" t="n">
        <f aca="false">+AC329+AD329+AF329*SUM($K329*$K$37,$M329*$M$37,$O329*$O$37)/1000</f>
        <v>3023.15808338026</v>
      </c>
      <c r="AI329" s="158" t="n">
        <f aca="false">IF($B329=" ",0,1)*IF($B329&gt;=AI$33,AI$25*($D329-$D328),0)</f>
        <v>485.186570908327</v>
      </c>
      <c r="AJ329" s="158" t="n">
        <f aca="false">IF($B329=" ",0,IF($B329&gt;=AJ$33,AJ$25*(1+AJ$30)^(IF(AJ$28&gt;$B329,-1,1)*(YEARFRAC($B329,AJ$28)))*($D329-$D328),0))</f>
        <v>623.578041026376</v>
      </c>
      <c r="AK329" s="159" t="n">
        <f aca="false">IF($B329=" ",0,AK$25*(1+AK$30)^(IF(AK$28&gt;$B329,-1,1)*(YEARFRAC($B329,AK$28))))</f>
        <v>0.0356383419102518</v>
      </c>
      <c r="AL329" s="159" t="n">
        <f aca="false">IF($B329=" ",0,AL$25*AL$28)</f>
        <v>0.0575</v>
      </c>
      <c r="AM329" s="162" t="n">
        <f aca="false">+AI329+AJ329+SUM(AK329:AL329)*SUM($J329*$J$37,$K329*$K$37,$L329*$L$37,$M329*$M$37,$N329*$N$37,$O329*$O$37)/1000</f>
        <v>1570.84186858483</v>
      </c>
      <c r="AO329" s="163" t="n">
        <f aca="false">IF($B329=" ",0,$AO$25)</f>
        <v>0.25</v>
      </c>
      <c r="AP329" s="159" t="n">
        <f aca="false">IF($B329=" ",0,AP$25*AP$28)</f>
        <v>0.03105</v>
      </c>
      <c r="AQ329" s="162" t="n">
        <f aca="false">SUM(AO329:AP329)*SUM(0)/1000</f>
        <v>0</v>
      </c>
      <c r="AS329" s="155" t="n">
        <f aca="false">IF($B329=" ",0,AS$25)</f>
        <v>1</v>
      </c>
      <c r="AT329" s="156" t="n">
        <f aca="false">IF($B329=" ",0,AT$25)</f>
        <v>1</v>
      </c>
      <c r="AU329" s="156" t="n">
        <f aca="false">IF($B329=" ",0,AU$25)</f>
        <v>2.3</v>
      </c>
      <c r="AV329" s="157" t="n">
        <f aca="false">+AS329*SUM(J329:K329)/1000</f>
        <v>0</v>
      </c>
      <c r="AW329" s="157" t="n">
        <f aca="false">+AT329*SUM(L329:M329)/1000</f>
        <v>0</v>
      </c>
      <c r="AX329" s="157" t="n">
        <f aca="false">+AU329*SUM(N329:O329)/1000</f>
        <v>11537.9859375</v>
      </c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</row>
    <row r="330" customFormat="false" ht="12.75" hidden="false" customHeight="false" outlineLevel="0" collapsed="false">
      <c r="A330" s="164" t="n">
        <f aca="false">+IF(B330=" ",A329,B330)</f>
        <v>45323</v>
      </c>
      <c r="B330" s="148" t="n">
        <f aca="false">IF(B329=" "," ",IF(EDATE(B329,1)&gt;=EndDate," ",EDATE(B329,1)))</f>
        <v>45323</v>
      </c>
      <c r="C330" s="149" t="n">
        <f aca="false">IF($B330&lt;&gt;" ",C329+1,C329)</f>
        <v>280</v>
      </c>
      <c r="D330" s="150" t="n">
        <f aca="false">C330/12</f>
        <v>23.3333333333333</v>
      </c>
      <c r="F330" s="157" t="n">
        <f aca="false">+SUM($T330:$U330)</f>
        <v>14883.5779284771</v>
      </c>
      <c r="G330" s="152" t="n">
        <f aca="false">-SUM($AA330,$AG330,$AM330,$AQ330,$AV330:$AX330)</f>
        <v>-17143.8602238722</v>
      </c>
      <c r="H330" s="152" t="n">
        <f aca="false">+SUM(F330:G330)</f>
        <v>-2260.28229539507</v>
      </c>
      <c r="I330" s="124"/>
      <c r="J330" s="153" t="n">
        <f aca="false">+IF($B330=" ",0,IF(AND($B330&gt;=J$26,$B330&lt;J$28),J$33,0))</f>
        <v>0</v>
      </c>
      <c r="K330" s="153" t="n">
        <f aca="false">+IF($B330=" ",0,IF(AND($B330&gt;=K$26,$B330&lt;K$28),K$33,0))</f>
        <v>0</v>
      </c>
      <c r="L330" s="153" t="n">
        <f aca="false">+IF($B330=" ",0,IF(AND($B330&gt;=L$26,$B330&lt;L$28),L$33,0))</f>
        <v>0</v>
      </c>
      <c r="M330" s="153" t="n">
        <f aca="false">+IF($B330=" ",0,IF(AND($B330&gt;=M$26,$B330&lt;M$28),M$33,0))</f>
        <v>0</v>
      </c>
      <c r="N330" s="153" t="n">
        <f aca="false">+IF($B330=" ",0,IF(AND($B330&gt;=N$26,$B330&lt;N$28),N$33,0))</f>
        <v>0</v>
      </c>
      <c r="O330" s="154" t="n">
        <f aca="false">+IF($B330=" ",0,IF(AND($B330&gt;=O$26,$B330&lt;O$28),O$33,0))</f>
        <v>5016515.625</v>
      </c>
      <c r="Q330" s="83" t="n">
        <f aca="false">IF($B330=" ",0,IF($B330&lt;=DATE(2003,12,31),3.55,2.9))</f>
        <v>2.9</v>
      </c>
      <c r="R330" s="155" t="n">
        <f aca="false">IF($B330=" ",0,R$25)</f>
        <v>-0.07</v>
      </c>
      <c r="S330" s="156" t="n">
        <f aca="false">IF($B330=" ",0,S$25)</f>
        <v>0.1</v>
      </c>
      <c r="T330" s="157" t="n">
        <f aca="false">+SUM($Q330,$S330)/1000*(SUM($J330*$J$37,$K330*$K$37,$L330*$L$37,$M330*$M$37,$N330*$N$37,$O330*$O$37))</f>
        <v>14883.5779284771</v>
      </c>
      <c r="U330" s="157" t="n">
        <f aca="false">+SUM($Q330,$R330)/1000*(SUM(0))</f>
        <v>0</v>
      </c>
      <c r="W330" s="158" t="n">
        <f aca="false">IF($B330=" ",0,1)*(IF($B330&gt;=W$25,1,0)*IF($B330&lt;=W$29,W$27,IF($B330&lt;=W$33,W$31,0))*($D330-$D329)*365/1000)</f>
        <v>486.66666666666</v>
      </c>
      <c r="X330" s="158" t="n">
        <f aca="false">IF($B330=" ",0,IF($B330&gt;=X$25,IF($B330&lt;=X$29,X$27,IF($B330&lt;=X$33,X$31,X$31*(1+X$38)^(IF(X$36&gt;$B330,-1,1)*(YEARFRAC($B330,X$36)))))*($D330-$D329)*365/1000,0))</f>
        <v>522.405515587626</v>
      </c>
      <c r="Y330" s="159" t="n">
        <f aca="false">IF($B330=" ",0,Y$25*(1+Y$30)^(IF(Y$28&gt;$B330,-1,1)*(YEARFRAC($B330,Y$28))))</f>
        <v>0.65664930892741</v>
      </c>
      <c r="Z330" s="159" t="n">
        <f aca="false">IF($B330=" ",0,Z$25*(1+Z$30)^(IF(Z$28&gt;$B330,-1,1)*(YEARFRAC($B330,Z$28))))</f>
        <v>0.626856435389628</v>
      </c>
      <c r="AA330" s="162" t="n">
        <f aca="false">+W330+X330+Z330*SUM($J330*$J$37,$L330*$L$37,$N330*$N$37)/1000</f>
        <v>1009.07218225429</v>
      </c>
      <c r="AB330" s="161"/>
      <c r="AC330" s="158" t="n">
        <f aca="false">IF($B330=" ",0,1)*(IF($B330&gt;=AC$25,1,0)*IF($B330&lt;=AC$29,AC$27,IF($B330&lt;=AC$33,AC$31,0))*($D330-$D329)*365/1000)</f>
        <v>1591.66666666664</v>
      </c>
      <c r="AD330" s="158" t="n">
        <f aca="false">IF($B330=" ",0,IF($B330&gt;=AD$25,IF($B330&lt;=AD$29,AD$27,IF($B330&lt;=AD$33,AD$31,AD$31*(1+AD$38)^(IF(AD$36&gt;$B330,-1,1)*(YEARFRAC($B330,AD$36)))))*($D330-$D329)*365/1000,0))</f>
        <v>465.055133996007</v>
      </c>
      <c r="AE330" s="159" t="n">
        <f aca="false">IF($B330=" ",0,AE$25*(1+AE$30)^(IF(AE$28&gt;$B330,-1,1)*(YEARFRAC($B330,AE$28))))</f>
        <v>0.544030480637544</v>
      </c>
      <c r="AF330" s="159" t="n">
        <f aca="false">IF($B330=" ",0,AF$25*(1+AF$30)^(IF(AF$28&gt;$B330,-1,1)*(YEARFRAC($B330,AF$28))))</f>
        <v>0.195196902687225</v>
      </c>
      <c r="AG330" s="162" t="n">
        <f aca="false">+AC330+AD330+AF330*SUM($K330*$K$37,$M330*$M$37,$O330*$O$37)/1000</f>
        <v>3025.13123817688</v>
      </c>
      <c r="AI330" s="158" t="n">
        <f aca="false">IF($B330=" ",0,1)*IF($B330&gt;=AI$33,AI$25*($D330-$D329),0)</f>
        <v>485.186570908327</v>
      </c>
      <c r="AJ330" s="158" t="n">
        <f aca="false">IF($B330=" ",0,IF($B330&gt;=AJ$33,AJ$25*(1+AJ$30)^(IF(AJ$28&gt;$B330,-1,1)*(YEARFRAC($B330,AJ$28)))*($D330-$D329),0))</f>
        <v>624.223909497222</v>
      </c>
      <c r="AK330" s="159" t="n">
        <f aca="false">IF($B330=" ",0,AK$25*(1+AK$30)^(IF(AK$28&gt;$B330,-1,1)*(YEARFRAC($B330,AK$28))))</f>
        <v>0.0356752541808558</v>
      </c>
      <c r="AL330" s="159" t="n">
        <f aca="false">IF($B330=" ",0,AL$25*AL$28)</f>
        <v>0.0575</v>
      </c>
      <c r="AM330" s="162" t="n">
        <f aca="false">+AI330+AJ330+SUM(AK330:AL330)*SUM($J330*$J$37,$K330*$K$37,$L330*$L$37,$M330*$M$37,$N330*$N$37,$O330*$O$37)/1000</f>
        <v>1571.67086594103</v>
      </c>
      <c r="AO330" s="163" t="n">
        <f aca="false">IF($B330=" ",0,$AO$25)</f>
        <v>0.25</v>
      </c>
      <c r="AP330" s="159" t="n">
        <f aca="false">IF($B330=" ",0,AP$25*AP$28)</f>
        <v>0.03105</v>
      </c>
      <c r="AQ330" s="162" t="n">
        <f aca="false">SUM(AO330:AP330)*SUM(0)/1000</f>
        <v>0</v>
      </c>
      <c r="AS330" s="155" t="n">
        <f aca="false">IF($B330=" ",0,AS$25)</f>
        <v>1</v>
      </c>
      <c r="AT330" s="156" t="n">
        <f aca="false">IF($B330=" ",0,AT$25)</f>
        <v>1</v>
      </c>
      <c r="AU330" s="156" t="n">
        <f aca="false">IF($B330=" ",0,AU$25)</f>
        <v>2.3</v>
      </c>
      <c r="AV330" s="157" t="n">
        <f aca="false">+AS330*SUM(J330:K330)/1000</f>
        <v>0</v>
      </c>
      <c r="AW330" s="157" t="n">
        <f aca="false">+AT330*SUM(L330:M330)/1000</f>
        <v>0</v>
      </c>
      <c r="AX330" s="157" t="n">
        <f aca="false">+AU330*SUM(N330:O330)/1000</f>
        <v>11537.9859375</v>
      </c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</row>
    <row r="331" customFormat="false" ht="12.75" hidden="false" customHeight="false" outlineLevel="0" collapsed="false">
      <c r="A331" s="164" t="n">
        <f aca="false">+IF(B331=" ",A330,B331)</f>
        <v>45352</v>
      </c>
      <c r="B331" s="148" t="n">
        <f aca="false">IF(B330=" "," ",IF(EDATE(B330,1)&gt;=EndDate," ",EDATE(B330,1)))</f>
        <v>45352</v>
      </c>
      <c r="C331" s="149" t="n">
        <f aca="false">IF($B331&lt;&gt;" ",C330+1,C330)</f>
        <v>281</v>
      </c>
      <c r="D331" s="150" t="n">
        <f aca="false">C331/12</f>
        <v>23.4166666666667</v>
      </c>
      <c r="F331" s="157" t="n">
        <f aca="false">+SUM($T331:$U331)</f>
        <v>14883.5779284771</v>
      </c>
      <c r="G331" s="152" t="n">
        <f aca="false">-SUM($AA331,$AG331,$AM331,$AQ331,$AV331:$AX331)</f>
        <v>-17147.3860334632</v>
      </c>
      <c r="H331" s="152" t="n">
        <f aca="false">+SUM(F331:G331)</f>
        <v>-2263.80810498611</v>
      </c>
      <c r="I331" s="124"/>
      <c r="J331" s="153" t="n">
        <f aca="false">+IF($B331=" ",0,IF(AND($B331&gt;=J$26,$B331&lt;J$28),J$33,0))</f>
        <v>0</v>
      </c>
      <c r="K331" s="153" t="n">
        <f aca="false">+IF($B331=" ",0,IF(AND($B331&gt;=K$26,$B331&lt;K$28),K$33,0))</f>
        <v>0</v>
      </c>
      <c r="L331" s="153" t="n">
        <f aca="false">+IF($B331=" ",0,IF(AND($B331&gt;=L$26,$B331&lt;L$28),L$33,0))</f>
        <v>0</v>
      </c>
      <c r="M331" s="153" t="n">
        <f aca="false">+IF($B331=" ",0,IF(AND($B331&gt;=M$26,$B331&lt;M$28),M$33,0))</f>
        <v>0</v>
      </c>
      <c r="N331" s="153" t="n">
        <f aca="false">+IF($B331=" ",0,IF(AND($B331&gt;=N$26,$B331&lt;N$28),N$33,0))</f>
        <v>0</v>
      </c>
      <c r="O331" s="154" t="n">
        <f aca="false">+IF($B331=" ",0,IF(AND($B331&gt;=O$26,$B331&lt;O$28),O$33,0))</f>
        <v>5016515.625</v>
      </c>
      <c r="Q331" s="83" t="n">
        <f aca="false">IF($B331=" ",0,IF($B331&lt;=DATE(2003,12,31),3.55,2.9))</f>
        <v>2.9</v>
      </c>
      <c r="R331" s="155" t="n">
        <f aca="false">IF($B331=" ",0,R$25)</f>
        <v>-0.07</v>
      </c>
      <c r="S331" s="156" t="n">
        <f aca="false">IF($B331=" ",0,S$25)</f>
        <v>0.1</v>
      </c>
      <c r="T331" s="157" t="n">
        <f aca="false">+SUM($Q331,$S331)/1000*(SUM($J331*$J$37,$K331*$K$37,$L331*$L$37,$M331*$M$37,$N331*$N$37,$O331*$O$37))</f>
        <v>14883.5779284771</v>
      </c>
      <c r="U331" s="157" t="n">
        <f aca="false">+SUM($Q331,$R331)/1000*(SUM(0))</f>
        <v>0</v>
      </c>
      <c r="W331" s="158" t="n">
        <f aca="false">IF($B331=" ",0,1)*(IF($B331&gt;=W$25,1,0)*IF($B331&lt;=W$29,W$27,IF($B331&lt;=W$33,W$31,0))*($D331-$D330)*365/1000)</f>
        <v>486.666666666681</v>
      </c>
      <c r="X331" s="158" t="n">
        <f aca="false">IF($B331=" ",0,IF($B331&gt;=X$25,IF($B331&lt;=X$29,X$27,IF($B331&lt;=X$33,X$31,X$31*(1+X$38)^(IF(X$36&gt;$B331,-1,1)*(YEARFRAC($B331,X$36)))))*($D331-$D330)*365/1000,0))</f>
        <v>523.125594616293</v>
      </c>
      <c r="Y331" s="159" t="n">
        <f aca="false">IF($B331=" ",0,Y$25*(1+Y$30)^(IF(Y$28&gt;$B331,-1,1)*(YEARFRAC($B331,Y$28))))</f>
        <v>0.657554428384276</v>
      </c>
      <c r="Z331" s="159" t="n">
        <f aca="false">IF($B331=" ",0,Z$25*(1+Z$30)^(IF(Z$28&gt;$B331,-1,1)*(YEARFRAC($B331,Z$28))))</f>
        <v>0.627720488619593</v>
      </c>
      <c r="AA331" s="162" t="n">
        <f aca="false">+W331+X331+Z331*SUM($J331*$J$37,$L331*$L$37,$N331*$N$37)/1000</f>
        <v>1009.79226128297</v>
      </c>
      <c r="AB331" s="161"/>
      <c r="AC331" s="158" t="n">
        <f aca="false">IF($B331=" ",0,1)*(IF($B331&gt;=AC$25,1,0)*IF($B331&lt;=AC$29,AC$27,IF($B331&lt;=AC$33,AC$31,0))*($D331-$D330)*365/1000)</f>
        <v>1591.66666666671</v>
      </c>
      <c r="AD331" s="158" t="n">
        <f aca="false">IF($B331=" ",0,IF($B331&gt;=AD$25,IF($B331&lt;=AD$29,AD$27,IF($B331&lt;=AD$33,AD$31,AD$31*(1+AD$38)^(IF(AD$36&gt;$B331,-1,1)*(YEARFRAC($B331,AD$36)))))*($D331-$D330)*365/1000,0))</f>
        <v>465.696161778395</v>
      </c>
      <c r="AE331" s="159" t="n">
        <f aca="false">IF($B331=" ",0,AE$25*(1+AE$30)^(IF(AE$28&gt;$B331,-1,1)*(YEARFRAC($B331,AE$28))))</f>
        <v>0.544780367322048</v>
      </c>
      <c r="AF331" s="159" t="n">
        <f aca="false">IF($B331=" ",0,AF$25*(1+AF$30)^(IF(AF$28&gt;$B331,-1,1)*(YEARFRAC($B331,AF$28))))</f>
        <v>0.195465960329014</v>
      </c>
      <c r="AG331" s="162" t="n">
        <f aca="false">+AC331+AD331+AF331*SUM($K331*$K$37,$M331*$M$37,$O331*$O$37)/1000</f>
        <v>3027.10711275227</v>
      </c>
      <c r="AI331" s="158" t="n">
        <f aca="false">IF($B331=" ",0,1)*IF($B331&gt;=AI$33,AI$25*($D331-$D330),0)</f>
        <v>485.186570908347</v>
      </c>
      <c r="AJ331" s="158" t="n">
        <f aca="false">IF($B331=" ",0,IF($B331&gt;=AJ$33,AJ$25*(1+AJ$30)^(IF(AJ$28&gt;$B331,-1,1)*(YEARFRAC($B331,AJ$28)))*($D331-$D330),0))</f>
        <v>624.87044692379</v>
      </c>
      <c r="AK331" s="159" t="n">
        <f aca="false">IF($B331=" ",0,AK$25*(1+AK$30)^(IF(AK$28&gt;$B331,-1,1)*(YEARFRAC($B331,AK$28))))</f>
        <v>0.035712204683197</v>
      </c>
      <c r="AL331" s="159" t="n">
        <f aca="false">IF($B331=" ",0,AL$25*AL$28)</f>
        <v>0.0575</v>
      </c>
      <c r="AM331" s="162" t="n">
        <f aca="false">+AI331+AJ331+SUM(AK331:AL331)*SUM($J331*$J$37,$K331*$K$37,$L331*$L$37,$M331*$M$37,$N331*$N$37,$O331*$O$37)/1000</f>
        <v>1572.50072192798</v>
      </c>
      <c r="AO331" s="163" t="n">
        <f aca="false">IF($B331=" ",0,$AO$25)</f>
        <v>0.25</v>
      </c>
      <c r="AP331" s="159" t="n">
        <f aca="false">IF($B331=" ",0,AP$25*AP$28)</f>
        <v>0.03105</v>
      </c>
      <c r="AQ331" s="162" t="n">
        <f aca="false">SUM(AO331:AP331)*SUM(0)/1000</f>
        <v>0</v>
      </c>
      <c r="AS331" s="155" t="n">
        <f aca="false">IF($B331=" ",0,AS$25)</f>
        <v>1</v>
      </c>
      <c r="AT331" s="156" t="n">
        <f aca="false">IF($B331=" ",0,AT$25)</f>
        <v>1</v>
      </c>
      <c r="AU331" s="156" t="n">
        <f aca="false">IF($B331=" ",0,AU$25)</f>
        <v>2.3</v>
      </c>
      <c r="AV331" s="157" t="n">
        <f aca="false">+AS331*SUM(J331:K331)/1000</f>
        <v>0</v>
      </c>
      <c r="AW331" s="157" t="n">
        <f aca="false">+AT331*SUM(L331:M331)/1000</f>
        <v>0</v>
      </c>
      <c r="AX331" s="157" t="n">
        <f aca="false">+AU331*SUM(N331:O331)/1000</f>
        <v>11537.9859375</v>
      </c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</row>
    <row r="332" customFormat="false" ht="12.75" hidden="false" customHeight="false" outlineLevel="0" collapsed="false">
      <c r="A332" s="164" t="n">
        <f aca="false">+IF(B332=" ",A331,B332)</f>
        <v>45383</v>
      </c>
      <c r="B332" s="148" t="n">
        <f aca="false">IF(B331=" "," ",IF(EDATE(B331,1)&gt;=EndDate," ",EDATE(B331,1)))</f>
        <v>45383</v>
      </c>
      <c r="C332" s="149" t="n">
        <f aca="false">IF($B332&lt;&gt;" ",C331+1,C331)</f>
        <v>282</v>
      </c>
      <c r="D332" s="150" t="n">
        <f aca="false">C332/12</f>
        <v>23.5</v>
      </c>
      <c r="F332" s="157" t="n">
        <f aca="false">+SUM($T332:$U332)</f>
        <v>14883.5779284771</v>
      </c>
      <c r="G332" s="152" t="n">
        <f aca="false">-SUM($AA332,$AG332,$AM332,$AQ332,$AV332:$AX332)</f>
        <v>-17150.916418652</v>
      </c>
      <c r="H332" s="152" t="n">
        <f aca="false">+SUM(F332:G332)</f>
        <v>-2267.33849017484</v>
      </c>
      <c r="I332" s="124"/>
      <c r="J332" s="153" t="n">
        <f aca="false">+IF($B332=" ",0,IF(AND($B332&gt;=J$26,$B332&lt;J$28),J$33,0))</f>
        <v>0</v>
      </c>
      <c r="K332" s="153" t="n">
        <f aca="false">+IF($B332=" ",0,IF(AND($B332&gt;=K$26,$B332&lt;K$28),K$33,0))</f>
        <v>0</v>
      </c>
      <c r="L332" s="153" t="n">
        <f aca="false">+IF($B332=" ",0,IF(AND($B332&gt;=L$26,$B332&lt;L$28),L$33,0))</f>
        <v>0</v>
      </c>
      <c r="M332" s="153" t="n">
        <f aca="false">+IF($B332=" ",0,IF(AND($B332&gt;=M$26,$B332&lt;M$28),M$33,0))</f>
        <v>0</v>
      </c>
      <c r="N332" s="153" t="n">
        <f aca="false">+IF($B332=" ",0,IF(AND($B332&gt;=N$26,$B332&lt;N$28),N$33,0))</f>
        <v>0</v>
      </c>
      <c r="O332" s="154" t="n">
        <f aca="false">+IF($B332=" ",0,IF(AND($B332&gt;=O$26,$B332&lt;O$28),O$33,0))</f>
        <v>5016515.625</v>
      </c>
      <c r="Q332" s="83" t="n">
        <f aca="false">IF($B332=" ",0,IF($B332&lt;=DATE(2003,12,31),3.55,2.9))</f>
        <v>2.9</v>
      </c>
      <c r="R332" s="155" t="n">
        <f aca="false">IF($B332=" ",0,R$25)</f>
        <v>-0.07</v>
      </c>
      <c r="S332" s="156" t="n">
        <f aca="false">IF($B332=" ",0,S$25)</f>
        <v>0.1</v>
      </c>
      <c r="T332" s="157" t="n">
        <f aca="false">+SUM($Q332,$S332)/1000*(SUM($J332*$J$37,$K332*$K$37,$L332*$L$37,$M332*$M$37,$N332*$N$37,$O332*$O$37))</f>
        <v>14883.5779284771</v>
      </c>
      <c r="U332" s="157" t="n">
        <f aca="false">+SUM($Q332,$R332)/1000*(SUM(0))</f>
        <v>0</v>
      </c>
      <c r="W332" s="158" t="n">
        <f aca="false">IF($B332=" ",0,1)*(IF($B332&gt;=W$25,1,0)*IF($B332&lt;=W$29,W$27,IF($B332&lt;=W$33,W$31,0))*($D332-$D331)*365/1000)</f>
        <v>486.66666666666</v>
      </c>
      <c r="X332" s="158" t="n">
        <f aca="false">IF($B332=" ",0,IF($B332&gt;=X$25,IF($B332&lt;=X$29,X$27,IF($B332&lt;=X$33,X$31,X$31*(1+X$38)^(IF(X$36&gt;$B332,-1,1)*(YEARFRAC($B332,X$36)))))*($D332-$D331)*365/1000,0))</f>
        <v>523.846666195322</v>
      </c>
      <c r="Y332" s="159" t="n">
        <f aca="false">IF($B332=" ",0,Y$25*(1+Y$30)^(IF(Y$28&gt;$B332,-1,1)*(YEARFRAC($B332,Y$28))))</f>
        <v>0.658460795449599</v>
      </c>
      <c r="Z332" s="159" t="n">
        <f aca="false">IF($B332=" ",0,Z$25*(1+Z$30)^(IF(Z$28&gt;$B332,-1,1)*(YEARFRAC($B332,Z$28))))</f>
        <v>0.6285857328527</v>
      </c>
      <c r="AA332" s="162" t="n">
        <f aca="false">+W332+X332+Z332*SUM($J332*$J$37,$L332*$L$37,$N332*$N$37)/1000</f>
        <v>1010.51333286198</v>
      </c>
      <c r="AB332" s="161"/>
      <c r="AC332" s="158" t="n">
        <f aca="false">IF($B332=" ",0,1)*(IF($B332&gt;=AC$25,1,0)*IF($B332&lt;=AC$29,AC$27,IF($B332&lt;=AC$33,AC$31,0))*($D332-$D331)*365/1000)</f>
        <v>1591.66666666664</v>
      </c>
      <c r="AD332" s="158" t="n">
        <f aca="false">IF($B332=" ",0,IF($B332&gt;=AD$25,IF($B332&lt;=AD$29,AD$27,IF($B332&lt;=AD$33,AD$31,AD$31*(1+AD$38)^(IF(AD$36&gt;$B332,-1,1)*(YEARFRAC($B332,AD$36)))))*($D332-$D331)*365/1000,0))</f>
        <v>466.338073147629</v>
      </c>
      <c r="AE332" s="159" t="n">
        <f aca="false">IF($B332=" ",0,AE$25*(1+AE$30)^(IF(AE$28&gt;$B332,-1,1)*(YEARFRAC($B332,AE$28))))</f>
        <v>0.545531287643562</v>
      </c>
      <c r="AF332" s="159" t="n">
        <f aca="false">IF($B332=" ",0,AF$25*(1+AF$30)^(IF(AF$28&gt;$B332,-1,1)*(YEARFRAC($B332,AF$28))))</f>
        <v>0.195735388837418</v>
      </c>
      <c r="AG332" s="162" t="n">
        <f aca="false">+AC332+AD332+AF332*SUM($K332*$K$37,$M332*$M$37,$O332*$O$37)/1000</f>
        <v>3029.0857108551</v>
      </c>
      <c r="AI332" s="158" t="n">
        <f aca="false">IF($B332=" ",0,1)*IF($B332&gt;=AI$33,AI$25*($D332-$D331),0)</f>
        <v>485.186570908327</v>
      </c>
      <c r="AJ332" s="158" t="n">
        <f aca="false">IF($B332=" ",0,IF($B332&gt;=AJ$33,AJ$25*(1+AJ$30)^(IF(AJ$28&gt;$B332,-1,1)*(YEARFRAC($B332,AJ$28)))*($D332-$D331),0))</f>
        <v>625.517653998867</v>
      </c>
      <c r="AK332" s="159" t="n">
        <f aca="false">IF($B332=" ",0,AK$25*(1+AK$30)^(IF(AK$28&gt;$B332,-1,1)*(YEARFRAC($B332,AK$28))))</f>
        <v>0.0357491934568737</v>
      </c>
      <c r="AL332" s="159" t="n">
        <f aca="false">IF($B332=" ",0,AL$25*AL$28)</f>
        <v>0.0575</v>
      </c>
      <c r="AM332" s="162" t="n">
        <f aca="false">+AI332+AJ332+SUM(AK332:AL332)*SUM($J332*$J$37,$K332*$K$37,$L332*$L$37,$M332*$M$37,$N332*$N$37,$O332*$O$37)/1000</f>
        <v>1573.33143743487</v>
      </c>
      <c r="AO332" s="163" t="n">
        <f aca="false">IF($B332=" ",0,$AO$25)</f>
        <v>0.25</v>
      </c>
      <c r="AP332" s="159" t="n">
        <f aca="false">IF($B332=" ",0,AP$25*AP$28)</f>
        <v>0.03105</v>
      </c>
      <c r="AQ332" s="162" t="n">
        <f aca="false">SUM(AO332:AP332)*SUM(0)/1000</f>
        <v>0</v>
      </c>
      <c r="AS332" s="155" t="n">
        <f aca="false">IF($B332=" ",0,AS$25)</f>
        <v>1</v>
      </c>
      <c r="AT332" s="156" t="n">
        <f aca="false">IF($B332=" ",0,AT$25)</f>
        <v>1</v>
      </c>
      <c r="AU332" s="156" t="n">
        <f aca="false">IF($B332=" ",0,AU$25)</f>
        <v>2.3</v>
      </c>
      <c r="AV332" s="157" t="n">
        <f aca="false">+AS332*SUM(J332:K332)/1000</f>
        <v>0</v>
      </c>
      <c r="AW332" s="157" t="n">
        <f aca="false">+AT332*SUM(L332:M332)/1000</f>
        <v>0</v>
      </c>
      <c r="AX332" s="157" t="n">
        <f aca="false">+AU332*SUM(N332:O332)/1000</f>
        <v>11537.9859375</v>
      </c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</row>
    <row r="333" customFormat="false" ht="12.75" hidden="false" customHeight="false" outlineLevel="0" collapsed="false">
      <c r="A333" s="164" t="n">
        <f aca="false">+IF(B333=" ",A332,B333)</f>
        <v>45413</v>
      </c>
      <c r="B333" s="148" t="n">
        <f aca="false">IF(B332=" "," ",IF(EDATE(B332,1)&gt;=EndDate," ",EDATE(B332,1)))</f>
        <v>45413</v>
      </c>
      <c r="C333" s="149" t="n">
        <f aca="false">IF($B333&lt;&gt;" ",C332+1,C332)</f>
        <v>283</v>
      </c>
      <c r="D333" s="150" t="n">
        <f aca="false">C333/12</f>
        <v>23.5833333333333</v>
      </c>
      <c r="F333" s="157" t="n">
        <f aca="false">+SUM($T333:$U333)</f>
        <v>14883.5779284771</v>
      </c>
      <c r="G333" s="152" t="n">
        <f aca="false">-SUM($AA333,$AG333,$AM333,$AQ333,$AV333:$AX333)</f>
        <v>-17154.4513854514</v>
      </c>
      <c r="H333" s="152" t="n">
        <f aca="false">+SUM(F333:G333)</f>
        <v>-2270.87345697424</v>
      </c>
      <c r="I333" s="124"/>
      <c r="J333" s="153" t="n">
        <f aca="false">+IF($B333=" ",0,IF(AND($B333&gt;=J$26,$B333&lt;J$28),J$33,0))</f>
        <v>0</v>
      </c>
      <c r="K333" s="153" t="n">
        <f aca="false">+IF($B333=" ",0,IF(AND($B333&gt;=K$26,$B333&lt;K$28),K$33,0))</f>
        <v>0</v>
      </c>
      <c r="L333" s="153" t="n">
        <f aca="false">+IF($B333=" ",0,IF(AND($B333&gt;=L$26,$B333&lt;L$28),L$33,0))</f>
        <v>0</v>
      </c>
      <c r="M333" s="153" t="n">
        <f aca="false">+IF($B333=" ",0,IF(AND($B333&gt;=M$26,$B333&lt;M$28),M$33,0))</f>
        <v>0</v>
      </c>
      <c r="N333" s="153" t="n">
        <f aca="false">+IF($B333=" ",0,IF(AND($B333&gt;=N$26,$B333&lt;N$28),N$33,0))</f>
        <v>0</v>
      </c>
      <c r="O333" s="154" t="n">
        <f aca="false">+IF($B333=" ",0,IF(AND($B333&gt;=O$26,$B333&lt;O$28),O$33,0))</f>
        <v>5016515.625</v>
      </c>
      <c r="Q333" s="83" t="n">
        <f aca="false">IF($B333=" ",0,IF($B333&lt;=DATE(2003,12,31),3.55,2.9))</f>
        <v>2.9</v>
      </c>
      <c r="R333" s="155" t="n">
        <f aca="false">IF($B333=" ",0,R$25)</f>
        <v>-0.07</v>
      </c>
      <c r="S333" s="156" t="n">
        <f aca="false">IF($B333=" ",0,S$25)</f>
        <v>0.1</v>
      </c>
      <c r="T333" s="157" t="n">
        <f aca="false">+SUM($Q333,$S333)/1000*(SUM($J333*$J$37,$K333*$K$37,$L333*$L$37,$M333*$M$37,$N333*$N$37,$O333*$O$37))</f>
        <v>14883.5779284771</v>
      </c>
      <c r="U333" s="157" t="n">
        <f aca="false">+SUM($Q333,$R333)/1000*(SUM(0))</f>
        <v>0</v>
      </c>
      <c r="W333" s="158" t="n">
        <f aca="false">IF($B333=" ",0,1)*(IF($B333&gt;=W$25,1,0)*IF($B333&lt;=W$29,W$27,IF($B333&lt;=W$33,W$31,0))*($D333-$D332)*365/1000)</f>
        <v>486.66666666666</v>
      </c>
      <c r="X333" s="158" t="n">
        <f aca="false">IF($B333=" ",0,IF($B333&gt;=X$25,IF($B333&lt;=X$29,X$27,IF($B333&lt;=X$33,X$31,X$31*(1+X$38)^(IF(X$36&gt;$B333,-1,1)*(YEARFRAC($B333,X$36)))))*($D333-$D332)*365/1000,0))</f>
        <v>524.568731692905</v>
      </c>
      <c r="Y333" s="159" t="n">
        <f aca="false">IF($B333=" ",0,Y$25*(1+Y$30)^(IF(Y$28&gt;$B333,-1,1)*(YEARFRAC($B333,Y$28))))</f>
        <v>0.659368411843071</v>
      </c>
      <c r="Z333" s="159" t="n">
        <f aca="false">IF($B333=" ",0,Z$25*(1+Z$30)^(IF(Z$28&gt;$B333,-1,1)*(YEARFRAC($B333,Z$28))))</f>
        <v>0.629452169730617</v>
      </c>
      <c r="AA333" s="162" t="n">
        <f aca="false">+W333+X333+Z333*SUM($J333*$J$37,$L333*$L$37,$N333*$N$37)/1000</f>
        <v>1011.23539835956</v>
      </c>
      <c r="AB333" s="161"/>
      <c r="AC333" s="158" t="n">
        <f aca="false">IF($B333=" ",0,1)*(IF($B333&gt;=AC$25,1,0)*IF($B333&lt;=AC$29,AC$27,IF($B333&lt;=AC$33,AC$31,0))*($D333-$D332)*365/1000)</f>
        <v>1591.66666666664</v>
      </c>
      <c r="AD333" s="158" t="n">
        <f aca="false">IF($B333=" ",0,IF($B333&gt;=AD$25,IF($B333&lt;=AD$29,AD$27,IF($B333&lt;=AD$33,AD$31,AD$31*(1+AD$38)^(IF(AD$36&gt;$B333,-1,1)*(YEARFRAC($B333,AD$36)))))*($D333-$D332)*365/1000,0))</f>
        <v>466.980869321698</v>
      </c>
      <c r="AE333" s="159" t="n">
        <f aca="false">IF($B333=" ",0,AE$25*(1+AE$30)^(IF(AE$28&gt;$B333,-1,1)*(YEARFRAC($B333,AE$28))))</f>
        <v>0.546283243026843</v>
      </c>
      <c r="AF333" s="159" t="n">
        <f aca="false">IF($B333=" ",0,AF$25*(1+AF$30)^(IF(AF$28&gt;$B333,-1,1)*(YEARFRAC($B333,AF$28))))</f>
        <v>0.196005188723636</v>
      </c>
      <c r="AG333" s="162" t="n">
        <f aca="false">+AC333+AD333+AF333*SUM($K333*$K$37,$M333*$M$37,$O333*$O$37)/1000</f>
        <v>3031.06703623971</v>
      </c>
      <c r="AI333" s="158" t="n">
        <f aca="false">IF($B333=" ",0,1)*IF($B333&gt;=AI$33,AI$25*($D333-$D332),0)</f>
        <v>485.186570908327</v>
      </c>
      <c r="AJ333" s="158" t="n">
        <f aca="false">IF($B333=" ",0,IF($B333&gt;=AJ$33,AJ$25*(1+AJ$30)^(IF(AJ$28&gt;$B333,-1,1)*(YEARFRAC($B333,AJ$28)))*($D333-$D332),0))</f>
        <v>626.16553141612</v>
      </c>
      <c r="AK333" s="159" t="n">
        <f aca="false">IF($B333=" ",0,AK$25*(1+AK$30)^(IF(AK$28&gt;$B333,-1,1)*(YEARFRAC($B333,AK$28))))</f>
        <v>0.0357862205415253</v>
      </c>
      <c r="AL333" s="159" t="n">
        <f aca="false">IF($B333=" ",0,AL$25*AL$28)</f>
        <v>0.0575</v>
      </c>
      <c r="AM333" s="162" t="n">
        <f aca="false">+AI333+AJ333+SUM(AK333:AL333)*SUM($J333*$J$37,$K333*$K$37,$L333*$L$37,$M333*$M$37,$N333*$N$37,$O333*$O$37)/1000</f>
        <v>1574.16301335208</v>
      </c>
      <c r="AO333" s="163" t="n">
        <f aca="false">IF($B333=" ",0,$AO$25)</f>
        <v>0.25</v>
      </c>
      <c r="AP333" s="159" t="n">
        <f aca="false">IF($B333=" ",0,AP$25*AP$28)</f>
        <v>0.03105</v>
      </c>
      <c r="AQ333" s="162" t="n">
        <f aca="false">SUM(AO333:AP333)*SUM(0)/1000</f>
        <v>0</v>
      </c>
      <c r="AS333" s="155" t="n">
        <f aca="false">IF($B333=" ",0,AS$25)</f>
        <v>1</v>
      </c>
      <c r="AT333" s="156" t="n">
        <f aca="false">IF($B333=" ",0,AT$25)</f>
        <v>1</v>
      </c>
      <c r="AU333" s="156" t="n">
        <f aca="false">IF($B333=" ",0,AU$25)</f>
        <v>2.3</v>
      </c>
      <c r="AV333" s="157" t="n">
        <f aca="false">+AS333*SUM(J333:K333)/1000</f>
        <v>0</v>
      </c>
      <c r="AW333" s="157" t="n">
        <f aca="false">+AT333*SUM(L333:M333)/1000</f>
        <v>0</v>
      </c>
      <c r="AX333" s="157" t="n">
        <f aca="false">+AU333*SUM(N333:O333)/1000</f>
        <v>11537.9859375</v>
      </c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</row>
    <row r="334" customFormat="false" ht="12.75" hidden="false" customHeight="false" outlineLevel="0" collapsed="false">
      <c r="A334" s="164" t="n">
        <f aca="false">+IF(B334=" ",A333,B334)</f>
        <v>45444</v>
      </c>
      <c r="B334" s="148" t="n">
        <f aca="false">IF(B333=" "," ",IF(EDATE(B333,1)&gt;=EndDate," ",EDATE(B333,1)))</f>
        <v>45444</v>
      </c>
      <c r="C334" s="149" t="n">
        <f aca="false">IF($B334&lt;&gt;" ",C333+1,C333)</f>
        <v>284</v>
      </c>
      <c r="D334" s="150" t="n">
        <f aca="false">C334/12</f>
        <v>23.6666666666667</v>
      </c>
      <c r="F334" s="157" t="n">
        <f aca="false">+SUM($T334:$U334)</f>
        <v>14883.5779284771</v>
      </c>
      <c r="G334" s="152" t="n">
        <f aca="false">-SUM($AA334,$AG334,$AM334,$AQ334,$AV334:$AX334)</f>
        <v>-17157.9909398819</v>
      </c>
      <c r="H334" s="152" t="n">
        <f aca="false">+SUM(F334:G334)</f>
        <v>-2274.41301140476</v>
      </c>
      <c r="I334" s="124"/>
      <c r="J334" s="153" t="n">
        <f aca="false">+IF($B334=" ",0,IF(AND($B334&gt;=J$26,$B334&lt;J$28),J$33,0))</f>
        <v>0</v>
      </c>
      <c r="K334" s="153" t="n">
        <f aca="false">+IF($B334=" ",0,IF(AND($B334&gt;=K$26,$B334&lt;K$28),K$33,0))</f>
        <v>0</v>
      </c>
      <c r="L334" s="153" t="n">
        <f aca="false">+IF($B334=" ",0,IF(AND($B334&gt;=L$26,$B334&lt;L$28),L$33,0))</f>
        <v>0</v>
      </c>
      <c r="M334" s="153" t="n">
        <f aca="false">+IF($B334=" ",0,IF(AND($B334&gt;=M$26,$B334&lt;M$28),M$33,0))</f>
        <v>0</v>
      </c>
      <c r="N334" s="153" t="n">
        <f aca="false">+IF($B334=" ",0,IF(AND($B334&gt;=N$26,$B334&lt;N$28),N$33,0))</f>
        <v>0</v>
      </c>
      <c r="O334" s="154" t="n">
        <f aca="false">+IF($B334=" ",0,IF(AND($B334&gt;=O$26,$B334&lt;O$28),O$33,0))</f>
        <v>5016515.625</v>
      </c>
      <c r="Q334" s="83" t="n">
        <f aca="false">IF($B334=" ",0,IF($B334&lt;=DATE(2003,12,31),3.55,2.9))</f>
        <v>2.9</v>
      </c>
      <c r="R334" s="155" t="n">
        <f aca="false">IF($B334=" ",0,R$25)</f>
        <v>-0.07</v>
      </c>
      <c r="S334" s="156" t="n">
        <f aca="false">IF($B334=" ",0,S$25)</f>
        <v>0.1</v>
      </c>
      <c r="T334" s="157" t="n">
        <f aca="false">+SUM($Q334,$S334)/1000*(SUM($J334*$J$37,$K334*$K$37,$L334*$L$37,$M334*$M$37,$N334*$N$37,$O334*$O$37))</f>
        <v>14883.5779284771</v>
      </c>
      <c r="U334" s="157" t="n">
        <f aca="false">+SUM($Q334,$R334)/1000*(SUM(0))</f>
        <v>0</v>
      </c>
      <c r="W334" s="158" t="n">
        <f aca="false">IF($B334=" ",0,1)*(IF($B334&gt;=W$25,1,0)*IF($B334&lt;=W$29,W$27,IF($B334&lt;=W$33,W$31,0))*($D334-$D333)*365/1000)</f>
        <v>486.666666666681</v>
      </c>
      <c r="X334" s="158" t="n">
        <f aca="false">IF($B334=" ",0,IF($B334&gt;=X$25,IF($B334&lt;=X$29,X$27,IF($B334&lt;=X$33,X$31,X$31*(1+X$38)^(IF(X$36&gt;$B334,-1,1)*(YEARFRAC($B334,X$36)))))*($D334-$D333)*365/1000,0))</f>
        <v>525.291792479048</v>
      </c>
      <c r="Y334" s="159" t="n">
        <f aca="false">IF($B334=" ",0,Y$25*(1+Y$30)^(IF(Y$28&gt;$B334,-1,1)*(YEARFRAC($B334,Y$28))))</f>
        <v>0.660277279286756</v>
      </c>
      <c r="Z334" s="159" t="n">
        <f aca="false">IF($B334=" ",0,Z$25*(1+Z$30)^(IF(Z$28&gt;$B334,-1,1)*(YEARFRAC($B334,Z$28))))</f>
        <v>0.630319800897274</v>
      </c>
      <c r="AA334" s="162" t="n">
        <f aca="false">+W334+X334+Z334*SUM($J334*$J$37,$L334*$L$37,$N334*$N$37)/1000</f>
        <v>1011.95845914573</v>
      </c>
      <c r="AB334" s="161"/>
      <c r="AC334" s="158" t="n">
        <f aca="false">IF($B334=" ",0,1)*(IF($B334&gt;=AC$25,1,0)*IF($B334&lt;=AC$29,AC$27,IF($B334&lt;=AC$33,AC$31,0))*($D334-$D333)*365/1000)</f>
        <v>1591.66666666671</v>
      </c>
      <c r="AD334" s="158" t="n">
        <f aca="false">IF($B334=" ",0,IF($B334&gt;=AD$25,IF($B334&lt;=AD$29,AD$27,IF($B334&lt;=AD$33,AD$31,AD$31*(1+AD$38)^(IF(AD$36&gt;$B334,-1,1)*(YEARFRAC($B334,AD$36)))))*($D334-$D333)*365/1000,0))</f>
        <v>467.624551520208</v>
      </c>
      <c r="AE334" s="159" t="n">
        <f aca="false">IF($B334=" ",0,AE$25*(1+AE$30)^(IF(AE$28&gt;$B334,-1,1)*(YEARFRAC($B334,AE$28))))</f>
        <v>0.547036234898609</v>
      </c>
      <c r="AF334" s="159" t="n">
        <f aca="false">IF($B334=" ",0,AF$25*(1+AF$30)^(IF(AF$28&gt;$B334,-1,1)*(YEARFRAC($B334,AF$28))))</f>
        <v>0.196275360499573</v>
      </c>
      <c r="AG334" s="162" t="n">
        <f aca="false">+AC334+AD334+AF334*SUM($K334*$K$37,$M334*$M$37,$O334*$O$37)/1000</f>
        <v>3033.05109266536</v>
      </c>
      <c r="AI334" s="158" t="n">
        <f aca="false">IF($B334=" ",0,1)*IF($B334&gt;=AI$33,AI$25*($D334-$D333),0)</f>
        <v>485.186570908347</v>
      </c>
      <c r="AJ334" s="158" t="n">
        <f aca="false">IF($B334=" ",0,IF($B334&gt;=AJ$33,AJ$25*(1+AJ$30)^(IF(AJ$28&gt;$B334,-1,1)*(YEARFRAC($B334,AJ$28)))*($D334-$D333),0))</f>
        <v>626.814079869853</v>
      </c>
      <c r="AK334" s="159" t="n">
        <f aca="false">IF($B334=" ",0,AK$25*(1+AK$30)^(IF(AK$28&gt;$B334,-1,1)*(YEARFRAC($B334,AK$28))))</f>
        <v>0.0358232859768323</v>
      </c>
      <c r="AL334" s="159" t="n">
        <f aca="false">IF($B334=" ",0,AL$25*AL$28)</f>
        <v>0.0575</v>
      </c>
      <c r="AM334" s="162" t="n">
        <f aca="false">+AI334+AJ334+SUM(AK334:AL334)*SUM($J334*$J$37,$K334*$K$37,$L334*$L$37,$M334*$M$37,$N334*$N$37,$O334*$O$37)/1000</f>
        <v>1574.99545057078</v>
      </c>
      <c r="AO334" s="163" t="n">
        <f aca="false">IF($B334=" ",0,$AO$25)</f>
        <v>0.25</v>
      </c>
      <c r="AP334" s="159" t="n">
        <f aca="false">IF($B334=" ",0,AP$25*AP$28)</f>
        <v>0.03105</v>
      </c>
      <c r="AQ334" s="162" t="n">
        <f aca="false">SUM(AO334:AP334)*SUM(0)/1000</f>
        <v>0</v>
      </c>
      <c r="AS334" s="155" t="n">
        <f aca="false">IF($B334=" ",0,AS$25)</f>
        <v>1</v>
      </c>
      <c r="AT334" s="156" t="n">
        <f aca="false">IF($B334=" ",0,AT$25)</f>
        <v>1</v>
      </c>
      <c r="AU334" s="156" t="n">
        <f aca="false">IF($B334=" ",0,AU$25)</f>
        <v>2.3</v>
      </c>
      <c r="AV334" s="157" t="n">
        <f aca="false">+AS334*SUM(J334:K334)/1000</f>
        <v>0</v>
      </c>
      <c r="AW334" s="157" t="n">
        <f aca="false">+AT334*SUM(L334:M334)/1000</f>
        <v>0</v>
      </c>
      <c r="AX334" s="157" t="n">
        <f aca="false">+AU334*SUM(N334:O334)/1000</f>
        <v>11537.9859375</v>
      </c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</row>
    <row r="335" customFormat="false" ht="12.75" hidden="false" customHeight="false" outlineLevel="0" collapsed="false">
      <c r="A335" s="164" t="n">
        <f aca="false">+IF(B335=" ",A334,B335)</f>
        <v>45474</v>
      </c>
      <c r="B335" s="148" t="n">
        <f aca="false">IF(B334=" "," ",IF(EDATE(B334,1)&gt;=EndDate," ",EDATE(B334,1)))</f>
        <v>45474</v>
      </c>
      <c r="C335" s="149" t="n">
        <f aca="false">IF($B335&lt;&gt;" ",C334+1,C334)</f>
        <v>285</v>
      </c>
      <c r="D335" s="150" t="n">
        <f aca="false">C335/12</f>
        <v>23.75</v>
      </c>
      <c r="F335" s="157" t="n">
        <f aca="false">+SUM($T335:$U335)</f>
        <v>14883.5779284771</v>
      </c>
      <c r="G335" s="152" t="n">
        <f aca="false">-SUM($AA335,$AG335,$AM335,$AQ335,$AV335:$AX335)</f>
        <v>-17161.5350879714</v>
      </c>
      <c r="H335" s="152" t="n">
        <f aca="false">+SUM(F335:G335)</f>
        <v>-2277.95715949429</v>
      </c>
      <c r="I335" s="124"/>
      <c r="J335" s="153" t="n">
        <f aca="false">+IF($B335=" ",0,IF(AND($B335&gt;=J$26,$B335&lt;J$28),J$33,0))</f>
        <v>0</v>
      </c>
      <c r="K335" s="153" t="n">
        <f aca="false">+IF($B335=" ",0,IF(AND($B335&gt;=K$26,$B335&lt;K$28),K$33,0))</f>
        <v>0</v>
      </c>
      <c r="L335" s="153" t="n">
        <f aca="false">+IF($B335=" ",0,IF(AND($B335&gt;=L$26,$B335&lt;L$28),L$33,0))</f>
        <v>0</v>
      </c>
      <c r="M335" s="153" t="n">
        <f aca="false">+IF($B335=" ",0,IF(AND($B335&gt;=M$26,$B335&lt;M$28),M$33,0))</f>
        <v>0</v>
      </c>
      <c r="N335" s="153" t="n">
        <f aca="false">+IF($B335=" ",0,IF(AND($B335&gt;=N$26,$B335&lt;N$28),N$33,0))</f>
        <v>0</v>
      </c>
      <c r="O335" s="154" t="n">
        <f aca="false">+IF($B335=" ",0,IF(AND($B335&gt;=O$26,$B335&lt;O$28),O$33,0))</f>
        <v>5016515.625</v>
      </c>
      <c r="Q335" s="83" t="n">
        <f aca="false">IF($B335=" ",0,IF($B335&lt;=DATE(2003,12,31),3.55,2.9))</f>
        <v>2.9</v>
      </c>
      <c r="R335" s="155" t="n">
        <f aca="false">IF($B335=" ",0,R$25)</f>
        <v>-0.07</v>
      </c>
      <c r="S335" s="156" t="n">
        <f aca="false">IF($B335=" ",0,S$25)</f>
        <v>0.1</v>
      </c>
      <c r="T335" s="157" t="n">
        <f aca="false">+SUM($Q335,$S335)/1000*(SUM($J335*$J$37,$K335*$K$37,$L335*$L$37,$M335*$M$37,$N335*$N$37,$O335*$O$37))</f>
        <v>14883.5779284771</v>
      </c>
      <c r="U335" s="157" t="n">
        <f aca="false">+SUM($Q335,$R335)/1000*(SUM(0))</f>
        <v>0</v>
      </c>
      <c r="W335" s="158" t="n">
        <f aca="false">IF($B335=" ",0,1)*(IF($B335&gt;=W$25,1,0)*IF($B335&lt;=W$29,W$27,IF($B335&lt;=W$33,W$31,0))*($D335-$D334)*365/1000)</f>
        <v>486.66666666666</v>
      </c>
      <c r="X335" s="158" t="n">
        <f aca="false">IF($B335=" ",0,IF($B335&gt;=X$25,IF($B335&lt;=X$29,X$27,IF($B335&lt;=X$33,X$31,X$31*(1+X$38)^(IF(X$36&gt;$B335,-1,1)*(YEARFRAC($B335,X$36)))))*($D335-$D334)*365/1000,0))</f>
        <v>526.015849925582</v>
      </c>
      <c r="Y335" s="159" t="n">
        <f aca="false">IF($B335=" ",0,Y$25*(1+Y$30)^(IF(Y$28&gt;$B335,-1,1)*(YEARFRAC($B335,Y$28))))</f>
        <v>0.661187399505088</v>
      </c>
      <c r="Z335" s="159" t="n">
        <f aca="false">IF($B335=" ",0,Z$25*(1+Z$30)^(IF(Z$28&gt;$B335,-1,1)*(YEARFRAC($B335,Z$28))))</f>
        <v>0.63118862799887</v>
      </c>
      <c r="AA335" s="162" t="n">
        <f aca="false">+W335+X335+Z335*SUM($J335*$J$37,$L335*$L$37,$N335*$N$37)/1000</f>
        <v>1012.68251659224</v>
      </c>
      <c r="AB335" s="161"/>
      <c r="AC335" s="158" t="n">
        <f aca="false">IF($B335=" ",0,1)*(IF($B335&gt;=AC$25,1,0)*IF($B335&lt;=AC$29,AC$27,IF($B335&lt;=AC$33,AC$31,0))*($D335-$D334)*365/1000)</f>
        <v>1591.66666666664</v>
      </c>
      <c r="AD335" s="158" t="n">
        <f aca="false">IF($B335=" ",0,IF($B335&gt;=AD$25,IF($B335&lt;=AD$29,AD$27,IF($B335&lt;=AD$33,AD$31,AD$31*(1+AD$38)^(IF(AD$36&gt;$B335,-1,1)*(YEARFRAC($B335,AD$36)))))*($D335-$D334)*365/1000,0))</f>
        <v>468.269120964387</v>
      </c>
      <c r="AE335" s="159" t="n">
        <f aca="false">IF($B335=" ",0,AE$25*(1+AE$30)^(IF(AE$28&gt;$B335,-1,1)*(YEARFRAC($B335,AE$28))))</f>
        <v>0.547790264687548</v>
      </c>
      <c r="AF335" s="159" t="n">
        <f aca="false">IF($B335=" ",0,AF$25*(1+AF$30)^(IF(AF$28&gt;$B335,-1,1)*(YEARFRAC($B335,AF$28))))</f>
        <v>0.196545904677837</v>
      </c>
      <c r="AG335" s="162" t="n">
        <f aca="false">+AC335+AD335+AF335*SUM($K335*$K$37,$M335*$M$37,$O335*$O$37)/1000</f>
        <v>3035.03788389624</v>
      </c>
      <c r="AI335" s="158" t="n">
        <f aca="false">IF($B335=" ",0,1)*IF($B335&gt;=AI$33,AI$25*($D335-$D334),0)</f>
        <v>485.186570908327</v>
      </c>
      <c r="AJ335" s="158" t="n">
        <f aca="false">IF($B335=" ",0,IF($B335&gt;=AJ$33,AJ$25*(1+AJ$30)^(IF(AJ$28&gt;$B335,-1,1)*(YEARFRAC($B335,AJ$28)))*($D335-$D334),0))</f>
        <v>627.463300055008</v>
      </c>
      <c r="AK335" s="159" t="n">
        <f aca="false">IF($B335=" ",0,AK$25*(1+AK$30)^(IF(AK$28&gt;$B335,-1,1)*(YEARFRAC($B335,AK$28))))</f>
        <v>0.0358603898025162</v>
      </c>
      <c r="AL335" s="159" t="n">
        <f aca="false">IF($B335=" ",0,AL$25*AL$28)</f>
        <v>0.0575</v>
      </c>
      <c r="AM335" s="162" t="n">
        <f aca="false">+AI335+AJ335+SUM(AK335:AL335)*SUM($J335*$J$37,$K335*$K$37,$L335*$L$37,$M335*$M$37,$N335*$N$37,$O335*$O$37)/1000</f>
        <v>1575.82874998292</v>
      </c>
      <c r="AO335" s="163" t="n">
        <f aca="false">IF($B335=" ",0,$AO$25)</f>
        <v>0.25</v>
      </c>
      <c r="AP335" s="159" t="n">
        <f aca="false">IF($B335=" ",0,AP$25*AP$28)</f>
        <v>0.03105</v>
      </c>
      <c r="AQ335" s="162" t="n">
        <f aca="false">SUM(AO335:AP335)*SUM(0)/1000</f>
        <v>0</v>
      </c>
      <c r="AS335" s="155" t="n">
        <f aca="false">IF($B335=" ",0,AS$25)</f>
        <v>1</v>
      </c>
      <c r="AT335" s="156" t="n">
        <f aca="false">IF($B335=" ",0,AT$25)</f>
        <v>1</v>
      </c>
      <c r="AU335" s="156" t="n">
        <f aca="false">IF($B335=" ",0,AU$25)</f>
        <v>2.3</v>
      </c>
      <c r="AV335" s="157" t="n">
        <f aca="false">+AS335*SUM(J335:K335)/1000</f>
        <v>0</v>
      </c>
      <c r="AW335" s="157" t="n">
        <f aca="false">+AT335*SUM(L335:M335)/1000</f>
        <v>0</v>
      </c>
      <c r="AX335" s="157" t="n">
        <f aca="false">+AU335*SUM(N335:O335)/1000</f>
        <v>11537.9859375</v>
      </c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</row>
    <row r="336" customFormat="false" ht="12.75" hidden="false" customHeight="false" outlineLevel="0" collapsed="false">
      <c r="A336" s="164" t="n">
        <f aca="false">+IF(B336=" ",A335,B336)</f>
        <v>45505</v>
      </c>
      <c r="B336" s="148" t="n">
        <f aca="false">IF(B335=" "," ",IF(EDATE(B335,1)&gt;=EndDate," ",EDATE(B335,1)))</f>
        <v>45505</v>
      </c>
      <c r="C336" s="149" t="n">
        <f aca="false">IF($B336&lt;&gt;" ",C335+1,C335)</f>
        <v>286</v>
      </c>
      <c r="D336" s="150" t="n">
        <f aca="false">C336/12</f>
        <v>23.8333333333333</v>
      </c>
      <c r="F336" s="157" t="n">
        <f aca="false">+SUM($T336:$U336)</f>
        <v>14883.5779284771</v>
      </c>
      <c r="G336" s="152" t="n">
        <f aca="false">-SUM($AA336,$AG336,$AM336,$AQ336,$AV336:$AX336)</f>
        <v>-17165.0838357569</v>
      </c>
      <c r="H336" s="152" t="n">
        <f aca="false">+SUM(F336:G336)</f>
        <v>-2281.50590727979</v>
      </c>
      <c r="I336" s="124"/>
      <c r="J336" s="153" t="n">
        <f aca="false">+IF($B336=" ",0,IF(AND($B336&gt;=J$26,$B336&lt;J$28),J$33,0))</f>
        <v>0</v>
      </c>
      <c r="K336" s="153" t="n">
        <f aca="false">+IF($B336=" ",0,IF(AND($B336&gt;=K$26,$B336&lt;K$28),K$33,0))</f>
        <v>0</v>
      </c>
      <c r="L336" s="153" t="n">
        <f aca="false">+IF($B336=" ",0,IF(AND($B336&gt;=L$26,$B336&lt;L$28),L$33,0))</f>
        <v>0</v>
      </c>
      <c r="M336" s="153" t="n">
        <f aca="false">+IF($B336=" ",0,IF(AND($B336&gt;=M$26,$B336&lt;M$28),M$33,0))</f>
        <v>0</v>
      </c>
      <c r="N336" s="153" t="n">
        <f aca="false">+IF($B336=" ",0,IF(AND($B336&gt;=N$26,$B336&lt;N$28),N$33,0))</f>
        <v>0</v>
      </c>
      <c r="O336" s="154" t="n">
        <f aca="false">+IF($B336=" ",0,IF(AND($B336&gt;=O$26,$B336&lt;O$28),O$33,0))</f>
        <v>5016515.625</v>
      </c>
      <c r="Q336" s="83" t="n">
        <f aca="false">IF($B336=" ",0,IF($B336&lt;=DATE(2003,12,31),3.55,2.9))</f>
        <v>2.9</v>
      </c>
      <c r="R336" s="155" t="n">
        <f aca="false">IF($B336=" ",0,R$25)</f>
        <v>-0.07</v>
      </c>
      <c r="S336" s="156" t="n">
        <f aca="false">IF($B336=" ",0,S$25)</f>
        <v>0.1</v>
      </c>
      <c r="T336" s="157" t="n">
        <f aca="false">+SUM($Q336,$S336)/1000*(SUM($J336*$J$37,$K336*$K$37,$L336*$L$37,$M336*$M$37,$N336*$N$37,$O336*$O$37))</f>
        <v>14883.5779284771</v>
      </c>
      <c r="U336" s="157" t="n">
        <f aca="false">+SUM($Q336,$R336)/1000*(SUM(0))</f>
        <v>0</v>
      </c>
      <c r="W336" s="158" t="n">
        <f aca="false">IF($B336=" ",0,1)*(IF($B336&gt;=W$25,1,0)*IF($B336&lt;=W$29,W$27,IF($B336&lt;=W$33,W$31,0))*($D336-$D335)*365/1000)</f>
        <v>486.66666666666</v>
      </c>
      <c r="X336" s="158" t="n">
        <f aca="false">IF($B336=" ",0,IF($B336&gt;=X$25,IF($B336&lt;=X$29,X$27,IF($B336&lt;=X$33,X$31,X$31*(1+X$38)^(IF(X$36&gt;$B336,-1,1)*(YEARFRAC($B336,X$36)))))*($D336-$D335)*365/1000,0))</f>
        <v>526.740905406361</v>
      </c>
      <c r="Y336" s="159" t="n">
        <f aca="false">IF($B336=" ",0,Y$25*(1+Y$30)^(IF(Y$28&gt;$B336,-1,1)*(YEARFRAC($B336,Y$28))))</f>
        <v>0.662098774224883</v>
      </c>
      <c r="Z336" s="159" t="n">
        <f aca="false">IF($B336=" ",0,Z$25*(1+Z$30)^(IF(Z$28&gt;$B336,-1,1)*(YEARFRAC($B336,Z$28))))</f>
        <v>0.632058652683869</v>
      </c>
      <c r="AA336" s="162" t="n">
        <f aca="false">+W336+X336+Z336*SUM($J336*$J$37,$L336*$L$37,$N336*$N$37)/1000</f>
        <v>1013.40757207302</v>
      </c>
      <c r="AB336" s="161"/>
      <c r="AC336" s="158" t="n">
        <f aca="false">IF($B336=" ",0,1)*(IF($B336&gt;=AC$25,1,0)*IF($B336&lt;=AC$29,AC$27,IF($B336&lt;=AC$33,AC$31,0))*($D336-$D335)*365/1000)</f>
        <v>1591.66666666664</v>
      </c>
      <c r="AD336" s="158" t="n">
        <f aca="false">IF($B336=" ",0,IF($B336&gt;=AD$25,IF($B336&lt;=AD$29,AD$27,IF($B336&lt;=AD$33,AD$31,AD$31*(1+AD$38)^(IF(AD$36&gt;$B336,-1,1)*(YEARFRAC($B336,AD$36)))))*($D336-$D335)*365/1000,0))</f>
        <v>468.914578877267</v>
      </c>
      <c r="AE336" s="159" t="n">
        <f aca="false">IF($B336=" ",0,AE$25*(1+AE$30)^(IF(AE$28&gt;$B336,-1,1)*(YEARFRAC($B336,AE$28))))</f>
        <v>0.548545333824315</v>
      </c>
      <c r="AF336" s="159" t="n">
        <f aca="false">IF($B336=" ",0,AF$25*(1+AF$30)^(IF(AF$28&gt;$B336,-1,1)*(YEARFRAC($B336,AF$28))))</f>
        <v>0.196816821771745</v>
      </c>
      <c r="AG336" s="162" t="n">
        <f aca="false">+AC336+AD336+AF336*SUM($K336*$K$37,$M336*$M$37,$O336*$O$37)/1000</f>
        <v>3037.02741370223</v>
      </c>
      <c r="AI336" s="158" t="n">
        <f aca="false">IF($B336=" ",0,1)*IF($B336&gt;=AI$33,AI$25*($D336-$D335),0)</f>
        <v>485.186570908327</v>
      </c>
      <c r="AJ336" s="158" t="n">
        <f aca="false">IF($B336=" ",0,IF($B336&gt;=AJ$33,AJ$25*(1+AJ$30)^(IF(AJ$28&gt;$B336,-1,1)*(YEARFRAC($B336,AJ$28)))*($D336-$D335),0))</f>
        <v>628.113192667409</v>
      </c>
      <c r="AK336" s="159" t="n">
        <f aca="false">IF($B336=" ",0,AK$25*(1+AK$30)^(IF(AK$28&gt;$B336,-1,1)*(YEARFRAC($B336,AK$28))))</f>
        <v>0.0358975320583397</v>
      </c>
      <c r="AL336" s="159" t="n">
        <f aca="false">IF($B336=" ",0,AL$25*AL$28)</f>
        <v>0.0575</v>
      </c>
      <c r="AM336" s="162" t="n">
        <f aca="false">+AI336+AJ336+SUM(AK336:AL336)*SUM($J336*$J$37,$K336*$K$37,$L336*$L$37,$M336*$M$37,$N336*$N$37,$O336*$O$37)/1000</f>
        <v>1576.66291248165</v>
      </c>
      <c r="AO336" s="163" t="n">
        <f aca="false">IF($B336=" ",0,$AO$25)</f>
        <v>0.25</v>
      </c>
      <c r="AP336" s="159" t="n">
        <f aca="false">IF($B336=" ",0,AP$25*AP$28)</f>
        <v>0.03105</v>
      </c>
      <c r="AQ336" s="162" t="n">
        <f aca="false">SUM(AO336:AP336)*SUM(0)/1000</f>
        <v>0</v>
      </c>
      <c r="AS336" s="155" t="n">
        <f aca="false">IF($B336=" ",0,AS$25)</f>
        <v>1</v>
      </c>
      <c r="AT336" s="156" t="n">
        <f aca="false">IF($B336=" ",0,AT$25)</f>
        <v>1</v>
      </c>
      <c r="AU336" s="156" t="n">
        <f aca="false">IF($B336=" ",0,AU$25)</f>
        <v>2.3</v>
      </c>
      <c r="AV336" s="157" t="n">
        <f aca="false">+AS336*SUM(J336:K336)/1000</f>
        <v>0</v>
      </c>
      <c r="AW336" s="157" t="n">
        <f aca="false">+AT336*SUM(L336:M336)/1000</f>
        <v>0</v>
      </c>
      <c r="AX336" s="157" t="n">
        <f aca="false">+AU336*SUM(N336:O336)/1000</f>
        <v>11537.9859375</v>
      </c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</row>
    <row r="337" customFormat="false" ht="12.75" hidden="false" customHeight="false" outlineLevel="0" collapsed="false">
      <c r="A337" s="164" t="n">
        <f aca="false">+IF(B337=" ",A336,B337)</f>
        <v>45536</v>
      </c>
      <c r="B337" s="148" t="n">
        <f aca="false">IF(B336=" "," ",IF(EDATE(B336,1)&gt;=EndDate," ",EDATE(B336,1)))</f>
        <v>45536</v>
      </c>
      <c r="C337" s="149" t="n">
        <f aca="false">IF($B337&lt;&gt;" ",C336+1,C336)</f>
        <v>287</v>
      </c>
      <c r="D337" s="150" t="n">
        <f aca="false">C337/12</f>
        <v>23.9166666666667</v>
      </c>
      <c r="F337" s="157" t="n">
        <f aca="false">+SUM($T337:$U337)</f>
        <v>14883.5779284771</v>
      </c>
      <c r="G337" s="152" t="n">
        <f aca="false">-SUM($AA337,$AG337,$AM337,$AQ337,$AV337:$AX337)</f>
        <v>-17168.6371892828</v>
      </c>
      <c r="H337" s="152" t="n">
        <f aca="false">+SUM(F337:G337)</f>
        <v>-2285.05926080571</v>
      </c>
      <c r="I337" s="124"/>
      <c r="J337" s="153" t="n">
        <f aca="false">+IF($B337=" ",0,IF(AND($B337&gt;=J$26,$B337&lt;J$28),J$33,0))</f>
        <v>0</v>
      </c>
      <c r="K337" s="153" t="n">
        <f aca="false">+IF($B337=" ",0,IF(AND($B337&gt;=K$26,$B337&lt;K$28),K$33,0))</f>
        <v>0</v>
      </c>
      <c r="L337" s="153" t="n">
        <f aca="false">+IF($B337=" ",0,IF(AND($B337&gt;=L$26,$B337&lt;L$28),L$33,0))</f>
        <v>0</v>
      </c>
      <c r="M337" s="153" t="n">
        <f aca="false">+IF($B337=" ",0,IF(AND($B337&gt;=M$26,$B337&lt;M$28),M$33,0))</f>
        <v>0</v>
      </c>
      <c r="N337" s="153" t="n">
        <f aca="false">+IF($B337=" ",0,IF(AND($B337&gt;=N$26,$B337&lt;N$28),N$33,0))</f>
        <v>0</v>
      </c>
      <c r="O337" s="154" t="n">
        <f aca="false">+IF($B337=" ",0,IF(AND($B337&gt;=O$26,$B337&lt;O$28),O$33,0))</f>
        <v>5016515.625</v>
      </c>
      <c r="Q337" s="83" t="n">
        <f aca="false">IF($B337=" ",0,IF($B337&lt;=DATE(2003,12,31),3.55,2.9))</f>
        <v>2.9</v>
      </c>
      <c r="R337" s="155" t="n">
        <f aca="false">IF($B337=" ",0,R$25)</f>
        <v>-0.07</v>
      </c>
      <c r="S337" s="156" t="n">
        <f aca="false">IF($B337=" ",0,S$25)</f>
        <v>0.1</v>
      </c>
      <c r="T337" s="157" t="n">
        <f aca="false">+SUM($Q337,$S337)/1000*(SUM($J337*$J$37,$K337*$K$37,$L337*$L$37,$M337*$M$37,$N337*$N$37,$O337*$O$37))</f>
        <v>14883.5779284771</v>
      </c>
      <c r="U337" s="157" t="n">
        <f aca="false">+SUM($Q337,$R337)/1000*(SUM(0))</f>
        <v>0</v>
      </c>
      <c r="W337" s="158" t="n">
        <f aca="false">IF($B337=" ",0,1)*(IF($B337&gt;=W$25,1,0)*IF($B337&lt;=W$29,W$27,IF($B337&lt;=W$33,W$31,0))*($D337-$D336)*365/1000)</f>
        <v>486.666666666681</v>
      </c>
      <c r="X337" s="158" t="n">
        <f aca="false">IF($B337=" ",0,IF($B337&gt;=X$25,IF($B337&lt;=X$29,X$27,IF($B337&lt;=X$33,X$31,X$31*(1+X$38)^(IF(X$36&gt;$B337,-1,1)*(YEARFRAC($B337,X$36)))))*($D337-$D336)*365/1000,0))</f>
        <v>527.466960297067</v>
      </c>
      <c r="Y337" s="159" t="n">
        <f aca="false">IF($B337=" ",0,Y$25*(1+Y$30)^(IF(Y$28&gt;$B337,-1,1)*(YEARFRAC($B337,Y$28))))</f>
        <v>0.663011405175331</v>
      </c>
      <c r="Z337" s="159" t="n">
        <f aca="false">IF($B337=" ",0,Z$25*(1+Z$30)^(IF(Z$28&gt;$B337,-1,1)*(YEARFRAC($B337,Z$28))))</f>
        <v>0.632929876603009</v>
      </c>
      <c r="AA337" s="162" t="n">
        <f aca="false">+W337+X337+Z337*SUM($J337*$J$37,$L337*$L$37,$N337*$N$37)/1000</f>
        <v>1014.13362696375</v>
      </c>
      <c r="AB337" s="161"/>
      <c r="AC337" s="158" t="n">
        <f aca="false">IF($B337=" ",0,1)*(IF($B337&gt;=AC$25,1,0)*IF($B337&lt;=AC$29,AC$27,IF($B337&lt;=AC$33,AC$31,0))*($D337-$D336)*365/1000)</f>
        <v>1591.66666666671</v>
      </c>
      <c r="AD337" s="158" t="n">
        <f aca="false">IF($B337=" ",0,IF($B337&gt;=AD$25,IF($B337&lt;=AD$29,AD$27,IF($B337&lt;=AD$33,AD$31,AD$31*(1+AD$38)^(IF(AD$36&gt;$B337,-1,1)*(YEARFRAC($B337,AD$36)))))*($D337-$D336)*365/1000,0))</f>
        <v>469.560926483505</v>
      </c>
      <c r="AE337" s="159" t="n">
        <f aca="false">IF($B337=" ",0,AE$25*(1+AE$30)^(IF(AE$28&gt;$B337,-1,1)*(YEARFRAC($B337,AE$28))))</f>
        <v>0.549301443741538</v>
      </c>
      <c r="AF337" s="159" t="n">
        <f aca="false">IF($B337=" ",0,AF$25*(1+AF$30)^(IF(AF$28&gt;$B337,-1,1)*(YEARFRAC($B337,AF$28))))</f>
        <v>0.19708811229532</v>
      </c>
      <c r="AG337" s="162" t="n">
        <f aca="false">+AC337+AD337+AF337*SUM($K337*$K$37,$M337*$M$37,$O337*$O$37)/1000</f>
        <v>3039.01968585817</v>
      </c>
      <c r="AI337" s="158" t="n">
        <f aca="false">IF($B337=" ",0,1)*IF($B337&gt;=AI$33,AI$25*($D337-$D336),0)</f>
        <v>485.186570908347</v>
      </c>
      <c r="AJ337" s="158" t="n">
        <f aca="false">IF($B337=" ",0,IF($B337&gt;=AJ$33,AJ$25*(1+AJ$30)^(IF(AJ$28&gt;$B337,-1,1)*(YEARFRAC($B337,AJ$28)))*($D337-$D336),0))</f>
        <v>628.763758403521</v>
      </c>
      <c r="AK337" s="159" t="n">
        <f aca="false">IF($B337=" ",0,AK$25*(1+AK$30)^(IF(AK$28&gt;$B337,-1,1)*(YEARFRAC($B337,AK$28))))</f>
        <v>0.0359347127841066</v>
      </c>
      <c r="AL337" s="159" t="n">
        <f aca="false">IF($B337=" ",0,AL$25*AL$28)</f>
        <v>0.0575</v>
      </c>
      <c r="AM337" s="162" t="n">
        <f aca="false">+AI337+AJ337+SUM(AK337:AL337)*SUM($J337*$J$37,$K337*$K$37,$L337*$L$37,$M337*$M$37,$N337*$N$37,$O337*$O$37)/1000</f>
        <v>1577.49793896091</v>
      </c>
      <c r="AO337" s="163" t="n">
        <f aca="false">IF($B337=" ",0,$AO$25)</f>
        <v>0.25</v>
      </c>
      <c r="AP337" s="159" t="n">
        <f aca="false">IF($B337=" ",0,AP$25*AP$28)</f>
        <v>0.03105</v>
      </c>
      <c r="AQ337" s="162" t="n">
        <f aca="false">SUM(AO337:AP337)*SUM(0)/1000</f>
        <v>0</v>
      </c>
      <c r="AS337" s="155" t="n">
        <f aca="false">IF($B337=" ",0,AS$25)</f>
        <v>1</v>
      </c>
      <c r="AT337" s="156" t="n">
        <f aca="false">IF($B337=" ",0,AT$25)</f>
        <v>1</v>
      </c>
      <c r="AU337" s="156" t="n">
        <f aca="false">IF($B337=" ",0,AU$25)</f>
        <v>2.3</v>
      </c>
      <c r="AV337" s="157" t="n">
        <f aca="false">+AS337*SUM(J337:K337)/1000</f>
        <v>0</v>
      </c>
      <c r="AW337" s="157" t="n">
        <f aca="false">+AT337*SUM(L337:M337)/1000</f>
        <v>0</v>
      </c>
      <c r="AX337" s="157" t="n">
        <f aca="false">+AU337*SUM(N337:O337)/1000</f>
        <v>11537.9859375</v>
      </c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</row>
    <row r="338" customFormat="false" ht="12.75" hidden="false" customHeight="false" outlineLevel="0" collapsed="false">
      <c r="A338" s="164" t="n">
        <f aca="false">+IF(B338=" ",A337,B338)</f>
        <v>45566</v>
      </c>
      <c r="B338" s="148" t="n">
        <f aca="false">IF(B337=" "," ",IF(EDATE(B337,1)&gt;=EndDate," ",EDATE(B337,1)))</f>
        <v>45566</v>
      </c>
      <c r="C338" s="149" t="n">
        <f aca="false">IF($B338&lt;&gt;" ",C337+1,C337)</f>
        <v>288</v>
      </c>
      <c r="D338" s="150" t="n">
        <f aca="false">C338/12</f>
        <v>24</v>
      </c>
      <c r="F338" s="157" t="n">
        <f aca="false">+SUM($T338:$U338)</f>
        <v>14883.5779284771</v>
      </c>
      <c r="G338" s="152" t="n">
        <f aca="false">-SUM($AA338,$AG338,$AM338,$AQ338,$AV338:$AX338)</f>
        <v>-17172.1951546011</v>
      </c>
      <c r="H338" s="152" t="n">
        <f aca="false">+SUM(F338:G338)</f>
        <v>-2288.61722612399</v>
      </c>
      <c r="I338" s="124"/>
      <c r="J338" s="153" t="n">
        <f aca="false">+IF($B338=" ",0,IF(AND($B338&gt;=J$26,$B338&lt;J$28),J$33,0))</f>
        <v>0</v>
      </c>
      <c r="K338" s="153" t="n">
        <f aca="false">+IF($B338=" ",0,IF(AND($B338&gt;=K$26,$B338&lt;K$28),K$33,0))</f>
        <v>0</v>
      </c>
      <c r="L338" s="153" t="n">
        <f aca="false">+IF($B338=" ",0,IF(AND($B338&gt;=L$26,$B338&lt;L$28),L$33,0))</f>
        <v>0</v>
      </c>
      <c r="M338" s="153" t="n">
        <f aca="false">+IF($B338=" ",0,IF(AND($B338&gt;=M$26,$B338&lt;M$28),M$33,0))</f>
        <v>0</v>
      </c>
      <c r="N338" s="153" t="n">
        <f aca="false">+IF($B338=" ",0,IF(AND($B338&gt;=N$26,$B338&lt;N$28),N$33,0))</f>
        <v>0</v>
      </c>
      <c r="O338" s="154" t="n">
        <f aca="false">+IF($B338=" ",0,IF(AND($B338&gt;=O$26,$B338&lt;O$28),O$33,0))</f>
        <v>5016515.625</v>
      </c>
      <c r="Q338" s="83" t="n">
        <f aca="false">IF($B338=" ",0,IF($B338&lt;=DATE(2003,12,31),3.55,2.9))</f>
        <v>2.9</v>
      </c>
      <c r="R338" s="155" t="n">
        <f aca="false">IF($B338=" ",0,R$25)</f>
        <v>-0.07</v>
      </c>
      <c r="S338" s="156" t="n">
        <f aca="false">IF($B338=" ",0,S$25)</f>
        <v>0.1</v>
      </c>
      <c r="T338" s="157" t="n">
        <f aca="false">+SUM($Q338,$S338)/1000*(SUM($J338*$J$37,$K338*$K$37,$L338*$L$37,$M338*$M$37,$N338*$N$37,$O338*$O$37))</f>
        <v>14883.5779284771</v>
      </c>
      <c r="U338" s="157" t="n">
        <f aca="false">+SUM($Q338,$R338)/1000*(SUM(0))</f>
        <v>0</v>
      </c>
      <c r="W338" s="158" t="n">
        <f aca="false">IF($B338=" ",0,1)*(IF($B338&gt;=W$25,1,0)*IF($B338&lt;=W$29,W$27,IF($B338&lt;=W$33,W$31,0))*($D338-$D337)*365/1000)</f>
        <v>486.66666666666</v>
      </c>
      <c r="X338" s="158" t="n">
        <f aca="false">IF($B338=" ",0,IF($B338&gt;=X$25,IF($B338&lt;=X$29,X$27,IF($B338&lt;=X$33,X$31,X$31*(1+X$38)^(IF(X$36&gt;$B338,-1,1)*(YEARFRAC($B338,X$36)))))*($D338-$D337)*365/1000,0))</f>
        <v>528.194015975209</v>
      </c>
      <c r="Y338" s="159" t="n">
        <f aca="false">IF($B338=" ",0,Y$25*(1+Y$30)^(IF(Y$28&gt;$B338,-1,1)*(YEARFRAC($B338,Y$28))))</f>
        <v>0.663925294088012</v>
      </c>
      <c r="Z338" s="159" t="n">
        <f aca="false">IF($B338=" ",0,Z$25*(1+Z$30)^(IF(Z$28&gt;$B338,-1,1)*(YEARFRAC($B338,Z$28))))</f>
        <v>0.633802301409305</v>
      </c>
      <c r="AA338" s="162" t="n">
        <f aca="false">+W338+X338+Z338*SUM($J338*$J$37,$L338*$L$37,$N338*$N$37)/1000</f>
        <v>1014.86068264187</v>
      </c>
      <c r="AB338" s="161"/>
      <c r="AC338" s="158" t="n">
        <f aca="false">IF($B338=" ",0,1)*(IF($B338&gt;=AC$25,1,0)*IF($B338&lt;=AC$29,AC$27,IF($B338&lt;=AC$33,AC$31,0))*($D338-$D337)*365/1000)</f>
        <v>1591.66666666664</v>
      </c>
      <c r="AD338" s="158" t="n">
        <f aca="false">IF($B338=" ",0,IF($B338&gt;=AD$25,IF($B338&lt;=AD$29,AD$27,IF($B338&lt;=AD$33,AD$31,AD$31*(1+AD$38)^(IF(AD$36&gt;$B338,-1,1)*(YEARFRAC($B338,AD$36)))))*($D338-$D337)*365/1000,0))</f>
        <v>470.208165009387</v>
      </c>
      <c r="AE338" s="159" t="n">
        <f aca="false">IF($B338=" ",0,AE$25*(1+AE$30)^(IF(AE$28&gt;$B338,-1,1)*(YEARFRAC($B338,AE$28))))</f>
        <v>0.550058595873819</v>
      </c>
      <c r="AF338" s="159" t="n">
        <f aca="false">IF($B338=" ",0,AF$25*(1+AF$30)^(IF(AF$28&gt;$B338,-1,1)*(YEARFRAC($B338,AF$28))))</f>
        <v>0.197359776763294</v>
      </c>
      <c r="AG338" s="162" t="n">
        <f aca="false">+AC338+AD338+AF338*SUM($K338*$K$37,$M338*$M$37,$O338*$O$37)/1000</f>
        <v>3041.01470414381</v>
      </c>
      <c r="AI338" s="158" t="n">
        <f aca="false">IF($B338=" ",0,1)*IF($B338&gt;=AI$33,AI$25*($D338-$D337),0)</f>
        <v>485.186570908327</v>
      </c>
      <c r="AJ338" s="158" t="n">
        <f aca="false">IF($B338=" ",0,IF($B338&gt;=AJ$33,AJ$25*(1+AJ$30)^(IF(AJ$28&gt;$B338,-1,1)*(YEARFRAC($B338,AJ$28)))*($D338-$D337),0))</f>
        <v>629.414997960447</v>
      </c>
      <c r="AK338" s="159" t="n">
        <f aca="false">IF($B338=" ",0,AK$25*(1+AK$30)^(IF(AK$28&gt;$B338,-1,1)*(YEARFRAC($B338,AK$28))))</f>
        <v>0.0359719320196621</v>
      </c>
      <c r="AL338" s="159" t="n">
        <f aca="false">IF($B338=" ",0,AL$25*AL$28)</f>
        <v>0.0575</v>
      </c>
      <c r="AM338" s="162" t="n">
        <f aca="false">+AI338+AJ338+SUM(AK338:AL338)*SUM($J338*$J$37,$K338*$K$37,$L338*$L$37,$M338*$M$37,$N338*$N$37,$O338*$O$37)/1000</f>
        <v>1578.33383031543</v>
      </c>
      <c r="AO338" s="163" t="n">
        <f aca="false">IF($B338=" ",0,$AO$25)</f>
        <v>0.25</v>
      </c>
      <c r="AP338" s="159" t="n">
        <f aca="false">IF($B338=" ",0,AP$25*AP$28)</f>
        <v>0.03105</v>
      </c>
      <c r="AQ338" s="162" t="n">
        <f aca="false">SUM(AO338:AP338)*SUM(0)/1000</f>
        <v>0</v>
      </c>
      <c r="AS338" s="155" t="n">
        <f aca="false">IF($B338=" ",0,AS$25)</f>
        <v>1</v>
      </c>
      <c r="AT338" s="156" t="n">
        <f aca="false">IF($B338=" ",0,AT$25)</f>
        <v>1</v>
      </c>
      <c r="AU338" s="156" t="n">
        <f aca="false">IF($B338=" ",0,AU$25)</f>
        <v>2.3</v>
      </c>
      <c r="AV338" s="157" t="n">
        <f aca="false">+AS338*SUM(J338:K338)/1000</f>
        <v>0</v>
      </c>
      <c r="AW338" s="157" t="n">
        <f aca="false">+AT338*SUM(L338:M338)/1000</f>
        <v>0</v>
      </c>
      <c r="AX338" s="157" t="n">
        <f aca="false">+AU338*SUM(N338:O338)/1000</f>
        <v>11537.9859375</v>
      </c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</row>
    <row r="339" customFormat="false" ht="12.75" hidden="false" customHeight="false" outlineLevel="0" collapsed="false">
      <c r="A339" s="164" t="n">
        <f aca="false">+IF(B339=" ",A338,B339)</f>
        <v>45597</v>
      </c>
      <c r="B339" s="148" t="n">
        <f aca="false">IF(B338=" "," ",IF(EDATE(B338,1)&gt;=EndDate," ",EDATE(B338,1)))</f>
        <v>45597</v>
      </c>
      <c r="C339" s="149" t="n">
        <f aca="false">IF($B339&lt;&gt;" ",C338+1,C338)</f>
        <v>289</v>
      </c>
      <c r="D339" s="150" t="n">
        <f aca="false">C339/12</f>
        <v>24.0833333333333</v>
      </c>
      <c r="F339" s="157" t="n">
        <f aca="false">+SUM($T339:$U339)</f>
        <v>14883.5779284771</v>
      </c>
      <c r="G339" s="152" t="n">
        <f aca="false">-SUM($AA339,$AG339,$AM339,$AQ339,$AV339:$AX339)</f>
        <v>-17175.7577377728</v>
      </c>
      <c r="H339" s="152" t="n">
        <f aca="false">+SUM(F339:G339)</f>
        <v>-2292.17980929567</v>
      </c>
      <c r="I339" s="124"/>
      <c r="J339" s="153" t="n">
        <f aca="false">+IF($B339=" ",0,IF(AND($B339&gt;=J$26,$B339&lt;J$28),J$33,0))</f>
        <v>0</v>
      </c>
      <c r="K339" s="153" t="n">
        <f aca="false">+IF($B339=" ",0,IF(AND($B339&gt;=K$26,$B339&lt;K$28),K$33,0))</f>
        <v>0</v>
      </c>
      <c r="L339" s="153" t="n">
        <f aca="false">+IF($B339=" ",0,IF(AND($B339&gt;=L$26,$B339&lt;L$28),L$33,0))</f>
        <v>0</v>
      </c>
      <c r="M339" s="153" t="n">
        <f aca="false">+IF($B339=" ",0,IF(AND($B339&gt;=M$26,$B339&lt;M$28),M$33,0))</f>
        <v>0</v>
      </c>
      <c r="N339" s="153" t="n">
        <f aca="false">+IF($B339=" ",0,IF(AND($B339&gt;=N$26,$B339&lt;N$28),N$33,0))</f>
        <v>0</v>
      </c>
      <c r="O339" s="154" t="n">
        <f aca="false">+IF($B339=" ",0,IF(AND($B339&gt;=O$26,$B339&lt;O$28),O$33,0))</f>
        <v>5016515.625</v>
      </c>
      <c r="Q339" s="83" t="n">
        <f aca="false">IF($B339=" ",0,IF($B339&lt;=DATE(2003,12,31),3.55,2.9))</f>
        <v>2.9</v>
      </c>
      <c r="R339" s="155" t="n">
        <f aca="false">IF($B339=" ",0,R$25)</f>
        <v>-0.07</v>
      </c>
      <c r="S339" s="156" t="n">
        <f aca="false">IF($B339=" ",0,S$25)</f>
        <v>0.1</v>
      </c>
      <c r="T339" s="157" t="n">
        <f aca="false">+SUM($Q339,$S339)/1000*(SUM($J339*$J$37,$K339*$K$37,$L339*$L$37,$M339*$M$37,$N339*$N$37,$O339*$O$37))</f>
        <v>14883.5779284771</v>
      </c>
      <c r="U339" s="157" t="n">
        <f aca="false">+SUM($Q339,$R339)/1000*(SUM(0))</f>
        <v>0</v>
      </c>
      <c r="W339" s="158" t="n">
        <f aca="false">IF($B339=" ",0,1)*(IF($B339&gt;=W$25,1,0)*IF($B339&lt;=W$29,W$27,IF($B339&lt;=W$33,W$31,0))*($D339-$D338)*365/1000)</f>
        <v>486.66666666666</v>
      </c>
      <c r="X339" s="158" t="n">
        <f aca="false">IF($B339=" ",0,IF($B339&gt;=X$25,IF($B339&lt;=X$29,X$27,IF($B339&lt;=X$33,X$31,X$31*(1+X$38)^(IF(X$36&gt;$B339,-1,1)*(YEARFRAC($B339,X$36)))))*($D339-$D338)*365/1000,0))</f>
        <v>528.922073820332</v>
      </c>
      <c r="Y339" s="159" t="n">
        <f aca="false">IF($B339=" ",0,Y$25*(1+Y$30)^(IF(Y$28&gt;$B339,-1,1)*(YEARFRAC($B339,Y$28))))</f>
        <v>0.664840442696889</v>
      </c>
      <c r="Z339" s="159" t="n">
        <f aca="false">IF($B339=" ",0,Z$25*(1+Z$30)^(IF(Z$28&gt;$B339,-1,1)*(YEARFRAC($B339,Z$28))))</f>
        <v>0.634675928758048</v>
      </c>
      <c r="AA339" s="162" t="n">
        <f aca="false">+W339+X339+Z339*SUM($J339*$J$37,$L339*$L$37,$N339*$N$37)/1000</f>
        <v>1015.58874048699</v>
      </c>
      <c r="AB339" s="161"/>
      <c r="AC339" s="158" t="n">
        <f aca="false">IF($B339=" ",0,1)*(IF($B339&gt;=AC$25,1,0)*IF($B339&lt;=AC$29,AC$27,IF($B339&lt;=AC$33,AC$31,0))*($D339-$D338)*365/1000)</f>
        <v>1591.66666666664</v>
      </c>
      <c r="AD339" s="158" t="n">
        <f aca="false">IF($B339=" ",0,IF($B339&gt;=AD$25,IF($B339&lt;=AD$29,AD$27,IF($B339&lt;=AD$33,AD$31,AD$31*(1+AD$38)^(IF(AD$36&gt;$B339,-1,1)*(YEARFRAC($B339,AD$36)))))*($D339-$D338)*365/1000,0))</f>
        <v>470.856295683007</v>
      </c>
      <c r="AE339" s="159" t="n">
        <f aca="false">IF($B339=" ",0,AE$25*(1+AE$30)^(IF(AE$28&gt;$B339,-1,1)*(YEARFRAC($B339,AE$28))))</f>
        <v>0.550816791657737</v>
      </c>
      <c r="AF339" s="159" t="n">
        <f aca="false">IF($B339=" ",0,AF$25*(1+AF$30)^(IF(AF$28&gt;$B339,-1,1)*(YEARFRAC($B339,AF$28))))</f>
        <v>0.19763181569111</v>
      </c>
      <c r="AG339" s="162" t="n">
        <f aca="false">+AC339+AD339+AF339*SUM($K339*$K$37,$M339*$M$37,$O339*$O$37)/1000</f>
        <v>3043.01247234467</v>
      </c>
      <c r="AI339" s="158" t="n">
        <f aca="false">IF($B339=" ",0,1)*IF($B339&gt;=AI$33,AI$25*($D339-$D338),0)</f>
        <v>485.186570908327</v>
      </c>
      <c r="AJ339" s="158" t="n">
        <f aca="false">IF($B339=" ",0,IF($B339&gt;=AJ$33,AJ$25*(1+AJ$30)^(IF(AJ$28&gt;$B339,-1,1)*(YEARFRAC($B339,AJ$28)))*($D339-$D338),0))</f>
        <v>630.066912036176</v>
      </c>
      <c r="AK339" s="159" t="n">
        <f aca="false">IF($B339=" ",0,AK$25*(1+AK$30)^(IF(AK$28&gt;$B339,-1,1)*(YEARFRAC($B339,AK$28))))</f>
        <v>0.0360091898048925</v>
      </c>
      <c r="AL339" s="159" t="n">
        <f aca="false">IF($B339=" ",0,AL$25*AL$28)</f>
        <v>0.0575</v>
      </c>
      <c r="AM339" s="162" t="n">
        <f aca="false">+AI339+AJ339+SUM(AK339:AL339)*SUM($J339*$J$37,$K339*$K$37,$L339*$L$37,$M339*$M$37,$N339*$N$37,$O339*$O$37)/1000</f>
        <v>1579.17058744113</v>
      </c>
      <c r="AO339" s="163" t="n">
        <f aca="false">IF($B339=" ",0,$AO$25)</f>
        <v>0.25</v>
      </c>
      <c r="AP339" s="159" t="n">
        <f aca="false">IF($B339=" ",0,AP$25*AP$28)</f>
        <v>0.03105</v>
      </c>
      <c r="AQ339" s="162" t="n">
        <f aca="false">SUM(AO339:AP339)*SUM(0)/1000</f>
        <v>0</v>
      </c>
      <c r="AS339" s="155" t="n">
        <f aca="false">IF($B339=" ",0,AS$25)</f>
        <v>1</v>
      </c>
      <c r="AT339" s="156" t="n">
        <f aca="false">IF($B339=" ",0,AT$25)</f>
        <v>1</v>
      </c>
      <c r="AU339" s="156" t="n">
        <f aca="false">IF($B339=" ",0,AU$25)</f>
        <v>2.3</v>
      </c>
      <c r="AV339" s="157" t="n">
        <f aca="false">+AS339*SUM(J339:K339)/1000</f>
        <v>0</v>
      </c>
      <c r="AW339" s="157" t="n">
        <f aca="false">+AT339*SUM(L339:M339)/1000</f>
        <v>0</v>
      </c>
      <c r="AX339" s="157" t="n">
        <f aca="false">+AU339*SUM(N339:O339)/1000</f>
        <v>11537.9859375</v>
      </c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</row>
    <row r="340" customFormat="false" ht="12.75" hidden="false" customHeight="false" outlineLevel="0" collapsed="false">
      <c r="A340" s="164" t="n">
        <f aca="false">+IF(B340=" ",A339,B340)</f>
        <v>45627</v>
      </c>
      <c r="B340" s="148" t="n">
        <f aca="false">IF(B339=" "," ",IF(EDATE(B339,1)&gt;=EndDate," ",EDATE(B339,1)))</f>
        <v>45627</v>
      </c>
      <c r="C340" s="149" t="n">
        <f aca="false">IF($B340&lt;&gt;" ",C339+1,C339)</f>
        <v>290</v>
      </c>
      <c r="D340" s="150" t="n">
        <f aca="false">C340/12</f>
        <v>24.1666666666667</v>
      </c>
      <c r="F340" s="157" t="n">
        <f aca="false">+SUM($T340:$U340)</f>
        <v>14883.5779284771</v>
      </c>
      <c r="G340" s="152" t="n">
        <f aca="false">-SUM($AA340,$AG340,$AM340,$AQ340,$AV340:$AX340)</f>
        <v>-17179.3249448664</v>
      </c>
      <c r="H340" s="152" t="n">
        <f aca="false">+SUM(F340:G340)</f>
        <v>-2295.74701638932</v>
      </c>
      <c r="I340" s="124"/>
      <c r="J340" s="153" t="n">
        <f aca="false">+IF($B340=" ",0,IF(AND($B340&gt;=J$26,$B340&lt;J$28),J$33,0))</f>
        <v>0</v>
      </c>
      <c r="K340" s="153" t="n">
        <f aca="false">+IF($B340=" ",0,IF(AND($B340&gt;=K$26,$B340&lt;K$28),K$33,0))</f>
        <v>0</v>
      </c>
      <c r="L340" s="153" t="n">
        <f aca="false">+IF($B340=" ",0,IF(AND($B340&gt;=L$26,$B340&lt;L$28),L$33,0))</f>
        <v>0</v>
      </c>
      <c r="M340" s="153" t="n">
        <f aca="false">+IF($B340=" ",0,IF(AND($B340&gt;=M$26,$B340&lt;M$28),M$33,0))</f>
        <v>0</v>
      </c>
      <c r="N340" s="153" t="n">
        <f aca="false">+IF($B340=" ",0,IF(AND($B340&gt;=N$26,$B340&lt;N$28),N$33,0))</f>
        <v>0</v>
      </c>
      <c r="O340" s="154" t="n">
        <f aca="false">+IF($B340=" ",0,IF(AND($B340&gt;=O$26,$B340&lt;O$28),O$33,0))</f>
        <v>5016515.625</v>
      </c>
      <c r="Q340" s="83" t="n">
        <f aca="false">IF($B340=" ",0,IF($B340&lt;=DATE(2003,12,31),3.55,2.9))</f>
        <v>2.9</v>
      </c>
      <c r="R340" s="155" t="n">
        <f aca="false">IF($B340=" ",0,R$25)</f>
        <v>-0.07</v>
      </c>
      <c r="S340" s="156" t="n">
        <f aca="false">IF($B340=" ",0,S$25)</f>
        <v>0.1</v>
      </c>
      <c r="T340" s="157" t="n">
        <f aca="false">+SUM($Q340,$S340)/1000*(SUM($J340*$J$37,$K340*$K$37,$L340*$L$37,$M340*$M$37,$N340*$N$37,$O340*$O$37))</f>
        <v>14883.5779284771</v>
      </c>
      <c r="U340" s="157" t="n">
        <f aca="false">+SUM($Q340,$R340)/1000*(SUM(0))</f>
        <v>0</v>
      </c>
      <c r="W340" s="158" t="n">
        <f aca="false">IF($B340=" ",0,1)*(IF($B340&gt;=W$25,1,0)*IF($B340&lt;=W$29,W$27,IF($B340&lt;=W$33,W$31,0))*($D340-$D339)*365/1000)</f>
        <v>486.666666666681</v>
      </c>
      <c r="X340" s="158" t="n">
        <f aca="false">IF($B340=" ",0,IF($B340&gt;=X$25,IF($B340&lt;=X$29,X$27,IF($B340&lt;=X$33,X$31,X$31*(1+X$38)^(IF(X$36&gt;$B340,-1,1)*(YEARFRAC($B340,X$36)))))*($D340-$D339)*365/1000,0))</f>
        <v>529.651135213814</v>
      </c>
      <c r="Y340" s="159" t="n">
        <f aca="false">IF($B340=" ",0,Y$25*(1+Y$30)^(IF(Y$28&gt;$B340,-1,1)*(YEARFRAC($B340,Y$28))))</f>
        <v>0.665756852738314</v>
      </c>
      <c r="Z340" s="159" t="n">
        <f aca="false">IF($B340=" ",0,Z$25*(1+Z$30)^(IF(Z$28&gt;$B340,-1,1)*(YEARFRAC($B340,Z$28))))</f>
        <v>0.635550760306811</v>
      </c>
      <c r="AA340" s="162" t="n">
        <f aca="false">+W340+X340+Z340*SUM($J340*$J$37,$L340*$L$37,$N340*$N$37)/1000</f>
        <v>1016.31780188049</v>
      </c>
      <c r="AB340" s="161"/>
      <c r="AC340" s="158" t="n">
        <f aca="false">IF($B340=" ",0,1)*(IF($B340&gt;=AC$25,1,0)*IF($B340&lt;=AC$29,AC$27,IF($B340&lt;=AC$33,AC$31,0))*($D340-$D339)*365/1000)</f>
        <v>1591.66666666671</v>
      </c>
      <c r="AD340" s="158" t="n">
        <f aca="false">IF($B340=" ",0,IF($B340&gt;=AD$25,IF($B340&lt;=AD$29,AD$27,IF($B340&lt;=AD$33,AD$31,AD$31*(1+AD$38)^(IF(AD$36&gt;$B340,-1,1)*(YEARFRAC($B340,AD$36)))))*($D340-$D339)*365/1000,0))</f>
        <v>471.505319734094</v>
      </c>
      <c r="AE340" s="159" t="n">
        <f aca="false">IF($B340=" ",0,AE$25*(1+AE$30)^(IF(AE$28&gt;$B340,-1,1)*(YEARFRAC($B340,AE$28))))</f>
        <v>0.551576032531854</v>
      </c>
      <c r="AF340" s="159" t="n">
        <f aca="false">IF($B340=" ",0,AF$25*(1+AF$30)^(IF(AF$28&gt;$B340,-1,1)*(YEARFRAC($B340,AF$28))))</f>
        <v>0.197904229594918</v>
      </c>
      <c r="AG340" s="162" t="n">
        <f aca="false">+AC340+AD340+AF340*SUM($K340*$K$37,$M340*$M$37,$O340*$O$37)/1000</f>
        <v>3045.0129942512</v>
      </c>
      <c r="AI340" s="158" t="n">
        <f aca="false">IF($B340=" ",0,1)*IF($B340&gt;=AI$33,AI$25*($D340-$D339),0)</f>
        <v>485.186570908347</v>
      </c>
      <c r="AJ340" s="158" t="n">
        <f aca="false">IF($B340=" ",0,IF($B340&gt;=AJ$33,AJ$25*(1+AJ$30)^(IF(AJ$28&gt;$B340,-1,1)*(YEARFRAC($B340,AJ$28)))*($D340-$D339),0))</f>
        <v>630.719501329338</v>
      </c>
      <c r="AK340" s="159" t="n">
        <f aca="false">IF($B340=" ",0,AK$25*(1+AK$30)^(IF(AK$28&gt;$B340,-1,1)*(YEARFRAC($B340,AK$28))))</f>
        <v>0.0360464861797254</v>
      </c>
      <c r="AL340" s="159" t="n">
        <f aca="false">IF($B340=" ",0,AL$25*AL$28)</f>
        <v>0.0575</v>
      </c>
      <c r="AM340" s="162" t="n">
        <f aca="false">+AI340+AJ340+SUM(AK340:AL340)*SUM($J340*$J$37,$K340*$K$37,$L340*$L$37,$M340*$M$37,$N340*$N$37,$O340*$O$37)/1000</f>
        <v>1580.00821123474</v>
      </c>
      <c r="AO340" s="163" t="n">
        <f aca="false">IF($B340=" ",0,$AO$25)</f>
        <v>0.25</v>
      </c>
      <c r="AP340" s="159" t="n">
        <f aca="false">IF($B340=" ",0,AP$25*AP$28)</f>
        <v>0.03105</v>
      </c>
      <c r="AQ340" s="162" t="n">
        <f aca="false">SUM(AO340:AP340)*SUM(0)/1000</f>
        <v>0</v>
      </c>
      <c r="AS340" s="155" t="n">
        <f aca="false">IF($B340=" ",0,AS$25)</f>
        <v>1</v>
      </c>
      <c r="AT340" s="156" t="n">
        <f aca="false">IF($B340=" ",0,AT$25)</f>
        <v>1</v>
      </c>
      <c r="AU340" s="156" t="n">
        <f aca="false">IF($B340=" ",0,AU$25)</f>
        <v>2.3</v>
      </c>
      <c r="AV340" s="157" t="n">
        <f aca="false">+AS340*SUM(J340:K340)/1000</f>
        <v>0</v>
      </c>
      <c r="AW340" s="157" t="n">
        <f aca="false">+AT340*SUM(L340:M340)/1000</f>
        <v>0</v>
      </c>
      <c r="AX340" s="157" t="n">
        <f aca="false">+AU340*SUM(N340:O340)/1000</f>
        <v>11537.9859375</v>
      </c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</row>
    <row r="341" customFormat="false" ht="12.75" hidden="false" customHeight="false" outlineLevel="0" collapsed="false">
      <c r="A341" s="164" t="n">
        <f aca="false">+IF(B341=" ",A340,B341)</f>
        <v>45658</v>
      </c>
      <c r="B341" s="148" t="n">
        <f aca="false">IF(B340=" "," ",IF(EDATE(B340,1)&gt;=EndDate," ",EDATE(B340,1)))</f>
        <v>45658</v>
      </c>
      <c r="C341" s="149" t="n">
        <f aca="false">IF($B341&lt;&gt;" ",C340+1,C340)</f>
        <v>291</v>
      </c>
      <c r="D341" s="150" t="n">
        <f aca="false">C341/12</f>
        <v>24.25</v>
      </c>
      <c r="F341" s="157" t="n">
        <f aca="false">+SUM($T341:$U341)</f>
        <v>14883.5779284771</v>
      </c>
      <c r="G341" s="152" t="n">
        <f aca="false">-SUM($AA341,$AG341,$AM341,$AQ341,$AV341:$AX341)</f>
        <v>-17182.8967819581</v>
      </c>
      <c r="H341" s="152" t="n">
        <f aca="false">+SUM(F341:G341)</f>
        <v>-2299.31885348099</v>
      </c>
      <c r="I341" s="124"/>
      <c r="J341" s="153" t="n">
        <f aca="false">+IF($B341=" ",0,IF(AND($B341&gt;=J$26,$B341&lt;J$28),J$33,0))</f>
        <v>0</v>
      </c>
      <c r="K341" s="153" t="n">
        <f aca="false">+IF($B341=" ",0,IF(AND($B341&gt;=K$26,$B341&lt;K$28),K$33,0))</f>
        <v>0</v>
      </c>
      <c r="L341" s="153" t="n">
        <f aca="false">+IF($B341=" ",0,IF(AND($B341&gt;=L$26,$B341&lt;L$28),L$33,0))</f>
        <v>0</v>
      </c>
      <c r="M341" s="153" t="n">
        <f aca="false">+IF($B341=" ",0,IF(AND($B341&gt;=M$26,$B341&lt;M$28),M$33,0))</f>
        <v>0</v>
      </c>
      <c r="N341" s="153" t="n">
        <f aca="false">+IF($B341=" ",0,IF(AND($B341&gt;=N$26,$B341&lt;N$28),N$33,0))</f>
        <v>0</v>
      </c>
      <c r="O341" s="154" t="n">
        <f aca="false">+IF($B341=" ",0,IF(AND($B341&gt;=O$26,$B341&lt;O$28),O$33,0))</f>
        <v>5016515.625</v>
      </c>
      <c r="Q341" s="83" t="n">
        <f aca="false">IF($B341=" ",0,IF($B341&lt;=DATE(2003,12,31),3.55,2.9))</f>
        <v>2.9</v>
      </c>
      <c r="R341" s="155" t="n">
        <f aca="false">IF($B341=" ",0,R$25)</f>
        <v>-0.07</v>
      </c>
      <c r="S341" s="156" t="n">
        <f aca="false">IF($B341=" ",0,S$25)</f>
        <v>0.1</v>
      </c>
      <c r="T341" s="157" t="n">
        <f aca="false">+SUM($Q341,$S341)/1000*(SUM($J341*$J$37,$K341*$K$37,$L341*$L$37,$M341*$M$37,$N341*$N$37,$O341*$O$37))</f>
        <v>14883.5779284771</v>
      </c>
      <c r="U341" s="157" t="n">
        <f aca="false">+SUM($Q341,$R341)/1000*(SUM(0))</f>
        <v>0</v>
      </c>
      <c r="W341" s="158" t="n">
        <f aca="false">IF($B341=" ",0,1)*(IF($B341&gt;=W$25,1,0)*IF($B341&lt;=W$29,W$27,IF($B341&lt;=W$33,W$31,0))*($D341-$D340)*365/1000)</f>
        <v>486.66666666666</v>
      </c>
      <c r="X341" s="158" t="n">
        <f aca="false">IF($B341=" ",0,IF($B341&gt;=X$25,IF($B341&lt;=X$29,X$27,IF($B341&lt;=X$33,X$31,X$31*(1+X$38)^(IF(X$36&gt;$B341,-1,1)*(YEARFRAC($B341,X$36)))))*($D341-$D340)*365/1000,0))</f>
        <v>530.381201538869</v>
      </c>
      <c r="Y341" s="159" t="n">
        <f aca="false">IF($B341=" ",0,Y$25*(1+Y$30)^(IF(Y$28&gt;$B341,-1,1)*(YEARFRAC($B341,Y$28))))</f>
        <v>0.666674525951037</v>
      </c>
      <c r="Z341" s="159" t="n">
        <f aca="false">IF($B341=" ",0,Z$25*(1+Z$30)^(IF(Z$28&gt;$B341,-1,1)*(YEARFRAC($B341,Z$28))))</f>
        <v>0.636426797715454</v>
      </c>
      <c r="AA341" s="162" t="n">
        <f aca="false">+W341+X341+Z341*SUM($J341*$J$37,$L341*$L$37,$N341*$N$37)/1000</f>
        <v>1017.04786820553</v>
      </c>
      <c r="AB341" s="161"/>
      <c r="AC341" s="158" t="n">
        <f aca="false">IF($B341=" ",0,1)*(IF($B341&gt;=AC$25,1,0)*IF($B341&lt;=AC$29,AC$27,IF($B341&lt;=AC$33,AC$31,0))*($D341-$D340)*365/1000)</f>
        <v>1591.66666666664</v>
      </c>
      <c r="AD341" s="158" t="n">
        <f aca="false">IF($B341=" ",0,IF($B341&gt;=AD$25,IF($B341&lt;=AD$29,AD$27,IF($B341&lt;=AD$33,AD$31,AD$31*(1+AD$38)^(IF(AD$36&gt;$B341,-1,1)*(YEARFRAC($B341,AD$36)))))*($D341-$D340)*365/1000,0))</f>
        <v>472.155238394012</v>
      </c>
      <c r="AE341" s="159" t="n">
        <f aca="false">IF($B341=" ",0,AE$25*(1+AE$30)^(IF(AE$28&gt;$B341,-1,1)*(YEARFRAC($B341,AE$28))))</f>
        <v>0.552336319936711</v>
      </c>
      <c r="AF341" s="159" t="n">
        <f aca="false">IF($B341=" ",0,AF$25*(1+AF$30)^(IF(AF$28&gt;$B341,-1,1)*(YEARFRAC($B341,AF$28))))</f>
        <v>0.198177018991582</v>
      </c>
      <c r="AG341" s="162" t="n">
        <f aca="false">+AC341+AD341+AF341*SUM($K341*$K$37,$M341*$M$37,$O341*$O$37)/1000</f>
        <v>3047.01627365882</v>
      </c>
      <c r="AI341" s="158" t="n">
        <f aca="false">IF($B341=" ",0,1)*IF($B341&gt;=AI$33,AI$25*($D341-$D340),0)</f>
        <v>485.186570908327</v>
      </c>
      <c r="AJ341" s="158" t="n">
        <f aca="false">IF($B341=" ",0,IF($B341&gt;=AJ$33,AJ$25*(1+AJ$30)^(IF(AJ$28&gt;$B341,-1,1)*(YEARFRAC($B341,AJ$28)))*($D341-$D340),0))</f>
        <v>631.372766539205</v>
      </c>
      <c r="AK341" s="159" t="n">
        <f aca="false">IF($B341=" ",0,AK$25*(1+AK$30)^(IF(AK$28&gt;$B341,-1,1)*(YEARFRAC($B341,AK$28))))</f>
        <v>0.0360838211841299</v>
      </c>
      <c r="AL341" s="159" t="n">
        <f aca="false">IF($B341=" ",0,AL$25*AL$28)</f>
        <v>0.0575</v>
      </c>
      <c r="AM341" s="162" t="n">
        <f aca="false">+AI341+AJ341+SUM(AK341:AL341)*SUM($J341*$J$37,$K341*$K$37,$L341*$L$37,$M341*$M$37,$N341*$N$37,$O341*$O$37)/1000</f>
        <v>1580.84670259375</v>
      </c>
      <c r="AO341" s="163" t="n">
        <f aca="false">IF($B341=" ",0,$AO$25)</f>
        <v>0.25</v>
      </c>
      <c r="AP341" s="159" t="n">
        <f aca="false">IF($B341=" ",0,AP$25*AP$28)</f>
        <v>0.03105</v>
      </c>
      <c r="AQ341" s="162" t="n">
        <f aca="false">SUM(AO341:AP341)*SUM(0)/1000</f>
        <v>0</v>
      </c>
      <c r="AS341" s="155" t="n">
        <f aca="false">IF($B341=" ",0,AS$25)</f>
        <v>1</v>
      </c>
      <c r="AT341" s="156" t="n">
        <f aca="false">IF($B341=" ",0,AT$25)</f>
        <v>1</v>
      </c>
      <c r="AU341" s="156" t="n">
        <f aca="false">IF($B341=" ",0,AU$25)</f>
        <v>2.3</v>
      </c>
      <c r="AV341" s="157" t="n">
        <f aca="false">+AS341*SUM(J341:K341)/1000</f>
        <v>0</v>
      </c>
      <c r="AW341" s="157" t="n">
        <f aca="false">+AT341*SUM(L341:M341)/1000</f>
        <v>0</v>
      </c>
      <c r="AX341" s="157" t="n">
        <f aca="false">+AU341*SUM(N341:O341)/1000</f>
        <v>11537.9859375</v>
      </c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</row>
    <row r="342" customFormat="false" ht="12.75" hidden="false" customHeight="false" outlineLevel="0" collapsed="false">
      <c r="A342" s="164" t="n">
        <f aca="false">+IF(B342=" ",A341,B342)</f>
        <v>45689</v>
      </c>
      <c r="B342" s="148" t="n">
        <f aca="false">IF(B341=" "," ",IF(EDATE(B341,1)&gt;=EndDate," ",EDATE(B341,1)))</f>
        <v>45689</v>
      </c>
      <c r="C342" s="149" t="n">
        <f aca="false">IF($B342&lt;&gt;" ",C341+1,C341)</f>
        <v>292</v>
      </c>
      <c r="D342" s="150" t="n">
        <f aca="false">C342/12</f>
        <v>24.3333333333333</v>
      </c>
      <c r="F342" s="157" t="n">
        <f aca="false">+SUM($T342:$U342)</f>
        <v>14883.5779284771</v>
      </c>
      <c r="G342" s="152" t="n">
        <f aca="false">-SUM($AA342,$AG342,$AM342,$AQ342,$AV342:$AX342)</f>
        <v>-17186.473255133</v>
      </c>
      <c r="H342" s="152" t="n">
        <f aca="false">+SUM(F342:G342)</f>
        <v>-2302.89532665592</v>
      </c>
      <c r="I342" s="124"/>
      <c r="J342" s="153" t="n">
        <f aca="false">+IF($B342=" ",0,IF(AND($B342&gt;=J$26,$B342&lt;J$28),J$33,0))</f>
        <v>0</v>
      </c>
      <c r="K342" s="153" t="n">
        <f aca="false">+IF($B342=" ",0,IF(AND($B342&gt;=K$26,$B342&lt;K$28),K$33,0))</f>
        <v>0</v>
      </c>
      <c r="L342" s="153" t="n">
        <f aca="false">+IF($B342=" ",0,IF(AND($B342&gt;=L$26,$B342&lt;L$28),L$33,0))</f>
        <v>0</v>
      </c>
      <c r="M342" s="153" t="n">
        <f aca="false">+IF($B342=" ",0,IF(AND($B342&gt;=M$26,$B342&lt;M$28),M$33,0))</f>
        <v>0</v>
      </c>
      <c r="N342" s="153" t="n">
        <f aca="false">+IF($B342=" ",0,IF(AND($B342&gt;=N$26,$B342&lt;N$28),N$33,0))</f>
        <v>0</v>
      </c>
      <c r="O342" s="154" t="n">
        <f aca="false">+IF($B342=" ",0,IF(AND($B342&gt;=O$26,$B342&lt;O$28),O$33,0))</f>
        <v>5016515.625</v>
      </c>
      <c r="Q342" s="83" t="n">
        <f aca="false">IF($B342=" ",0,IF($B342&lt;=DATE(2003,12,31),3.55,2.9))</f>
        <v>2.9</v>
      </c>
      <c r="R342" s="155" t="n">
        <f aca="false">IF($B342=" ",0,R$25)</f>
        <v>-0.07</v>
      </c>
      <c r="S342" s="156" t="n">
        <f aca="false">IF($B342=" ",0,S$25)</f>
        <v>0.1</v>
      </c>
      <c r="T342" s="157" t="n">
        <f aca="false">+SUM($Q342,$S342)/1000*(SUM($J342*$J$37,$K342*$K$37,$L342*$L$37,$M342*$M$37,$N342*$N$37,$O342*$O$37))</f>
        <v>14883.5779284771</v>
      </c>
      <c r="U342" s="157" t="n">
        <f aca="false">+SUM($Q342,$R342)/1000*(SUM(0))</f>
        <v>0</v>
      </c>
      <c r="W342" s="158" t="n">
        <f aca="false">IF($B342=" ",0,1)*(IF($B342&gt;=W$25,1,0)*IF($B342&lt;=W$29,W$27,IF($B342&lt;=W$33,W$31,0))*($D342-$D341)*365/1000)</f>
        <v>486.66666666666</v>
      </c>
      <c r="X342" s="158" t="n">
        <f aca="false">IF($B342=" ",0,IF($B342&gt;=X$25,IF($B342&lt;=X$29,X$27,IF($B342&lt;=X$33,X$31,X$31*(1+X$38)^(IF(X$36&gt;$B342,-1,1)*(YEARFRAC($B342,X$36)))))*($D342-$D341)*365/1000,0))</f>
        <v>531.112274180753</v>
      </c>
      <c r="Y342" s="159" t="n">
        <f aca="false">IF($B342=" ",0,Y$25*(1+Y$30)^(IF(Y$28&gt;$B342,-1,1)*(YEARFRAC($B342,Y$28))))</f>
        <v>0.6675934640762</v>
      </c>
      <c r="Z342" s="159" t="n">
        <f aca="false">IF($B342=" ",0,Z$25*(1+Z$30)^(IF(Z$28&gt;$B342,-1,1)*(YEARFRAC($B342,Z$28))))</f>
        <v>0.637304042646122</v>
      </c>
      <c r="AA342" s="162" t="n">
        <f aca="false">+W342+X342+Z342*SUM($J342*$J$37,$L342*$L$37,$N342*$N$37)/1000</f>
        <v>1017.77894084741</v>
      </c>
      <c r="AB342" s="161"/>
      <c r="AC342" s="158" t="n">
        <f aca="false">IF($B342=" ",0,1)*(IF($B342&gt;=AC$25,1,0)*IF($B342&lt;=AC$29,AC$27,IF($B342&lt;=AC$33,AC$31,0))*($D342-$D341)*365/1000)</f>
        <v>1591.66666666664</v>
      </c>
      <c r="AD342" s="158" t="n">
        <f aca="false">IF($B342=" ",0,IF($B342&gt;=AD$25,IF($B342&lt;=AD$29,AD$27,IF($B342&lt;=AD$33,AD$31,AD$31*(1+AD$38)^(IF(AD$36&gt;$B342,-1,1)*(YEARFRAC($B342,AD$36)))))*($D342-$D341)*365/1000,0))</f>
        <v>472.806052895941</v>
      </c>
      <c r="AE342" s="159" t="n">
        <f aca="false">IF($B342=" ",0,AE$25*(1+AE$30)^(IF(AE$28&gt;$B342,-1,1)*(YEARFRAC($B342,AE$28))))</f>
        <v>0.553097655314837</v>
      </c>
      <c r="AF342" s="159" t="n">
        <f aca="false">IF($B342=" ",0,AF$25*(1+AF$30)^(IF(AF$28&gt;$B342,-1,1)*(YEARFRAC($B342,AF$28))))</f>
        <v>0.198450184398679</v>
      </c>
      <c r="AG342" s="162" t="n">
        <f aca="false">+AC342+AD342+AF342*SUM($K342*$K$37,$M342*$M$37,$O342*$O$37)/1000</f>
        <v>3049.02231436871</v>
      </c>
      <c r="AI342" s="158" t="n">
        <f aca="false">IF($B342=" ",0,1)*IF($B342&gt;=AI$33,AI$25*($D342-$D341),0)</f>
        <v>485.186570908327</v>
      </c>
      <c r="AJ342" s="158" t="n">
        <f aca="false">IF($B342=" ",0,IF($B342&gt;=AJ$33,AJ$25*(1+AJ$30)^(IF(AJ$28&gt;$B342,-1,1)*(YEARFRAC($B342,AJ$28)))*($D342-$D341),0))</f>
        <v>632.026708365937</v>
      </c>
      <c r="AK342" s="159" t="n">
        <f aca="false">IF($B342=" ",0,AK$25*(1+AK$30)^(IF(AK$28&gt;$B342,-1,1)*(YEARFRAC($B342,AK$28))))</f>
        <v>0.0361211948581165</v>
      </c>
      <c r="AL342" s="159" t="n">
        <f aca="false">IF($B342=" ",0,AL$25*AL$28)</f>
        <v>0.0575</v>
      </c>
      <c r="AM342" s="162" t="n">
        <f aca="false">+AI342+AJ342+SUM(AK342:AL342)*SUM($J342*$J$37,$K342*$K$37,$L342*$L$37,$M342*$M$37,$N342*$N$37,$O342*$O$37)/1000</f>
        <v>1581.6860624169</v>
      </c>
      <c r="AO342" s="163" t="n">
        <f aca="false">IF($B342=" ",0,$AO$25)</f>
        <v>0.25</v>
      </c>
      <c r="AP342" s="159" t="n">
        <f aca="false">IF($B342=" ",0,AP$25*AP$28)</f>
        <v>0.03105</v>
      </c>
      <c r="AQ342" s="162" t="n">
        <f aca="false">SUM(AO342:AP342)*SUM(0)/1000</f>
        <v>0</v>
      </c>
      <c r="AS342" s="155" t="n">
        <f aca="false">IF($B342=" ",0,AS$25)</f>
        <v>1</v>
      </c>
      <c r="AT342" s="156" t="n">
        <f aca="false">IF($B342=" ",0,AT$25)</f>
        <v>1</v>
      </c>
      <c r="AU342" s="156" t="n">
        <f aca="false">IF($B342=" ",0,AU$25)</f>
        <v>2.3</v>
      </c>
      <c r="AV342" s="157" t="n">
        <f aca="false">+AS342*SUM(J342:K342)/1000</f>
        <v>0</v>
      </c>
      <c r="AW342" s="157" t="n">
        <f aca="false">+AT342*SUM(L342:M342)/1000</f>
        <v>0</v>
      </c>
      <c r="AX342" s="157" t="n">
        <f aca="false">+AU342*SUM(N342:O342)/1000</f>
        <v>11537.9859375</v>
      </c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</row>
    <row r="343" customFormat="false" ht="12.75" hidden="false" customHeight="false" outlineLevel="0" collapsed="false">
      <c r="A343" s="164" t="n">
        <f aca="false">+IF(B343=" ",A342,B343)</f>
        <v>45717</v>
      </c>
      <c r="B343" s="148" t="n">
        <f aca="false">IF(B342=" "," ",IF(EDATE(B342,1)&gt;=EndDate," ",EDATE(B342,1)))</f>
        <v>45717</v>
      </c>
      <c r="C343" s="149" t="n">
        <f aca="false">IF($B343&lt;&gt;" ",C342+1,C342)</f>
        <v>293</v>
      </c>
      <c r="D343" s="150" t="n">
        <f aca="false">C343/12</f>
        <v>24.4166666666667</v>
      </c>
      <c r="F343" s="157" t="n">
        <f aca="false">+SUM($T343:$U343)</f>
        <v>14883.5779284771</v>
      </c>
      <c r="G343" s="152" t="n">
        <f aca="false">-SUM($AA343,$AG343,$AM343,$AQ343,$AV343:$AX343)</f>
        <v>-17190.054370484</v>
      </c>
      <c r="H343" s="152" t="n">
        <f aca="false">+SUM(F343:G343)</f>
        <v>-2306.47644200685</v>
      </c>
      <c r="I343" s="124"/>
      <c r="J343" s="153" t="n">
        <f aca="false">+IF($B343=" ",0,IF(AND($B343&gt;=J$26,$B343&lt;J$28),J$33,0))</f>
        <v>0</v>
      </c>
      <c r="K343" s="153" t="n">
        <f aca="false">+IF($B343=" ",0,IF(AND($B343&gt;=K$26,$B343&lt;K$28),K$33,0))</f>
        <v>0</v>
      </c>
      <c r="L343" s="153" t="n">
        <f aca="false">+IF($B343=" ",0,IF(AND($B343&gt;=L$26,$B343&lt;L$28),L$33,0))</f>
        <v>0</v>
      </c>
      <c r="M343" s="153" t="n">
        <f aca="false">+IF($B343=" ",0,IF(AND($B343&gt;=M$26,$B343&lt;M$28),M$33,0))</f>
        <v>0</v>
      </c>
      <c r="N343" s="153" t="n">
        <f aca="false">+IF($B343=" ",0,IF(AND($B343&gt;=N$26,$B343&lt;N$28),N$33,0))</f>
        <v>0</v>
      </c>
      <c r="O343" s="154" t="n">
        <f aca="false">+IF($B343=" ",0,IF(AND($B343&gt;=O$26,$B343&lt;O$28),O$33,0))</f>
        <v>5016515.625</v>
      </c>
      <c r="Q343" s="83" t="n">
        <f aca="false">IF($B343=" ",0,IF($B343&lt;=DATE(2003,12,31),3.55,2.9))</f>
        <v>2.9</v>
      </c>
      <c r="R343" s="155" t="n">
        <f aca="false">IF($B343=" ",0,R$25)</f>
        <v>-0.07</v>
      </c>
      <c r="S343" s="156" t="n">
        <f aca="false">IF($B343=" ",0,S$25)</f>
        <v>0.1</v>
      </c>
      <c r="T343" s="157" t="n">
        <f aca="false">+SUM($Q343,$S343)/1000*(SUM($J343*$J$37,$K343*$K$37,$L343*$L$37,$M343*$M$37,$N343*$N$37,$O343*$O$37))</f>
        <v>14883.5779284771</v>
      </c>
      <c r="U343" s="157" t="n">
        <f aca="false">+SUM($Q343,$R343)/1000*(SUM(0))</f>
        <v>0</v>
      </c>
      <c r="W343" s="158" t="n">
        <f aca="false">IF($B343=" ",0,1)*(IF($B343&gt;=W$25,1,0)*IF($B343&lt;=W$29,W$27,IF($B343&lt;=W$33,W$31,0))*($D343-$D342)*365/1000)</f>
        <v>486.666666666681</v>
      </c>
      <c r="X343" s="158" t="n">
        <f aca="false">IF($B343=" ",0,IF($B343&gt;=X$25,IF($B343&lt;=X$29,X$27,IF($B343&lt;=X$33,X$31,X$31*(1+X$38)^(IF(X$36&gt;$B343,-1,1)*(YEARFRAC($B343,X$36)))))*($D343-$D342)*365/1000,0))</f>
        <v>531.844354526564</v>
      </c>
      <c r="Y343" s="159" t="n">
        <f aca="false">IF($B343=" ",0,Y$25*(1+Y$30)^(IF(Y$28&gt;$B343,-1,1)*(YEARFRAC($B343,Y$28))))</f>
        <v>0.668513668857347</v>
      </c>
      <c r="Z343" s="159" t="n">
        <f aca="false">IF($B343=" ",0,Z$25*(1+Z$30)^(IF(Z$28&gt;$B343,-1,1)*(YEARFRAC($B343,Z$28))))</f>
        <v>0.638182496763253</v>
      </c>
      <c r="AA343" s="162" t="n">
        <f aca="false">+W343+X343+Z343*SUM($J343*$J$37,$L343*$L$37,$N343*$N$37)/1000</f>
        <v>1018.51102119324</v>
      </c>
      <c r="AB343" s="161"/>
      <c r="AC343" s="158" t="n">
        <f aca="false">IF($B343=" ",0,1)*(IF($B343&gt;=AC$25,1,0)*IF($B343&lt;=AC$29,AC$27,IF($B343&lt;=AC$33,AC$31,0))*($D343-$D342)*365/1000)</f>
        <v>1591.66666666671</v>
      </c>
      <c r="AD343" s="158" t="n">
        <f aca="false">IF($B343=" ",0,IF($B343&gt;=AD$25,IF($B343&lt;=AD$29,AD$27,IF($B343&lt;=AD$33,AD$31,AD$31*(1+AD$38)^(IF(AD$36&gt;$B343,-1,1)*(YEARFRAC($B343,AD$36)))))*($D343-$D342)*365/1000,0))</f>
        <v>473.457764474702</v>
      </c>
      <c r="AE343" s="159" t="n">
        <f aca="false">IF($B343=" ",0,AE$25*(1+AE$30)^(IF(AE$28&gt;$B343,-1,1)*(YEARFRAC($B343,AE$28))))</f>
        <v>0.553860040110749</v>
      </c>
      <c r="AF343" s="159" t="n">
        <f aca="false">IF($B343=" ",0,AF$25*(1+AF$30)^(IF(AF$28&gt;$B343,-1,1)*(YEARFRAC($B343,AF$28))))</f>
        <v>0.198723726334497</v>
      </c>
      <c r="AG343" s="162" t="n">
        <f aca="false">+AC343+AD343+AF343*SUM($K343*$K$37,$M343*$M$37,$O343*$O$37)/1000</f>
        <v>3051.03112018703</v>
      </c>
      <c r="AI343" s="158" t="n">
        <f aca="false">IF($B343=" ",0,1)*IF($B343&gt;=AI$33,AI$25*($D343-$D342),0)</f>
        <v>485.186570908347</v>
      </c>
      <c r="AJ343" s="158" t="n">
        <f aca="false">IF($B343=" ",0,IF($B343&gt;=AJ$33,AJ$25*(1+AJ$30)^(IF(AJ$28&gt;$B343,-1,1)*(YEARFRAC($B343,AJ$28)))*($D343-$D342),0))</f>
        <v>632.681327510337</v>
      </c>
      <c r="AK343" s="159" t="n">
        <f aca="false">IF($B343=" ",0,AK$25*(1+AK$30)^(IF(AK$28&gt;$B343,-1,1)*(YEARFRAC($B343,AK$28))))</f>
        <v>0.0361586072417369</v>
      </c>
      <c r="AL343" s="159" t="n">
        <f aca="false">IF($B343=" ",0,AL$25*AL$28)</f>
        <v>0.0575</v>
      </c>
      <c r="AM343" s="162" t="n">
        <f aca="false">+AI343+AJ343+SUM(AK343:AL343)*SUM($J343*$J$37,$K343*$K$37,$L343*$L$37,$M343*$M$37,$N343*$N$37,$O343*$O$37)/1000</f>
        <v>1582.52629160369</v>
      </c>
      <c r="AO343" s="163" t="n">
        <f aca="false">IF($B343=" ",0,$AO$25)</f>
        <v>0.25</v>
      </c>
      <c r="AP343" s="159" t="n">
        <f aca="false">IF($B343=" ",0,AP$25*AP$28)</f>
        <v>0.03105</v>
      </c>
      <c r="AQ343" s="162" t="n">
        <f aca="false">SUM(AO343:AP343)*SUM(0)/1000</f>
        <v>0</v>
      </c>
      <c r="AS343" s="155" t="n">
        <f aca="false">IF($B343=" ",0,AS$25)</f>
        <v>1</v>
      </c>
      <c r="AT343" s="156" t="n">
        <f aca="false">IF($B343=" ",0,AT$25)</f>
        <v>1</v>
      </c>
      <c r="AU343" s="156" t="n">
        <f aca="false">IF($B343=" ",0,AU$25)</f>
        <v>2.3</v>
      </c>
      <c r="AV343" s="157" t="n">
        <f aca="false">+AS343*SUM(J343:K343)/1000</f>
        <v>0</v>
      </c>
      <c r="AW343" s="157" t="n">
        <f aca="false">+AT343*SUM(L343:M343)/1000</f>
        <v>0</v>
      </c>
      <c r="AX343" s="157" t="n">
        <f aca="false">+AU343*SUM(N343:O343)/1000</f>
        <v>11537.9859375</v>
      </c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</row>
    <row r="344" customFormat="false" ht="12.75" hidden="false" customHeight="false" outlineLevel="0" collapsed="false">
      <c r="A344" s="164" t="n">
        <f aca="false">+IF(B344=" ",A343,B344)</f>
        <v>45748</v>
      </c>
      <c r="B344" s="148" t="n">
        <f aca="false">IF(B343=" "," ",IF(EDATE(B343,1)&gt;=EndDate," ",EDATE(B343,1)))</f>
        <v>45748</v>
      </c>
      <c r="C344" s="149" t="n">
        <f aca="false">IF($B344&lt;&gt;" ",C343+1,C343)</f>
        <v>294</v>
      </c>
      <c r="D344" s="150" t="n">
        <f aca="false">C344/12</f>
        <v>24.5</v>
      </c>
      <c r="F344" s="157" t="n">
        <f aca="false">+SUM($T344:$U344)</f>
        <v>14883.5779284771</v>
      </c>
      <c r="G344" s="152" t="n">
        <f aca="false">-SUM($AA344,$AG344,$AM344,$AQ344,$AV344:$AX344)</f>
        <v>-17193.6401341112</v>
      </c>
      <c r="H344" s="152" t="n">
        <f aca="false">+SUM(F344:G344)</f>
        <v>-2310.06220563412</v>
      </c>
      <c r="I344" s="124"/>
      <c r="J344" s="153" t="n">
        <f aca="false">+IF($B344=" ",0,IF(AND($B344&gt;=J$26,$B344&lt;J$28),J$33,0))</f>
        <v>0</v>
      </c>
      <c r="K344" s="153" t="n">
        <f aca="false">+IF($B344=" ",0,IF(AND($B344&gt;=K$26,$B344&lt;K$28),K$33,0))</f>
        <v>0</v>
      </c>
      <c r="L344" s="153" t="n">
        <f aca="false">+IF($B344=" ",0,IF(AND($B344&gt;=L$26,$B344&lt;L$28),L$33,0))</f>
        <v>0</v>
      </c>
      <c r="M344" s="153" t="n">
        <f aca="false">+IF($B344=" ",0,IF(AND($B344&gt;=M$26,$B344&lt;M$28),M$33,0))</f>
        <v>0</v>
      </c>
      <c r="N344" s="153" t="n">
        <f aca="false">+IF($B344=" ",0,IF(AND($B344&gt;=N$26,$B344&lt;N$28),N$33,0))</f>
        <v>0</v>
      </c>
      <c r="O344" s="154" t="n">
        <f aca="false">+IF($B344=" ",0,IF(AND($B344&gt;=O$26,$B344&lt;O$28),O$33,0))</f>
        <v>5016515.625</v>
      </c>
      <c r="Q344" s="83" t="n">
        <f aca="false">IF($B344=" ",0,IF($B344&lt;=DATE(2003,12,31),3.55,2.9))</f>
        <v>2.9</v>
      </c>
      <c r="R344" s="155" t="n">
        <f aca="false">IF($B344=" ",0,R$25)</f>
        <v>-0.07</v>
      </c>
      <c r="S344" s="156" t="n">
        <f aca="false">IF($B344=" ",0,S$25)</f>
        <v>0.1</v>
      </c>
      <c r="T344" s="157" t="n">
        <f aca="false">+SUM($Q344,$S344)/1000*(SUM($J344*$J$37,$K344*$K$37,$L344*$L$37,$M344*$M$37,$N344*$N$37,$O344*$O$37))</f>
        <v>14883.5779284771</v>
      </c>
      <c r="U344" s="157" t="n">
        <f aca="false">+SUM($Q344,$R344)/1000*(SUM(0))</f>
        <v>0</v>
      </c>
      <c r="W344" s="158" t="n">
        <f aca="false">IF($B344=" ",0,1)*(IF($B344&gt;=W$25,1,0)*IF($B344&lt;=W$29,W$27,IF($B344&lt;=W$33,W$31,0))*($D344-$D343)*365/1000)</f>
        <v>486.66666666666</v>
      </c>
      <c r="X344" s="158" t="n">
        <f aca="false">IF($B344=" ",0,IF($B344&gt;=X$25,IF($B344&lt;=X$29,X$27,IF($B344&lt;=X$33,X$31,X$31*(1+X$38)^(IF(X$36&gt;$B344,-1,1)*(YEARFRAC($B344,X$36)))))*($D344-$D343)*365/1000,0))</f>
        <v>532.577443965245</v>
      </c>
      <c r="Y344" s="159" t="n">
        <f aca="false">IF($B344=" ",0,Y$25*(1+Y$30)^(IF(Y$28&gt;$B344,-1,1)*(YEARFRAC($B344,Y$28))))</f>
        <v>0.669435142040425</v>
      </c>
      <c r="Z344" s="159" t="n">
        <f aca="false">IF($B344=" ",0,Z$25*(1+Z$30)^(IF(Z$28&gt;$B344,-1,1)*(YEARFRAC($B344,Z$28))))</f>
        <v>0.639062161733578</v>
      </c>
      <c r="AA344" s="162" t="n">
        <f aca="false">+W344+X344+Z344*SUM($J344*$J$37,$L344*$L$37,$N344*$N$37)/1000</f>
        <v>1019.2441106319</v>
      </c>
      <c r="AB344" s="161"/>
      <c r="AC344" s="158" t="n">
        <f aca="false">IF($B344=" ",0,1)*(IF($B344&gt;=AC$25,1,0)*IF($B344&lt;=AC$29,AC$27,IF($B344&lt;=AC$33,AC$31,0))*($D344-$D343)*365/1000)</f>
        <v>1591.66666666664</v>
      </c>
      <c r="AD344" s="158" t="n">
        <f aca="false">IF($B344=" ",0,IF($B344&gt;=AD$25,IF($B344&lt;=AD$29,AD$27,IF($B344&lt;=AD$33,AD$31,AD$31*(1+AD$38)^(IF(AD$36&gt;$B344,-1,1)*(YEARFRAC($B344,AD$36)))))*($D344-$D343)*365/1000,0))</f>
        <v>474.110374366757</v>
      </c>
      <c r="AE344" s="159" t="n">
        <f aca="false">IF($B344=" ",0,AE$25*(1+AE$30)^(IF(AE$28&gt;$B344,-1,1)*(YEARFRAC($B344,AE$28))))</f>
        <v>0.554623475770955</v>
      </c>
      <c r="AF344" s="159" t="n">
        <f aca="false">IF($B344=" ",0,AF$25*(1+AF$30)^(IF(AF$28&gt;$B344,-1,1)*(YEARFRAC($B344,AF$28))))</f>
        <v>0.198997645318041</v>
      </c>
      <c r="AG344" s="162" t="n">
        <f aca="false">+AC344+AD344+AF344*SUM($K344*$K$37,$M344*$M$37,$O344*$O$37)/1000</f>
        <v>3053.04269492491</v>
      </c>
      <c r="AI344" s="158" t="n">
        <f aca="false">IF($B344=" ",0,1)*IF($B344&gt;=AI$33,AI$25*($D344-$D343),0)</f>
        <v>485.186570908327</v>
      </c>
      <c r="AJ344" s="158" t="n">
        <f aca="false">IF($B344=" ",0,IF($B344&gt;=AJ$33,AJ$25*(1+AJ$30)^(IF(AJ$28&gt;$B344,-1,1)*(YEARFRAC($B344,AJ$28)))*($D344-$D343),0))</f>
        <v>633.336624673853</v>
      </c>
      <c r="AK344" s="159" t="n">
        <f aca="false">IF($B344=" ",0,AK$25*(1+AK$30)^(IF(AK$28&gt;$B344,-1,1)*(YEARFRAC($B344,AK$28))))</f>
        <v>0.0361960583750846</v>
      </c>
      <c r="AL344" s="159" t="n">
        <f aca="false">IF($B344=" ",0,AL$25*AL$28)</f>
        <v>0.0575</v>
      </c>
      <c r="AM344" s="162" t="n">
        <f aca="false">+AI344+AJ344+SUM(AK344:AL344)*SUM($J344*$J$37,$K344*$K$37,$L344*$L$37,$M344*$M$37,$N344*$N$37,$O344*$O$37)/1000</f>
        <v>1583.36739105442</v>
      </c>
      <c r="AO344" s="163" t="n">
        <f aca="false">IF($B344=" ",0,$AO$25)</f>
        <v>0.25</v>
      </c>
      <c r="AP344" s="159" t="n">
        <f aca="false">IF($B344=" ",0,AP$25*AP$28)</f>
        <v>0.03105</v>
      </c>
      <c r="AQ344" s="162" t="n">
        <f aca="false">SUM(AO344:AP344)*SUM(0)/1000</f>
        <v>0</v>
      </c>
      <c r="AS344" s="155" t="n">
        <f aca="false">IF($B344=" ",0,AS$25)</f>
        <v>1</v>
      </c>
      <c r="AT344" s="156" t="n">
        <f aca="false">IF($B344=" ",0,AT$25)</f>
        <v>1</v>
      </c>
      <c r="AU344" s="156" t="n">
        <f aca="false">IF($B344=" ",0,AU$25)</f>
        <v>2.3</v>
      </c>
      <c r="AV344" s="157" t="n">
        <f aca="false">+AS344*SUM(J344:K344)/1000</f>
        <v>0</v>
      </c>
      <c r="AW344" s="157" t="n">
        <f aca="false">+AT344*SUM(L344:M344)/1000</f>
        <v>0</v>
      </c>
      <c r="AX344" s="157" t="n">
        <f aca="false">+AU344*SUM(N344:O344)/1000</f>
        <v>11537.9859375</v>
      </c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</row>
    <row r="345" customFormat="false" ht="12.75" hidden="false" customHeight="false" outlineLevel="0" collapsed="false">
      <c r="A345" s="164" t="n">
        <f aca="false">+IF(B345=" ",A344,B345)</f>
        <v>45778</v>
      </c>
      <c r="B345" s="148" t="n">
        <f aca="false">IF(B344=" "," ",IF(EDATE(B344,1)&gt;=EndDate," ",EDATE(B344,1)))</f>
        <v>45778</v>
      </c>
      <c r="C345" s="149" t="n">
        <f aca="false">IF($B345&lt;&gt;" ",C344+1,C344)</f>
        <v>295</v>
      </c>
      <c r="D345" s="150" t="n">
        <f aca="false">C345/12</f>
        <v>24.5833333333333</v>
      </c>
      <c r="F345" s="157" t="n">
        <f aca="false">+SUM($T345:$U345)</f>
        <v>14883.5779284771</v>
      </c>
      <c r="G345" s="152" t="n">
        <f aca="false">-SUM($AA345,$AG345,$AM345,$AQ345,$AV345:$AX345)</f>
        <v>-17197.2305521243</v>
      </c>
      <c r="H345" s="152" t="n">
        <f aca="false">+SUM(F345:G345)</f>
        <v>-2313.65262364719</v>
      </c>
      <c r="I345" s="124"/>
      <c r="J345" s="153" t="n">
        <f aca="false">+IF($B345=" ",0,IF(AND($B345&gt;=J$26,$B345&lt;J$28),J$33,0))</f>
        <v>0</v>
      </c>
      <c r="K345" s="153" t="n">
        <f aca="false">+IF($B345=" ",0,IF(AND($B345&gt;=K$26,$B345&lt;K$28),K$33,0))</f>
        <v>0</v>
      </c>
      <c r="L345" s="153" t="n">
        <f aca="false">+IF($B345=" ",0,IF(AND($B345&gt;=L$26,$B345&lt;L$28),L$33,0))</f>
        <v>0</v>
      </c>
      <c r="M345" s="153" t="n">
        <f aca="false">+IF($B345=" ",0,IF(AND($B345&gt;=M$26,$B345&lt;M$28),M$33,0))</f>
        <v>0</v>
      </c>
      <c r="N345" s="153" t="n">
        <f aca="false">+IF($B345=" ",0,IF(AND($B345&gt;=N$26,$B345&lt;N$28),N$33,0))</f>
        <v>0</v>
      </c>
      <c r="O345" s="154" t="n">
        <f aca="false">+IF($B345=" ",0,IF(AND($B345&gt;=O$26,$B345&lt;O$28),O$33,0))</f>
        <v>5016515.625</v>
      </c>
      <c r="Q345" s="83" t="n">
        <f aca="false">IF($B345=" ",0,IF($B345&lt;=DATE(2003,12,31),3.55,2.9))</f>
        <v>2.9</v>
      </c>
      <c r="R345" s="155" t="n">
        <f aca="false">IF($B345=" ",0,R$25)</f>
        <v>-0.07</v>
      </c>
      <c r="S345" s="156" t="n">
        <f aca="false">IF($B345=" ",0,S$25)</f>
        <v>0.1</v>
      </c>
      <c r="T345" s="157" t="n">
        <f aca="false">+SUM($Q345,$S345)/1000*(SUM($J345*$J$37,$K345*$K$37,$L345*$L$37,$M345*$M$37,$N345*$N$37,$O345*$O$37))</f>
        <v>14883.5779284771</v>
      </c>
      <c r="U345" s="157" t="n">
        <f aca="false">+SUM($Q345,$R345)/1000*(SUM(0))</f>
        <v>0</v>
      </c>
      <c r="W345" s="158" t="n">
        <f aca="false">IF($B345=" ",0,1)*(IF($B345&gt;=W$25,1,0)*IF($B345&lt;=W$29,W$27,IF($B345&lt;=W$33,W$31,0))*($D345-$D344)*365/1000)</f>
        <v>486.66666666666</v>
      </c>
      <c r="X345" s="158" t="n">
        <f aca="false">IF($B345=" ",0,IF($B345&gt;=X$25,IF($B345&lt;=X$29,X$27,IF($B345&lt;=X$33,X$31,X$31*(1+X$38)^(IF(X$36&gt;$B345,-1,1)*(YEARFRAC($B345,X$36)))))*($D345-$D344)*365/1000,0))</f>
        <v>533.311543887787</v>
      </c>
      <c r="Y345" s="159" t="n">
        <f aca="false">IF($B345=" ",0,Y$25*(1+Y$30)^(IF(Y$28&gt;$B345,-1,1)*(YEARFRAC($B345,Y$28))))</f>
        <v>0.670357885373789</v>
      </c>
      <c r="Z345" s="159" t="n">
        <f aca="false">IF($B345=" ",0,Z$25*(1+Z$30)^(IF(Z$28&gt;$B345,-1,1)*(YEARFRAC($B345,Z$28))))</f>
        <v>0.639943039226127</v>
      </c>
      <c r="AA345" s="162" t="n">
        <f aca="false">+W345+X345+Z345*SUM($J345*$J$37,$L345*$L$37,$N345*$N$37)/1000</f>
        <v>1019.97821055445</v>
      </c>
      <c r="AB345" s="161"/>
      <c r="AC345" s="158" t="n">
        <f aca="false">IF($B345=" ",0,1)*(IF($B345&gt;=AC$25,1,0)*IF($B345&lt;=AC$29,AC$27,IF($B345&lt;=AC$33,AC$31,0))*($D345-$D344)*365/1000)</f>
        <v>1591.66666666664</v>
      </c>
      <c r="AD345" s="158" t="n">
        <f aca="false">IF($B345=" ",0,IF($B345&gt;=AD$25,IF($B345&lt;=AD$29,AD$27,IF($B345&lt;=AD$33,AD$31,AD$31*(1+AD$38)^(IF(AD$36&gt;$B345,-1,1)*(YEARFRAC($B345,AD$36)))))*($D345-$D344)*365/1000,0))</f>
        <v>474.763883810393</v>
      </c>
      <c r="AE345" s="159" t="n">
        <f aca="false">IF($B345=" ",0,AE$25*(1+AE$30)^(IF(AE$28&gt;$B345,-1,1)*(YEARFRAC($B345,AE$28))))</f>
        <v>0.555387963743957</v>
      </c>
      <c r="AF345" s="159" t="n">
        <f aca="false">IF($B345=" ",0,AF$25*(1+AF$30)^(IF(AF$28&gt;$B345,-1,1)*(YEARFRAC($B345,AF$28))))</f>
        <v>0.19927194186903</v>
      </c>
      <c r="AG345" s="162" t="n">
        <f aca="false">+AC345+AD345+AF345*SUM($K345*$K$37,$M345*$M$37,$O345*$O$37)/1000</f>
        <v>3055.05704239926</v>
      </c>
      <c r="AI345" s="158" t="n">
        <f aca="false">IF($B345=" ",0,1)*IF($B345&gt;=AI$33,AI$25*($D345-$D344),0)</f>
        <v>485.186570908327</v>
      </c>
      <c r="AJ345" s="158" t="n">
        <f aca="false">IF($B345=" ",0,IF($B345&gt;=AJ$33,AJ$25*(1+AJ$30)^(IF(AJ$28&gt;$B345,-1,1)*(YEARFRAC($B345,AJ$28)))*($D345-$D344),0))</f>
        <v>633.992600558822</v>
      </c>
      <c r="AK345" s="159" t="n">
        <f aca="false">IF($B345=" ",0,AK$25*(1+AK$30)^(IF(AK$28&gt;$B345,-1,1)*(YEARFRAC($B345,AK$28))))</f>
        <v>0.0362335482982944</v>
      </c>
      <c r="AL345" s="159" t="n">
        <f aca="false">IF($B345=" ",0,AL$25*AL$28)</f>
        <v>0.0575</v>
      </c>
      <c r="AM345" s="162" t="n">
        <f aca="false">+AI345+AJ345+SUM(AK345:AL345)*SUM($J345*$J$37,$K345*$K$37,$L345*$L$37,$M345*$M$37,$N345*$N$37,$O345*$O$37)/1000</f>
        <v>1584.20936167059</v>
      </c>
      <c r="AO345" s="163" t="n">
        <f aca="false">IF($B345=" ",0,$AO$25)</f>
        <v>0.25</v>
      </c>
      <c r="AP345" s="159" t="n">
        <f aca="false">IF($B345=" ",0,AP$25*AP$28)</f>
        <v>0.03105</v>
      </c>
      <c r="AQ345" s="162" t="n">
        <f aca="false">SUM(AO345:AP345)*SUM(0)/1000</f>
        <v>0</v>
      </c>
      <c r="AS345" s="155" t="n">
        <f aca="false">IF($B345=" ",0,AS$25)</f>
        <v>1</v>
      </c>
      <c r="AT345" s="156" t="n">
        <f aca="false">IF($B345=" ",0,AT$25)</f>
        <v>1</v>
      </c>
      <c r="AU345" s="156" t="n">
        <f aca="false">IF($B345=" ",0,AU$25)</f>
        <v>2.3</v>
      </c>
      <c r="AV345" s="157" t="n">
        <f aca="false">+AS345*SUM(J345:K345)/1000</f>
        <v>0</v>
      </c>
      <c r="AW345" s="157" t="n">
        <f aca="false">+AT345*SUM(L345:M345)/1000</f>
        <v>0</v>
      </c>
      <c r="AX345" s="157" t="n">
        <f aca="false">+AU345*SUM(N345:O345)/1000</f>
        <v>11537.9859375</v>
      </c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</row>
    <row r="346" customFormat="false" ht="12.75" hidden="false" customHeight="false" outlineLevel="0" collapsed="false">
      <c r="A346" s="164" t="n">
        <f aca="false">+IF(B346=" ",A345,B346)</f>
        <v>45809</v>
      </c>
      <c r="B346" s="148" t="n">
        <f aca="false">IF(B345=" "," ",IF(EDATE(B345,1)&gt;=EndDate," ",EDATE(B345,1)))</f>
        <v>45809</v>
      </c>
      <c r="C346" s="149" t="n">
        <f aca="false">IF($B346&lt;&gt;" ",C345+1,C345)</f>
        <v>296</v>
      </c>
      <c r="D346" s="150" t="n">
        <f aca="false">C346/12</f>
        <v>24.6666666666667</v>
      </c>
      <c r="F346" s="157" t="n">
        <f aca="false">+SUM($T346:$U346)</f>
        <v>14883.5779284771</v>
      </c>
      <c r="G346" s="152" t="n">
        <f aca="false">-SUM($AA346,$AG346,$AM346,$AQ346,$AV346:$AX346)</f>
        <v>-17200.8256306402</v>
      </c>
      <c r="H346" s="152" t="n">
        <f aca="false">+SUM(F346:G346)</f>
        <v>-2317.24770216314</v>
      </c>
      <c r="I346" s="124"/>
      <c r="J346" s="153" t="n">
        <f aca="false">+IF($B346=" ",0,IF(AND($B346&gt;=J$26,$B346&lt;J$28),J$33,0))</f>
        <v>0</v>
      </c>
      <c r="K346" s="153" t="n">
        <f aca="false">+IF($B346=" ",0,IF(AND($B346&gt;=K$26,$B346&lt;K$28),K$33,0))</f>
        <v>0</v>
      </c>
      <c r="L346" s="153" t="n">
        <f aca="false">+IF($B346=" ",0,IF(AND($B346&gt;=L$26,$B346&lt;L$28),L$33,0))</f>
        <v>0</v>
      </c>
      <c r="M346" s="153" t="n">
        <f aca="false">+IF($B346=" ",0,IF(AND($B346&gt;=M$26,$B346&lt;M$28),M$33,0))</f>
        <v>0</v>
      </c>
      <c r="N346" s="153" t="n">
        <f aca="false">+IF($B346=" ",0,IF(AND($B346&gt;=N$26,$B346&lt;N$28),N$33,0))</f>
        <v>0</v>
      </c>
      <c r="O346" s="154" t="n">
        <f aca="false">+IF($B346=" ",0,IF(AND($B346&gt;=O$26,$B346&lt;O$28),O$33,0))</f>
        <v>5016515.625</v>
      </c>
      <c r="Q346" s="83" t="n">
        <f aca="false">IF($B346=" ",0,IF($B346&lt;=DATE(2003,12,31),3.55,2.9))</f>
        <v>2.9</v>
      </c>
      <c r="R346" s="155" t="n">
        <f aca="false">IF($B346=" ",0,R$25)</f>
        <v>-0.07</v>
      </c>
      <c r="S346" s="156" t="n">
        <f aca="false">IF($B346=" ",0,S$25)</f>
        <v>0.1</v>
      </c>
      <c r="T346" s="157" t="n">
        <f aca="false">+SUM($Q346,$S346)/1000*(SUM($J346*$J$37,$K346*$K$37,$L346*$L$37,$M346*$M$37,$N346*$N$37,$O346*$O$37))</f>
        <v>14883.5779284771</v>
      </c>
      <c r="U346" s="157" t="n">
        <f aca="false">+SUM($Q346,$R346)/1000*(SUM(0))</f>
        <v>0</v>
      </c>
      <c r="W346" s="158" t="n">
        <f aca="false">IF($B346=" ",0,1)*(IF($B346&gt;=W$25,1,0)*IF($B346&lt;=W$29,W$27,IF($B346&lt;=W$33,W$31,0))*($D346-$D345)*365/1000)</f>
        <v>486.666666666681</v>
      </c>
      <c r="X346" s="158" t="n">
        <f aca="false">IF($B346=" ",0,IF($B346&gt;=X$25,IF($B346&lt;=X$29,X$27,IF($B346&lt;=X$33,X$31,X$31*(1+X$38)^(IF(X$36&gt;$B346,-1,1)*(YEARFRAC($B346,X$36)))))*($D346-$D345)*365/1000,0))</f>
        <v>534.046655687032</v>
      </c>
      <c r="Y346" s="159" t="n">
        <f aca="false">IF($B346=" ",0,Y$25*(1+Y$30)^(IF(Y$28&gt;$B346,-1,1)*(YEARFRAC($B346,Y$28))))</f>
        <v>0.671281900608202</v>
      </c>
      <c r="Z346" s="159" t="n">
        <f aca="false">IF($B346=" ",0,Z$25*(1+Z$30)^(IF(Z$28&gt;$B346,-1,1)*(YEARFRAC($B346,Z$28))))</f>
        <v>0.640825130912229</v>
      </c>
      <c r="AA346" s="162" t="n">
        <f aca="false">+W346+X346+Z346*SUM($J346*$J$37,$L346*$L$37,$N346*$N$37)/1000</f>
        <v>1020.71332235371</v>
      </c>
      <c r="AB346" s="161"/>
      <c r="AC346" s="158" t="n">
        <f aca="false">IF($B346=" ",0,1)*(IF($B346&gt;=AC$25,1,0)*IF($B346&lt;=AC$29,AC$27,IF($B346&lt;=AC$33,AC$31,0))*($D346-$D345)*365/1000)</f>
        <v>1591.66666666671</v>
      </c>
      <c r="AD346" s="158" t="n">
        <f aca="false">IF($B346=" ",0,IF($B346&gt;=AD$25,IF($B346&lt;=AD$29,AD$27,IF($B346&lt;=AD$33,AD$31,AD$31*(1+AD$38)^(IF(AD$36&gt;$B346,-1,1)*(YEARFRAC($B346,AD$36)))))*($D346-$D345)*365/1000,0))</f>
        <v>475.418294045545</v>
      </c>
      <c r="AE346" s="159" t="n">
        <f aca="false">IF($B346=" ",0,AE$25*(1+AE$30)^(IF(AE$28&gt;$B346,-1,1)*(YEARFRAC($B346,AE$28))))</f>
        <v>0.556153505480253</v>
      </c>
      <c r="AF346" s="159" t="n">
        <f aca="false">IF($B346=" ",0,AF$25*(1+AF$30)^(IF(AF$28&gt;$B346,-1,1)*(YEARFRAC($B346,AF$28))))</f>
        <v>0.199546616507899</v>
      </c>
      <c r="AG346" s="162" t="n">
        <f aca="false">+AC346+AD346+AF346*SUM($K346*$K$37,$M346*$M$37,$O346*$O$37)/1000</f>
        <v>3057.07416643201</v>
      </c>
      <c r="AI346" s="158" t="n">
        <f aca="false">IF($B346=" ",0,1)*IF($B346&gt;=AI$33,AI$25*($D346-$D345),0)</f>
        <v>485.186570908347</v>
      </c>
      <c r="AJ346" s="158" t="n">
        <f aca="false">IF($B346=" ",0,IF($B346&gt;=AJ$33,AJ$25*(1+AJ$30)^(IF(AJ$28&gt;$B346,-1,1)*(YEARFRAC($B346,AJ$28)))*($D346-$D345),0))</f>
        <v>634.649255868226</v>
      </c>
      <c r="AK346" s="159" t="n">
        <f aca="false">IF($B346=" ",0,AK$25*(1+AK$30)^(IF(AK$28&gt;$B346,-1,1)*(YEARFRAC($B346,AK$28))))</f>
        <v>0.0362710770515427</v>
      </c>
      <c r="AL346" s="159" t="n">
        <f aca="false">IF($B346=" ",0,AL$25*AL$28)</f>
        <v>0.0575</v>
      </c>
      <c r="AM346" s="162" t="n">
        <f aca="false">+AI346+AJ346+SUM(AK346:AL346)*SUM($J346*$J$37,$K346*$K$37,$L346*$L$37,$M346*$M$37,$N346*$N$37,$O346*$O$37)/1000</f>
        <v>1585.05220435453</v>
      </c>
      <c r="AO346" s="163" t="n">
        <f aca="false">IF($B346=" ",0,$AO$25)</f>
        <v>0.25</v>
      </c>
      <c r="AP346" s="159" t="n">
        <f aca="false">IF($B346=" ",0,AP$25*AP$28)</f>
        <v>0.03105</v>
      </c>
      <c r="AQ346" s="162" t="n">
        <f aca="false">SUM(AO346:AP346)*SUM(0)/1000</f>
        <v>0</v>
      </c>
      <c r="AS346" s="155" t="n">
        <f aca="false">IF($B346=" ",0,AS$25)</f>
        <v>1</v>
      </c>
      <c r="AT346" s="156" t="n">
        <f aca="false">IF($B346=" ",0,AT$25)</f>
        <v>1</v>
      </c>
      <c r="AU346" s="156" t="n">
        <f aca="false">IF($B346=" ",0,AU$25)</f>
        <v>2.3</v>
      </c>
      <c r="AV346" s="157" t="n">
        <f aca="false">+AS346*SUM(J346:K346)/1000</f>
        <v>0</v>
      </c>
      <c r="AW346" s="157" t="n">
        <f aca="false">+AT346*SUM(L346:M346)/1000</f>
        <v>0</v>
      </c>
      <c r="AX346" s="157" t="n">
        <f aca="false">+AU346*SUM(N346:O346)/1000</f>
        <v>11537.9859375</v>
      </c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</row>
    <row r="347" customFormat="false" ht="12.75" hidden="false" customHeight="false" outlineLevel="0" collapsed="false">
      <c r="A347" s="164" t="n">
        <f aca="false">+IF(B347=" ",A346,B347)</f>
        <v>45839</v>
      </c>
      <c r="B347" s="148" t="n">
        <f aca="false">IF(B346=" "," ",IF(EDATE(B346,1)&gt;=EndDate," ",EDATE(B346,1)))</f>
        <v>45839</v>
      </c>
      <c r="C347" s="149" t="n">
        <f aca="false">IF($B347&lt;&gt;" ",C346+1,C346)</f>
        <v>297</v>
      </c>
      <c r="D347" s="150" t="n">
        <f aca="false">C347/12</f>
        <v>24.75</v>
      </c>
      <c r="F347" s="157" t="n">
        <f aca="false">+SUM($T347:$U347)</f>
        <v>14883.5779284771</v>
      </c>
      <c r="G347" s="152" t="n">
        <f aca="false">-SUM($AA347,$AG347,$AM347,$AQ347,$AV347:$AX347)</f>
        <v>-17204.4253757837</v>
      </c>
      <c r="H347" s="152" t="n">
        <f aca="false">+SUM(F347:G347)</f>
        <v>-2320.84744730661</v>
      </c>
      <c r="I347" s="124"/>
      <c r="J347" s="153" t="n">
        <f aca="false">+IF($B347=" ",0,IF(AND($B347&gt;=J$26,$B347&lt;J$28),J$33,0))</f>
        <v>0</v>
      </c>
      <c r="K347" s="153" t="n">
        <f aca="false">+IF($B347=" ",0,IF(AND($B347&gt;=K$26,$B347&lt;K$28),K$33,0))</f>
        <v>0</v>
      </c>
      <c r="L347" s="153" t="n">
        <f aca="false">+IF($B347=" ",0,IF(AND($B347&gt;=L$26,$B347&lt;L$28),L$33,0))</f>
        <v>0</v>
      </c>
      <c r="M347" s="153" t="n">
        <f aca="false">+IF($B347=" ",0,IF(AND($B347&gt;=M$26,$B347&lt;M$28),M$33,0))</f>
        <v>0</v>
      </c>
      <c r="N347" s="153" t="n">
        <f aca="false">+IF($B347=" ",0,IF(AND($B347&gt;=N$26,$B347&lt;N$28),N$33,0))</f>
        <v>0</v>
      </c>
      <c r="O347" s="154" t="n">
        <f aca="false">+IF($B347=" ",0,IF(AND($B347&gt;=O$26,$B347&lt;O$28),O$33,0))</f>
        <v>5016515.625</v>
      </c>
      <c r="Q347" s="83" t="n">
        <f aca="false">IF($B347=" ",0,IF($B347&lt;=DATE(2003,12,31),3.55,2.9))</f>
        <v>2.9</v>
      </c>
      <c r="R347" s="155" t="n">
        <f aca="false">IF($B347=" ",0,R$25)</f>
        <v>-0.07</v>
      </c>
      <c r="S347" s="156" t="n">
        <f aca="false">IF($B347=" ",0,S$25)</f>
        <v>0.1</v>
      </c>
      <c r="T347" s="157" t="n">
        <f aca="false">+SUM($Q347,$S347)/1000*(SUM($J347*$J$37,$K347*$K$37,$L347*$L$37,$M347*$M$37,$N347*$N$37,$O347*$O$37))</f>
        <v>14883.5779284771</v>
      </c>
      <c r="U347" s="157" t="n">
        <f aca="false">+SUM($Q347,$R347)/1000*(SUM(0))</f>
        <v>0</v>
      </c>
      <c r="W347" s="158" t="n">
        <f aca="false">IF($B347=" ",0,1)*(IF($B347&gt;=W$25,1,0)*IF($B347&lt;=W$29,W$27,IF($B347&lt;=W$33,W$31,0))*($D347-$D346)*365/1000)</f>
        <v>486.66666666666</v>
      </c>
      <c r="X347" s="158" t="n">
        <f aca="false">IF($B347=" ",0,IF($B347&gt;=X$25,IF($B347&lt;=X$29,X$27,IF($B347&lt;=X$33,X$31,X$31*(1+X$38)^(IF(X$36&gt;$B347,-1,1)*(YEARFRAC($B347,X$36)))))*($D347-$D346)*365/1000,0))</f>
        <v>534.782780757675</v>
      </c>
      <c r="Y347" s="159" t="n">
        <f aca="false">IF($B347=" ",0,Y$25*(1+Y$30)^(IF(Y$28&gt;$B347,-1,1)*(YEARFRAC($B347,Y$28))))</f>
        <v>0.67220718949684</v>
      </c>
      <c r="Z347" s="159" t="n">
        <f aca="false">IF($B347=" ",0,Z$25*(1+Z$30)^(IF(Z$28&gt;$B347,-1,1)*(YEARFRAC($B347,Z$28))))</f>
        <v>0.641708438465518</v>
      </c>
      <c r="AA347" s="162" t="n">
        <f aca="false">+W347+X347+Z347*SUM($J347*$J$37,$L347*$L$37,$N347*$N$37)/1000</f>
        <v>1021.44944742433</v>
      </c>
      <c r="AB347" s="161"/>
      <c r="AC347" s="158" t="n">
        <f aca="false">IF($B347=" ",0,1)*(IF($B347&gt;=AC$25,1,0)*IF($B347&lt;=AC$29,AC$27,IF($B347&lt;=AC$33,AC$31,0))*($D347-$D346)*365/1000)</f>
        <v>1591.66666666664</v>
      </c>
      <c r="AD347" s="158" t="n">
        <f aca="false">IF($B347=" ",0,IF($B347&gt;=AD$25,IF($B347&lt;=AD$29,AD$27,IF($B347&lt;=AD$33,AD$31,AD$31*(1+AD$38)^(IF(AD$36&gt;$B347,-1,1)*(YEARFRAC($B347,AD$36)))))*($D347-$D346)*365/1000,0))</f>
        <v>476.073606313794</v>
      </c>
      <c r="AE347" s="159" t="n">
        <f aca="false">IF($B347=" ",0,AE$25*(1+AE$30)^(IF(AE$28&gt;$B347,-1,1)*(YEARFRAC($B347,AE$28))))</f>
        <v>0.556920102432341</v>
      </c>
      <c r="AF347" s="159" t="n">
        <f aca="false">IF($B347=" ",0,AF$25*(1+AF$30)^(IF(AF$28&gt;$B347,-1,1)*(YEARFRAC($B347,AF$28))))</f>
        <v>0.199821669755801</v>
      </c>
      <c r="AG347" s="162" t="n">
        <f aca="false">+AC347+AD347+AF347*SUM($K347*$K$37,$M347*$M$37,$O347*$O$37)/1000</f>
        <v>3059.09407085007</v>
      </c>
      <c r="AI347" s="158" t="n">
        <f aca="false">IF($B347=" ",0,1)*IF($B347&gt;=AI$33,AI$25*($D347-$D346),0)</f>
        <v>485.186570908327</v>
      </c>
      <c r="AJ347" s="158" t="n">
        <f aca="false">IF($B347=" ",0,IF($B347&gt;=AJ$33,AJ$25*(1+AJ$30)^(IF(AJ$28&gt;$B347,-1,1)*(YEARFRAC($B347,AJ$28)))*($D347-$D346),0))</f>
        <v>635.306591305696</v>
      </c>
      <c r="AK347" s="159" t="n">
        <f aca="false">IF($B347=" ",0,AK$25*(1+AK$30)^(IF(AK$28&gt;$B347,-1,1)*(YEARFRAC($B347,AK$28))))</f>
        <v>0.0363086446750477</v>
      </c>
      <c r="AL347" s="159" t="n">
        <f aca="false">IF($B347=" ",0,AL$25*AL$28)</f>
        <v>0.0575</v>
      </c>
      <c r="AM347" s="162" t="n">
        <f aca="false">+AI347+AJ347+SUM(AK347:AL347)*SUM($J347*$J$37,$K347*$K$37,$L347*$L$37,$M347*$M$37,$N347*$N$37,$O347*$O$37)/1000</f>
        <v>1585.89592000932</v>
      </c>
      <c r="AO347" s="163" t="n">
        <f aca="false">IF($B347=" ",0,$AO$25)</f>
        <v>0.25</v>
      </c>
      <c r="AP347" s="159" t="n">
        <f aca="false">IF($B347=" ",0,AP$25*AP$28)</f>
        <v>0.03105</v>
      </c>
      <c r="AQ347" s="162" t="n">
        <f aca="false">SUM(AO347:AP347)*SUM(0)/1000</f>
        <v>0</v>
      </c>
      <c r="AS347" s="155" t="n">
        <f aca="false">IF($B347=" ",0,AS$25)</f>
        <v>1</v>
      </c>
      <c r="AT347" s="156" t="n">
        <f aca="false">IF($B347=" ",0,AT$25)</f>
        <v>1</v>
      </c>
      <c r="AU347" s="156" t="n">
        <f aca="false">IF($B347=" ",0,AU$25)</f>
        <v>2.3</v>
      </c>
      <c r="AV347" s="157" t="n">
        <f aca="false">+AS347*SUM(J347:K347)/1000</f>
        <v>0</v>
      </c>
      <c r="AW347" s="157" t="n">
        <f aca="false">+AT347*SUM(L347:M347)/1000</f>
        <v>0</v>
      </c>
      <c r="AX347" s="157" t="n">
        <f aca="false">+AU347*SUM(N347:O347)/1000</f>
        <v>11537.9859375</v>
      </c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</row>
    <row r="348" customFormat="false" ht="12.75" hidden="false" customHeight="false" outlineLevel="0" collapsed="false">
      <c r="A348" s="164" t="n">
        <f aca="false">+IF(B348=" ",A347,B348)</f>
        <v>45870</v>
      </c>
      <c r="B348" s="148" t="n">
        <f aca="false">IF(B347=" "," ",IF(EDATE(B347,1)&gt;=EndDate," ",EDATE(B347,1)))</f>
        <v>45870</v>
      </c>
      <c r="C348" s="149" t="n">
        <f aca="false">IF($B348&lt;&gt;" ",C347+1,C347)</f>
        <v>298</v>
      </c>
      <c r="D348" s="150" t="n">
        <f aca="false">C348/12</f>
        <v>24.8333333333333</v>
      </c>
      <c r="F348" s="157" t="n">
        <f aca="false">+SUM($T348:$U348)</f>
        <v>14883.5779284771</v>
      </c>
      <c r="G348" s="152" t="n">
        <f aca="false">-SUM($AA348,$AG348,$AM348,$AQ348,$AV348:$AX348)</f>
        <v>-17208.0297936886</v>
      </c>
      <c r="H348" s="152" t="n">
        <f aca="false">+SUM(F348:G348)</f>
        <v>-2324.45186521145</v>
      </c>
      <c r="I348" s="124"/>
      <c r="J348" s="153" t="n">
        <f aca="false">+IF($B348=" ",0,IF(AND($B348&gt;=J$26,$B348&lt;J$28),J$33,0))</f>
        <v>0</v>
      </c>
      <c r="K348" s="153" t="n">
        <f aca="false">+IF($B348=" ",0,IF(AND($B348&gt;=K$26,$B348&lt;K$28),K$33,0))</f>
        <v>0</v>
      </c>
      <c r="L348" s="153" t="n">
        <f aca="false">+IF($B348=" ",0,IF(AND($B348&gt;=L$26,$B348&lt;L$28),L$33,0))</f>
        <v>0</v>
      </c>
      <c r="M348" s="153" t="n">
        <f aca="false">+IF($B348=" ",0,IF(AND($B348&gt;=M$26,$B348&lt;M$28),M$33,0))</f>
        <v>0</v>
      </c>
      <c r="N348" s="153" t="n">
        <f aca="false">+IF($B348=" ",0,IF(AND($B348&gt;=N$26,$B348&lt;N$28),N$33,0))</f>
        <v>0</v>
      </c>
      <c r="O348" s="154" t="n">
        <f aca="false">+IF($B348=" ",0,IF(AND($B348&gt;=O$26,$B348&lt;O$28),O$33,0))</f>
        <v>5016515.625</v>
      </c>
      <c r="Q348" s="83" t="n">
        <f aca="false">IF($B348=" ",0,IF($B348&lt;=DATE(2003,12,31),3.55,2.9))</f>
        <v>2.9</v>
      </c>
      <c r="R348" s="155" t="n">
        <f aca="false">IF($B348=" ",0,R$25)</f>
        <v>-0.07</v>
      </c>
      <c r="S348" s="156" t="n">
        <f aca="false">IF($B348=" ",0,S$25)</f>
        <v>0.1</v>
      </c>
      <c r="T348" s="157" t="n">
        <f aca="false">+SUM($Q348,$S348)/1000*(SUM($J348*$J$37,$K348*$K$37,$L348*$L$37,$M348*$M$37,$N348*$N$37,$O348*$O$37))</f>
        <v>14883.5779284771</v>
      </c>
      <c r="U348" s="157" t="n">
        <f aca="false">+SUM($Q348,$R348)/1000*(SUM(0))</f>
        <v>0</v>
      </c>
      <c r="W348" s="158" t="n">
        <f aca="false">IF($B348=" ",0,1)*(IF($B348&gt;=W$25,1,0)*IF($B348&lt;=W$29,W$27,IF($B348&lt;=W$33,W$31,0))*($D348-$D347)*365/1000)</f>
        <v>486.66666666666</v>
      </c>
      <c r="X348" s="158" t="n">
        <f aca="false">IF($B348=" ",0,IF($B348&gt;=X$25,IF($B348&lt;=X$29,X$27,IF($B348&lt;=X$33,X$31,X$31*(1+X$38)^(IF(X$36&gt;$B348,-1,1)*(YEARFRAC($B348,X$36)))))*($D348-$D347)*365/1000,0))</f>
        <v>535.519920496467</v>
      </c>
      <c r="Y348" s="159" t="n">
        <f aca="false">IF($B348=" ",0,Y$25*(1+Y$30)^(IF(Y$28&gt;$B348,-1,1)*(YEARFRAC($B348,Y$28))))</f>
        <v>0.673133753795297</v>
      </c>
      <c r="Z348" s="159" t="n">
        <f aca="false">IF($B348=" ",0,Z$25*(1+Z$30)^(IF(Z$28&gt;$B348,-1,1)*(YEARFRAC($B348,Z$28))))</f>
        <v>0.642592963561933</v>
      </c>
      <c r="AA348" s="162" t="n">
        <f aca="false">+W348+X348+Z348*SUM($J348*$J$37,$L348*$L$37,$N348*$N$37)/1000</f>
        <v>1022.18658716313</v>
      </c>
      <c r="AB348" s="161"/>
      <c r="AC348" s="158" t="n">
        <f aca="false">IF($B348=" ",0,1)*(IF($B348&gt;=AC$25,1,0)*IF($B348&lt;=AC$29,AC$27,IF($B348&lt;=AC$33,AC$31,0))*($D348-$D347)*365/1000)</f>
        <v>1591.66666666664</v>
      </c>
      <c r="AD348" s="158" t="n">
        <f aca="false">IF($B348=" ",0,IF($B348&gt;=AD$25,IF($B348&lt;=AD$29,AD$27,IF($B348&lt;=AD$33,AD$31,AD$31*(1+AD$38)^(IF(AD$36&gt;$B348,-1,1)*(YEARFRAC($B348,AD$36)))))*($D348-$D347)*365/1000,0))</f>
        <v>476.729821858555</v>
      </c>
      <c r="AE348" s="159" t="n">
        <f aca="false">IF($B348=" ",0,AE$25*(1+AE$30)^(IF(AE$28&gt;$B348,-1,1)*(YEARFRAC($B348,AE$28))))</f>
        <v>0.55768775605472</v>
      </c>
      <c r="AF348" s="159" t="n">
        <f aca="false">IF($B348=" ",0,AF$25*(1+AF$30)^(IF(AF$28&gt;$B348,-1,1)*(YEARFRAC($B348,AF$28))))</f>
        <v>0.200097102134607</v>
      </c>
      <c r="AG348" s="162" t="n">
        <f aca="false">+AC348+AD348+AF348*SUM($K348*$K$37,$M348*$M$37,$O348*$O$37)/1000</f>
        <v>3061.11675948616</v>
      </c>
      <c r="AI348" s="158" t="n">
        <f aca="false">IF($B348=" ",0,1)*IF($B348&gt;=AI$33,AI$25*($D348-$D347),0)</f>
        <v>485.186570908327</v>
      </c>
      <c r="AJ348" s="158" t="n">
        <f aca="false">IF($B348=" ",0,IF($B348&gt;=AJ$33,AJ$25*(1+AJ$30)^(IF(AJ$28&gt;$B348,-1,1)*(YEARFRAC($B348,AJ$28)))*($D348-$D347),0))</f>
        <v>635.964607575752</v>
      </c>
      <c r="AK348" s="159" t="n">
        <f aca="false">IF($B348=" ",0,AK$25*(1+AK$30)^(IF(AK$28&gt;$B348,-1,1)*(YEARFRAC($B348,AK$28))))</f>
        <v>0.0363462512090689</v>
      </c>
      <c r="AL348" s="159" t="n">
        <f aca="false">IF($B348=" ",0,AL$25*AL$28)</f>
        <v>0.0575</v>
      </c>
      <c r="AM348" s="162" t="n">
        <f aca="false">+AI348+AJ348+SUM(AK348:AL348)*SUM($J348*$J$37,$K348*$K$37,$L348*$L$37,$M348*$M$37,$N348*$N$37,$O348*$O$37)/1000</f>
        <v>1586.74050953928</v>
      </c>
      <c r="AO348" s="163" t="n">
        <f aca="false">IF($B348=" ",0,$AO$25)</f>
        <v>0.25</v>
      </c>
      <c r="AP348" s="159" t="n">
        <f aca="false">IF($B348=" ",0,AP$25*AP$28)</f>
        <v>0.03105</v>
      </c>
      <c r="AQ348" s="162" t="n">
        <f aca="false">SUM(AO348:AP348)*SUM(0)/1000</f>
        <v>0</v>
      </c>
      <c r="AS348" s="155" t="n">
        <f aca="false">IF($B348=" ",0,AS$25)</f>
        <v>1</v>
      </c>
      <c r="AT348" s="156" t="n">
        <f aca="false">IF($B348=" ",0,AT$25)</f>
        <v>1</v>
      </c>
      <c r="AU348" s="156" t="n">
        <f aca="false">IF($B348=" ",0,AU$25)</f>
        <v>2.3</v>
      </c>
      <c r="AV348" s="157" t="n">
        <f aca="false">+AS348*SUM(J348:K348)/1000</f>
        <v>0</v>
      </c>
      <c r="AW348" s="157" t="n">
        <f aca="false">+AT348*SUM(L348:M348)/1000</f>
        <v>0</v>
      </c>
      <c r="AX348" s="157" t="n">
        <f aca="false">+AU348*SUM(N348:O348)/1000</f>
        <v>11537.9859375</v>
      </c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</row>
    <row r="349" customFormat="false" ht="12.75" hidden="false" customHeight="false" outlineLevel="0" collapsed="false">
      <c r="A349" s="164" t="n">
        <f aca="false">+IF(B349=" ",A348,B349)</f>
        <v>45901</v>
      </c>
      <c r="B349" s="148" t="n">
        <f aca="false">IF(B348=" "," ",IF(EDATE(B348,1)&gt;=EndDate," ",EDATE(B348,1)))</f>
        <v>45901</v>
      </c>
      <c r="C349" s="149" t="n">
        <f aca="false">IF($B349&lt;&gt;" ",C348+1,C348)</f>
        <v>299</v>
      </c>
      <c r="D349" s="150" t="n">
        <f aca="false">C349/12</f>
        <v>24.9166666666667</v>
      </c>
      <c r="F349" s="157" t="n">
        <f aca="false">+SUM($T349:$U349)</f>
        <v>14883.5779284771</v>
      </c>
      <c r="G349" s="152" t="n">
        <f aca="false">-SUM($AA349,$AG349,$AM349,$AQ349,$AV349:$AX349)</f>
        <v>-17211.6388904963</v>
      </c>
      <c r="H349" s="152" t="n">
        <f aca="false">+SUM(F349:G349)</f>
        <v>-2328.06096201914</v>
      </c>
      <c r="I349" s="124"/>
      <c r="J349" s="153" t="n">
        <f aca="false">+IF($B349=" ",0,IF(AND($B349&gt;=J$26,$B349&lt;J$28),J$33,0))</f>
        <v>0</v>
      </c>
      <c r="K349" s="153" t="n">
        <f aca="false">+IF($B349=" ",0,IF(AND($B349&gt;=K$26,$B349&lt;K$28),K$33,0))</f>
        <v>0</v>
      </c>
      <c r="L349" s="153" t="n">
        <f aca="false">+IF($B349=" ",0,IF(AND($B349&gt;=L$26,$B349&lt;L$28),L$33,0))</f>
        <v>0</v>
      </c>
      <c r="M349" s="153" t="n">
        <f aca="false">+IF($B349=" ",0,IF(AND($B349&gt;=M$26,$B349&lt;M$28),M$33,0))</f>
        <v>0</v>
      </c>
      <c r="N349" s="153" t="n">
        <f aca="false">+IF($B349=" ",0,IF(AND($B349&gt;=N$26,$B349&lt;N$28),N$33,0))</f>
        <v>0</v>
      </c>
      <c r="O349" s="154" t="n">
        <f aca="false">+IF($B349=" ",0,IF(AND($B349&gt;=O$26,$B349&lt;O$28),O$33,0))</f>
        <v>5016515.625</v>
      </c>
      <c r="Q349" s="83" t="n">
        <f aca="false">IF($B349=" ",0,IF($B349&lt;=DATE(2003,12,31),3.55,2.9))</f>
        <v>2.9</v>
      </c>
      <c r="R349" s="155" t="n">
        <f aca="false">IF($B349=" ",0,R$25)</f>
        <v>-0.07</v>
      </c>
      <c r="S349" s="156" t="n">
        <f aca="false">IF($B349=" ",0,S$25)</f>
        <v>0.1</v>
      </c>
      <c r="T349" s="157" t="n">
        <f aca="false">+SUM($Q349,$S349)/1000*(SUM($J349*$J$37,$K349*$K$37,$L349*$L$37,$M349*$M$37,$N349*$N$37,$O349*$O$37))</f>
        <v>14883.5779284771</v>
      </c>
      <c r="U349" s="157" t="n">
        <f aca="false">+SUM($Q349,$R349)/1000*(SUM(0))</f>
        <v>0</v>
      </c>
      <c r="W349" s="158" t="n">
        <f aca="false">IF($B349=" ",0,1)*(IF($B349&gt;=W$25,1,0)*IF($B349&lt;=W$29,W$27,IF($B349&lt;=W$33,W$31,0))*($D349-$D348)*365/1000)</f>
        <v>486.666666666681</v>
      </c>
      <c r="X349" s="158" t="n">
        <f aca="false">IF($B349=" ",0,IF($B349&gt;=X$25,IF($B349&lt;=X$29,X$27,IF($B349&lt;=X$33,X$31,X$31*(1+X$38)^(IF(X$36&gt;$B349,-1,1)*(YEARFRAC($B349,X$36)))))*($D349-$D348)*365/1000,0))</f>
        <v>536.258076302018</v>
      </c>
      <c r="Y349" s="159" t="n">
        <f aca="false">IF($B349=" ",0,Y$25*(1+Y$30)^(IF(Y$28&gt;$B349,-1,1)*(YEARFRAC($B349,Y$28))))</f>
        <v>0.674061595261587</v>
      </c>
      <c r="Z349" s="159" t="n">
        <f aca="false">IF($B349=" ",0,Z$25*(1+Z$30)^(IF(Z$28&gt;$B349,-1,1)*(YEARFRAC($B349,Z$28))))</f>
        <v>0.643478707879726</v>
      </c>
      <c r="AA349" s="162" t="n">
        <f aca="false">+W349+X349+Z349*SUM($J349*$J$37,$L349*$L$37,$N349*$N$37)/1000</f>
        <v>1022.9247429687</v>
      </c>
      <c r="AB349" s="161"/>
      <c r="AC349" s="158" t="n">
        <f aca="false">IF($B349=" ",0,1)*(IF($B349&gt;=AC$25,1,0)*IF($B349&lt;=AC$29,AC$27,IF($B349&lt;=AC$33,AC$31,0))*($D349-$D348)*365/1000)</f>
        <v>1591.66666666671</v>
      </c>
      <c r="AD349" s="158" t="n">
        <f aca="false">IF($B349=" ",0,IF($B349&gt;=AD$25,IF($B349&lt;=AD$29,AD$27,IF($B349&lt;=AD$33,AD$31,AD$31*(1+AD$38)^(IF(AD$36&gt;$B349,-1,1)*(YEARFRAC($B349,AD$36)))))*($D349-$D348)*365/1000,0))</f>
        <v>477.386941924897</v>
      </c>
      <c r="AE349" s="159" t="n">
        <f aca="false">IF($B349=" ",0,AE$25*(1+AE$30)^(IF(AE$28&gt;$B349,-1,1)*(YEARFRAC($B349,AE$28))))</f>
        <v>0.558456467803897</v>
      </c>
      <c r="AF349" s="159" t="n">
        <f aca="false">IF($B349=" ",0,AF$25*(1+AF$30)^(IF(AF$28&gt;$B349,-1,1)*(YEARFRAC($B349,AF$28))))</f>
        <v>0.200372914166909</v>
      </c>
      <c r="AG349" s="162" t="n">
        <f aca="false">+AC349+AD349+AF349*SUM($K349*$K$37,$M349*$M$37,$O349*$O$37)/1000</f>
        <v>3063.14223617802</v>
      </c>
      <c r="AI349" s="158" t="n">
        <f aca="false">IF($B349=" ",0,1)*IF($B349&gt;=AI$33,AI$25*($D349-$D348),0)</f>
        <v>485.186570908347</v>
      </c>
      <c r="AJ349" s="158" t="n">
        <f aca="false">IF($B349=" ",0,IF($B349&gt;=AJ$33,AJ$25*(1+AJ$30)^(IF(AJ$28&gt;$B349,-1,1)*(YEARFRAC($B349,AJ$28)))*($D349-$D348),0))</f>
        <v>636.623305383565</v>
      </c>
      <c r="AK349" s="159" t="n">
        <f aca="false">IF($B349=" ",0,AK$25*(1+AK$30)^(IF(AK$28&gt;$B349,-1,1)*(YEARFRAC($B349,AK$28))))</f>
        <v>0.036383896693908</v>
      </c>
      <c r="AL349" s="159" t="n">
        <f aca="false">IF($B349=" ",0,AL$25*AL$28)</f>
        <v>0.0575</v>
      </c>
      <c r="AM349" s="162" t="n">
        <f aca="false">+AI349+AJ349+SUM(AK349:AL349)*SUM($J349*$J$37,$K349*$K$37,$L349*$L$37,$M349*$M$37,$N349*$N$37,$O349*$O$37)/1000</f>
        <v>1587.58597384954</v>
      </c>
      <c r="AO349" s="163" t="n">
        <f aca="false">IF($B349=" ",0,$AO$25)</f>
        <v>0.25</v>
      </c>
      <c r="AP349" s="159" t="n">
        <f aca="false">IF($B349=" ",0,AP$25*AP$28)</f>
        <v>0.03105</v>
      </c>
      <c r="AQ349" s="162" t="n">
        <f aca="false">SUM(AO349:AP349)*SUM(0)/1000</f>
        <v>0</v>
      </c>
      <c r="AS349" s="155" t="n">
        <f aca="false">IF($B349=" ",0,AS$25)</f>
        <v>1</v>
      </c>
      <c r="AT349" s="156" t="n">
        <f aca="false">IF($B349=" ",0,AT$25)</f>
        <v>1</v>
      </c>
      <c r="AU349" s="156" t="n">
        <f aca="false">IF($B349=" ",0,AU$25)</f>
        <v>2.3</v>
      </c>
      <c r="AV349" s="157" t="n">
        <f aca="false">+AS349*SUM(J349:K349)/1000</f>
        <v>0</v>
      </c>
      <c r="AW349" s="157" t="n">
        <f aca="false">+AT349*SUM(L349:M349)/1000</f>
        <v>0</v>
      </c>
      <c r="AX349" s="157" t="n">
        <f aca="false">+AU349*SUM(N349:O349)/1000</f>
        <v>11537.9859375</v>
      </c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</row>
    <row r="350" customFormat="false" ht="12.75" hidden="false" customHeight="false" outlineLevel="0" collapsed="false">
      <c r="A350" s="164" t="n">
        <f aca="false">+IF(B350=" ",A349,B350)</f>
        <v>45931</v>
      </c>
      <c r="B350" s="148" t="n">
        <f aca="false">IF(B349=" "," ",IF(EDATE(B349,1)&gt;=EndDate," ",EDATE(B349,1)))</f>
        <v>45931</v>
      </c>
      <c r="C350" s="149" t="n">
        <f aca="false">IF($B350&lt;&gt;" ",C349+1,C349)</f>
        <v>300</v>
      </c>
      <c r="D350" s="150" t="n">
        <f aca="false">C350/12</f>
        <v>25</v>
      </c>
      <c r="F350" s="157" t="n">
        <f aca="false">+SUM($T350:$U350)</f>
        <v>14883.5779284771</v>
      </c>
      <c r="G350" s="152" t="n">
        <f aca="false">-SUM($AA350,$AG350,$AM350,$AQ350,$AV350:$AX350)</f>
        <v>-17215.2526723559</v>
      </c>
      <c r="H350" s="152" t="n">
        <f aca="false">+SUM(F350:G350)</f>
        <v>-2331.67474387876</v>
      </c>
      <c r="I350" s="124"/>
      <c r="J350" s="153" t="n">
        <f aca="false">+IF($B350=" ",0,IF(AND($B350&gt;=J$26,$B350&lt;J$28),J$33,0))</f>
        <v>0</v>
      </c>
      <c r="K350" s="153" t="n">
        <f aca="false">+IF($B350=" ",0,IF(AND($B350&gt;=K$26,$B350&lt;K$28),K$33,0))</f>
        <v>0</v>
      </c>
      <c r="L350" s="153" t="n">
        <f aca="false">+IF($B350=" ",0,IF(AND($B350&gt;=L$26,$B350&lt;L$28),L$33,0))</f>
        <v>0</v>
      </c>
      <c r="M350" s="153" t="n">
        <f aca="false">+IF($B350=" ",0,IF(AND($B350&gt;=M$26,$B350&lt;M$28),M$33,0))</f>
        <v>0</v>
      </c>
      <c r="N350" s="153" t="n">
        <f aca="false">+IF($B350=" ",0,IF(AND($B350&gt;=N$26,$B350&lt;N$28),N$33,0))</f>
        <v>0</v>
      </c>
      <c r="O350" s="154" t="n">
        <f aca="false">+IF($B350=" ",0,IF(AND($B350&gt;=O$26,$B350&lt;O$28),O$33,0))</f>
        <v>5016515.625</v>
      </c>
      <c r="Q350" s="83" t="n">
        <f aca="false">IF($B350=" ",0,IF($B350&lt;=DATE(2003,12,31),3.55,2.9))</f>
        <v>2.9</v>
      </c>
      <c r="R350" s="155" t="n">
        <f aca="false">IF($B350=" ",0,R$25)</f>
        <v>-0.07</v>
      </c>
      <c r="S350" s="156" t="n">
        <f aca="false">IF($B350=" ",0,S$25)</f>
        <v>0.1</v>
      </c>
      <c r="T350" s="157" t="n">
        <f aca="false">+SUM($Q350,$S350)/1000*(SUM($J350*$J$37,$K350*$K$37,$L350*$L$37,$M350*$M$37,$N350*$N$37,$O350*$O$37))</f>
        <v>14883.5779284771</v>
      </c>
      <c r="U350" s="157" t="n">
        <f aca="false">+SUM($Q350,$R350)/1000*(SUM(0))</f>
        <v>0</v>
      </c>
      <c r="W350" s="158" t="n">
        <f aca="false">IF($B350=" ",0,1)*(IF($B350&gt;=W$25,1,0)*IF($B350&lt;=W$29,W$27,IF($B350&lt;=W$33,W$31,0))*($D350-$D349)*365/1000)</f>
        <v>486.66666666666</v>
      </c>
      <c r="X350" s="158" t="n">
        <f aca="false">IF($B350=" ",0,IF($B350&gt;=X$25,IF($B350&lt;=X$29,X$27,IF($B350&lt;=X$33,X$31,X$31*(1+X$38)^(IF(X$36&gt;$B350,-1,1)*(YEARFRAC($B350,X$36)))))*($D350-$D349)*365/1000,0))</f>
        <v>536.997249574796</v>
      </c>
      <c r="Y350" s="159" t="n">
        <f aca="false">IF($B350=" ",0,Y$25*(1+Y$30)^(IF(Y$28&gt;$B350,-1,1)*(YEARFRAC($B350,Y$28))))</f>
        <v>0.674990715656146</v>
      </c>
      <c r="Z350" s="159" t="n">
        <f aca="false">IF($B350=" ",0,Z$25*(1+Z$30)^(IF(Z$28&gt;$B350,-1,1)*(YEARFRAC($B350,Z$28))))</f>
        <v>0.64436567309946</v>
      </c>
      <c r="AA350" s="162" t="n">
        <f aca="false">+W350+X350+Z350*SUM($J350*$J$37,$L350*$L$37,$N350*$N$37)/1000</f>
        <v>1023.66391624146</v>
      </c>
      <c r="AB350" s="161"/>
      <c r="AC350" s="158" t="n">
        <f aca="false">IF($B350=" ",0,1)*(IF($B350&gt;=AC$25,1,0)*IF($B350&lt;=AC$29,AC$27,IF($B350&lt;=AC$33,AC$31,0))*($D350-$D349)*365/1000)</f>
        <v>1591.66666666664</v>
      </c>
      <c r="AD350" s="158" t="n">
        <f aca="false">IF($B350=" ",0,IF($B350&gt;=AD$25,IF($B350&lt;=AD$29,AD$27,IF($B350&lt;=AD$33,AD$31,AD$31*(1+AD$38)^(IF(AD$36&gt;$B350,-1,1)*(YEARFRAC($B350,AD$36)))))*($D350-$D349)*365/1000,0))</f>
        <v>478.044967759543</v>
      </c>
      <c r="AE350" s="159" t="n">
        <f aca="false">IF($B350=" ",0,AE$25*(1+AE$30)^(IF(AE$28&gt;$B350,-1,1)*(YEARFRAC($B350,AE$28))))</f>
        <v>0.559226239138382</v>
      </c>
      <c r="AF350" s="159" t="n">
        <f aca="false">IF($B350=" ",0,AF$25*(1+AF$30)^(IF(AF$28&gt;$B350,-1,1)*(YEARFRAC($B350,AF$28))))</f>
        <v>0.200649106376016</v>
      </c>
      <c r="AG350" s="162" t="n">
        <f aca="false">+AC350+AD350+AF350*SUM($K350*$K$37,$M350*$M$37,$O350*$O$37)/1000</f>
        <v>3065.17050476843</v>
      </c>
      <c r="AI350" s="158" t="n">
        <f aca="false">IF($B350=" ",0,1)*IF($B350&gt;=AI$33,AI$25*($D350-$D349),0)</f>
        <v>485.186570908327</v>
      </c>
      <c r="AJ350" s="158" t="n">
        <f aca="false">IF($B350=" ",0,IF($B350&gt;=AJ$33,AJ$25*(1+AJ$30)^(IF(AJ$28&gt;$B350,-1,1)*(YEARFRAC($B350,AJ$28)))*($D350-$D349),0))</f>
        <v>637.282685434953</v>
      </c>
      <c r="AK350" s="159" t="n">
        <f aca="false">IF($B350=" ",0,AK$25*(1+AK$30)^(IF(AK$28&gt;$B350,-1,1)*(YEARFRAC($B350,AK$28))))</f>
        <v>0.0364215811699079</v>
      </c>
      <c r="AL350" s="159" t="n">
        <f aca="false">IF($B350=" ",0,AL$25*AL$28)</f>
        <v>0.0575</v>
      </c>
      <c r="AM350" s="162" t="n">
        <f aca="false">+AI350+AJ350+SUM(AK350:AL350)*SUM($J350*$J$37,$K350*$K$37,$L350*$L$37,$M350*$M$37,$N350*$N$37,$O350*$O$37)/1000</f>
        <v>1588.43231384598</v>
      </c>
      <c r="AO350" s="163" t="n">
        <f aca="false">IF($B350=" ",0,$AO$25)</f>
        <v>0.25</v>
      </c>
      <c r="AP350" s="159" t="n">
        <f aca="false">IF($B350=" ",0,AP$25*AP$28)</f>
        <v>0.03105</v>
      </c>
      <c r="AQ350" s="162" t="n">
        <f aca="false">SUM(AO350:AP350)*SUM(0)/1000</f>
        <v>0</v>
      </c>
      <c r="AS350" s="155" t="n">
        <f aca="false">IF($B350=" ",0,AS$25)</f>
        <v>1</v>
      </c>
      <c r="AT350" s="156" t="n">
        <f aca="false">IF($B350=" ",0,AT$25)</f>
        <v>1</v>
      </c>
      <c r="AU350" s="156" t="n">
        <f aca="false">IF($B350=" ",0,AU$25)</f>
        <v>2.3</v>
      </c>
      <c r="AV350" s="157" t="n">
        <f aca="false">+AS350*SUM(J350:K350)/1000</f>
        <v>0</v>
      </c>
      <c r="AW350" s="157" t="n">
        <f aca="false">+AT350*SUM(L350:M350)/1000</f>
        <v>0</v>
      </c>
      <c r="AX350" s="157" t="n">
        <f aca="false">+AU350*SUM(N350:O350)/1000</f>
        <v>11537.9859375</v>
      </c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</row>
    <row r="351" customFormat="false" ht="12.75" hidden="false" customHeight="false" outlineLevel="0" collapsed="false">
      <c r="A351" s="164" t="n">
        <f aca="false">+IF(B351=" ",A350,B351)</f>
        <v>45931</v>
      </c>
      <c r="B351" s="148" t="str">
        <f aca="false">IF(B350=" "," ",IF(EDATE(B350,1)&gt;=EndDate," ",EDATE(B350,1)))</f>
        <v> </v>
      </c>
      <c r="C351" s="149" t="n">
        <f aca="false">IF($B351&lt;&gt;" ",C350+1,C350)</f>
        <v>300</v>
      </c>
      <c r="D351" s="150" t="n">
        <f aca="false">C351/12</f>
        <v>25</v>
      </c>
      <c r="F351" s="157" t="n">
        <f aca="false">+SUM($T351:$U351)</f>
        <v>0</v>
      </c>
      <c r="G351" s="152" t="n">
        <f aca="false">-SUM($AA351,$AG351,$AM351,$AQ351,$AV351:$AX351)</f>
        <v>-0</v>
      </c>
      <c r="H351" s="152" t="n">
        <f aca="false">+SUM(F351:G351)</f>
        <v>0</v>
      </c>
      <c r="I351" s="124"/>
      <c r="J351" s="153" t="n">
        <f aca="false">+IF($B351=" ",0,IF(AND($B351&gt;=J$26,$B351&lt;J$28),J$33,0))</f>
        <v>0</v>
      </c>
      <c r="K351" s="153" t="n">
        <f aca="false">+IF($B351=" ",0,IF(AND($B351&gt;=K$26,$B351&lt;K$28),K$33,0))</f>
        <v>0</v>
      </c>
      <c r="L351" s="153" t="n">
        <f aca="false">+IF($B351=" ",0,IF(AND($B351&gt;=L$26,$B351&lt;L$28),L$33,0))</f>
        <v>0</v>
      </c>
      <c r="M351" s="153" t="n">
        <f aca="false">+IF($B351=" ",0,IF(AND($B351&gt;=M$26,$B351&lt;M$28),M$33,0))</f>
        <v>0</v>
      </c>
      <c r="N351" s="153" t="n">
        <f aca="false">+IF($B351=" ",0,IF(AND($B351&gt;=N$26,$B351&lt;N$28),N$33,0))</f>
        <v>0</v>
      </c>
      <c r="O351" s="154" t="n">
        <f aca="false">+IF($B351=" ",0,IF(AND($B351&gt;=O$26,$B351&lt;O$28),O$33,0))</f>
        <v>0</v>
      </c>
      <c r="Q351" s="83" t="n">
        <f aca="false">IF($B351=" ",0,IF($B351&lt;=DATE(2003,12,31),3.55,2.9))</f>
        <v>0</v>
      </c>
      <c r="R351" s="155" t="n">
        <f aca="false">IF($B351=" ",0,R$25)</f>
        <v>0</v>
      </c>
      <c r="S351" s="156" t="n">
        <f aca="false">IF($B351=" ",0,S$25)</f>
        <v>0</v>
      </c>
      <c r="T351" s="157" t="n">
        <f aca="false">+SUM($Q351,$S351)/1000*(SUM($J351*$J$37,$K351*$K$37,$L351*$L$37,$M351*$M$37,$N351*$N$37,$O351*$O$37))</f>
        <v>0</v>
      </c>
      <c r="U351" s="157" t="n">
        <f aca="false">+SUM($Q351,$R351)/1000*(SUM(0))</f>
        <v>0</v>
      </c>
      <c r="W351" s="158" t="n">
        <f aca="false">IF($B351=" ",0,1)*(IF($B351&gt;=W$25,1,0)*IF($B351&lt;=W$29,W$27,IF($B351&lt;=W$33,W$31,0))*($D351-$D350)*365/1000)</f>
        <v>0</v>
      </c>
      <c r="X351" s="158" t="n">
        <f aca="false">IF($B351=" ",0,IF($B351&gt;=X$25,IF($B351&lt;=X$29,X$27,IF($B351&lt;=X$33,X$31,X$31*(1+X$38)^(IF(X$36&gt;$B351,-1,1)*(YEARFRAC($B351,X$36)))))*($D351-$D350)*365/1000,0))</f>
        <v>0</v>
      </c>
      <c r="Y351" s="159" t="n">
        <f aca="false">IF($B351=" ",0,Y$25*(1+Y$30)^(IF(Y$28&gt;$B351,-1,1)*(YEARFRAC($B351,Y$28))))</f>
        <v>0</v>
      </c>
      <c r="Z351" s="159" t="n">
        <f aca="false">IF($B351=" ",0,Z$25*(1+Z$30)^(IF(Z$28&gt;$B351,-1,1)*(YEARFRAC($B351,Z$28))))</f>
        <v>0</v>
      </c>
      <c r="AA351" s="162" t="n">
        <f aca="false">+W351+X351+Z351*SUM($J351*$J$37,$L351*$L$37,$N351*$N$37)/1000</f>
        <v>0</v>
      </c>
      <c r="AB351" s="161"/>
      <c r="AC351" s="158" t="n">
        <f aca="false">IF($B351=" ",0,1)*(IF($B351&gt;=AC$25,1,0)*IF($B351&lt;=AC$29,AC$27,IF($B351&lt;=AC$33,AC$31,0))*($D351-$D350)*365/1000)</f>
        <v>0</v>
      </c>
      <c r="AD351" s="158" t="n">
        <f aca="false">IF($B351=" ",0,IF($B351&gt;=AD$25,IF($B351&lt;=AD$29,AD$27,IF($B351&lt;=AD$33,AD$31,AD$31*(1+AD$38)^(IF(AD$36&gt;$B351,-1,1)*(YEARFRAC($B351,AD$36)))))*($D351-$D350)*365/1000,0))</f>
        <v>0</v>
      </c>
      <c r="AE351" s="159" t="n">
        <f aca="false">IF($B351=" ",0,AE$25*(1+AE$30)^(IF(AE$28&gt;$B351,-1,1)*(YEARFRAC($B351,AE$28))))</f>
        <v>0</v>
      </c>
      <c r="AF351" s="159" t="n">
        <f aca="false">IF($B351=" ",0,AF$25*(1+AF$30)^(IF(AF$28&gt;$B351,-1,1)*(YEARFRAC($B351,AF$28))))</f>
        <v>0</v>
      </c>
      <c r="AG351" s="162" t="n">
        <f aca="false">+AC351+AD351+AF351*SUM($K351*$K$37,$M351*$M$37,$O351*$O$37)/1000</f>
        <v>0</v>
      </c>
      <c r="AI351" s="158" t="n">
        <f aca="false">IF($B351=" ",0,1)*IF($B351&gt;=AI$33,AI$25*($D351-$D350),0)</f>
        <v>0</v>
      </c>
      <c r="AJ351" s="158" t="n">
        <f aca="false">IF($B351=" ",0,IF($B351&gt;=AJ$33,AJ$25*(1+AJ$30)^(IF(AJ$28&gt;$B351,-1,1)*(YEARFRAC($B351,AJ$28)))*($D351-$D350),0))</f>
        <v>0</v>
      </c>
      <c r="AK351" s="159" t="n">
        <f aca="false">IF($B351=" ",0,AK$25*(1+AK$30)^(IF(AK$28&gt;$B351,-1,1)*(YEARFRAC($B351,AK$28))))</f>
        <v>0</v>
      </c>
      <c r="AL351" s="159" t="n">
        <f aca="false">IF($B351=" ",0,AL$25*AL$28)</f>
        <v>0</v>
      </c>
      <c r="AM351" s="162" t="n">
        <f aca="false">+AI351+AJ351+SUM(AK351:AL351)*SUM($J351*$J$37,$K351*$K$37,$L351*$L$37,$M351*$M$37,$N351*$N$37,$O351*$O$37)/1000</f>
        <v>0</v>
      </c>
      <c r="AO351" s="163" t="n">
        <f aca="false">IF($B351=" ",0,$AO$25)</f>
        <v>0</v>
      </c>
      <c r="AP351" s="159" t="n">
        <f aca="false">IF($B351=" ",0,AP$25*AP$28)</f>
        <v>0</v>
      </c>
      <c r="AQ351" s="162" t="n">
        <f aca="false">SUM(AO351:AP351)*SUM(0)/1000</f>
        <v>0</v>
      </c>
      <c r="AS351" s="155" t="n">
        <f aca="false">IF($B351=" ",0,AS$25)</f>
        <v>0</v>
      </c>
      <c r="AT351" s="156" t="n">
        <f aca="false">IF($B351=" ",0,AT$25)</f>
        <v>0</v>
      </c>
      <c r="AU351" s="156" t="n">
        <f aca="false">IF($B351=" ",0,AU$25)</f>
        <v>0</v>
      </c>
      <c r="AV351" s="157" t="n">
        <f aca="false">+AS351*SUM(J351:K351)/1000</f>
        <v>0</v>
      </c>
      <c r="AW351" s="157" t="n">
        <f aca="false">+AT351*SUM(L351:M351)/1000</f>
        <v>0</v>
      </c>
      <c r="AX351" s="157" t="n">
        <f aca="false">+AU351*SUM(N351:O351)/1000</f>
        <v>0</v>
      </c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</row>
    <row r="352" customFormat="false" ht="12.75" hidden="false" customHeight="false" outlineLevel="0" collapsed="false">
      <c r="A352" s="164" t="n">
        <f aca="false">+IF(B352=" ",A351,B352)</f>
        <v>45931</v>
      </c>
      <c r="B352" s="148" t="str">
        <f aca="false">IF(B351=" "," ",IF(EDATE(B351,1)&gt;=EndDate," ",EDATE(B351,1)))</f>
        <v> </v>
      </c>
      <c r="C352" s="149" t="n">
        <f aca="false">IF($B352&lt;&gt;" ",C351+1,C351)</f>
        <v>300</v>
      </c>
      <c r="D352" s="150" t="n">
        <f aca="false">C352/12</f>
        <v>25</v>
      </c>
      <c r="F352" s="157" t="n">
        <f aca="false">+SUM($T352:$U352)</f>
        <v>0</v>
      </c>
      <c r="G352" s="152" t="n">
        <f aca="false">-SUM($AA352,$AG352,$AM352,$AQ352,$AV352:$AX352)</f>
        <v>-0</v>
      </c>
      <c r="H352" s="152" t="n">
        <f aca="false">+SUM(F352:G352)</f>
        <v>0</v>
      </c>
      <c r="I352" s="124"/>
      <c r="J352" s="153" t="n">
        <f aca="false">+IF($B352=" ",0,IF(AND($B352&gt;=J$26,$B352&lt;J$28),J$33,0))</f>
        <v>0</v>
      </c>
      <c r="K352" s="153" t="n">
        <f aca="false">+IF($B352=" ",0,IF(AND($B352&gt;=K$26,$B352&lt;K$28),K$33,0))</f>
        <v>0</v>
      </c>
      <c r="L352" s="153" t="n">
        <f aca="false">+IF($B352=" ",0,IF(AND($B352&gt;=L$26,$B352&lt;L$28),L$33,0))</f>
        <v>0</v>
      </c>
      <c r="M352" s="153" t="n">
        <f aca="false">+IF($B352=" ",0,IF(AND($B352&gt;=M$26,$B352&lt;M$28),M$33,0))</f>
        <v>0</v>
      </c>
      <c r="N352" s="153" t="n">
        <f aca="false">+IF($B352=" ",0,IF(AND($B352&gt;=N$26,$B352&lt;N$28),N$33,0))</f>
        <v>0</v>
      </c>
      <c r="O352" s="154" t="n">
        <f aca="false">+IF($B352=" ",0,IF(AND($B352&gt;=O$26,$B352&lt;O$28),O$33,0))</f>
        <v>0</v>
      </c>
      <c r="Q352" s="83" t="n">
        <f aca="false">IF($B352=" ",0,IF($B352&lt;=DATE(2003,12,31),3.55,2.9))</f>
        <v>0</v>
      </c>
      <c r="R352" s="155" t="n">
        <f aca="false">IF($B352=" ",0,R$25)</f>
        <v>0</v>
      </c>
      <c r="S352" s="156" t="n">
        <f aca="false">IF($B352=" ",0,S$25)</f>
        <v>0</v>
      </c>
      <c r="T352" s="157" t="n">
        <f aca="false">+SUM($Q352,$S352)/1000*(SUM($J352*$J$37,$K352*$K$37,$L352*$L$37,$M352*$M$37,$N352*$N$37,$O352*$O$37))</f>
        <v>0</v>
      </c>
      <c r="U352" s="157" t="n">
        <f aca="false">+SUM($Q352,$R352)/1000*(SUM(0))</f>
        <v>0</v>
      </c>
      <c r="W352" s="158" t="n">
        <f aca="false">IF($B352=" ",0,1)*(IF($B352&gt;=W$25,1,0)*IF($B352&lt;=W$29,W$27,IF($B352&lt;=W$33,W$31,0))*($D352-$D351)*365/1000)</f>
        <v>0</v>
      </c>
      <c r="X352" s="158" t="n">
        <f aca="false">IF($B352=" ",0,IF($B352&gt;=X$25,IF($B352&lt;=X$29,X$27,IF($B352&lt;=X$33,X$31,X$31*(1+X$38)^(IF(X$36&gt;$B352,-1,1)*(YEARFRAC($B352,X$36)))))*($D352-$D351)*365/1000,0))</f>
        <v>0</v>
      </c>
      <c r="Y352" s="159" t="n">
        <f aca="false">IF($B352=" ",0,Y$25*(1+Y$30)^(IF(Y$28&gt;$B352,-1,1)*(YEARFRAC($B352,Y$28))))</f>
        <v>0</v>
      </c>
      <c r="Z352" s="159" t="n">
        <f aca="false">IF($B352=" ",0,Z$25*(1+Z$30)^(IF(Z$28&gt;$B352,-1,1)*(YEARFRAC($B352,Z$28))))</f>
        <v>0</v>
      </c>
      <c r="AA352" s="162" t="n">
        <f aca="false">+W352+X352+Z352*SUM($J352*$J$37,$L352*$L$37,$N352*$N$37)/1000</f>
        <v>0</v>
      </c>
      <c r="AB352" s="161"/>
      <c r="AC352" s="158" t="n">
        <f aca="false">IF($B352=" ",0,1)*(IF($B352&gt;=AC$25,1,0)*IF($B352&lt;=AC$29,AC$27,IF($B352&lt;=AC$33,AC$31,0))*($D352-$D351)*365/1000)</f>
        <v>0</v>
      </c>
      <c r="AD352" s="158" t="n">
        <f aca="false">IF($B352=" ",0,IF($B352&gt;=AD$25,IF($B352&lt;=AD$29,AD$27,IF($B352&lt;=AD$33,AD$31,AD$31*(1+AD$38)^(IF(AD$36&gt;$B352,-1,1)*(YEARFRAC($B352,AD$36)))))*($D352-$D351)*365/1000,0))</f>
        <v>0</v>
      </c>
      <c r="AE352" s="159" t="n">
        <f aca="false">IF($B352=" ",0,AE$25*(1+AE$30)^(IF(AE$28&gt;$B352,-1,1)*(YEARFRAC($B352,AE$28))))</f>
        <v>0</v>
      </c>
      <c r="AF352" s="159" t="n">
        <f aca="false">IF($B352=" ",0,AF$25*(1+AF$30)^(IF(AF$28&gt;$B352,-1,1)*(YEARFRAC($B352,AF$28))))</f>
        <v>0</v>
      </c>
      <c r="AG352" s="162" t="n">
        <f aca="false">+AC352+AD352+AF352*SUM($K352*$K$37,$M352*$M$37,$O352*$O$37)/1000</f>
        <v>0</v>
      </c>
      <c r="AI352" s="158" t="n">
        <f aca="false">IF($B352=" ",0,1)*IF($B352&gt;=AI$33,AI$25*($D352-$D351),0)</f>
        <v>0</v>
      </c>
      <c r="AJ352" s="158" t="n">
        <f aca="false">IF($B352=" ",0,IF($B352&gt;=AJ$33,AJ$25*(1+AJ$30)^(IF(AJ$28&gt;$B352,-1,1)*(YEARFRAC($B352,AJ$28)))*($D352-$D351),0))</f>
        <v>0</v>
      </c>
      <c r="AK352" s="159" t="n">
        <f aca="false">IF($B352=" ",0,AK$25*(1+AK$30)^(IF(AK$28&gt;$B352,-1,1)*(YEARFRAC($B352,AK$28))))</f>
        <v>0</v>
      </c>
      <c r="AL352" s="159" t="n">
        <f aca="false">IF($B352=" ",0,AL$25*AL$28)</f>
        <v>0</v>
      </c>
      <c r="AM352" s="162" t="n">
        <f aca="false">+AI352+AJ352+SUM(AK352:AL352)*SUM($J352*$J$37,$K352*$K$37,$L352*$L$37,$M352*$M$37,$N352*$N$37,$O352*$O$37)/1000</f>
        <v>0</v>
      </c>
      <c r="AO352" s="163" t="n">
        <f aca="false">IF($B352=" ",0,$AO$25)</f>
        <v>0</v>
      </c>
      <c r="AP352" s="159" t="n">
        <f aca="false">IF($B352=" ",0,AP$25*AP$28)</f>
        <v>0</v>
      </c>
      <c r="AQ352" s="162" t="n">
        <f aca="false">SUM(AO352:AP352)*SUM(0)/1000</f>
        <v>0</v>
      </c>
      <c r="AS352" s="155" t="n">
        <f aca="false">IF($B352=" ",0,AS$25)</f>
        <v>0</v>
      </c>
      <c r="AT352" s="156" t="n">
        <f aca="false">IF($B352=" ",0,AT$25)</f>
        <v>0</v>
      </c>
      <c r="AU352" s="156" t="n">
        <f aca="false">IF($B352=" ",0,AU$25)</f>
        <v>0</v>
      </c>
      <c r="AV352" s="157" t="n">
        <f aca="false">+AS352*SUM(J352:K352)/1000</f>
        <v>0</v>
      </c>
      <c r="AW352" s="157" t="n">
        <f aca="false">+AT352*SUM(L352:M352)/1000</f>
        <v>0</v>
      </c>
      <c r="AX352" s="157" t="n">
        <f aca="false">+AU352*SUM(N352:O352)/1000</f>
        <v>0</v>
      </c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</row>
    <row r="353" customFormat="false" ht="12.75" hidden="false" customHeight="false" outlineLevel="0" collapsed="false">
      <c r="A353" s="164" t="n">
        <f aca="false">+IF(B353=" ",A352,B353)</f>
        <v>45931</v>
      </c>
      <c r="B353" s="148" t="str">
        <f aca="false">IF(B352=" "," ",IF(EDATE(B352,1)&gt;=EndDate," ",EDATE(B352,1)))</f>
        <v> </v>
      </c>
      <c r="C353" s="149" t="n">
        <f aca="false">IF($B353&lt;&gt;" ",C352+1,C352)</f>
        <v>300</v>
      </c>
      <c r="D353" s="150" t="n">
        <f aca="false">C353/12</f>
        <v>25</v>
      </c>
      <c r="F353" s="157" t="n">
        <f aca="false">+SUM($T353:$U353)</f>
        <v>0</v>
      </c>
      <c r="G353" s="152" t="n">
        <f aca="false">-SUM($AA353,$AG353,$AM353,$AQ353,$AV353:$AX353)</f>
        <v>-0</v>
      </c>
      <c r="H353" s="152" t="n">
        <f aca="false">+SUM(F353:G353)</f>
        <v>0</v>
      </c>
      <c r="I353" s="124"/>
      <c r="J353" s="153" t="n">
        <f aca="false">+IF($B353=" ",0,IF(AND($B353&gt;=J$26,$B353&lt;J$28),J$33,0))</f>
        <v>0</v>
      </c>
      <c r="K353" s="153" t="n">
        <f aca="false">+IF($B353=" ",0,IF(AND($B353&gt;=K$26,$B353&lt;K$28),K$33,0))</f>
        <v>0</v>
      </c>
      <c r="L353" s="153" t="n">
        <f aca="false">+IF($B353=" ",0,IF(AND($B353&gt;=L$26,$B353&lt;L$28),L$33,0))</f>
        <v>0</v>
      </c>
      <c r="M353" s="153" t="n">
        <f aca="false">+IF($B353=" ",0,IF(AND($B353&gt;=M$26,$B353&lt;M$28),M$33,0))</f>
        <v>0</v>
      </c>
      <c r="N353" s="153" t="n">
        <f aca="false">+IF($B353=" ",0,IF(AND($B353&gt;=N$26,$B353&lt;N$28),N$33,0))</f>
        <v>0</v>
      </c>
      <c r="O353" s="154" t="n">
        <f aca="false">+IF($B353=" ",0,IF(AND($B353&gt;=O$26,$B353&lt;O$28),O$33,0))</f>
        <v>0</v>
      </c>
      <c r="Q353" s="83" t="n">
        <f aca="false">IF($B353=" ",0,IF($B353&lt;=DATE(2003,12,31),3.55,2.9))</f>
        <v>0</v>
      </c>
      <c r="R353" s="155" t="n">
        <f aca="false">IF($B353=" ",0,R$25)</f>
        <v>0</v>
      </c>
      <c r="S353" s="156" t="n">
        <f aca="false">IF($B353=" ",0,S$25)</f>
        <v>0</v>
      </c>
      <c r="T353" s="157" t="n">
        <f aca="false">+SUM($Q353,$S353)/1000*(SUM($J353*$J$37,$K353*$K$37,$L353*$L$37,$M353*$M$37,$N353*$N$37,$O353*$O$37))</f>
        <v>0</v>
      </c>
      <c r="U353" s="157" t="n">
        <f aca="false">+SUM($Q353,$R353)/1000*(SUM(0))</f>
        <v>0</v>
      </c>
      <c r="W353" s="158" t="n">
        <f aca="false">IF($B353=" ",0,1)*(IF($B353&gt;=W$25,1,0)*IF($B353&lt;=W$29,W$27,IF($B353&lt;=W$33,W$31,0))*($D353-$D352)*365/1000)</f>
        <v>0</v>
      </c>
      <c r="X353" s="158" t="n">
        <f aca="false">IF($B353=" ",0,IF($B353&gt;=X$25,IF($B353&lt;=X$29,X$27,IF($B353&lt;=X$33,X$31,X$31*(1+X$38)^(IF(X$36&gt;$B353,-1,1)*(YEARFRAC($B353,X$36)))))*($D353-$D352)*365/1000,0))</f>
        <v>0</v>
      </c>
      <c r="Y353" s="159" t="n">
        <f aca="false">IF($B353=" ",0,Y$25*(1+Y$30)^(IF(Y$28&gt;$B353,-1,1)*(YEARFRAC($B353,Y$28))))</f>
        <v>0</v>
      </c>
      <c r="Z353" s="159" t="n">
        <f aca="false">IF($B353=" ",0,Z$25*(1+Z$30)^(IF(Z$28&gt;$B353,-1,1)*(YEARFRAC($B353,Z$28))))</f>
        <v>0</v>
      </c>
      <c r="AA353" s="162" t="n">
        <f aca="false">+W353+X353+Z353*SUM($J353*$J$37,$L353*$L$37,$N353*$N$37)/1000</f>
        <v>0</v>
      </c>
      <c r="AB353" s="161"/>
      <c r="AC353" s="158" t="n">
        <f aca="false">IF($B353=" ",0,1)*(IF($B353&gt;=AC$25,1,0)*IF($B353&lt;=AC$29,AC$27,IF($B353&lt;=AC$33,AC$31,0))*($D353-$D352)*365/1000)</f>
        <v>0</v>
      </c>
      <c r="AD353" s="158" t="n">
        <f aca="false">IF($B353=" ",0,IF($B353&gt;=AD$25,IF($B353&lt;=AD$29,AD$27,IF($B353&lt;=AD$33,AD$31,AD$31*(1+AD$38)^(IF(AD$36&gt;$B353,-1,1)*(YEARFRAC($B353,AD$36)))))*($D353-$D352)*365/1000,0))</f>
        <v>0</v>
      </c>
      <c r="AE353" s="159" t="n">
        <f aca="false">IF($B353=" ",0,AE$25*(1+AE$30)^(IF(AE$28&gt;$B353,-1,1)*(YEARFRAC($B353,AE$28))))</f>
        <v>0</v>
      </c>
      <c r="AF353" s="159" t="n">
        <f aca="false">IF($B353=" ",0,AF$25*(1+AF$30)^(IF(AF$28&gt;$B353,-1,1)*(YEARFRAC($B353,AF$28))))</f>
        <v>0</v>
      </c>
      <c r="AG353" s="162" t="n">
        <f aca="false">+AC353+AD353+AF353*SUM($K353*$K$37,$M353*$M$37,$O353*$O$37)/1000</f>
        <v>0</v>
      </c>
      <c r="AI353" s="158" t="n">
        <f aca="false">IF($B353=" ",0,1)*IF($B353&gt;=AI$33,AI$25*($D353-$D352),0)</f>
        <v>0</v>
      </c>
      <c r="AJ353" s="158" t="n">
        <f aca="false">IF($B353=" ",0,IF($B353&gt;=AJ$33,AJ$25*(1+AJ$30)^(IF(AJ$28&gt;$B353,-1,1)*(YEARFRAC($B353,AJ$28)))*($D353-$D352),0))</f>
        <v>0</v>
      </c>
      <c r="AK353" s="159" t="n">
        <f aca="false">IF($B353=" ",0,AK$25*(1+AK$30)^(IF(AK$28&gt;$B353,-1,1)*(YEARFRAC($B353,AK$28))))</f>
        <v>0</v>
      </c>
      <c r="AL353" s="159" t="n">
        <f aca="false">IF($B353=" ",0,AL$25*AL$28)</f>
        <v>0</v>
      </c>
      <c r="AM353" s="162" t="n">
        <f aca="false">+AI353+AJ353+SUM(AK353:AL353)*SUM($J353*$J$37,$K353*$K$37,$L353*$L$37,$M353*$M$37,$N353*$N$37,$O353*$O$37)/1000</f>
        <v>0</v>
      </c>
      <c r="AO353" s="163" t="n">
        <f aca="false">IF($B353=" ",0,$AO$25)</f>
        <v>0</v>
      </c>
      <c r="AP353" s="159" t="n">
        <f aca="false">IF($B353=" ",0,AP$25*AP$28)</f>
        <v>0</v>
      </c>
      <c r="AQ353" s="162" t="n">
        <f aca="false">SUM(AO353:AP353)*SUM(0)/1000</f>
        <v>0</v>
      </c>
      <c r="AS353" s="155" t="n">
        <f aca="false">IF($B353=" ",0,AS$25)</f>
        <v>0</v>
      </c>
      <c r="AT353" s="156" t="n">
        <f aca="false">IF($B353=" ",0,AT$25)</f>
        <v>0</v>
      </c>
      <c r="AU353" s="156" t="n">
        <f aca="false">IF($B353=" ",0,AU$25)</f>
        <v>0</v>
      </c>
      <c r="AV353" s="157" t="n">
        <f aca="false">+AS353*SUM(J353:K353)/1000</f>
        <v>0</v>
      </c>
      <c r="AW353" s="157" t="n">
        <f aca="false">+AT353*SUM(L353:M353)/1000</f>
        <v>0</v>
      </c>
      <c r="AX353" s="157" t="n">
        <f aca="false">+AU353*SUM(N353:O353)/1000</f>
        <v>0</v>
      </c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</row>
    <row r="354" customFormat="false" ht="12.75" hidden="false" customHeight="false" outlineLevel="0" collapsed="false">
      <c r="A354" s="164" t="n">
        <f aca="false">+IF(B354=" ",A353,B354)</f>
        <v>45931</v>
      </c>
      <c r="B354" s="148" t="str">
        <f aca="false">IF(B353=" "," ",IF(EDATE(B353,1)&gt;=EndDate," ",EDATE(B353,1)))</f>
        <v> </v>
      </c>
      <c r="C354" s="149" t="n">
        <f aca="false">IF($B354&lt;&gt;" ",C353+1,C353)</f>
        <v>300</v>
      </c>
      <c r="D354" s="150" t="n">
        <f aca="false">C354/12</f>
        <v>25</v>
      </c>
      <c r="F354" s="157" t="n">
        <f aca="false">+SUM($T354:$U354)</f>
        <v>0</v>
      </c>
      <c r="G354" s="152" t="n">
        <f aca="false">-SUM($AA354,$AG354,$AM354,$AQ354,$AV354:$AX354)</f>
        <v>-0</v>
      </c>
      <c r="H354" s="152" t="n">
        <f aca="false">+SUM(F354:G354)</f>
        <v>0</v>
      </c>
      <c r="I354" s="124"/>
      <c r="J354" s="153" t="n">
        <f aca="false">+IF($B354=" ",0,IF(AND($B354&gt;=J$26,$B354&lt;J$28),J$33,0))</f>
        <v>0</v>
      </c>
      <c r="K354" s="153" t="n">
        <f aca="false">+IF($B354=" ",0,IF(AND($B354&gt;=K$26,$B354&lt;K$28),K$33,0))</f>
        <v>0</v>
      </c>
      <c r="L354" s="153" t="n">
        <f aca="false">+IF($B354=" ",0,IF(AND($B354&gt;=L$26,$B354&lt;L$28),L$33,0))</f>
        <v>0</v>
      </c>
      <c r="M354" s="153" t="n">
        <f aca="false">+IF($B354=" ",0,IF(AND($B354&gt;=M$26,$B354&lt;M$28),M$33,0))</f>
        <v>0</v>
      </c>
      <c r="N354" s="153" t="n">
        <f aca="false">+IF($B354=" ",0,IF(AND($B354&gt;=N$26,$B354&lt;N$28),N$33,0))</f>
        <v>0</v>
      </c>
      <c r="O354" s="154" t="n">
        <f aca="false">+IF($B354=" ",0,IF(AND($B354&gt;=O$26,$B354&lt;O$28),O$33,0))</f>
        <v>0</v>
      </c>
      <c r="Q354" s="83" t="n">
        <f aca="false">IF($B354=" ",0,IF($B354&lt;=DATE(2003,12,31),3.55,2.9))</f>
        <v>0</v>
      </c>
      <c r="R354" s="155" t="n">
        <f aca="false">IF($B354=" ",0,R$25)</f>
        <v>0</v>
      </c>
      <c r="S354" s="156" t="n">
        <f aca="false">IF($B354=" ",0,S$25)</f>
        <v>0</v>
      </c>
      <c r="T354" s="157" t="n">
        <f aca="false">+SUM($Q354,$S354)/1000*(SUM($J354*$J$37,$K354*$K$37,$L354*$L$37,$M354*$M$37,$N354*$N$37,$O354*$O$37))</f>
        <v>0</v>
      </c>
      <c r="U354" s="157" t="n">
        <f aca="false">+SUM($Q354,$R354)/1000*(SUM(0))</f>
        <v>0</v>
      </c>
      <c r="W354" s="158" t="n">
        <f aca="false">IF($B354=" ",0,1)*(IF($B354&gt;=W$25,1,0)*IF($B354&lt;=W$29,W$27,IF($B354&lt;=W$33,W$31,0))*($D354-$D353)*365/1000)</f>
        <v>0</v>
      </c>
      <c r="X354" s="158" t="n">
        <f aca="false">IF($B354=" ",0,IF($B354&gt;=X$25,IF($B354&lt;=X$29,X$27,IF($B354&lt;=X$33,X$31,X$31*(1+X$38)^(IF(X$36&gt;$B354,-1,1)*(YEARFRAC($B354,X$36)))))*($D354-$D353)*365/1000,0))</f>
        <v>0</v>
      </c>
      <c r="Y354" s="159" t="n">
        <f aca="false">IF($B354=" ",0,Y$25*(1+Y$30)^(IF(Y$28&gt;$B354,-1,1)*(YEARFRAC($B354,Y$28))))</f>
        <v>0</v>
      </c>
      <c r="Z354" s="159" t="n">
        <f aca="false">IF($B354=" ",0,Z$25*(1+Z$30)^(IF(Z$28&gt;$B354,-1,1)*(YEARFRAC($B354,Z$28))))</f>
        <v>0</v>
      </c>
      <c r="AA354" s="162" t="n">
        <f aca="false">+W354+X354+Z354*SUM($J354*$J$37,$L354*$L$37,$N354*$N$37)/1000</f>
        <v>0</v>
      </c>
      <c r="AB354" s="161"/>
      <c r="AC354" s="158" t="n">
        <f aca="false">IF($B354=" ",0,1)*(IF($B354&gt;=AC$25,1,0)*IF($B354&lt;=AC$29,AC$27,IF($B354&lt;=AC$33,AC$31,0))*($D354-$D353)*365/1000)</f>
        <v>0</v>
      </c>
      <c r="AD354" s="158" t="n">
        <f aca="false">IF($B354=" ",0,IF($B354&gt;=AD$25,IF($B354&lt;=AD$29,AD$27,IF($B354&lt;=AD$33,AD$31,AD$31*(1+AD$38)^(IF(AD$36&gt;$B354,-1,1)*(YEARFRAC($B354,AD$36)))))*($D354-$D353)*365/1000,0))</f>
        <v>0</v>
      </c>
      <c r="AE354" s="159" t="n">
        <f aca="false">IF($B354=" ",0,AE$25*(1+AE$30)^(IF(AE$28&gt;$B354,-1,1)*(YEARFRAC($B354,AE$28))))</f>
        <v>0</v>
      </c>
      <c r="AF354" s="159" t="n">
        <f aca="false">IF($B354=" ",0,AF$25*(1+AF$30)^(IF(AF$28&gt;$B354,-1,1)*(YEARFRAC($B354,AF$28))))</f>
        <v>0</v>
      </c>
      <c r="AG354" s="162" t="n">
        <f aca="false">+AC354+AD354+AF354*SUM($K354*$K$37,$M354*$M$37,$O354*$O$37)/1000</f>
        <v>0</v>
      </c>
      <c r="AI354" s="158" t="n">
        <f aca="false">IF($B354=" ",0,1)*IF($B354&gt;=AI$33,AI$25*($D354-$D353),0)</f>
        <v>0</v>
      </c>
      <c r="AJ354" s="158" t="n">
        <f aca="false">IF($B354=" ",0,IF($B354&gt;=AJ$33,AJ$25*(1+AJ$30)^(IF(AJ$28&gt;$B354,-1,1)*(YEARFRAC($B354,AJ$28)))*($D354-$D353),0))</f>
        <v>0</v>
      </c>
      <c r="AK354" s="159" t="n">
        <f aca="false">IF($B354=" ",0,AK$25*(1+AK$30)^(IF(AK$28&gt;$B354,-1,1)*(YEARFRAC($B354,AK$28))))</f>
        <v>0</v>
      </c>
      <c r="AL354" s="159" t="n">
        <f aca="false">IF($B354=" ",0,AL$25*AL$28)</f>
        <v>0</v>
      </c>
      <c r="AM354" s="162" t="n">
        <f aca="false">+AI354+AJ354+SUM(AK354:AL354)*SUM($J354*$J$37,$K354*$K$37,$L354*$L$37,$M354*$M$37,$N354*$N$37,$O354*$O$37)/1000</f>
        <v>0</v>
      </c>
      <c r="AO354" s="163" t="n">
        <f aca="false">IF($B354=" ",0,$AO$25)</f>
        <v>0</v>
      </c>
      <c r="AP354" s="159" t="n">
        <f aca="false">IF($B354=" ",0,AP$25*AP$28)</f>
        <v>0</v>
      </c>
      <c r="AQ354" s="162" t="n">
        <f aca="false">SUM(AO354:AP354)*SUM(0)/1000</f>
        <v>0</v>
      </c>
      <c r="AS354" s="155" t="n">
        <f aca="false">IF($B354=" ",0,AS$25)</f>
        <v>0</v>
      </c>
      <c r="AT354" s="156" t="n">
        <f aca="false">IF($B354=" ",0,AT$25)</f>
        <v>0</v>
      </c>
      <c r="AU354" s="156" t="n">
        <f aca="false">IF($B354=" ",0,AU$25)</f>
        <v>0</v>
      </c>
      <c r="AV354" s="157" t="n">
        <f aca="false">+AS354*SUM(J354:K354)/1000</f>
        <v>0</v>
      </c>
      <c r="AW354" s="157" t="n">
        <f aca="false">+AT354*SUM(L354:M354)/1000</f>
        <v>0</v>
      </c>
      <c r="AX354" s="157" t="n">
        <f aca="false">+AU354*SUM(N354:O354)/1000</f>
        <v>0</v>
      </c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</row>
    <row r="355" customFormat="false" ht="12.75" hidden="false" customHeight="false" outlineLevel="0" collapsed="false">
      <c r="A355" s="164" t="n">
        <f aca="false">+IF(B355=" ",A354,B355)</f>
        <v>45931</v>
      </c>
      <c r="B355" s="148" t="str">
        <f aca="false">IF(B354=" "," ",IF(EDATE(B354,1)&gt;=EndDate," ",EDATE(B354,1)))</f>
        <v> </v>
      </c>
      <c r="C355" s="149" t="n">
        <f aca="false">IF($B355&lt;&gt;" ",C354+1,C354)</f>
        <v>300</v>
      </c>
      <c r="D355" s="150" t="n">
        <f aca="false">C355/12</f>
        <v>25</v>
      </c>
      <c r="F355" s="157" t="n">
        <f aca="false">+SUM($T355:$U355)</f>
        <v>0</v>
      </c>
      <c r="G355" s="152" t="n">
        <f aca="false">-SUM($AA355,$AG355,$AM355,$AQ355,$AV355:$AX355)</f>
        <v>-0</v>
      </c>
      <c r="H355" s="152" t="n">
        <f aca="false">+SUM(F355:G355)</f>
        <v>0</v>
      </c>
      <c r="I355" s="124"/>
      <c r="J355" s="153" t="n">
        <f aca="false">+IF($B355=" ",0,IF(AND($B355&gt;=J$26,$B355&lt;J$28),J$33,0))</f>
        <v>0</v>
      </c>
      <c r="K355" s="153" t="n">
        <f aca="false">+IF($B355=" ",0,IF(AND($B355&gt;=K$26,$B355&lt;K$28),K$33,0))</f>
        <v>0</v>
      </c>
      <c r="L355" s="153" t="n">
        <f aca="false">+IF($B355=" ",0,IF(AND($B355&gt;=L$26,$B355&lt;L$28),L$33,0))</f>
        <v>0</v>
      </c>
      <c r="M355" s="153" t="n">
        <f aca="false">+IF($B355=" ",0,IF(AND($B355&gt;=M$26,$B355&lt;M$28),M$33,0))</f>
        <v>0</v>
      </c>
      <c r="N355" s="153" t="n">
        <f aca="false">+IF($B355=" ",0,IF(AND($B355&gt;=N$26,$B355&lt;N$28),N$33,0))</f>
        <v>0</v>
      </c>
      <c r="O355" s="154" t="n">
        <f aca="false">+IF($B355=" ",0,IF(AND($B355&gt;=O$26,$B355&lt;O$28),O$33,0))</f>
        <v>0</v>
      </c>
      <c r="Q355" s="83" t="n">
        <f aca="false">IF($B355=" ",0,IF($B355&lt;=DATE(2003,12,31),3.55,2.9))</f>
        <v>0</v>
      </c>
      <c r="R355" s="155" t="n">
        <f aca="false">IF($B355=" ",0,R$25)</f>
        <v>0</v>
      </c>
      <c r="S355" s="156" t="n">
        <f aca="false">IF($B355=" ",0,S$25)</f>
        <v>0</v>
      </c>
      <c r="T355" s="157" t="n">
        <f aca="false">+SUM($Q355,$S355)/1000*(SUM($J355*$J$37,$K355*$K$37,$L355*$L$37,$M355*$M$37,$N355*$N$37,$O355*$O$37))</f>
        <v>0</v>
      </c>
      <c r="U355" s="157" t="n">
        <f aca="false">+SUM($Q355,$R355)/1000*(SUM(0))</f>
        <v>0</v>
      </c>
      <c r="W355" s="158" t="n">
        <f aca="false">IF($B355=" ",0,1)*(IF($B355&gt;=W$25,1,0)*IF($B355&lt;=W$29,W$27,IF($B355&lt;=W$33,W$31,0))*($D355-$D354)*365/1000)</f>
        <v>0</v>
      </c>
      <c r="X355" s="158" t="n">
        <f aca="false">IF($B355=" ",0,IF($B355&gt;=X$25,IF($B355&lt;=X$29,X$27,IF($B355&lt;=X$33,X$31,X$31*(1+X$38)^(IF(X$36&gt;$B355,-1,1)*(YEARFRAC($B355,X$36)))))*($D355-$D354)*365/1000,0))</f>
        <v>0</v>
      </c>
      <c r="Y355" s="159" t="n">
        <f aca="false">IF($B355=" ",0,Y$25*(1+Y$30)^(IF(Y$28&gt;$B355,-1,1)*(YEARFRAC($B355,Y$28))))</f>
        <v>0</v>
      </c>
      <c r="Z355" s="159" t="n">
        <f aca="false">IF($B355=" ",0,Z$25*(1+Z$30)^(IF(Z$28&gt;$B355,-1,1)*(YEARFRAC($B355,Z$28))))</f>
        <v>0</v>
      </c>
      <c r="AA355" s="162" t="n">
        <f aca="false">+W355+X355+Z355*SUM($J355*$J$37,$L355*$L$37,$N355*$N$37)/1000</f>
        <v>0</v>
      </c>
      <c r="AB355" s="161"/>
      <c r="AC355" s="158" t="n">
        <f aca="false">IF($B355=" ",0,1)*(IF($B355&gt;=AC$25,1,0)*IF($B355&lt;=AC$29,AC$27,IF($B355&lt;=AC$33,AC$31,0))*($D355-$D354)*365/1000)</f>
        <v>0</v>
      </c>
      <c r="AD355" s="158" t="n">
        <f aca="false">IF($B355=" ",0,IF($B355&gt;=AD$25,IF($B355&lt;=AD$29,AD$27,IF($B355&lt;=AD$33,AD$31,AD$31*(1+AD$38)^(IF(AD$36&gt;$B355,-1,1)*(YEARFRAC($B355,AD$36)))))*($D355-$D354)*365/1000,0))</f>
        <v>0</v>
      </c>
      <c r="AE355" s="159" t="n">
        <f aca="false">IF($B355=" ",0,AE$25*(1+AE$30)^(IF(AE$28&gt;$B355,-1,1)*(YEARFRAC($B355,AE$28))))</f>
        <v>0</v>
      </c>
      <c r="AF355" s="159" t="n">
        <f aca="false">IF($B355=" ",0,AF$25*(1+AF$30)^(IF(AF$28&gt;$B355,-1,1)*(YEARFRAC($B355,AF$28))))</f>
        <v>0</v>
      </c>
      <c r="AG355" s="162" t="n">
        <f aca="false">+AC355+AD355+AF355*SUM($K355*$K$37,$M355*$M$37,$O355*$O$37)/1000</f>
        <v>0</v>
      </c>
      <c r="AI355" s="158" t="n">
        <f aca="false">IF($B355=" ",0,1)*IF($B355&gt;=AI$33,AI$25*($D355-$D354),0)</f>
        <v>0</v>
      </c>
      <c r="AJ355" s="158" t="n">
        <f aca="false">IF($B355=" ",0,IF($B355&gt;=AJ$33,AJ$25*(1+AJ$30)^(IF(AJ$28&gt;$B355,-1,1)*(YEARFRAC($B355,AJ$28)))*($D355-$D354),0))</f>
        <v>0</v>
      </c>
      <c r="AK355" s="159" t="n">
        <f aca="false">IF($B355=" ",0,AK$25*(1+AK$30)^(IF(AK$28&gt;$B355,-1,1)*(YEARFRAC($B355,AK$28))))</f>
        <v>0</v>
      </c>
      <c r="AL355" s="159" t="n">
        <f aca="false">IF($B355=" ",0,AL$25*AL$28)</f>
        <v>0</v>
      </c>
      <c r="AM355" s="162" t="n">
        <f aca="false">+AI355+AJ355+SUM(AK355:AL355)*SUM($J355*$J$37,$K355*$K$37,$L355*$L$37,$M355*$M$37,$N355*$N$37,$O355*$O$37)/1000</f>
        <v>0</v>
      </c>
      <c r="AO355" s="163" t="n">
        <f aca="false">IF($B355=" ",0,$AO$25)</f>
        <v>0</v>
      </c>
      <c r="AP355" s="159" t="n">
        <f aca="false">IF($B355=" ",0,AP$25*AP$28)</f>
        <v>0</v>
      </c>
      <c r="AQ355" s="162" t="n">
        <f aca="false">SUM(AO355:AP355)*SUM(0)/1000</f>
        <v>0</v>
      </c>
      <c r="AS355" s="155" t="n">
        <f aca="false">IF($B355=" ",0,AS$25)</f>
        <v>0</v>
      </c>
      <c r="AT355" s="156" t="n">
        <f aca="false">IF($B355=" ",0,AT$25)</f>
        <v>0</v>
      </c>
      <c r="AU355" s="156" t="n">
        <f aca="false">IF($B355=" ",0,AU$25)</f>
        <v>0</v>
      </c>
      <c r="AV355" s="157" t="n">
        <f aca="false">+AS355*SUM(J355:K355)/1000</f>
        <v>0</v>
      </c>
      <c r="AW355" s="157" t="n">
        <f aca="false">+AT355*SUM(L355:M355)/1000</f>
        <v>0</v>
      </c>
      <c r="AX355" s="157" t="n">
        <f aca="false">+AU355*SUM(N355:O355)/1000</f>
        <v>0</v>
      </c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</row>
    <row r="356" customFormat="false" ht="12.75" hidden="false" customHeight="false" outlineLevel="0" collapsed="false">
      <c r="A356" s="164" t="n">
        <f aca="false">+IF(B356=" ",A355,B356)</f>
        <v>45931</v>
      </c>
      <c r="B356" s="148" t="str">
        <f aca="false">IF(B355=" "," ",IF(EDATE(B355,1)&gt;=EndDate," ",EDATE(B355,1)))</f>
        <v> </v>
      </c>
      <c r="C356" s="149" t="n">
        <f aca="false">IF($B356&lt;&gt;" ",C355+1,C355)</f>
        <v>300</v>
      </c>
      <c r="D356" s="150" t="n">
        <f aca="false">C356/12</f>
        <v>25</v>
      </c>
      <c r="F356" s="157" t="n">
        <f aca="false">+SUM($T356:$U356)</f>
        <v>0</v>
      </c>
      <c r="G356" s="152" t="n">
        <f aca="false">-SUM($AA356,$AG356,$AM356,$AQ356,$AV356:$AX356)</f>
        <v>-0</v>
      </c>
      <c r="H356" s="152" t="n">
        <f aca="false">+SUM(F356:G356)</f>
        <v>0</v>
      </c>
      <c r="I356" s="124"/>
      <c r="J356" s="153" t="n">
        <f aca="false">+IF($B356=" ",0,IF(AND($B356&gt;=J$26,$B356&lt;J$28),J$33,0))</f>
        <v>0</v>
      </c>
      <c r="K356" s="153" t="n">
        <f aca="false">+IF($B356=" ",0,IF(AND($B356&gt;=K$26,$B356&lt;K$28),K$33,0))</f>
        <v>0</v>
      </c>
      <c r="L356" s="153" t="n">
        <f aca="false">+IF($B356=" ",0,IF(AND($B356&gt;=L$26,$B356&lt;L$28),L$33,0))</f>
        <v>0</v>
      </c>
      <c r="M356" s="153" t="n">
        <f aca="false">+IF($B356=" ",0,IF(AND($B356&gt;=M$26,$B356&lt;M$28),M$33,0))</f>
        <v>0</v>
      </c>
      <c r="N356" s="153" t="n">
        <f aca="false">+IF($B356=" ",0,IF(AND($B356&gt;=N$26,$B356&lt;N$28),N$33,0))</f>
        <v>0</v>
      </c>
      <c r="O356" s="154" t="n">
        <f aca="false">+IF($B356=" ",0,IF(AND($B356&gt;=O$26,$B356&lt;O$28),O$33,0))</f>
        <v>0</v>
      </c>
      <c r="Q356" s="83" t="n">
        <f aca="false">IF($B356=" ",0,IF($B356&lt;=DATE(2003,12,31),3.55,2.9))</f>
        <v>0</v>
      </c>
      <c r="R356" s="155" t="n">
        <f aca="false">IF($B356=" ",0,R$25)</f>
        <v>0</v>
      </c>
      <c r="S356" s="156" t="n">
        <f aca="false">IF($B356=" ",0,S$25)</f>
        <v>0</v>
      </c>
      <c r="T356" s="157" t="n">
        <f aca="false">+SUM($Q356,$S356)/1000*(SUM($J356*$J$37,$K356*$K$37,$L356*$L$37,$M356*$M$37,$N356*$N$37,$O356*$O$37))</f>
        <v>0</v>
      </c>
      <c r="U356" s="157" t="n">
        <f aca="false">+SUM($Q356,$R356)/1000*(SUM(0))</f>
        <v>0</v>
      </c>
      <c r="W356" s="158" t="n">
        <f aca="false">IF($B356=" ",0,1)*(IF($B356&gt;=W$25,1,0)*IF($B356&lt;=W$29,W$27,IF($B356&lt;=W$33,W$31,0))*($D356-$D355)*365/1000)</f>
        <v>0</v>
      </c>
      <c r="X356" s="158" t="n">
        <f aca="false">IF($B356=" ",0,IF($B356&gt;=X$25,IF($B356&lt;=X$29,X$27,IF($B356&lt;=X$33,X$31,X$31*(1+X$38)^(IF(X$36&gt;$B356,-1,1)*(YEARFRAC($B356,X$36)))))*($D356-$D355)*365/1000,0))</f>
        <v>0</v>
      </c>
      <c r="Y356" s="159" t="n">
        <f aca="false">IF($B356=" ",0,Y$25*(1+Y$30)^(IF(Y$28&gt;$B356,-1,1)*(YEARFRAC($B356,Y$28))))</f>
        <v>0</v>
      </c>
      <c r="Z356" s="159" t="n">
        <f aca="false">IF($B356=" ",0,Z$25*(1+Z$30)^(IF(Z$28&gt;$B356,-1,1)*(YEARFRAC($B356,Z$28))))</f>
        <v>0</v>
      </c>
      <c r="AA356" s="162" t="n">
        <f aca="false">+W356+X356+Z356*SUM($J356*$J$37,$L356*$L$37,$N356*$N$37)/1000</f>
        <v>0</v>
      </c>
      <c r="AB356" s="161"/>
      <c r="AC356" s="158" t="n">
        <f aca="false">IF($B356=" ",0,1)*(IF($B356&gt;=AC$25,1,0)*IF($B356&lt;=AC$29,AC$27,IF($B356&lt;=AC$33,AC$31,0))*($D356-$D355)*365/1000)</f>
        <v>0</v>
      </c>
      <c r="AD356" s="158" t="n">
        <f aca="false">IF($B356=" ",0,IF($B356&gt;=AD$25,IF($B356&lt;=AD$29,AD$27,IF($B356&lt;=AD$33,AD$31,AD$31*(1+AD$38)^(IF(AD$36&gt;$B356,-1,1)*(YEARFRAC($B356,AD$36)))))*($D356-$D355)*365/1000,0))</f>
        <v>0</v>
      </c>
      <c r="AE356" s="159" t="n">
        <f aca="false">IF($B356=" ",0,AE$25*(1+AE$30)^(IF(AE$28&gt;$B356,-1,1)*(YEARFRAC($B356,AE$28))))</f>
        <v>0</v>
      </c>
      <c r="AF356" s="159" t="n">
        <f aca="false">IF($B356=" ",0,AF$25*(1+AF$30)^(IF(AF$28&gt;$B356,-1,1)*(YEARFRAC($B356,AF$28))))</f>
        <v>0</v>
      </c>
      <c r="AG356" s="162" t="n">
        <f aca="false">+AC356+AD356+AF356*SUM($K356*$K$37,$M356*$M$37,$O356*$O$37)/1000</f>
        <v>0</v>
      </c>
      <c r="AI356" s="158" t="n">
        <f aca="false">IF($B356=" ",0,1)*IF($B356&gt;=AI$33,AI$25*($D356-$D355),0)</f>
        <v>0</v>
      </c>
      <c r="AJ356" s="158" t="n">
        <f aca="false">IF($B356=" ",0,IF($B356&gt;=AJ$33,AJ$25*(1+AJ$30)^(IF(AJ$28&gt;$B356,-1,1)*(YEARFRAC($B356,AJ$28)))*($D356-$D355),0))</f>
        <v>0</v>
      </c>
      <c r="AK356" s="159" t="n">
        <f aca="false">IF($B356=" ",0,AK$25*(1+AK$30)^(IF(AK$28&gt;$B356,-1,1)*(YEARFRAC($B356,AK$28))))</f>
        <v>0</v>
      </c>
      <c r="AL356" s="159" t="n">
        <f aca="false">IF($B356=" ",0,AL$25*AL$28)</f>
        <v>0</v>
      </c>
      <c r="AM356" s="162" t="n">
        <f aca="false">+AI356+AJ356+SUM(AK356:AL356)*SUM($J356*$J$37,$K356*$K$37,$L356*$L$37,$M356*$M$37,$N356*$N$37,$O356*$O$37)/1000</f>
        <v>0</v>
      </c>
      <c r="AO356" s="163" t="n">
        <f aca="false">IF($B356=" ",0,$AO$25)</f>
        <v>0</v>
      </c>
      <c r="AP356" s="159" t="n">
        <f aca="false">IF($B356=" ",0,AP$25*AP$28)</f>
        <v>0</v>
      </c>
      <c r="AQ356" s="162" t="n">
        <f aca="false">SUM(AO356:AP356)*SUM(0)/1000</f>
        <v>0</v>
      </c>
      <c r="AS356" s="155" t="n">
        <f aca="false">IF($B356=" ",0,AS$25)</f>
        <v>0</v>
      </c>
      <c r="AT356" s="156" t="n">
        <f aca="false">IF($B356=" ",0,AT$25)</f>
        <v>0</v>
      </c>
      <c r="AU356" s="156" t="n">
        <f aca="false">IF($B356=" ",0,AU$25)</f>
        <v>0</v>
      </c>
      <c r="AV356" s="157" t="n">
        <f aca="false">+AS356*SUM(J356:K356)/1000</f>
        <v>0</v>
      </c>
      <c r="AW356" s="157" t="n">
        <f aca="false">+AT356*SUM(L356:M356)/1000</f>
        <v>0</v>
      </c>
      <c r="AX356" s="157" t="n">
        <f aca="false">+AU356*SUM(N356:O356)/1000</f>
        <v>0</v>
      </c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</row>
    <row r="357" customFormat="false" ht="12.75" hidden="false" customHeight="false" outlineLevel="0" collapsed="false">
      <c r="A357" s="164" t="n">
        <f aca="false">+IF(B357=" ",A356,B357)</f>
        <v>45931</v>
      </c>
      <c r="B357" s="148" t="str">
        <f aca="false">IF(B356=" "," ",IF(EDATE(B356,1)&gt;=EndDate," ",EDATE(B356,1)))</f>
        <v> </v>
      </c>
      <c r="C357" s="149" t="n">
        <f aca="false">IF($B357&lt;&gt;" ",C356+1,C356)</f>
        <v>300</v>
      </c>
      <c r="D357" s="150" t="n">
        <f aca="false">C357/12</f>
        <v>25</v>
      </c>
      <c r="F357" s="157" t="n">
        <f aca="false">+SUM($T357:$U357)</f>
        <v>0</v>
      </c>
      <c r="G357" s="152" t="n">
        <f aca="false">-SUM($AA357,$AG357,$AM357,$AQ357,$AV357:$AX357)</f>
        <v>-0</v>
      </c>
      <c r="H357" s="152" t="n">
        <f aca="false">+SUM(F357:G357)</f>
        <v>0</v>
      </c>
      <c r="I357" s="124"/>
      <c r="J357" s="153" t="n">
        <f aca="false">+IF($B357=" ",0,IF(AND($B357&gt;=J$26,$B357&lt;J$28),J$33,0))</f>
        <v>0</v>
      </c>
      <c r="K357" s="153" t="n">
        <f aca="false">+IF($B357=" ",0,IF(AND($B357&gt;=K$26,$B357&lt;K$28),K$33,0))</f>
        <v>0</v>
      </c>
      <c r="L357" s="153" t="n">
        <f aca="false">+IF($B357=" ",0,IF(AND($B357&gt;=L$26,$B357&lt;L$28),L$33,0))</f>
        <v>0</v>
      </c>
      <c r="M357" s="153" t="n">
        <f aca="false">+IF($B357=" ",0,IF(AND($B357&gt;=M$26,$B357&lt;M$28),M$33,0))</f>
        <v>0</v>
      </c>
      <c r="N357" s="153" t="n">
        <f aca="false">+IF($B357=" ",0,IF(AND($B357&gt;=N$26,$B357&lt;N$28),N$33,0))</f>
        <v>0</v>
      </c>
      <c r="O357" s="154" t="n">
        <f aca="false">+IF($B357=" ",0,IF(AND($B357&gt;=O$26,$B357&lt;O$28),O$33,0))</f>
        <v>0</v>
      </c>
      <c r="Q357" s="83" t="n">
        <f aca="false">IF($B357=" ",0,IF($B357&lt;=DATE(2003,12,31),3.55,2.9))</f>
        <v>0</v>
      </c>
      <c r="R357" s="155" t="n">
        <f aca="false">IF($B357=" ",0,R$25)</f>
        <v>0</v>
      </c>
      <c r="S357" s="156" t="n">
        <f aca="false">IF($B357=" ",0,S$25)</f>
        <v>0</v>
      </c>
      <c r="T357" s="157" t="n">
        <f aca="false">+SUM($Q357,$S357)/1000*(SUM($J357*$J$37,$K357*$K$37,$L357*$L$37,$M357*$M$37,$N357*$N$37,$O357*$O$37))</f>
        <v>0</v>
      </c>
      <c r="U357" s="157" t="n">
        <f aca="false">+SUM($Q357,$R357)/1000*(SUM(0))</f>
        <v>0</v>
      </c>
      <c r="W357" s="158" t="n">
        <f aca="false">IF($B357=" ",0,1)*(IF($B357&gt;=W$25,1,0)*IF($B357&lt;=W$29,W$27,IF($B357&lt;=W$33,W$31,0))*($D357-$D356)*365/1000)</f>
        <v>0</v>
      </c>
      <c r="X357" s="158" t="n">
        <f aca="false">IF($B357=" ",0,IF($B357&gt;=X$25,IF($B357&lt;=X$29,X$27,IF($B357&lt;=X$33,X$31,X$31*(1+X$38)^(IF(X$36&gt;$B357,-1,1)*(YEARFRAC($B357,X$36)))))*($D357-$D356)*365/1000,0))</f>
        <v>0</v>
      </c>
      <c r="Y357" s="159" t="n">
        <f aca="false">IF($B357=" ",0,Y$25*(1+Y$30)^(IF(Y$28&gt;$B357,-1,1)*(YEARFRAC($B357,Y$28))))</f>
        <v>0</v>
      </c>
      <c r="Z357" s="159" t="n">
        <f aca="false">IF($B357=" ",0,Z$25*(1+Z$30)^(IF(Z$28&gt;$B357,-1,1)*(YEARFRAC($B357,Z$28))))</f>
        <v>0</v>
      </c>
      <c r="AA357" s="162" t="n">
        <f aca="false">+W357+X357+Z357*SUM($J357*$J$37,$L357*$L$37,$N357*$N$37)/1000</f>
        <v>0</v>
      </c>
      <c r="AB357" s="161"/>
      <c r="AC357" s="158" t="n">
        <f aca="false">IF($B357=" ",0,1)*(IF($B357&gt;=AC$25,1,0)*IF($B357&lt;=AC$29,AC$27,IF($B357&lt;=AC$33,AC$31,0))*($D357-$D356)*365/1000)</f>
        <v>0</v>
      </c>
      <c r="AD357" s="158" t="n">
        <f aca="false">IF($B357=" ",0,IF($B357&gt;=AD$25,IF($B357&lt;=AD$29,AD$27,IF($B357&lt;=AD$33,AD$31,AD$31*(1+AD$38)^(IF(AD$36&gt;$B357,-1,1)*(YEARFRAC($B357,AD$36)))))*($D357-$D356)*365/1000,0))</f>
        <v>0</v>
      </c>
      <c r="AE357" s="159" t="n">
        <f aca="false">IF($B357=" ",0,AE$25*(1+AE$30)^(IF(AE$28&gt;$B357,-1,1)*(YEARFRAC($B357,AE$28))))</f>
        <v>0</v>
      </c>
      <c r="AF357" s="159" t="n">
        <f aca="false">IF($B357=" ",0,AF$25*(1+AF$30)^(IF(AF$28&gt;$B357,-1,1)*(YEARFRAC($B357,AF$28))))</f>
        <v>0</v>
      </c>
      <c r="AG357" s="162" t="n">
        <f aca="false">+AC357+AD357+AF357*SUM($K357*$K$37,$M357*$M$37,$O357*$O$37)/1000</f>
        <v>0</v>
      </c>
      <c r="AI357" s="158" t="n">
        <f aca="false">IF($B357=" ",0,1)*IF($B357&gt;=AI$33,AI$25*($D357-$D356),0)</f>
        <v>0</v>
      </c>
      <c r="AJ357" s="158" t="n">
        <f aca="false">IF($B357=" ",0,IF($B357&gt;=AJ$33,AJ$25*(1+AJ$30)^(IF(AJ$28&gt;$B357,-1,1)*(YEARFRAC($B357,AJ$28)))*($D357-$D356),0))</f>
        <v>0</v>
      </c>
      <c r="AK357" s="159" t="n">
        <f aca="false">IF($B357=" ",0,AK$25*(1+AK$30)^(IF(AK$28&gt;$B357,-1,1)*(YEARFRAC($B357,AK$28))))</f>
        <v>0</v>
      </c>
      <c r="AL357" s="159" t="n">
        <f aca="false">IF($B357=" ",0,AL$25*AL$28)</f>
        <v>0</v>
      </c>
      <c r="AM357" s="162" t="n">
        <f aca="false">+AI357+AJ357+SUM(AK357:AL357)*SUM($J357*$J$37,$K357*$K$37,$L357*$L$37,$M357*$M$37,$N357*$N$37,$O357*$O$37)/1000</f>
        <v>0</v>
      </c>
      <c r="AO357" s="163" t="n">
        <f aca="false">IF($B357=" ",0,$AO$25)</f>
        <v>0</v>
      </c>
      <c r="AP357" s="159" t="n">
        <f aca="false">IF($B357=" ",0,AP$25*AP$28)</f>
        <v>0</v>
      </c>
      <c r="AQ357" s="162" t="n">
        <f aca="false">SUM(AO357:AP357)*SUM(0)/1000</f>
        <v>0</v>
      </c>
      <c r="AS357" s="155" t="n">
        <f aca="false">IF($B357=" ",0,AS$25)</f>
        <v>0</v>
      </c>
      <c r="AT357" s="156" t="n">
        <f aca="false">IF($B357=" ",0,AT$25)</f>
        <v>0</v>
      </c>
      <c r="AU357" s="156" t="n">
        <f aca="false">IF($B357=" ",0,AU$25)</f>
        <v>0</v>
      </c>
      <c r="AV357" s="157" t="n">
        <f aca="false">+AS357*SUM(J357:K357)/1000</f>
        <v>0</v>
      </c>
      <c r="AW357" s="157" t="n">
        <f aca="false">+AT357*SUM(L357:M357)/1000</f>
        <v>0</v>
      </c>
      <c r="AX357" s="157" t="n">
        <f aca="false">+AU357*SUM(N357:O357)/1000</f>
        <v>0</v>
      </c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</row>
    <row r="358" customFormat="false" ht="12.75" hidden="false" customHeight="false" outlineLevel="0" collapsed="false">
      <c r="A358" s="164" t="n">
        <f aca="false">+IF(B358=" ",A357,B358)</f>
        <v>45931</v>
      </c>
      <c r="B358" s="148" t="str">
        <f aca="false">IF(B357=" "," ",IF(EDATE(B357,1)&gt;=EndDate," ",EDATE(B357,1)))</f>
        <v> </v>
      </c>
      <c r="C358" s="149" t="n">
        <f aca="false">IF($B358&lt;&gt;" ",C357+1,C357)</f>
        <v>300</v>
      </c>
      <c r="D358" s="150" t="n">
        <f aca="false">C358/12</f>
        <v>25</v>
      </c>
      <c r="F358" s="157" t="n">
        <f aca="false">+SUM($T358:$U358)</f>
        <v>0</v>
      </c>
      <c r="G358" s="152" t="n">
        <f aca="false">-SUM($AA358,$AG358,$AM358,$AQ358,$AV358:$AX358)</f>
        <v>-0</v>
      </c>
      <c r="H358" s="152" t="n">
        <f aca="false">+SUM(F358:G358)</f>
        <v>0</v>
      </c>
      <c r="I358" s="124"/>
      <c r="J358" s="153" t="n">
        <f aca="false">+IF($B358=" ",0,IF(AND($B358&gt;=J$26,$B358&lt;J$28),J$33,0))</f>
        <v>0</v>
      </c>
      <c r="K358" s="153" t="n">
        <f aca="false">+IF($B358=" ",0,IF(AND($B358&gt;=K$26,$B358&lt;K$28),K$33,0))</f>
        <v>0</v>
      </c>
      <c r="L358" s="153" t="n">
        <f aca="false">+IF($B358=" ",0,IF(AND($B358&gt;=L$26,$B358&lt;L$28),L$33,0))</f>
        <v>0</v>
      </c>
      <c r="M358" s="153" t="n">
        <f aca="false">+IF($B358=" ",0,IF(AND($B358&gt;=M$26,$B358&lt;M$28),M$33,0))</f>
        <v>0</v>
      </c>
      <c r="N358" s="153" t="n">
        <f aca="false">+IF($B358=" ",0,IF(AND($B358&gt;=N$26,$B358&lt;N$28),N$33,0))</f>
        <v>0</v>
      </c>
      <c r="O358" s="154" t="n">
        <f aca="false">+IF($B358=" ",0,IF(AND($B358&gt;=O$26,$B358&lt;O$28),O$33,0))</f>
        <v>0</v>
      </c>
      <c r="Q358" s="83" t="n">
        <f aca="false">IF($B358=" ",0,IF($B358&lt;=DATE(2003,12,31),3.55,2.9))</f>
        <v>0</v>
      </c>
      <c r="R358" s="155" t="n">
        <f aca="false">IF($B358=" ",0,R$25)</f>
        <v>0</v>
      </c>
      <c r="S358" s="156" t="n">
        <f aca="false">IF($B358=" ",0,S$25)</f>
        <v>0</v>
      </c>
      <c r="T358" s="157" t="n">
        <f aca="false">+SUM($Q358,$S358)/1000*(SUM($J358*$J$37,$K358*$K$37,$L358*$L$37,$M358*$M$37,$N358*$N$37,$O358*$O$37))</f>
        <v>0</v>
      </c>
      <c r="U358" s="157" t="n">
        <f aca="false">+SUM($Q358,$R358)/1000*(SUM(0))</f>
        <v>0</v>
      </c>
      <c r="W358" s="158" t="n">
        <f aca="false">IF($B358=" ",0,1)*(IF($B358&gt;=W$25,1,0)*IF($B358&lt;=W$29,W$27,IF($B358&lt;=W$33,W$31,0))*($D358-$D357)*365/1000)</f>
        <v>0</v>
      </c>
      <c r="X358" s="158" t="n">
        <f aca="false">IF($B358=" ",0,IF($B358&gt;=X$25,IF($B358&lt;=X$29,X$27,IF($B358&lt;=X$33,X$31,X$31*(1+X$38)^(IF(X$36&gt;$B358,-1,1)*(YEARFRAC($B358,X$36)))))*($D358-$D357)*365/1000,0))</f>
        <v>0</v>
      </c>
      <c r="Y358" s="159" t="n">
        <f aca="false">IF($B358=" ",0,Y$25*(1+Y$30)^(IF(Y$28&gt;$B358,-1,1)*(YEARFRAC($B358,Y$28))))</f>
        <v>0</v>
      </c>
      <c r="Z358" s="159" t="n">
        <f aca="false">IF($B358=" ",0,Z$25*(1+Z$30)^(IF(Z$28&gt;$B358,-1,1)*(YEARFRAC($B358,Z$28))))</f>
        <v>0</v>
      </c>
      <c r="AA358" s="162" t="n">
        <f aca="false">+W358+X358+Z358*SUM($J358*$J$37,$L358*$L$37,$N358*$N$37)/1000</f>
        <v>0</v>
      </c>
      <c r="AB358" s="161"/>
      <c r="AC358" s="158" t="n">
        <f aca="false">IF($B358=" ",0,1)*(IF($B358&gt;=AC$25,1,0)*IF($B358&lt;=AC$29,AC$27,IF($B358&lt;=AC$33,AC$31,0))*($D358-$D357)*365/1000)</f>
        <v>0</v>
      </c>
      <c r="AD358" s="158" t="n">
        <f aca="false">IF($B358=" ",0,IF($B358&gt;=AD$25,IF($B358&lt;=AD$29,AD$27,IF($B358&lt;=AD$33,AD$31,AD$31*(1+AD$38)^(IF(AD$36&gt;$B358,-1,1)*(YEARFRAC($B358,AD$36)))))*($D358-$D357)*365/1000,0))</f>
        <v>0</v>
      </c>
      <c r="AE358" s="159" t="n">
        <f aca="false">IF($B358=" ",0,AE$25*(1+AE$30)^(IF(AE$28&gt;$B358,-1,1)*(YEARFRAC($B358,AE$28))))</f>
        <v>0</v>
      </c>
      <c r="AF358" s="159" t="n">
        <f aca="false">IF($B358=" ",0,AF$25*(1+AF$30)^(IF(AF$28&gt;$B358,-1,1)*(YEARFRAC($B358,AF$28))))</f>
        <v>0</v>
      </c>
      <c r="AG358" s="162" t="n">
        <f aca="false">+AC358+AD358+AF358*SUM($K358*$K$37,$M358*$M$37,$O358*$O$37)/1000</f>
        <v>0</v>
      </c>
      <c r="AI358" s="158" t="n">
        <f aca="false">IF($B358=" ",0,1)*IF($B358&gt;=AI$33,AI$25*($D358-$D357),0)</f>
        <v>0</v>
      </c>
      <c r="AJ358" s="158" t="n">
        <f aca="false">IF($B358=" ",0,IF($B358&gt;=AJ$33,AJ$25*(1+AJ$30)^(IF(AJ$28&gt;$B358,-1,1)*(YEARFRAC($B358,AJ$28)))*($D358-$D357),0))</f>
        <v>0</v>
      </c>
      <c r="AK358" s="159" t="n">
        <f aca="false">IF($B358=" ",0,AK$25*(1+AK$30)^(IF(AK$28&gt;$B358,-1,1)*(YEARFRAC($B358,AK$28))))</f>
        <v>0</v>
      </c>
      <c r="AL358" s="159" t="n">
        <f aca="false">IF($B358=" ",0,AL$25*AL$28)</f>
        <v>0</v>
      </c>
      <c r="AM358" s="162" t="n">
        <f aca="false">+AI358+AJ358+SUM(AK358:AL358)*SUM($J358*$J$37,$K358*$K$37,$L358*$L$37,$M358*$M$37,$N358*$N$37,$O358*$O$37)/1000</f>
        <v>0</v>
      </c>
      <c r="AO358" s="163" t="n">
        <f aca="false">IF($B358=" ",0,$AO$25)</f>
        <v>0</v>
      </c>
      <c r="AP358" s="159" t="n">
        <f aca="false">IF($B358=" ",0,AP$25*AP$28)</f>
        <v>0</v>
      </c>
      <c r="AQ358" s="162" t="n">
        <f aca="false">SUM(AO358:AP358)*SUM(0)/1000</f>
        <v>0</v>
      </c>
      <c r="AS358" s="155" t="n">
        <f aca="false">IF($B358=" ",0,AS$25)</f>
        <v>0</v>
      </c>
      <c r="AT358" s="156" t="n">
        <f aca="false">IF($B358=" ",0,AT$25)</f>
        <v>0</v>
      </c>
      <c r="AU358" s="156" t="n">
        <f aca="false">IF($B358=" ",0,AU$25)</f>
        <v>0</v>
      </c>
      <c r="AV358" s="157" t="n">
        <f aca="false">+AS358*SUM(J358:K358)/1000</f>
        <v>0</v>
      </c>
      <c r="AW358" s="157" t="n">
        <f aca="false">+AT358*SUM(L358:M358)/1000</f>
        <v>0</v>
      </c>
      <c r="AX358" s="157" t="n">
        <f aca="false">+AU358*SUM(N358:O358)/1000</f>
        <v>0</v>
      </c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</row>
    <row r="359" customFormat="false" ht="12.75" hidden="false" customHeight="false" outlineLevel="0" collapsed="false">
      <c r="A359" s="164" t="n">
        <f aca="false">+IF(B359=" ",A358,B359)</f>
        <v>45931</v>
      </c>
      <c r="B359" s="148" t="str">
        <f aca="false">IF(B358=" "," ",IF(EDATE(B358,1)&gt;=EndDate," ",EDATE(B358,1)))</f>
        <v> </v>
      </c>
      <c r="C359" s="149" t="n">
        <f aca="false">IF($B359&lt;&gt;" ",C358+1,C358)</f>
        <v>300</v>
      </c>
      <c r="D359" s="150" t="n">
        <f aca="false">C359/12</f>
        <v>25</v>
      </c>
      <c r="F359" s="157" t="n">
        <f aca="false">+SUM($T359:$U359)</f>
        <v>0</v>
      </c>
      <c r="G359" s="152" t="n">
        <f aca="false">-SUM($AA359,$AG359,$AM359,$AQ359,$AV359:$AX359)</f>
        <v>-0</v>
      </c>
      <c r="H359" s="152" t="n">
        <f aca="false">+SUM(F359:G359)</f>
        <v>0</v>
      </c>
      <c r="I359" s="124"/>
      <c r="J359" s="153" t="n">
        <f aca="false">+IF($B359=" ",0,IF(AND($B359&gt;=J$26,$B359&lt;J$28),J$33,0))</f>
        <v>0</v>
      </c>
      <c r="K359" s="153" t="n">
        <f aca="false">+IF($B359=" ",0,IF(AND($B359&gt;=K$26,$B359&lt;K$28),K$33,0))</f>
        <v>0</v>
      </c>
      <c r="L359" s="153" t="n">
        <f aca="false">+IF($B359=" ",0,IF(AND($B359&gt;=L$26,$B359&lt;L$28),L$33,0))</f>
        <v>0</v>
      </c>
      <c r="M359" s="153" t="n">
        <f aca="false">+IF($B359=" ",0,IF(AND($B359&gt;=M$26,$B359&lt;M$28),M$33,0))</f>
        <v>0</v>
      </c>
      <c r="N359" s="153" t="n">
        <f aca="false">+IF($B359=" ",0,IF(AND($B359&gt;=N$26,$B359&lt;N$28),N$33,0))</f>
        <v>0</v>
      </c>
      <c r="O359" s="154" t="n">
        <f aca="false">+IF($B359=" ",0,IF(AND($B359&gt;=O$26,$B359&lt;O$28),O$33,0))</f>
        <v>0</v>
      </c>
      <c r="Q359" s="83" t="n">
        <f aca="false">IF($B359=" ",0,IF($B359&lt;=DATE(2003,12,31),3.55,2.9))</f>
        <v>0</v>
      </c>
      <c r="R359" s="155" t="n">
        <f aca="false">IF($B359=" ",0,R$25)</f>
        <v>0</v>
      </c>
      <c r="S359" s="156" t="n">
        <f aca="false">IF($B359=" ",0,S$25)</f>
        <v>0</v>
      </c>
      <c r="T359" s="157" t="n">
        <f aca="false">+SUM($Q359,$S359)/1000*(SUM($J359*$J$37,$K359*$K$37,$L359*$L$37,$M359*$M$37,$N359*$N$37,$O359*$O$37))</f>
        <v>0</v>
      </c>
      <c r="U359" s="157" t="n">
        <f aca="false">+SUM($Q359,$R359)/1000*(SUM(0))</f>
        <v>0</v>
      </c>
      <c r="W359" s="158" t="n">
        <f aca="false">IF($B359=" ",0,1)*(IF($B359&gt;=W$25,1,0)*IF($B359&lt;=W$29,W$27,IF($B359&lt;=W$33,W$31,0))*($D359-$D358)*365/1000)</f>
        <v>0</v>
      </c>
      <c r="X359" s="158" t="n">
        <f aca="false">IF($B359=" ",0,IF($B359&gt;=X$25,IF($B359&lt;=X$29,X$27,IF($B359&lt;=X$33,X$31,X$31*(1+X$38)^(IF(X$36&gt;$B359,-1,1)*(YEARFRAC($B359,X$36)))))*($D359-$D358)*365/1000,0))</f>
        <v>0</v>
      </c>
      <c r="Y359" s="159" t="n">
        <f aca="false">IF($B359=" ",0,Y$25*(1+Y$30)^(IF(Y$28&gt;$B359,-1,1)*(YEARFRAC($B359,Y$28))))</f>
        <v>0</v>
      </c>
      <c r="Z359" s="159" t="n">
        <f aca="false">IF($B359=" ",0,Z$25*(1+Z$30)^(IF(Z$28&gt;$B359,-1,1)*(YEARFRAC($B359,Z$28))))</f>
        <v>0</v>
      </c>
      <c r="AA359" s="162" t="n">
        <f aca="false">+W359+X359+Z359*SUM($J359*$J$37,$L359*$L$37,$N359*$N$37)/1000</f>
        <v>0</v>
      </c>
      <c r="AB359" s="161"/>
      <c r="AC359" s="158" t="n">
        <f aca="false">IF($B359=" ",0,1)*(IF($B359&gt;=AC$25,1,0)*IF($B359&lt;=AC$29,AC$27,IF($B359&lt;=AC$33,AC$31,0))*($D359-$D358)*365/1000)</f>
        <v>0</v>
      </c>
      <c r="AD359" s="158" t="n">
        <f aca="false">IF($B359=" ",0,IF($B359&gt;=AD$25,IF($B359&lt;=AD$29,AD$27,IF($B359&lt;=AD$33,AD$31,AD$31*(1+AD$38)^(IF(AD$36&gt;$B359,-1,1)*(YEARFRAC($B359,AD$36)))))*($D359-$D358)*365/1000,0))</f>
        <v>0</v>
      </c>
      <c r="AE359" s="159" t="n">
        <f aca="false">IF($B359=" ",0,AE$25*(1+AE$30)^(IF(AE$28&gt;$B359,-1,1)*(YEARFRAC($B359,AE$28))))</f>
        <v>0</v>
      </c>
      <c r="AF359" s="159" t="n">
        <f aca="false">IF($B359=" ",0,AF$25*(1+AF$30)^(IF(AF$28&gt;$B359,-1,1)*(YEARFRAC($B359,AF$28))))</f>
        <v>0</v>
      </c>
      <c r="AG359" s="162" t="n">
        <f aca="false">+AC359+AD359+AF359*SUM($K359*$K$37,$M359*$M$37,$O359*$O$37)/1000</f>
        <v>0</v>
      </c>
      <c r="AI359" s="158" t="n">
        <f aca="false">IF($B359=" ",0,1)*IF($B359&gt;=AI$33,AI$25*($D359-$D358),0)</f>
        <v>0</v>
      </c>
      <c r="AJ359" s="158" t="n">
        <f aca="false">IF($B359=" ",0,IF($B359&gt;=AJ$33,AJ$25*(1+AJ$30)^(IF(AJ$28&gt;$B359,-1,1)*(YEARFRAC($B359,AJ$28)))*($D359-$D358),0))</f>
        <v>0</v>
      </c>
      <c r="AK359" s="159" t="n">
        <f aca="false">IF($B359=" ",0,AK$25*(1+AK$30)^(IF(AK$28&gt;$B359,-1,1)*(YEARFRAC($B359,AK$28))))</f>
        <v>0</v>
      </c>
      <c r="AL359" s="159" t="n">
        <f aca="false">IF($B359=" ",0,AL$25*AL$28)</f>
        <v>0</v>
      </c>
      <c r="AM359" s="162" t="n">
        <f aca="false">+AI359+AJ359+SUM(AK359:AL359)*SUM($J359*$J$37,$K359*$K$37,$L359*$L$37,$M359*$M$37,$N359*$N$37,$O359*$O$37)/1000</f>
        <v>0</v>
      </c>
      <c r="AO359" s="163" t="n">
        <f aca="false">IF($B359=" ",0,$AO$25)</f>
        <v>0</v>
      </c>
      <c r="AP359" s="159" t="n">
        <f aca="false">IF($B359=" ",0,AP$25*AP$28)</f>
        <v>0</v>
      </c>
      <c r="AQ359" s="162" t="n">
        <f aca="false">SUM(AO359:AP359)*SUM(0)/1000</f>
        <v>0</v>
      </c>
      <c r="AS359" s="155" t="n">
        <f aca="false">IF($B359=" ",0,AS$25)</f>
        <v>0</v>
      </c>
      <c r="AT359" s="156" t="n">
        <f aca="false">IF($B359=" ",0,AT$25)</f>
        <v>0</v>
      </c>
      <c r="AU359" s="156" t="n">
        <f aca="false">IF($B359=" ",0,AU$25)</f>
        <v>0</v>
      </c>
      <c r="AV359" s="157" t="n">
        <f aca="false">+AS359*SUM(J359:K359)/1000</f>
        <v>0</v>
      </c>
      <c r="AW359" s="157" t="n">
        <f aca="false">+AT359*SUM(L359:M359)/1000</f>
        <v>0</v>
      </c>
      <c r="AX359" s="157" t="n">
        <f aca="false">+AU359*SUM(N359:O359)/1000</f>
        <v>0</v>
      </c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</row>
    <row r="360" customFormat="false" ht="12.75" hidden="false" customHeight="false" outlineLevel="0" collapsed="false">
      <c r="A360" s="164" t="n">
        <f aca="false">+IF(B360=" ",A359,B360)</f>
        <v>45931</v>
      </c>
      <c r="B360" s="148" t="str">
        <f aca="false">IF(B359=" "," ",IF(EDATE(B359,1)&gt;=EndDate," ",EDATE(B359,1)))</f>
        <v> </v>
      </c>
      <c r="C360" s="149" t="n">
        <f aca="false">IF($B360&lt;&gt;" ",C359+1,C359)</f>
        <v>300</v>
      </c>
      <c r="D360" s="150" t="n">
        <f aca="false">C360/12</f>
        <v>25</v>
      </c>
      <c r="F360" s="157" t="n">
        <f aca="false">+SUM($T360:$U360)</f>
        <v>0</v>
      </c>
      <c r="G360" s="152" t="n">
        <f aca="false">-SUM($AA360,$AG360,$AM360,$AQ360,$AV360:$AX360)</f>
        <v>-0</v>
      </c>
      <c r="H360" s="152" t="n">
        <f aca="false">+SUM(F360:G360)</f>
        <v>0</v>
      </c>
      <c r="I360" s="124"/>
      <c r="J360" s="153" t="n">
        <f aca="false">+IF($B360=" ",0,IF(AND($B360&gt;=J$26,$B360&lt;J$28),J$33,0))</f>
        <v>0</v>
      </c>
      <c r="K360" s="153" t="n">
        <f aca="false">+IF($B360=" ",0,IF(AND($B360&gt;=K$26,$B360&lt;K$28),K$33,0))</f>
        <v>0</v>
      </c>
      <c r="L360" s="153" t="n">
        <f aca="false">+IF($B360=" ",0,IF(AND($B360&gt;=L$26,$B360&lt;L$28),L$33,0))</f>
        <v>0</v>
      </c>
      <c r="M360" s="153" t="n">
        <f aca="false">+IF($B360=" ",0,IF(AND($B360&gt;=M$26,$B360&lt;M$28),M$33,0))</f>
        <v>0</v>
      </c>
      <c r="N360" s="153" t="n">
        <f aca="false">+IF($B360=" ",0,IF(AND($B360&gt;=N$26,$B360&lt;N$28),N$33,0))</f>
        <v>0</v>
      </c>
      <c r="O360" s="154" t="n">
        <f aca="false">+IF($B360=" ",0,IF(AND($B360&gt;=O$26,$B360&lt;O$28),O$33,0))</f>
        <v>0</v>
      </c>
      <c r="Q360" s="83" t="n">
        <f aca="false">IF($B360=" ",0,IF($B360&lt;=DATE(2003,12,31),3.55,2.9))</f>
        <v>0</v>
      </c>
      <c r="R360" s="155" t="n">
        <f aca="false">IF($B360=" ",0,R$25)</f>
        <v>0</v>
      </c>
      <c r="S360" s="156" t="n">
        <f aca="false">IF($B360=" ",0,S$25)</f>
        <v>0</v>
      </c>
      <c r="T360" s="157" t="n">
        <f aca="false">+SUM($Q360,$S360)/1000*(SUM($J360*$J$37,$K360*$K$37,$L360*$L$37,$M360*$M$37,$N360*$N$37,$O360*$O$37))</f>
        <v>0</v>
      </c>
      <c r="U360" s="157" t="n">
        <f aca="false">+SUM($Q360,$R360)/1000*(SUM(0))</f>
        <v>0</v>
      </c>
      <c r="W360" s="158" t="n">
        <f aca="false">IF($B360=" ",0,1)*(IF($B360&gt;=W$25,1,0)*IF($B360&lt;=W$29,W$27,IF($B360&lt;=W$33,W$31,0))*($D360-$D359)*365/1000)</f>
        <v>0</v>
      </c>
      <c r="X360" s="158" t="n">
        <f aca="false">IF($B360=" ",0,IF($B360&gt;=X$25,IF($B360&lt;=X$29,X$27,IF($B360&lt;=X$33,X$31,X$31*(1+X$38)^(IF(X$36&gt;$B360,-1,1)*(YEARFRAC($B360,X$36)))))*($D360-$D359)*365/1000,0))</f>
        <v>0</v>
      </c>
      <c r="Y360" s="159" t="n">
        <f aca="false">IF($B360=" ",0,Y$25*(1+Y$30)^(IF(Y$28&gt;$B360,-1,1)*(YEARFRAC($B360,Y$28))))</f>
        <v>0</v>
      </c>
      <c r="Z360" s="159" t="n">
        <f aca="false">IF($B360=" ",0,Z$25*(1+Z$30)^(IF(Z$28&gt;$B360,-1,1)*(YEARFRAC($B360,Z$28))))</f>
        <v>0</v>
      </c>
      <c r="AA360" s="162" t="n">
        <f aca="false">+W360+X360+Z360*SUM($J360*$J$37,$L360*$L$37,$N360*$N$37)/1000</f>
        <v>0</v>
      </c>
      <c r="AB360" s="161"/>
      <c r="AC360" s="158" t="n">
        <f aca="false">IF($B360=" ",0,1)*(IF($B360&gt;=AC$25,1,0)*IF($B360&lt;=AC$29,AC$27,IF($B360&lt;=AC$33,AC$31,0))*($D360-$D359)*365/1000)</f>
        <v>0</v>
      </c>
      <c r="AD360" s="158" t="n">
        <f aca="false">IF($B360=" ",0,IF($B360&gt;=AD$25,IF($B360&lt;=AD$29,AD$27,IF($B360&lt;=AD$33,AD$31,AD$31*(1+AD$38)^(IF(AD$36&gt;$B360,-1,1)*(YEARFRAC($B360,AD$36)))))*($D360-$D359)*365/1000,0))</f>
        <v>0</v>
      </c>
      <c r="AE360" s="159" t="n">
        <f aca="false">IF($B360=" ",0,AE$25*(1+AE$30)^(IF(AE$28&gt;$B360,-1,1)*(YEARFRAC($B360,AE$28))))</f>
        <v>0</v>
      </c>
      <c r="AF360" s="159" t="n">
        <f aca="false">IF($B360=" ",0,AF$25*(1+AF$30)^(IF(AF$28&gt;$B360,-1,1)*(YEARFRAC($B360,AF$28))))</f>
        <v>0</v>
      </c>
      <c r="AG360" s="162" t="n">
        <f aca="false">+AC360+AD360+AF360*SUM($K360*$K$37,$M360*$M$37,$O360*$O$37)/1000</f>
        <v>0</v>
      </c>
      <c r="AI360" s="158" t="n">
        <f aca="false">IF($B360=" ",0,1)*IF($B360&gt;=AI$33,AI$25*($D360-$D359),0)</f>
        <v>0</v>
      </c>
      <c r="AJ360" s="158" t="n">
        <f aca="false">IF($B360=" ",0,IF($B360&gt;=AJ$33,AJ$25*(1+AJ$30)^(IF(AJ$28&gt;$B360,-1,1)*(YEARFRAC($B360,AJ$28)))*($D360-$D359),0))</f>
        <v>0</v>
      </c>
      <c r="AK360" s="159" t="n">
        <f aca="false">IF($B360=" ",0,AK$25*(1+AK$30)^(IF(AK$28&gt;$B360,-1,1)*(YEARFRAC($B360,AK$28))))</f>
        <v>0</v>
      </c>
      <c r="AL360" s="159" t="n">
        <f aca="false">IF($B360=" ",0,AL$25*AL$28)</f>
        <v>0</v>
      </c>
      <c r="AM360" s="162" t="n">
        <f aca="false">+AI360+AJ360+SUM(AK360:AL360)*SUM($J360*$J$37,$K360*$K$37,$L360*$L$37,$M360*$M$37,$N360*$N$37,$O360*$O$37)/1000</f>
        <v>0</v>
      </c>
      <c r="AO360" s="163" t="n">
        <f aca="false">IF($B360=" ",0,$AO$25)</f>
        <v>0</v>
      </c>
      <c r="AP360" s="159" t="n">
        <f aca="false">IF($B360=" ",0,AP$25*AP$28)</f>
        <v>0</v>
      </c>
      <c r="AQ360" s="162" t="n">
        <f aca="false">SUM(AO360:AP360)*SUM(0)/1000</f>
        <v>0</v>
      </c>
      <c r="AS360" s="155" t="n">
        <f aca="false">IF($B360=" ",0,AS$25)</f>
        <v>0</v>
      </c>
      <c r="AT360" s="156" t="n">
        <f aca="false">IF($B360=" ",0,AT$25)</f>
        <v>0</v>
      </c>
      <c r="AU360" s="156" t="n">
        <f aca="false">IF($B360=" ",0,AU$25)</f>
        <v>0</v>
      </c>
      <c r="AV360" s="157" t="n">
        <f aca="false">+AS360*SUM(J360:K360)/1000</f>
        <v>0</v>
      </c>
      <c r="AW360" s="157" t="n">
        <f aca="false">+AT360*SUM(L360:M360)/1000</f>
        <v>0</v>
      </c>
      <c r="AX360" s="157" t="n">
        <f aca="false">+AU360*SUM(N360:O360)/1000</f>
        <v>0</v>
      </c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</row>
    <row r="361" customFormat="false" ht="12.75" hidden="false" customHeight="false" outlineLevel="0" collapsed="false">
      <c r="A361" s="164" t="n">
        <f aca="false">+IF(B361=" ",A360,B361)</f>
        <v>45931</v>
      </c>
      <c r="B361" s="148" t="str">
        <f aca="false">IF(B360=" "," ",IF(EDATE(B360,1)&gt;=EndDate," ",EDATE(B360,1)))</f>
        <v> </v>
      </c>
      <c r="C361" s="149" t="n">
        <f aca="false">IF($B361&lt;&gt;" ",C360+1,C360)</f>
        <v>300</v>
      </c>
      <c r="D361" s="150" t="n">
        <f aca="false">C361/12</f>
        <v>25</v>
      </c>
      <c r="F361" s="157" t="n">
        <f aca="false">+SUM($T361:$U361)</f>
        <v>0</v>
      </c>
      <c r="G361" s="152" t="n">
        <f aca="false">-SUM($AA361,$AG361,$AM361,$AQ361,$AV361:$AX361)</f>
        <v>-0</v>
      </c>
      <c r="H361" s="152" t="n">
        <f aca="false">+SUM(F361:G361)</f>
        <v>0</v>
      </c>
      <c r="I361" s="124"/>
      <c r="J361" s="153" t="n">
        <f aca="false">+IF($B361=" ",0,IF(AND($B361&gt;=J$26,$B361&lt;J$28),J$33,0))</f>
        <v>0</v>
      </c>
      <c r="K361" s="153" t="n">
        <f aca="false">+IF($B361=" ",0,IF(AND($B361&gt;=K$26,$B361&lt;K$28),K$33,0))</f>
        <v>0</v>
      </c>
      <c r="L361" s="153" t="n">
        <f aca="false">+IF($B361=" ",0,IF(AND($B361&gt;=L$26,$B361&lt;L$28),L$33,0))</f>
        <v>0</v>
      </c>
      <c r="M361" s="153" t="n">
        <f aca="false">+IF($B361=" ",0,IF(AND($B361&gt;=M$26,$B361&lt;M$28),M$33,0))</f>
        <v>0</v>
      </c>
      <c r="N361" s="153" t="n">
        <f aca="false">+IF($B361=" ",0,IF(AND($B361&gt;=N$26,$B361&lt;N$28),N$33,0))</f>
        <v>0</v>
      </c>
      <c r="O361" s="154" t="n">
        <f aca="false">+IF($B361=" ",0,IF(AND($B361&gt;=O$26,$B361&lt;O$28),O$33,0))</f>
        <v>0</v>
      </c>
      <c r="Q361" s="83" t="n">
        <f aca="false">IF($B361=" ",0,IF($B361&lt;=DATE(2003,12,31),3.55,2.9))</f>
        <v>0</v>
      </c>
      <c r="R361" s="155" t="n">
        <f aca="false">IF($B361=" ",0,R$25)</f>
        <v>0</v>
      </c>
      <c r="S361" s="156" t="n">
        <f aca="false">IF($B361=" ",0,S$25)</f>
        <v>0</v>
      </c>
      <c r="T361" s="157" t="n">
        <f aca="false">+SUM($Q361,$S361)/1000*(SUM($J361*$J$37,$K361*$K$37,$L361*$L$37,$M361*$M$37,$N361*$N$37,$O361*$O$37))</f>
        <v>0</v>
      </c>
      <c r="U361" s="157" t="n">
        <f aca="false">+SUM($Q361,$R361)/1000*(SUM(0))</f>
        <v>0</v>
      </c>
      <c r="W361" s="158" t="n">
        <f aca="false">IF($B361=" ",0,1)*(IF($B361&gt;=W$25,1,0)*IF($B361&lt;=W$29,W$27,IF($B361&lt;=W$33,W$31,0))*($D361-$D360)*365/1000)</f>
        <v>0</v>
      </c>
      <c r="X361" s="158" t="n">
        <f aca="false">IF($B361=" ",0,IF($B361&gt;=X$25,IF($B361&lt;=X$29,X$27,IF($B361&lt;=X$33,X$31,X$31*(1+X$38)^(IF(X$36&gt;$B361,-1,1)*(YEARFRAC($B361,X$36)))))*($D361-$D360)*365/1000,0))</f>
        <v>0</v>
      </c>
      <c r="Y361" s="159" t="n">
        <f aca="false">IF($B361=" ",0,Y$25*(1+Y$30)^(IF(Y$28&gt;$B361,-1,1)*(YEARFRAC($B361,Y$28))))</f>
        <v>0</v>
      </c>
      <c r="Z361" s="159" t="n">
        <f aca="false">IF($B361=" ",0,Z$25*(1+Z$30)^(IF(Z$28&gt;$B361,-1,1)*(YEARFRAC($B361,Z$28))))</f>
        <v>0</v>
      </c>
      <c r="AA361" s="162" t="n">
        <f aca="false">+W361+X361+Z361*SUM($J361*$J$37,$L361*$L$37,$N361*$N$37)/1000</f>
        <v>0</v>
      </c>
      <c r="AB361" s="161"/>
      <c r="AC361" s="158" t="n">
        <f aca="false">IF($B361=" ",0,1)*(IF($B361&gt;=AC$25,1,0)*IF($B361&lt;=AC$29,AC$27,IF($B361&lt;=AC$33,AC$31,0))*($D361-$D360)*365/1000)</f>
        <v>0</v>
      </c>
      <c r="AD361" s="158" t="n">
        <f aca="false">IF($B361=" ",0,IF($B361&gt;=AD$25,IF($B361&lt;=AD$29,AD$27,IF($B361&lt;=AD$33,AD$31,AD$31*(1+AD$38)^(IF(AD$36&gt;$B361,-1,1)*(YEARFRAC($B361,AD$36)))))*($D361-$D360)*365/1000,0))</f>
        <v>0</v>
      </c>
      <c r="AE361" s="159" t="n">
        <f aca="false">IF($B361=" ",0,AE$25*(1+AE$30)^(IF(AE$28&gt;$B361,-1,1)*(YEARFRAC($B361,AE$28))))</f>
        <v>0</v>
      </c>
      <c r="AF361" s="159" t="n">
        <f aca="false">IF($B361=" ",0,AF$25*(1+AF$30)^(IF(AF$28&gt;$B361,-1,1)*(YEARFRAC($B361,AF$28))))</f>
        <v>0</v>
      </c>
      <c r="AG361" s="162" t="n">
        <f aca="false">+AC361+AD361+AF361*SUM($K361*$K$37,$M361*$M$37,$O361*$O$37)/1000</f>
        <v>0</v>
      </c>
      <c r="AI361" s="158" t="n">
        <f aca="false">IF($B361=" ",0,1)*IF($B361&gt;=AI$33,AI$25*($D361-$D360),0)</f>
        <v>0</v>
      </c>
      <c r="AJ361" s="158" t="n">
        <f aca="false">IF($B361=" ",0,IF($B361&gt;=AJ$33,AJ$25*(1+AJ$30)^(IF(AJ$28&gt;$B361,-1,1)*(YEARFRAC($B361,AJ$28)))*($D361-$D360),0))</f>
        <v>0</v>
      </c>
      <c r="AK361" s="159" t="n">
        <f aca="false">IF($B361=" ",0,AK$25*(1+AK$30)^(IF(AK$28&gt;$B361,-1,1)*(YEARFRAC($B361,AK$28))))</f>
        <v>0</v>
      </c>
      <c r="AL361" s="159" t="n">
        <f aca="false">IF($B361=" ",0,AL$25*AL$28)</f>
        <v>0</v>
      </c>
      <c r="AM361" s="162" t="n">
        <f aca="false">+AI361+AJ361+SUM(AK361:AL361)*SUM($J361*$J$37,$K361*$K$37,$L361*$L$37,$M361*$M$37,$N361*$N$37,$O361*$O$37)/1000</f>
        <v>0</v>
      </c>
      <c r="AO361" s="163" t="n">
        <f aca="false">IF($B361=" ",0,$AO$25)</f>
        <v>0</v>
      </c>
      <c r="AP361" s="159" t="n">
        <f aca="false">IF($B361=" ",0,AP$25*AP$28)</f>
        <v>0</v>
      </c>
      <c r="AQ361" s="162" t="n">
        <f aca="false">SUM(AO361:AP361)*SUM(0)/1000</f>
        <v>0</v>
      </c>
      <c r="AS361" s="155" t="n">
        <f aca="false">IF($B361=" ",0,AS$25)</f>
        <v>0</v>
      </c>
      <c r="AT361" s="156" t="n">
        <f aca="false">IF($B361=" ",0,AT$25)</f>
        <v>0</v>
      </c>
      <c r="AU361" s="156" t="n">
        <f aca="false">IF($B361=" ",0,AU$25)</f>
        <v>0</v>
      </c>
      <c r="AV361" s="157" t="n">
        <f aca="false">+AS361*SUM(J361:K361)/1000</f>
        <v>0</v>
      </c>
      <c r="AW361" s="157" t="n">
        <f aca="false">+AT361*SUM(L361:M361)/1000</f>
        <v>0</v>
      </c>
      <c r="AX361" s="157" t="n">
        <f aca="false">+AU361*SUM(N361:O361)/1000</f>
        <v>0</v>
      </c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</row>
    <row r="362" customFormat="false" ht="12.75" hidden="false" customHeight="false" outlineLevel="0" collapsed="false">
      <c r="A362" s="164" t="n">
        <f aca="false">+IF(B362=" ",A361,B362)</f>
        <v>45931</v>
      </c>
      <c r="B362" s="148" t="str">
        <f aca="false">IF(B361=" "," ",IF(EDATE(B361,1)&gt;=EndDate," ",EDATE(B361,1)))</f>
        <v> </v>
      </c>
      <c r="C362" s="149" t="n">
        <f aca="false">IF($B362&lt;&gt;" ",C361+1,C361)</f>
        <v>300</v>
      </c>
      <c r="D362" s="150" t="n">
        <f aca="false">C362/12</f>
        <v>25</v>
      </c>
      <c r="F362" s="157" t="n">
        <f aca="false">+SUM($T362:$U362)</f>
        <v>0</v>
      </c>
      <c r="G362" s="152" t="n">
        <f aca="false">-SUM($AA362,$AG362,$AM362,$AQ362,$AV362:$AX362)</f>
        <v>-0</v>
      </c>
      <c r="H362" s="152" t="n">
        <f aca="false">+SUM(F362:G362)</f>
        <v>0</v>
      </c>
      <c r="I362" s="124"/>
      <c r="J362" s="153" t="n">
        <f aca="false">+IF($B362=" ",0,IF(AND($B362&gt;=J$26,$B362&lt;J$28),J$33,0))</f>
        <v>0</v>
      </c>
      <c r="K362" s="153" t="n">
        <f aca="false">+IF($B362=" ",0,IF(AND($B362&gt;=K$26,$B362&lt;K$28),K$33,0))</f>
        <v>0</v>
      </c>
      <c r="L362" s="153" t="n">
        <f aca="false">+IF($B362=" ",0,IF(AND($B362&gt;=L$26,$B362&lt;L$28),L$33,0))</f>
        <v>0</v>
      </c>
      <c r="M362" s="153" t="n">
        <f aca="false">+IF($B362=" ",0,IF(AND($B362&gt;=M$26,$B362&lt;M$28),M$33,0))</f>
        <v>0</v>
      </c>
      <c r="N362" s="153" t="n">
        <f aca="false">+IF($B362=" ",0,IF(AND($B362&gt;=N$26,$B362&lt;N$28),N$33,0))</f>
        <v>0</v>
      </c>
      <c r="O362" s="154" t="n">
        <f aca="false">+IF($B362=" ",0,IF(AND($B362&gt;=O$26,$B362&lt;O$28),O$33,0))</f>
        <v>0</v>
      </c>
      <c r="Q362" s="83" t="n">
        <f aca="false">IF($B362=" ",0,IF($B362&lt;=DATE(2003,12,31),3.55,2.9))</f>
        <v>0</v>
      </c>
      <c r="R362" s="155" t="n">
        <f aca="false">IF($B362=" ",0,R$25)</f>
        <v>0</v>
      </c>
      <c r="S362" s="156" t="n">
        <f aca="false">IF($B362=" ",0,S$25)</f>
        <v>0</v>
      </c>
      <c r="T362" s="157" t="n">
        <f aca="false">+SUM($Q362,$S362)/1000*(SUM($J362*$J$37,$K362*$K$37,$L362*$L$37,$M362*$M$37,$N362*$N$37,$O362*$O$37))</f>
        <v>0</v>
      </c>
      <c r="U362" s="157" t="n">
        <f aca="false">+SUM($Q362,$R362)/1000*(SUM(0))</f>
        <v>0</v>
      </c>
      <c r="W362" s="158" t="n">
        <f aca="false">IF($B362=" ",0,1)*(IF($B362&gt;=W$25,1,0)*IF($B362&lt;=W$29,W$27,IF($B362&lt;=W$33,W$31,0))*($D362-$D361)*365/1000)</f>
        <v>0</v>
      </c>
      <c r="X362" s="158" t="n">
        <f aca="false">IF($B362=" ",0,IF($B362&gt;=X$25,IF($B362&lt;=X$29,X$27,IF($B362&lt;=X$33,X$31,X$31*(1+X$38)^(IF(X$36&gt;$B362,-1,1)*(YEARFRAC($B362,X$36)))))*($D362-$D361)*365/1000,0))</f>
        <v>0</v>
      </c>
      <c r="Y362" s="159" t="n">
        <f aca="false">IF($B362=" ",0,Y$25*(1+Y$30)^(IF(Y$28&gt;$B362,-1,1)*(YEARFRAC($B362,Y$28))))</f>
        <v>0</v>
      </c>
      <c r="Z362" s="159" t="n">
        <f aca="false">IF($B362=" ",0,Z$25*(1+Z$30)^(IF(Z$28&gt;$B362,-1,1)*(YEARFRAC($B362,Z$28))))</f>
        <v>0</v>
      </c>
      <c r="AA362" s="162" t="n">
        <f aca="false">+W362+X362+Z362*SUM($J362*$J$37,$L362*$L$37,$N362*$N$37)/1000</f>
        <v>0</v>
      </c>
      <c r="AB362" s="161"/>
      <c r="AC362" s="158" t="n">
        <f aca="false">IF($B362=" ",0,1)*(IF($B362&gt;=AC$25,1,0)*IF($B362&lt;=AC$29,AC$27,IF($B362&lt;=AC$33,AC$31,0))*($D362-$D361)*365/1000)</f>
        <v>0</v>
      </c>
      <c r="AD362" s="158" t="n">
        <f aca="false">IF($B362=" ",0,IF($B362&gt;=AD$25,IF($B362&lt;=AD$29,AD$27,IF($B362&lt;=AD$33,AD$31,AD$31*(1+AD$38)^(IF(AD$36&gt;$B362,-1,1)*(YEARFRAC($B362,AD$36)))))*($D362-$D361)*365/1000,0))</f>
        <v>0</v>
      </c>
      <c r="AE362" s="159" t="n">
        <f aca="false">IF($B362=" ",0,AE$25*(1+AE$30)^(IF(AE$28&gt;$B362,-1,1)*(YEARFRAC($B362,AE$28))))</f>
        <v>0</v>
      </c>
      <c r="AF362" s="159" t="n">
        <f aca="false">IF($B362=" ",0,AF$25*(1+AF$30)^(IF(AF$28&gt;$B362,-1,1)*(YEARFRAC($B362,AF$28))))</f>
        <v>0</v>
      </c>
      <c r="AG362" s="162" t="n">
        <f aca="false">+AC362+AD362+AF362*SUM($K362*$K$37,$M362*$M$37,$O362*$O$37)/1000</f>
        <v>0</v>
      </c>
      <c r="AI362" s="158" t="n">
        <f aca="false">IF($B362=" ",0,1)*IF($B362&gt;=AI$33,AI$25*($D362-$D361),0)</f>
        <v>0</v>
      </c>
      <c r="AJ362" s="158" t="n">
        <f aca="false">IF($B362=" ",0,IF($B362&gt;=AJ$33,AJ$25*(1+AJ$30)^(IF(AJ$28&gt;$B362,-1,1)*(YEARFRAC($B362,AJ$28)))*($D362-$D361),0))</f>
        <v>0</v>
      </c>
      <c r="AK362" s="159" t="n">
        <f aca="false">IF($B362=" ",0,AK$25*(1+AK$30)^(IF(AK$28&gt;$B362,-1,1)*(YEARFRAC($B362,AK$28))))</f>
        <v>0</v>
      </c>
      <c r="AL362" s="159" t="n">
        <f aca="false">IF($B362=" ",0,AL$25*AL$28)</f>
        <v>0</v>
      </c>
      <c r="AM362" s="162" t="n">
        <f aca="false">+AI362+AJ362+SUM(AK362:AL362)*SUM($J362*$J$37,$K362*$K$37,$L362*$L$37,$M362*$M$37,$N362*$N$37,$O362*$O$37)/1000</f>
        <v>0</v>
      </c>
      <c r="AO362" s="163" t="n">
        <f aca="false">IF($B362=" ",0,$AO$25)</f>
        <v>0</v>
      </c>
      <c r="AP362" s="159" t="n">
        <f aca="false">IF($B362=" ",0,AP$25*AP$28)</f>
        <v>0</v>
      </c>
      <c r="AQ362" s="162" t="n">
        <f aca="false">SUM(AO362:AP362)*SUM(0)/1000</f>
        <v>0</v>
      </c>
      <c r="AS362" s="155" t="n">
        <f aca="false">IF($B362=" ",0,AS$25)</f>
        <v>0</v>
      </c>
      <c r="AT362" s="156" t="n">
        <f aca="false">IF($B362=" ",0,AT$25)</f>
        <v>0</v>
      </c>
      <c r="AU362" s="156" t="n">
        <f aca="false">IF($B362=" ",0,AU$25)</f>
        <v>0</v>
      </c>
      <c r="AV362" s="157" t="n">
        <f aca="false">+AS362*SUM(J362:K362)/1000</f>
        <v>0</v>
      </c>
      <c r="AW362" s="157" t="n">
        <f aca="false">+AT362*SUM(L362:M362)/1000</f>
        <v>0</v>
      </c>
      <c r="AX362" s="157" t="n">
        <f aca="false">+AU362*SUM(N362:O362)/1000</f>
        <v>0</v>
      </c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</row>
    <row r="363" customFormat="false" ht="12.75" hidden="false" customHeight="false" outlineLevel="0" collapsed="false">
      <c r="A363" s="164" t="n">
        <f aca="false">+IF(B363=" ",A362,B363)</f>
        <v>45931</v>
      </c>
      <c r="B363" s="148" t="str">
        <f aca="false">IF(B362=" "," ",IF(EDATE(B362,1)&gt;=EndDate," ",EDATE(B362,1)))</f>
        <v> </v>
      </c>
      <c r="C363" s="149" t="n">
        <f aca="false">IF($B363&lt;&gt;" ",C362+1,C362)</f>
        <v>300</v>
      </c>
      <c r="D363" s="150" t="n">
        <f aca="false">C363/12</f>
        <v>25</v>
      </c>
      <c r="F363" s="157" t="n">
        <f aca="false">+SUM($T363:$U363)</f>
        <v>0</v>
      </c>
      <c r="G363" s="152" t="n">
        <f aca="false">-SUM($AA363,$AG363,$AM363,$AQ363,$AV363:$AX363)</f>
        <v>-0</v>
      </c>
      <c r="H363" s="152" t="n">
        <f aca="false">+SUM(F363:G363)</f>
        <v>0</v>
      </c>
      <c r="I363" s="124"/>
      <c r="J363" s="153" t="n">
        <f aca="false">+IF($B363=" ",0,IF(AND($B363&gt;=J$26,$B363&lt;J$28),J$33,0))</f>
        <v>0</v>
      </c>
      <c r="K363" s="153" t="n">
        <f aca="false">+IF($B363=" ",0,IF(AND($B363&gt;=K$26,$B363&lt;K$28),K$33,0))</f>
        <v>0</v>
      </c>
      <c r="L363" s="153" t="n">
        <f aca="false">+IF($B363=" ",0,IF(AND($B363&gt;=L$26,$B363&lt;L$28),L$33,0))</f>
        <v>0</v>
      </c>
      <c r="M363" s="153" t="n">
        <f aca="false">+IF($B363=" ",0,IF(AND($B363&gt;=M$26,$B363&lt;M$28),M$33,0))</f>
        <v>0</v>
      </c>
      <c r="N363" s="153" t="n">
        <f aca="false">+IF($B363=" ",0,IF(AND($B363&gt;=N$26,$B363&lt;N$28),N$33,0))</f>
        <v>0</v>
      </c>
      <c r="O363" s="154" t="n">
        <f aca="false">+IF($B363=" ",0,IF(AND($B363&gt;=O$26,$B363&lt;O$28),O$33,0))</f>
        <v>0</v>
      </c>
      <c r="Q363" s="83" t="n">
        <f aca="false">IF($B363=" ",0,IF($B363&lt;=DATE(2003,12,31),3.55,2.9))</f>
        <v>0</v>
      </c>
      <c r="R363" s="155" t="n">
        <f aca="false">IF($B363=" ",0,R$25)</f>
        <v>0</v>
      </c>
      <c r="S363" s="156" t="n">
        <f aca="false">IF($B363=" ",0,S$25)</f>
        <v>0</v>
      </c>
      <c r="T363" s="157" t="n">
        <f aca="false">+SUM($Q363,$S363)/1000*(SUM($J363*$J$37,$K363*$K$37,$L363*$L$37,$M363*$M$37,$N363*$N$37,$O363*$O$37))</f>
        <v>0</v>
      </c>
      <c r="U363" s="157" t="n">
        <f aca="false">+SUM($Q363,$R363)/1000*(SUM(0))</f>
        <v>0</v>
      </c>
      <c r="W363" s="158" t="n">
        <f aca="false">IF($B363=" ",0,1)*(IF($B363&gt;=W$25,1,0)*IF($B363&lt;=W$29,W$27,IF($B363&lt;=W$33,W$31,0))*($D363-$D362)*365/1000)</f>
        <v>0</v>
      </c>
      <c r="X363" s="158" t="n">
        <f aca="false">IF($B363=" ",0,IF($B363&gt;=X$25,IF($B363&lt;=X$29,X$27,IF($B363&lt;=X$33,X$31,X$31*(1+X$38)^(IF(X$36&gt;$B363,-1,1)*(YEARFRAC($B363,X$36)))))*($D363-$D362)*365/1000,0))</f>
        <v>0</v>
      </c>
      <c r="Y363" s="159" t="n">
        <f aca="false">IF($B363=" ",0,Y$25*(1+Y$30)^(IF(Y$28&gt;$B363,-1,1)*(YEARFRAC($B363,Y$28))))</f>
        <v>0</v>
      </c>
      <c r="Z363" s="159" t="n">
        <f aca="false">IF($B363=" ",0,Z$25*(1+Z$30)^(IF(Z$28&gt;$B363,-1,1)*(YEARFRAC($B363,Z$28))))</f>
        <v>0</v>
      </c>
      <c r="AA363" s="162" t="n">
        <f aca="false">+W363+X363+Z363*SUM($J363*$J$37,$L363*$L$37,$N363*$N$37)/1000</f>
        <v>0</v>
      </c>
      <c r="AB363" s="161"/>
      <c r="AC363" s="158" t="n">
        <f aca="false">IF($B363=" ",0,1)*(IF($B363&gt;=AC$25,1,0)*IF($B363&lt;=AC$29,AC$27,IF($B363&lt;=AC$33,AC$31,0))*($D363-$D362)*365/1000)</f>
        <v>0</v>
      </c>
      <c r="AD363" s="158" t="n">
        <f aca="false">IF($B363=" ",0,IF($B363&gt;=AD$25,IF($B363&lt;=AD$29,AD$27,IF($B363&lt;=AD$33,AD$31,AD$31*(1+AD$38)^(IF(AD$36&gt;$B363,-1,1)*(YEARFRAC($B363,AD$36)))))*($D363-$D362)*365/1000,0))</f>
        <v>0</v>
      </c>
      <c r="AE363" s="159" t="n">
        <f aca="false">IF($B363=" ",0,AE$25*(1+AE$30)^(IF(AE$28&gt;$B363,-1,1)*(YEARFRAC($B363,AE$28))))</f>
        <v>0</v>
      </c>
      <c r="AF363" s="159" t="n">
        <f aca="false">IF($B363=" ",0,AF$25*(1+AF$30)^(IF(AF$28&gt;$B363,-1,1)*(YEARFRAC($B363,AF$28))))</f>
        <v>0</v>
      </c>
      <c r="AG363" s="162" t="n">
        <f aca="false">+AC363+AD363+AF363*SUM($K363*$K$37,$M363*$M$37,$O363*$O$37)/1000</f>
        <v>0</v>
      </c>
      <c r="AI363" s="158" t="n">
        <f aca="false">IF($B363=" ",0,1)*IF($B363&gt;=AI$33,AI$25*($D363-$D362),0)</f>
        <v>0</v>
      </c>
      <c r="AJ363" s="158" t="n">
        <f aca="false">IF($B363=" ",0,IF($B363&gt;=AJ$33,AJ$25*(1+AJ$30)^(IF(AJ$28&gt;$B363,-1,1)*(YEARFRAC($B363,AJ$28)))*($D363-$D362),0))</f>
        <v>0</v>
      </c>
      <c r="AK363" s="159" t="n">
        <f aca="false">IF($B363=" ",0,AK$25*(1+AK$30)^(IF(AK$28&gt;$B363,-1,1)*(YEARFRAC($B363,AK$28))))</f>
        <v>0</v>
      </c>
      <c r="AL363" s="159" t="n">
        <f aca="false">IF($B363=" ",0,AL$25*AL$28)</f>
        <v>0</v>
      </c>
      <c r="AM363" s="162" t="n">
        <f aca="false">+AI363+AJ363+SUM(AK363:AL363)*SUM($J363*$J$37,$K363*$K$37,$L363*$L$37,$M363*$M$37,$N363*$N$37,$O363*$O$37)/1000</f>
        <v>0</v>
      </c>
      <c r="AO363" s="163" t="n">
        <f aca="false">IF($B363=" ",0,$AO$25)</f>
        <v>0</v>
      </c>
      <c r="AP363" s="159" t="n">
        <f aca="false">IF($B363=" ",0,AP$25*AP$28)</f>
        <v>0</v>
      </c>
      <c r="AQ363" s="162" t="n">
        <f aca="false">SUM(AO363:AP363)*SUM(0)/1000</f>
        <v>0</v>
      </c>
      <c r="AS363" s="155" t="n">
        <f aca="false">IF($B363=" ",0,AS$25)</f>
        <v>0</v>
      </c>
      <c r="AT363" s="156" t="n">
        <f aca="false">IF($B363=" ",0,AT$25)</f>
        <v>0</v>
      </c>
      <c r="AU363" s="156" t="n">
        <f aca="false">IF($B363=" ",0,AU$25)</f>
        <v>0</v>
      </c>
      <c r="AV363" s="157" t="n">
        <f aca="false">+AS363*SUM(J363:K363)/1000</f>
        <v>0</v>
      </c>
      <c r="AW363" s="157" t="n">
        <f aca="false">+AT363*SUM(L363:M363)/1000</f>
        <v>0</v>
      </c>
      <c r="AX363" s="157" t="n">
        <f aca="false">+AU363*SUM(N363:O363)/1000</f>
        <v>0</v>
      </c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</row>
    <row r="364" customFormat="false" ht="12.75" hidden="false" customHeight="false" outlineLevel="0" collapsed="false">
      <c r="A364" s="164" t="n">
        <f aca="false">+IF(B364=" ",A363,B364)</f>
        <v>45931</v>
      </c>
      <c r="B364" s="182" t="str">
        <f aca="false">IF(B363=" "," ",IF(EDATE(B363,1)&gt;=EndDate," ",EDATE(B363,1)))</f>
        <v> </v>
      </c>
      <c r="C364" s="183" t="n">
        <f aca="false">IF($B364&lt;&gt;" ",C363+1,C363)</f>
        <v>300</v>
      </c>
      <c r="D364" s="184" t="n">
        <f aca="false">C364/12</f>
        <v>25</v>
      </c>
      <c r="F364" s="185" t="n">
        <f aca="false">+SUM($T364:$U364)</f>
        <v>0</v>
      </c>
      <c r="G364" s="186" t="n">
        <f aca="false">-SUM($AA364,$AG364,$AM364,$AQ364,$AV364:$AX364)</f>
        <v>-0</v>
      </c>
      <c r="H364" s="186" t="n">
        <f aca="false">+SUM(F364:G364)</f>
        <v>0</v>
      </c>
      <c r="I364" s="124"/>
      <c r="J364" s="187" t="n">
        <f aca="false">+IF($B364=" ",0,IF(AND($B364&gt;=J$26,$B364&lt;J$28),J$33,0))</f>
        <v>0</v>
      </c>
      <c r="K364" s="187" t="n">
        <f aca="false">+IF($B364=" ",0,IF(AND($B364&gt;=K$26,$B364&lt;K$28),K$33,0))</f>
        <v>0</v>
      </c>
      <c r="L364" s="187" t="n">
        <f aca="false">+IF($B364=" ",0,IF(AND($B364&gt;=L$26,$B364&lt;L$28),L$33,0))</f>
        <v>0</v>
      </c>
      <c r="M364" s="187" t="n">
        <f aca="false">+IF($B364=" ",0,IF(AND($B364&gt;=M$26,$B364&lt;M$28),M$33,0))</f>
        <v>0</v>
      </c>
      <c r="N364" s="187" t="n">
        <f aca="false">+IF($B364=" ",0,IF(AND($B364&gt;=N$26,$B364&lt;N$28),N$33,0))</f>
        <v>0</v>
      </c>
      <c r="O364" s="188" t="n">
        <f aca="false">+IF($B364=" ",0,IF(AND($B364&gt;=O$26,$B364&lt;O$28),O$33,0))</f>
        <v>0</v>
      </c>
      <c r="Q364" s="189" t="n">
        <f aca="false">IF($B364=" ",0,IF($B364&lt;=DATE(2003,12,31),3.55,2.9))</f>
        <v>0</v>
      </c>
      <c r="R364" s="190" t="n">
        <f aca="false">IF($B364=" ",0,R$25)</f>
        <v>0</v>
      </c>
      <c r="S364" s="191" t="n">
        <f aca="false">IF($B364=" ",0,S$25)</f>
        <v>0</v>
      </c>
      <c r="T364" s="185" t="n">
        <f aca="false">+SUM($Q364,$S364)/1000*(SUM($J364*$J$37,$K364*$K$37,$L364*$L$37,$M364*$M$37,$N364*$N$37,$O364*$O$37))</f>
        <v>0</v>
      </c>
      <c r="U364" s="185" t="n">
        <f aca="false">+SUM($Q364,$R364)/1000*(SUM(0))</f>
        <v>0</v>
      </c>
      <c r="W364" s="192" t="n">
        <f aca="false">IF($B364=" ",0,1)*(IF($B364&gt;=W$25,1,0)*IF($B364&lt;=W$29,W$27,IF($B364&lt;=W$33,W$31,0))*($D364-$D363)*365/1000)</f>
        <v>0</v>
      </c>
      <c r="X364" s="192" t="n">
        <f aca="false">IF($B364=" ",0,IF($B364&gt;=X$25,IF($B364&lt;=X$29,X$27,IF($B364&lt;=X$33,X$31,X$31*(1+X$38)^(IF(X$36&gt;$B364,-1,1)*(YEARFRAC($B364,X$36)))))*($D364-$D363)*365/1000,0))</f>
        <v>0</v>
      </c>
      <c r="Y364" s="193" t="n">
        <f aca="false">IF($B364=" ",0,Y$25*(1+Y$30)^(IF(Y$28&gt;$B364,-1,1)*(YEARFRAC($B364,Y$28))))</f>
        <v>0</v>
      </c>
      <c r="Z364" s="193" t="n">
        <f aca="false">IF($B364=" ",0,Z$25*(1+Z$30)^(IF(Z$28&gt;$B364,-1,1)*(YEARFRAC($B364,Z$28))))</f>
        <v>0</v>
      </c>
      <c r="AA364" s="194" t="n">
        <f aca="false">+W364+X364+Z364*SUM($J364*$J$37,$L364*$L$37,$N364*$N$37)/1000</f>
        <v>0</v>
      </c>
      <c r="AB364" s="195"/>
      <c r="AC364" s="192" t="n">
        <f aca="false">IF($B364=" ",0,1)*(IF($B364&gt;=AC$25,1,0)*IF($B364&lt;=AC$29,AC$27,IF($B364&lt;=AC$33,AC$31,0))*($D364-$D363)*365/1000)</f>
        <v>0</v>
      </c>
      <c r="AD364" s="192" t="n">
        <f aca="false">IF($B364=" ",0,IF($B364&gt;=AD$25,IF($B364&lt;=AD$29,AD$27,IF($B364&lt;=AD$33,AD$31,AD$31*(1+AD$38)^(IF(AD$36&gt;$B364,-1,1)*(YEARFRAC($B364,AD$36)))))*($D364-$D363)*365/1000,0))</f>
        <v>0</v>
      </c>
      <c r="AE364" s="193" t="n">
        <f aca="false">IF($B364=" ",0,AE$25*(1+AE$30)^(IF(AE$28&gt;$B364,-1,1)*(YEARFRAC($B364,AE$28))))</f>
        <v>0</v>
      </c>
      <c r="AF364" s="193" t="n">
        <f aca="false">IF($B364=" ",0,AF$25*(1+AF$30)^(IF(AF$28&gt;$B364,-1,1)*(YEARFRAC($B364,AF$28))))</f>
        <v>0</v>
      </c>
      <c r="AG364" s="194" t="n">
        <f aca="false">+AC364+AD364+AF364*SUM($K364*$K$37,$M364*$M$37,$O364*$O$37)/1000</f>
        <v>0</v>
      </c>
      <c r="AI364" s="192" t="n">
        <f aca="false">IF($B364=" ",0,1)*IF($B364&gt;=AI$33,AI$25*($D364-$D363),0)</f>
        <v>0</v>
      </c>
      <c r="AJ364" s="192" t="n">
        <f aca="false">IF($B364=" ",0,IF($B364&gt;=AJ$33,AJ$25*(1+AJ$30)^(IF(AJ$28&gt;$B364,-1,1)*(YEARFRAC($B364,AJ$28)))*($D364-$D363),0))</f>
        <v>0</v>
      </c>
      <c r="AK364" s="193" t="n">
        <f aca="false">IF($B364=" ",0,AK$25*(1+AK$30)^(IF(AK$28&gt;$B364,-1,1)*(YEARFRAC($B364,AK$28))))</f>
        <v>0</v>
      </c>
      <c r="AL364" s="193" t="n">
        <f aca="false">IF($B364=" ",0,AL$25*AL$28)</f>
        <v>0</v>
      </c>
      <c r="AM364" s="194" t="n">
        <f aca="false">+AI364+AJ364+SUM(AK364:AL364)*SUM($J364*$J$37,$K364*$K$37,$L364*$L$37,$M364*$M$37,$N364*$N$37,$O364*$O$37)/1000</f>
        <v>0</v>
      </c>
      <c r="AO364" s="196" t="n">
        <f aca="false">IF($B364=" ",0,$AO$25)</f>
        <v>0</v>
      </c>
      <c r="AP364" s="193" t="n">
        <f aca="false">IF($B364=" ",0,AP$25*AP$28)</f>
        <v>0</v>
      </c>
      <c r="AQ364" s="194" t="n">
        <f aca="false">SUM(AO364:AP364)*SUM(0)/1000</f>
        <v>0</v>
      </c>
      <c r="AS364" s="190" t="n">
        <f aca="false">IF($B364=" ",0,AS$25)</f>
        <v>0</v>
      </c>
      <c r="AT364" s="191" t="n">
        <f aca="false">IF($B364=" ",0,AT$25)</f>
        <v>0</v>
      </c>
      <c r="AU364" s="191" t="n">
        <f aca="false">IF($B364=" ",0,AU$25)</f>
        <v>0</v>
      </c>
      <c r="AV364" s="185" t="n">
        <f aca="false">+AS364*SUM(J364:K364)/1000</f>
        <v>0</v>
      </c>
      <c r="AW364" s="185" t="n">
        <f aca="false">+AT364*SUM(L364:M364)/1000</f>
        <v>0</v>
      </c>
      <c r="AX364" s="185" t="n">
        <f aca="false">+AU364*SUM(N364:O364)/1000</f>
        <v>0</v>
      </c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</row>
    <row r="365" customFormat="false" ht="12.75" hidden="false" customHeight="false" outlineLevel="0" collapsed="false">
      <c r="A365" s="197" t="s">
        <v>98</v>
      </c>
      <c r="B365" s="198"/>
      <c r="C365" s="199" t="n">
        <f aca="false">+C364</f>
        <v>300</v>
      </c>
      <c r="D365" s="200" t="n">
        <f aca="false">+D364</f>
        <v>25</v>
      </c>
      <c r="F365" s="201" t="n">
        <f aca="false">+SUM(F51:F364)</f>
        <v>4147085.17148535</v>
      </c>
      <c r="G365" s="201" t="n">
        <f aca="false">+SUM(G51:G364)</f>
        <v>-4564657.06099234</v>
      </c>
      <c r="H365" s="201" t="n">
        <f aca="false">+SUM(H51:H364)</f>
        <v>-417571.889506989</v>
      </c>
      <c r="I365" s="124"/>
      <c r="J365" s="201" t="n">
        <f aca="false">+SUM(J51:J364)</f>
        <v>27257418.671875</v>
      </c>
      <c r="K365" s="201" t="n">
        <f aca="false">+SUM(K51:K364)</f>
        <v>0</v>
      </c>
      <c r="L365" s="201" t="n">
        <f aca="false">+SUM(L51:L364)</f>
        <v>0</v>
      </c>
      <c r="M365" s="201" t="n">
        <f aca="false">+SUM(M51:M364)</f>
        <v>44642211.4285714</v>
      </c>
      <c r="N365" s="201" t="n">
        <f aca="false">+SUM(N51:N364)</f>
        <v>0</v>
      </c>
      <c r="O365" s="201" t="n">
        <f aca="false">+SUM(O51:O364)</f>
        <v>1314327093.75</v>
      </c>
      <c r="P365" s="1"/>
      <c r="Q365" s="202"/>
      <c r="S365" s="202"/>
      <c r="T365" s="201" t="n">
        <f aca="false">+SUM(T51:T364)</f>
        <v>4147085.17148535</v>
      </c>
      <c r="U365" s="201" t="n">
        <f aca="false">+SUM(U51:U364)</f>
        <v>0</v>
      </c>
      <c r="V365" s="1"/>
      <c r="W365" s="201" t="n">
        <f aca="false">+SUM(W51:W364)</f>
        <v>140859.583333333</v>
      </c>
      <c r="X365" s="201" t="n">
        <f aca="false">+SUM(X51:X364)</f>
        <v>132008.463846741</v>
      </c>
      <c r="AA365" s="201" t="n">
        <f aca="false">+SUM(AA51:AA364)</f>
        <v>283675.931273025</v>
      </c>
      <c r="AC365" s="201" t="n">
        <f aca="false">+SUM(AC51:AC364)</f>
        <v>436116.666666667</v>
      </c>
      <c r="AD365" s="201" t="n">
        <f aca="false">+SUM(AD51:AD364)</f>
        <v>109178.583966673</v>
      </c>
      <c r="AG365" s="201" t="n">
        <f aca="false">+SUM(AG51:AG364)</f>
        <v>770409.236819654</v>
      </c>
      <c r="AH365" s="1"/>
      <c r="AI365" s="201" t="n">
        <f aca="false">+SUM(AI51:AI364)</f>
        <v>137307.799567058</v>
      </c>
      <c r="AJ365" s="201" t="n">
        <f aca="false">+SUM(AJ51:AJ364)</f>
        <v>156415.18532127</v>
      </c>
      <c r="AM365" s="201" t="n">
        <f aca="false">+SUM(AM51:AM364)</f>
        <v>415719.947174215</v>
      </c>
      <c r="AN365" s="1"/>
      <c r="AO365" s="203"/>
      <c r="AQ365" s="201" t="n">
        <f aca="false">+SUM(AQ51:AQ364)</f>
        <v>0</v>
      </c>
      <c r="AR365" s="1"/>
      <c r="AS365" s="1"/>
      <c r="AT365" s="1"/>
      <c r="AU365" s="1"/>
      <c r="AV365" s="201" t="n">
        <f aca="false">+SUM(AV51:AV364)</f>
        <v>27257.418671875</v>
      </c>
      <c r="AW365" s="201" t="n">
        <f aca="false">+SUM(AW51:AW364)</f>
        <v>44642.2114285714</v>
      </c>
      <c r="AX365" s="201" t="n">
        <f aca="false">+SUM(AX51:AX364)</f>
        <v>3022952.315625</v>
      </c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</row>
    <row r="366" customFormat="false" ht="12.75" hidden="false" customHeight="false" outlineLevel="0" collapsed="false">
      <c r="F366" s="1"/>
      <c r="G366" s="1"/>
      <c r="H366" s="1"/>
      <c r="I366" s="124"/>
      <c r="P366" s="1"/>
      <c r="Q366" s="202"/>
      <c r="S366" s="202"/>
      <c r="T366" s="202"/>
      <c r="U366" s="202"/>
      <c r="V366" s="1"/>
      <c r="AA366" s="1"/>
      <c r="AG366" s="1"/>
      <c r="AH366" s="1"/>
      <c r="AI366" s="1"/>
      <c r="AJ366" s="1"/>
      <c r="AM366" s="1"/>
      <c r="AN366" s="1"/>
      <c r="AO366" s="203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</row>
    <row r="367" customFormat="false" ht="12.75" hidden="false" customHeight="false" outlineLevel="0" collapsed="false">
      <c r="F367" s="1"/>
      <c r="G367" s="1"/>
      <c r="H367" s="1"/>
      <c r="I367" s="124"/>
      <c r="P367" s="1"/>
      <c r="Q367" s="202"/>
      <c r="S367" s="202"/>
      <c r="T367" s="202"/>
      <c r="U367" s="202"/>
      <c r="V367" s="1"/>
      <c r="AA367" s="1"/>
      <c r="AG367" s="1"/>
      <c r="AH367" s="1"/>
      <c r="AI367" s="1"/>
      <c r="AJ367" s="1"/>
      <c r="AM367" s="1"/>
      <c r="AN367" s="1"/>
      <c r="AO367" s="203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</row>
    <row r="368" customFormat="false" ht="12.75" hidden="false" customHeight="false" outlineLevel="0" collapsed="false">
      <c r="F368" s="1"/>
      <c r="G368" s="1"/>
      <c r="H368" s="1"/>
      <c r="I368" s="124"/>
      <c r="Q368" s="202"/>
      <c r="S368" s="202"/>
      <c r="T368" s="202"/>
      <c r="U368" s="202"/>
      <c r="AA368" s="1"/>
      <c r="AI368" s="1"/>
      <c r="AJ368" s="1"/>
      <c r="AO368" s="203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</row>
    <row r="369" customFormat="false" ht="12.75" hidden="false" customHeight="false" outlineLevel="0" collapsed="false">
      <c r="F369" s="1"/>
      <c r="G369" s="1"/>
      <c r="H369" s="1"/>
      <c r="I369" s="124"/>
      <c r="Q369" s="202"/>
      <c r="S369" s="202"/>
      <c r="T369" s="202"/>
      <c r="U369" s="202"/>
      <c r="AA369" s="1"/>
      <c r="AI369" s="1"/>
      <c r="AJ369" s="1"/>
      <c r="AO369" s="203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</row>
    <row r="370" customFormat="false" ht="12.75" hidden="false" customHeight="false" outlineLevel="0" collapsed="false">
      <c r="F370" s="1"/>
      <c r="G370" s="1"/>
      <c r="H370" s="1"/>
      <c r="I370" s="124"/>
      <c r="Q370" s="202"/>
      <c r="S370" s="202"/>
      <c r="T370" s="202"/>
      <c r="U370" s="202"/>
      <c r="AA370" s="1"/>
      <c r="AI370" s="1"/>
      <c r="AJ370" s="1"/>
      <c r="AO370" s="203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</row>
    <row r="371" customFormat="false" ht="12.75" hidden="false" customHeight="false" outlineLevel="0" collapsed="false">
      <c r="I371" s="124"/>
      <c r="R371" s="1"/>
      <c r="Y371" s="1"/>
      <c r="Z371" s="1"/>
      <c r="AA371" s="1"/>
      <c r="AE371" s="1"/>
      <c r="AF371" s="203"/>
      <c r="AJ371" s="202"/>
      <c r="AL371" s="202"/>
      <c r="AM371" s="202"/>
      <c r="AP371" s="1"/>
      <c r="AQ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</row>
    <row r="372" customFormat="false" ht="12.75" hidden="false" customHeight="false" outlineLevel="0" collapsed="false">
      <c r="I372" s="124"/>
      <c r="R372" s="1"/>
      <c r="X372" s="1"/>
      <c r="Y372" s="1"/>
      <c r="Z372" s="1"/>
      <c r="AA372" s="1"/>
      <c r="AD372" s="1"/>
      <c r="AE372" s="1"/>
      <c r="AF372" s="203"/>
      <c r="AJ372" s="202"/>
      <c r="AL372" s="202"/>
      <c r="AM372" s="202"/>
      <c r="AP372" s="1"/>
      <c r="AQ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</row>
    <row r="373" customFormat="false" ht="12.75" hidden="false" customHeight="false" outlineLevel="0" collapsed="false">
      <c r="I373" s="124"/>
      <c r="R373" s="1"/>
      <c r="X373" s="1"/>
      <c r="Y373" s="1"/>
      <c r="Z373" s="1"/>
      <c r="AA373" s="1"/>
      <c r="AD373" s="1"/>
      <c r="AE373" s="1"/>
      <c r="AF373" s="203"/>
      <c r="AJ373" s="202"/>
      <c r="AL373" s="202"/>
      <c r="AM373" s="202"/>
      <c r="AP373" s="1"/>
      <c r="AQ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</row>
    <row r="374" customFormat="false" ht="12.75" hidden="false" customHeight="false" outlineLevel="0" collapsed="false">
      <c r="I374" s="124"/>
      <c r="R374" s="1"/>
      <c r="X374" s="1"/>
      <c r="Y374" s="1"/>
      <c r="Z374" s="1"/>
      <c r="AA374" s="1"/>
      <c r="AD374" s="1"/>
      <c r="AE374" s="1"/>
      <c r="AF374" s="203"/>
      <c r="AJ374" s="202"/>
      <c r="AL374" s="202"/>
      <c r="AM374" s="202"/>
      <c r="AP374" s="1"/>
      <c r="AQ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</row>
    <row r="375" customFormat="false" ht="12.75" hidden="false" customHeight="false" outlineLevel="0" collapsed="false">
      <c r="I375" s="124"/>
      <c r="R375" s="1"/>
      <c r="X375" s="1"/>
      <c r="Y375" s="1"/>
      <c r="Z375" s="1"/>
      <c r="AA375" s="1"/>
      <c r="AD375" s="1"/>
      <c r="AE375" s="1"/>
      <c r="AF375" s="203"/>
      <c r="AJ375" s="202"/>
      <c r="AL375" s="202"/>
      <c r="AM375" s="202"/>
      <c r="AP375" s="1"/>
      <c r="AQ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</row>
    <row r="376" customFormat="false" ht="12.75" hidden="false" customHeight="false" outlineLevel="0" collapsed="false">
      <c r="I376" s="124"/>
      <c r="R376" s="1"/>
      <c r="X376" s="1"/>
      <c r="Y376" s="1"/>
      <c r="Z376" s="1"/>
      <c r="AA376" s="1"/>
      <c r="AD376" s="1"/>
      <c r="AE376" s="1"/>
      <c r="AF376" s="203"/>
      <c r="AJ376" s="202"/>
      <c r="AL376" s="202"/>
      <c r="AM376" s="202"/>
      <c r="AP376" s="1"/>
      <c r="AQ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</row>
    <row r="377" customFormat="false" ht="12.75" hidden="false" customHeight="false" outlineLevel="0" collapsed="false">
      <c r="I377" s="124"/>
      <c r="R377" s="1"/>
      <c r="X377" s="1"/>
      <c r="Y377" s="1"/>
      <c r="Z377" s="1"/>
      <c r="AA377" s="1"/>
      <c r="AD377" s="1"/>
      <c r="AE377" s="1"/>
      <c r="AF377" s="203"/>
      <c r="AJ377" s="202"/>
      <c r="AL377" s="202"/>
      <c r="AM377" s="202"/>
      <c r="AP377" s="1"/>
      <c r="AQ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</row>
    <row r="378" customFormat="false" ht="12.75" hidden="false" customHeight="false" outlineLevel="0" collapsed="false">
      <c r="I378" s="124"/>
      <c r="R378" s="1"/>
      <c r="X378" s="1"/>
      <c r="Y378" s="1"/>
      <c r="Z378" s="1"/>
      <c r="AA378" s="1"/>
      <c r="AD378" s="1"/>
      <c r="AE378" s="1"/>
      <c r="AF378" s="203"/>
      <c r="AJ378" s="202"/>
      <c r="AL378" s="202"/>
      <c r="AM378" s="202"/>
      <c r="AP378" s="1"/>
      <c r="AQ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</row>
    <row r="379" customFormat="false" ht="12.75" hidden="false" customHeight="false" outlineLevel="0" collapsed="false">
      <c r="I379" s="124"/>
      <c r="R379" s="1"/>
      <c r="X379" s="1"/>
      <c r="Y379" s="1"/>
      <c r="Z379" s="1"/>
      <c r="AA379" s="1"/>
      <c r="AD379" s="1"/>
      <c r="AE379" s="1"/>
      <c r="AF379" s="203"/>
      <c r="AJ379" s="202"/>
      <c r="AL379" s="202"/>
      <c r="AM379" s="202"/>
      <c r="AP379" s="1"/>
      <c r="AQ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</row>
    <row r="380" customFormat="false" ht="12.75" hidden="false" customHeight="false" outlineLevel="0" collapsed="false">
      <c r="I380" s="124"/>
      <c r="R380" s="1"/>
      <c r="X380" s="1"/>
      <c r="Y380" s="1"/>
      <c r="Z380" s="1"/>
      <c r="AA380" s="1"/>
      <c r="AD380" s="1"/>
      <c r="AE380" s="1"/>
      <c r="AJ380" s="202"/>
      <c r="AL380" s="202"/>
      <c r="AM380" s="202"/>
      <c r="BD380" s="1"/>
      <c r="BE380" s="1"/>
      <c r="BF380" s="1"/>
      <c r="BG380" s="1"/>
      <c r="BH380" s="1"/>
      <c r="BI380" s="1"/>
      <c r="BJ380" s="1"/>
      <c r="BK380" s="1"/>
      <c r="BL380" s="1"/>
      <c r="BM380" s="1"/>
    </row>
    <row r="381" customFormat="false" ht="12.75" hidden="false" customHeight="false" outlineLevel="0" collapsed="false">
      <c r="I381" s="124"/>
      <c r="R381" s="1"/>
      <c r="X381" s="1"/>
      <c r="Y381" s="1"/>
      <c r="Z381" s="1"/>
      <c r="AA381" s="1"/>
      <c r="AD381" s="1"/>
      <c r="AE381" s="1"/>
      <c r="AJ381" s="202"/>
      <c r="AL381" s="202"/>
      <c r="AM381" s="202"/>
      <c r="AS381" s="1"/>
      <c r="BN381" s="0"/>
    </row>
    <row r="382" customFormat="false" ht="12.75" hidden="false" customHeight="false" outlineLevel="0" collapsed="false">
      <c r="I382" s="124"/>
      <c r="R382" s="1"/>
      <c r="X382" s="1"/>
      <c r="Y382" s="1"/>
      <c r="Z382" s="1"/>
      <c r="AA382" s="1"/>
      <c r="AD382" s="1"/>
      <c r="AE382" s="1"/>
      <c r="AJ382" s="202"/>
      <c r="AL382" s="202"/>
      <c r="AM382" s="202"/>
      <c r="AS382" s="1"/>
      <c r="BN382" s="0"/>
    </row>
    <row r="383" customFormat="false" ht="12.75" hidden="false" customHeight="false" outlineLevel="0" collapsed="false">
      <c r="I383" s="124"/>
      <c r="R383" s="1"/>
      <c r="X383" s="1"/>
      <c r="Y383" s="1"/>
      <c r="Z383" s="1"/>
      <c r="AA383" s="1"/>
      <c r="AD383" s="1"/>
      <c r="AE383" s="1"/>
      <c r="AJ383" s="202"/>
      <c r="AL383" s="202"/>
      <c r="AM383" s="202"/>
      <c r="AS383" s="1"/>
      <c r="BN383" s="0"/>
    </row>
    <row r="384" customFormat="false" ht="12.75" hidden="false" customHeight="false" outlineLevel="0" collapsed="false">
      <c r="I384" s="124"/>
      <c r="R384" s="1"/>
      <c r="X384" s="1"/>
      <c r="Y384" s="1"/>
      <c r="Z384" s="1"/>
      <c r="AA384" s="1"/>
      <c r="AD384" s="1"/>
      <c r="AE384" s="1"/>
      <c r="AJ384" s="202"/>
      <c r="AL384" s="202"/>
      <c r="AM384" s="202"/>
      <c r="AS384" s="1"/>
      <c r="BN384" s="0"/>
    </row>
    <row r="385" customFormat="false" ht="12.75" hidden="false" customHeight="false" outlineLevel="0" collapsed="false">
      <c r="I385" s="124"/>
      <c r="X385" s="1"/>
      <c r="Y385" s="1"/>
      <c r="Z385" s="1"/>
      <c r="AA385" s="1"/>
      <c r="AD385" s="1"/>
      <c r="AJ385" s="202"/>
      <c r="AL385" s="202"/>
      <c r="AM385" s="202"/>
      <c r="AS385" s="1"/>
      <c r="BN385" s="0"/>
    </row>
    <row r="386" customFormat="false" ht="12.75" hidden="false" customHeight="false" outlineLevel="0" collapsed="false">
      <c r="I386" s="124"/>
      <c r="AJ386" s="202"/>
      <c r="AL386" s="202"/>
      <c r="AM386" s="202"/>
      <c r="AX386" s="1"/>
      <c r="BN386" s="0"/>
      <c r="BO386" s="0"/>
      <c r="BP386" s="0"/>
      <c r="BQ386" s="0"/>
      <c r="BR386" s="0"/>
      <c r="BS386" s="0"/>
    </row>
    <row r="387" customFormat="false" ht="12.75" hidden="false" customHeight="false" outlineLevel="0" collapsed="false">
      <c r="I387" s="124"/>
      <c r="AJ387" s="202"/>
      <c r="AL387" s="202"/>
      <c r="AM387" s="202"/>
      <c r="AW387" s="1"/>
      <c r="BN387" s="0"/>
      <c r="BO387" s="0"/>
      <c r="BP387" s="0"/>
      <c r="BQ387" s="0"/>
      <c r="BR387" s="0"/>
    </row>
    <row r="388" customFormat="false" ht="12.75" hidden="false" customHeight="false" outlineLevel="0" collapsed="false">
      <c r="I388" s="124"/>
      <c r="AJ388" s="202"/>
      <c r="AL388" s="202"/>
      <c r="AM388" s="202"/>
      <c r="AW388" s="1"/>
      <c r="BN388" s="0"/>
      <c r="BO388" s="0"/>
      <c r="BP388" s="0"/>
      <c r="BQ388" s="0"/>
      <c r="BR388" s="0"/>
    </row>
    <row r="389" customFormat="false" ht="12.75" hidden="false" customHeight="false" outlineLevel="0" collapsed="false">
      <c r="I389" s="124"/>
      <c r="AJ389" s="202"/>
      <c r="AL389" s="202"/>
      <c r="AM389" s="202"/>
      <c r="AV389" s="1"/>
      <c r="BN389" s="0"/>
      <c r="BO389" s="0"/>
      <c r="BP389" s="0"/>
      <c r="BQ389" s="0"/>
    </row>
    <row r="390" customFormat="false" ht="12.75" hidden="false" customHeight="false" outlineLevel="0" collapsed="false">
      <c r="I390" s="124"/>
      <c r="AJ390" s="202"/>
      <c r="AL390" s="202"/>
      <c r="AM390" s="202"/>
      <c r="AV390" s="1"/>
      <c r="BN390" s="0"/>
      <c r="BO390" s="0"/>
      <c r="BP390" s="0"/>
      <c r="BQ390" s="0"/>
    </row>
    <row r="391" customFormat="false" ht="12.75" hidden="false" customHeight="false" outlineLevel="0" collapsed="false">
      <c r="I391" s="124"/>
      <c r="AJ391" s="202"/>
      <c r="AL391" s="202"/>
      <c r="AM391" s="202"/>
      <c r="AV391" s="1"/>
      <c r="BN391" s="0"/>
      <c r="BO391" s="0"/>
      <c r="BP391" s="0"/>
      <c r="BQ391" s="0"/>
    </row>
    <row r="392" customFormat="false" ht="12.75" hidden="false" customHeight="false" outlineLevel="0" collapsed="false">
      <c r="I392" s="124"/>
      <c r="AJ392" s="202"/>
      <c r="AL392" s="202"/>
      <c r="AM392" s="202"/>
      <c r="AV392" s="1"/>
      <c r="BN392" s="0"/>
      <c r="BO392" s="0"/>
      <c r="BP392" s="0"/>
      <c r="BQ392" s="0"/>
    </row>
    <row r="393" customFormat="false" ht="12.75" hidden="false" customHeight="false" outlineLevel="0" collapsed="false">
      <c r="I393" s="204"/>
      <c r="AJ393" s="202"/>
      <c r="AL393" s="202"/>
      <c r="AM393" s="202"/>
      <c r="AV393" s="1"/>
      <c r="BN393" s="0"/>
      <c r="BO393" s="0"/>
      <c r="BP393" s="0"/>
      <c r="BQ393" s="0"/>
    </row>
    <row r="394" customFormat="false" ht="12.75" hidden="false" customHeight="false" outlineLevel="0" collapsed="false">
      <c r="I394" s="204"/>
      <c r="AJ394" s="202"/>
      <c r="AL394" s="202"/>
      <c r="AM394" s="202"/>
      <c r="AV394" s="1"/>
      <c r="BN394" s="0"/>
      <c r="BO394" s="0"/>
      <c r="BP394" s="0"/>
      <c r="BQ394" s="0"/>
    </row>
    <row r="395" customFormat="false" ht="12.75" hidden="false" customHeight="false" outlineLevel="0" collapsed="false">
      <c r="I395" s="204"/>
      <c r="AJ395" s="202"/>
      <c r="AL395" s="202"/>
      <c r="AM395" s="202"/>
      <c r="AV395" s="1"/>
      <c r="BN395" s="0"/>
      <c r="BO395" s="0"/>
      <c r="BP395" s="0"/>
      <c r="BQ395" s="0"/>
    </row>
    <row r="396" customFormat="false" ht="12.75" hidden="false" customHeight="false" outlineLevel="0" collapsed="false">
      <c r="I396" s="204"/>
      <c r="AJ396" s="202"/>
      <c r="AL396" s="202"/>
      <c r="AM396" s="202"/>
      <c r="AV396" s="1"/>
      <c r="BN396" s="0"/>
      <c r="BO396" s="0"/>
      <c r="BP396" s="0"/>
      <c r="BQ396" s="0"/>
    </row>
    <row r="397" customFormat="false" ht="12.75" hidden="false" customHeight="false" outlineLevel="0" collapsed="false">
      <c r="I397" s="204"/>
      <c r="AJ397" s="202"/>
      <c r="AL397" s="202"/>
      <c r="AM397" s="202"/>
      <c r="AV397" s="1"/>
      <c r="BN397" s="0"/>
      <c r="BO397" s="0"/>
      <c r="BP397" s="0"/>
      <c r="BQ397" s="0"/>
    </row>
    <row r="398" customFormat="false" ht="12.75" hidden="false" customHeight="false" outlineLevel="0" collapsed="false">
      <c r="I398" s="204"/>
      <c r="AJ398" s="202"/>
      <c r="AL398" s="202"/>
      <c r="AM398" s="202"/>
      <c r="AV398" s="1"/>
      <c r="BN398" s="0"/>
      <c r="BO398" s="0"/>
      <c r="BP398" s="0"/>
      <c r="BQ398" s="0"/>
    </row>
    <row r="399" customFormat="false" ht="12.75" hidden="false" customHeight="false" outlineLevel="0" collapsed="false">
      <c r="I399" s="204"/>
      <c r="AJ399" s="202"/>
      <c r="AL399" s="202"/>
      <c r="AM399" s="202"/>
      <c r="AU399" s="1"/>
      <c r="BN399" s="0"/>
      <c r="BO399" s="0"/>
      <c r="BP399" s="0"/>
    </row>
    <row r="400" customFormat="false" ht="12.75" hidden="false" customHeight="false" outlineLevel="0" collapsed="false">
      <c r="I400" s="204"/>
      <c r="AJ400" s="202"/>
      <c r="AL400" s="202"/>
      <c r="AM400" s="202"/>
      <c r="AU400" s="1"/>
      <c r="BN400" s="0"/>
      <c r="BO400" s="0"/>
      <c r="BP400" s="0"/>
    </row>
    <row r="401" customFormat="false" ht="12.75" hidden="false" customHeight="false" outlineLevel="0" collapsed="false">
      <c r="I401" s="204"/>
      <c r="AJ401" s="202"/>
      <c r="AL401" s="202"/>
      <c r="AM401" s="202"/>
      <c r="AT401" s="1"/>
      <c r="BN401" s="0"/>
      <c r="BO401" s="0"/>
    </row>
    <row r="402" customFormat="false" ht="12.75" hidden="false" customHeight="false" outlineLevel="0" collapsed="false">
      <c r="I402" s="204"/>
      <c r="AJ402" s="202"/>
      <c r="AL402" s="202"/>
      <c r="AM402" s="202"/>
      <c r="AT402" s="1"/>
      <c r="BN402" s="0"/>
      <c r="BO402" s="0"/>
    </row>
    <row r="403" customFormat="false" ht="12.75" hidden="false" customHeight="false" outlineLevel="0" collapsed="false">
      <c r="I403" s="204"/>
      <c r="AJ403" s="202"/>
      <c r="AL403" s="202"/>
      <c r="AM403" s="202"/>
      <c r="AT403" s="1"/>
      <c r="BN403" s="0"/>
      <c r="BO403" s="0"/>
    </row>
    <row r="404" customFormat="false" ht="12.75" hidden="false" customHeight="false" outlineLevel="0" collapsed="false">
      <c r="I404" s="204"/>
      <c r="AJ404" s="202"/>
      <c r="AL404" s="202"/>
      <c r="AM404" s="202"/>
      <c r="AS404" s="1"/>
      <c r="BN404" s="0"/>
    </row>
    <row r="405" customFormat="false" ht="12.75" hidden="false" customHeight="false" outlineLevel="0" collapsed="false">
      <c r="I405" s="204"/>
      <c r="AJ405" s="202"/>
      <c r="AL405" s="202"/>
      <c r="AM405" s="202"/>
      <c r="AS405" s="1"/>
      <c r="BN405" s="0"/>
    </row>
    <row r="406" customFormat="false" ht="12.75" hidden="false" customHeight="false" outlineLevel="0" collapsed="false">
      <c r="I406" s="204"/>
      <c r="AJ406" s="202"/>
      <c r="AL406" s="202"/>
      <c r="AM406" s="202"/>
      <c r="AS406" s="1"/>
      <c r="BN406" s="0"/>
    </row>
    <row r="407" customFormat="false" ht="12.75" hidden="false" customHeight="false" outlineLevel="0" collapsed="false">
      <c r="I407" s="204"/>
      <c r="AI407" s="202"/>
      <c r="AK407" s="202"/>
      <c r="AL407" s="202"/>
      <c r="AM407" s="202"/>
    </row>
    <row r="408" customFormat="false" ht="12.75" hidden="false" customHeight="false" outlineLevel="0" collapsed="false">
      <c r="I408" s="204"/>
      <c r="P408" s="202"/>
      <c r="V408" s="202"/>
      <c r="AF408" s="202"/>
      <c r="AH408" s="202"/>
      <c r="AI408" s="202"/>
      <c r="AJ408" s="202"/>
      <c r="AK408" s="202"/>
      <c r="AL408" s="202"/>
      <c r="AM408" s="202"/>
      <c r="AN408" s="202"/>
      <c r="AO408" s="1"/>
      <c r="AR408" s="202"/>
      <c r="BK408" s="1"/>
      <c r="BL408" s="1"/>
      <c r="BM408" s="1"/>
    </row>
    <row r="409" customFormat="false" ht="12.75" hidden="false" customHeight="false" outlineLevel="0" collapsed="false">
      <c r="I409" s="204"/>
      <c r="P409" s="202"/>
      <c r="V409" s="202"/>
      <c r="AF409" s="202"/>
      <c r="AH409" s="202"/>
      <c r="AI409" s="202"/>
      <c r="AJ409" s="202"/>
      <c r="AK409" s="202"/>
      <c r="AL409" s="202"/>
      <c r="AM409" s="202"/>
      <c r="AN409" s="202"/>
      <c r="AO409" s="1"/>
      <c r="AR409" s="202"/>
      <c r="BK409" s="1"/>
      <c r="BL409" s="1"/>
      <c r="BM409" s="1"/>
    </row>
    <row r="410" customFormat="false" ht="12.75" hidden="false" customHeight="false" outlineLevel="0" collapsed="false">
      <c r="I410" s="204"/>
      <c r="P410" s="202"/>
      <c r="V410" s="202"/>
      <c r="AF410" s="202"/>
      <c r="AH410" s="202"/>
      <c r="AI410" s="202"/>
      <c r="AJ410" s="202"/>
      <c r="AK410" s="202"/>
      <c r="AL410" s="202"/>
      <c r="AM410" s="202"/>
      <c r="AN410" s="202"/>
      <c r="AO410" s="1"/>
      <c r="AR410" s="202"/>
      <c r="BK410" s="1"/>
      <c r="BL410" s="1"/>
      <c r="BM410" s="1"/>
    </row>
    <row r="411" customFormat="false" ht="12.75" hidden="false" customHeight="false" outlineLevel="0" collapsed="false">
      <c r="I411" s="204"/>
      <c r="P411" s="202"/>
      <c r="V411" s="202"/>
      <c r="AF411" s="202"/>
      <c r="AH411" s="202"/>
      <c r="AI411" s="202"/>
      <c r="AJ411" s="202"/>
      <c r="AK411" s="202"/>
      <c r="AL411" s="202"/>
      <c r="AM411" s="202"/>
      <c r="AN411" s="202"/>
      <c r="AO411" s="1"/>
      <c r="AR411" s="202"/>
      <c r="BK411" s="1"/>
      <c r="BL411" s="1"/>
      <c r="BM411" s="1"/>
    </row>
    <row r="412" customFormat="false" ht="12.75" hidden="false" customHeight="false" outlineLevel="0" collapsed="false">
      <c r="I412" s="204"/>
      <c r="P412" s="202"/>
      <c r="V412" s="202"/>
      <c r="AF412" s="202"/>
      <c r="AH412" s="202"/>
      <c r="AI412" s="202"/>
      <c r="AJ412" s="202"/>
      <c r="AK412" s="202"/>
      <c r="AL412" s="202"/>
      <c r="AM412" s="202"/>
      <c r="AN412" s="202"/>
      <c r="AO412" s="1"/>
      <c r="AR412" s="202"/>
      <c r="BK412" s="1"/>
      <c r="BL412" s="1"/>
      <c r="BM412" s="1"/>
    </row>
    <row r="413" customFormat="false" ht="12.75" hidden="false" customHeight="false" outlineLevel="0" collapsed="false">
      <c r="I413" s="204"/>
      <c r="P413" s="202"/>
      <c r="V413" s="202"/>
      <c r="AF413" s="202"/>
      <c r="AH413" s="202"/>
      <c r="AI413" s="202"/>
      <c r="AJ413" s="202"/>
      <c r="AK413" s="202"/>
      <c r="AL413" s="202"/>
      <c r="AM413" s="202"/>
      <c r="AN413" s="202"/>
      <c r="AO413" s="1"/>
      <c r="AR413" s="202"/>
      <c r="BK413" s="1"/>
      <c r="BL413" s="1"/>
      <c r="BM413" s="1"/>
    </row>
    <row r="414" customFormat="false" ht="12.75" hidden="false" customHeight="false" outlineLevel="0" collapsed="false">
      <c r="I414" s="204"/>
      <c r="P414" s="202"/>
      <c r="V414" s="202"/>
      <c r="AF414" s="202"/>
      <c r="AH414" s="202"/>
      <c r="AI414" s="202"/>
      <c r="AJ414" s="202"/>
      <c r="AK414" s="202"/>
      <c r="AL414" s="202"/>
      <c r="AM414" s="202"/>
      <c r="AN414" s="202"/>
      <c r="AO414" s="1"/>
      <c r="AR414" s="202"/>
      <c r="BK414" s="1"/>
      <c r="BL414" s="1"/>
      <c r="BM414" s="1"/>
    </row>
    <row r="415" customFormat="false" ht="12.75" hidden="false" customHeight="false" outlineLevel="0" collapsed="false">
      <c r="I415" s="204"/>
      <c r="P415" s="202"/>
      <c r="V415" s="202"/>
      <c r="AF415" s="202"/>
      <c r="AH415" s="202"/>
      <c r="AI415" s="202"/>
      <c r="AJ415" s="202"/>
      <c r="AK415" s="202"/>
      <c r="AL415" s="202"/>
      <c r="AM415" s="202"/>
      <c r="AN415" s="202"/>
      <c r="AO415" s="1"/>
      <c r="AR415" s="202"/>
      <c r="BK415" s="1"/>
      <c r="BL415" s="1"/>
      <c r="BM415" s="1"/>
    </row>
    <row r="416" customFormat="false" ht="12.75" hidden="false" customHeight="false" outlineLevel="0" collapsed="false">
      <c r="I416" s="204"/>
      <c r="P416" s="202"/>
      <c r="V416" s="202"/>
      <c r="AF416" s="202"/>
      <c r="AH416" s="202"/>
      <c r="AI416" s="202"/>
      <c r="AJ416" s="202"/>
      <c r="AK416" s="202"/>
      <c r="AL416" s="202"/>
      <c r="AM416" s="202"/>
      <c r="AN416" s="202"/>
      <c r="AO416" s="1"/>
      <c r="AR416" s="202"/>
      <c r="BK416" s="1"/>
      <c r="BL416" s="1"/>
      <c r="BM416" s="1"/>
    </row>
    <row r="417" customFormat="false" ht="12.75" hidden="false" customHeight="false" outlineLevel="0" collapsed="false">
      <c r="I417" s="204"/>
      <c r="P417" s="202"/>
      <c r="V417" s="202"/>
      <c r="AF417" s="202"/>
      <c r="AH417" s="202"/>
      <c r="AI417" s="202"/>
      <c r="AJ417" s="202"/>
      <c r="AK417" s="202"/>
      <c r="AL417" s="202"/>
      <c r="AM417" s="202"/>
      <c r="AN417" s="202"/>
      <c r="AO417" s="1"/>
      <c r="AR417" s="202"/>
      <c r="BK417" s="1"/>
      <c r="BL417" s="1"/>
      <c r="BM417" s="1"/>
    </row>
    <row r="418" customFormat="false" ht="12.75" hidden="false" customHeight="false" outlineLevel="0" collapsed="false">
      <c r="I418" s="204"/>
      <c r="P418" s="202"/>
      <c r="V418" s="202"/>
      <c r="AF418" s="202"/>
      <c r="AH418" s="202"/>
      <c r="AI418" s="202"/>
      <c r="AJ418" s="202"/>
      <c r="AK418" s="202"/>
      <c r="AL418" s="202"/>
      <c r="AM418" s="202"/>
      <c r="AN418" s="202"/>
      <c r="AO418" s="1"/>
      <c r="AR418" s="202"/>
      <c r="BK418" s="1"/>
      <c r="BL418" s="1"/>
      <c r="BM418" s="1"/>
    </row>
    <row r="419" customFormat="false" ht="12.75" hidden="false" customHeight="false" outlineLevel="0" collapsed="false">
      <c r="I419" s="204"/>
      <c r="P419" s="202"/>
      <c r="V419" s="202"/>
      <c r="AF419" s="202"/>
      <c r="AH419" s="202"/>
      <c r="AI419" s="202"/>
      <c r="AJ419" s="202"/>
      <c r="AK419" s="202"/>
      <c r="AL419" s="202"/>
      <c r="AM419" s="202"/>
      <c r="AN419" s="202"/>
      <c r="AO419" s="1"/>
      <c r="AR419" s="202"/>
      <c r="BK419" s="1"/>
      <c r="BL419" s="1"/>
      <c r="BM419" s="1"/>
    </row>
    <row r="420" customFormat="false" ht="12.75" hidden="false" customHeight="false" outlineLevel="0" collapsed="false">
      <c r="I420" s="204"/>
      <c r="P420" s="202"/>
      <c r="V420" s="202"/>
      <c r="AF420" s="202"/>
      <c r="AH420" s="202"/>
      <c r="AI420" s="202"/>
      <c r="AJ420" s="202"/>
      <c r="AK420" s="202"/>
      <c r="AL420" s="202"/>
      <c r="AM420" s="202"/>
      <c r="AN420" s="202"/>
      <c r="AO420" s="1"/>
      <c r="AR420" s="202"/>
      <c r="BK420" s="1"/>
      <c r="BL420" s="1"/>
      <c r="BM420" s="1"/>
    </row>
    <row r="421" customFormat="false" ht="12.75" hidden="false" customHeight="false" outlineLevel="0" collapsed="false">
      <c r="I421" s="204"/>
      <c r="P421" s="202"/>
      <c r="V421" s="202"/>
      <c r="AF421" s="202"/>
      <c r="AH421" s="202"/>
      <c r="AI421" s="202"/>
      <c r="AJ421" s="202"/>
      <c r="AK421" s="202"/>
      <c r="AL421" s="202"/>
      <c r="AM421" s="202"/>
      <c r="AN421" s="202"/>
      <c r="AO421" s="1"/>
      <c r="AR421" s="202"/>
      <c r="BK421" s="1"/>
      <c r="BL421" s="1"/>
      <c r="BM421" s="1"/>
    </row>
    <row r="422" customFormat="false" ht="12.75" hidden="false" customHeight="false" outlineLevel="0" collapsed="false">
      <c r="I422" s="204"/>
      <c r="P422" s="202"/>
      <c r="V422" s="202"/>
      <c r="AF422" s="202"/>
      <c r="AH422" s="202"/>
      <c r="AI422" s="202"/>
      <c r="AJ422" s="202"/>
      <c r="AK422" s="202"/>
      <c r="AL422" s="202"/>
      <c r="AM422" s="202"/>
      <c r="AN422" s="202"/>
      <c r="AO422" s="1"/>
      <c r="AR422" s="202"/>
      <c r="BK422" s="1"/>
      <c r="BL422" s="1"/>
      <c r="BM422" s="1"/>
    </row>
    <row r="423" customFormat="false" ht="12.75" hidden="false" customHeight="false" outlineLevel="0" collapsed="false">
      <c r="I423" s="204"/>
      <c r="P423" s="202"/>
      <c r="V423" s="202"/>
      <c r="Y423" s="1"/>
      <c r="AF423" s="202"/>
      <c r="AH423" s="202"/>
      <c r="AI423" s="202"/>
      <c r="AJ423" s="202"/>
      <c r="AK423" s="202"/>
      <c r="AL423" s="202"/>
      <c r="AM423" s="202"/>
      <c r="AN423" s="202"/>
      <c r="AR423" s="202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</row>
    <row r="424" customFormat="false" ht="12.75" hidden="false" customHeight="false" outlineLevel="0" collapsed="false">
      <c r="I424" s="204"/>
      <c r="P424" s="202"/>
      <c r="V424" s="202"/>
      <c r="Y424" s="1"/>
      <c r="AF424" s="202"/>
      <c r="AH424" s="202"/>
      <c r="AI424" s="202"/>
      <c r="AJ424" s="202"/>
      <c r="AK424" s="202"/>
      <c r="AL424" s="202"/>
      <c r="AM424" s="202"/>
      <c r="AN424" s="202"/>
      <c r="AR424" s="202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</row>
    <row r="425" customFormat="false" ht="12.75" hidden="false" customHeight="false" outlineLevel="0" collapsed="false">
      <c r="I425" s="204"/>
      <c r="P425" s="202"/>
      <c r="V425" s="202"/>
      <c r="Y425" s="1"/>
      <c r="AF425" s="202"/>
      <c r="AH425" s="202"/>
      <c r="AI425" s="202"/>
      <c r="AJ425" s="202"/>
      <c r="AK425" s="202"/>
      <c r="AL425" s="202"/>
      <c r="AM425" s="202"/>
      <c r="AN425" s="202"/>
      <c r="AR425" s="202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</row>
    <row r="426" customFormat="false" ht="12.75" hidden="false" customHeight="false" outlineLevel="0" collapsed="false">
      <c r="I426" s="204"/>
      <c r="P426" s="202"/>
      <c r="V426" s="202"/>
      <c r="Y426" s="1"/>
      <c r="AF426" s="202"/>
      <c r="AH426" s="202"/>
      <c r="AI426" s="202"/>
      <c r="AJ426" s="202"/>
      <c r="AK426" s="202"/>
      <c r="AL426" s="202"/>
      <c r="AM426" s="202"/>
      <c r="AN426" s="202"/>
      <c r="AR426" s="202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</row>
    <row r="427" customFormat="false" ht="12.75" hidden="false" customHeight="false" outlineLevel="0" collapsed="false">
      <c r="I427" s="204"/>
      <c r="P427" s="202"/>
      <c r="V427" s="202"/>
      <c r="AF427" s="202"/>
      <c r="AH427" s="202"/>
      <c r="AI427" s="202"/>
      <c r="AJ427" s="202"/>
      <c r="AK427" s="202"/>
      <c r="AL427" s="202"/>
      <c r="AM427" s="202"/>
      <c r="AN427" s="202"/>
      <c r="AR427" s="202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</row>
    <row r="428" customFormat="false" ht="12.75" hidden="false" customHeight="false" outlineLevel="0" collapsed="false">
      <c r="I428" s="204"/>
      <c r="P428" s="202"/>
      <c r="V428" s="202"/>
      <c r="AF428" s="202"/>
      <c r="AH428" s="202"/>
      <c r="AI428" s="202"/>
      <c r="AJ428" s="202"/>
      <c r="AK428" s="202"/>
      <c r="AL428" s="202"/>
      <c r="AM428" s="202"/>
      <c r="AN428" s="202"/>
      <c r="AR428" s="202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</row>
    <row r="429" customFormat="false" ht="12.75" hidden="false" customHeight="false" outlineLevel="0" collapsed="false">
      <c r="I429" s="204"/>
      <c r="P429" s="202"/>
      <c r="V429" s="202"/>
      <c r="AF429" s="202"/>
      <c r="AH429" s="202"/>
      <c r="AI429" s="202"/>
      <c r="AJ429" s="202"/>
      <c r="AK429" s="202"/>
      <c r="AL429" s="202"/>
      <c r="AM429" s="202"/>
      <c r="AN429" s="202"/>
      <c r="AR429" s="202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</row>
    <row r="430" customFormat="false" ht="12.75" hidden="false" customHeight="false" outlineLevel="0" collapsed="false">
      <c r="I430" s="204"/>
      <c r="P430" s="202"/>
      <c r="V430" s="202"/>
      <c r="AF430" s="202"/>
      <c r="AH430" s="202"/>
      <c r="AI430" s="202"/>
      <c r="AJ430" s="202"/>
      <c r="AK430" s="202"/>
      <c r="AL430" s="202"/>
      <c r="AM430" s="202"/>
      <c r="AN430" s="202"/>
      <c r="AR430" s="202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</row>
    <row r="431" customFormat="false" ht="12.75" hidden="false" customHeight="false" outlineLevel="0" collapsed="false">
      <c r="I431" s="204"/>
      <c r="P431" s="202"/>
      <c r="V431" s="202"/>
      <c r="AF431" s="202"/>
      <c r="AH431" s="202"/>
      <c r="AI431" s="202"/>
      <c r="AJ431" s="202"/>
      <c r="AK431" s="202"/>
      <c r="AL431" s="202"/>
      <c r="AM431" s="202"/>
      <c r="AN431" s="202"/>
      <c r="AR431" s="202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</row>
    <row r="432" customFormat="false" ht="12.75" hidden="false" customHeight="false" outlineLevel="0" collapsed="false">
      <c r="I432" s="204"/>
      <c r="P432" s="202"/>
      <c r="V432" s="202"/>
      <c r="AF432" s="202"/>
      <c r="AG432" s="202"/>
      <c r="AH432" s="202"/>
      <c r="AI432" s="202"/>
      <c r="AJ432" s="202"/>
      <c r="AK432" s="202"/>
      <c r="AL432" s="202"/>
      <c r="AM432" s="202"/>
      <c r="AN432" s="202"/>
      <c r="AR432" s="202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</row>
    <row r="433" customFormat="false" ht="12.75" hidden="false" customHeight="false" outlineLevel="0" collapsed="false">
      <c r="I433" s="204"/>
      <c r="P433" s="202"/>
      <c r="V433" s="202"/>
      <c r="AF433" s="202"/>
      <c r="AG433" s="202"/>
      <c r="AH433" s="202"/>
      <c r="AI433" s="202"/>
      <c r="AJ433" s="202"/>
      <c r="AK433" s="202"/>
      <c r="AL433" s="202"/>
      <c r="AM433" s="202"/>
      <c r="AN433" s="202"/>
      <c r="AR433" s="202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</row>
    <row r="434" customFormat="false" ht="12.75" hidden="false" customHeight="false" outlineLevel="0" collapsed="false">
      <c r="I434" s="204"/>
      <c r="P434" s="202"/>
      <c r="V434" s="202"/>
      <c r="AF434" s="202"/>
      <c r="AG434" s="202"/>
      <c r="AH434" s="202"/>
      <c r="AI434" s="202"/>
      <c r="AJ434" s="202"/>
      <c r="AK434" s="202"/>
      <c r="AL434" s="202"/>
      <c r="AM434" s="202"/>
      <c r="AN434" s="202"/>
      <c r="AR434" s="202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</row>
    <row r="435" customFormat="false" ht="12.75" hidden="false" customHeight="false" outlineLevel="0" collapsed="false">
      <c r="I435" s="204"/>
      <c r="P435" s="202"/>
      <c r="V435" s="202"/>
      <c r="AF435" s="202"/>
      <c r="AG435" s="202"/>
      <c r="AH435" s="202"/>
      <c r="AI435" s="202"/>
      <c r="AJ435" s="202"/>
      <c r="AK435" s="202"/>
      <c r="AL435" s="202"/>
      <c r="AM435" s="202"/>
      <c r="AN435" s="202"/>
      <c r="AR435" s="202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</row>
    <row r="436" customFormat="false" ht="12.75" hidden="false" customHeight="false" outlineLevel="0" collapsed="false">
      <c r="I436" s="204"/>
      <c r="P436" s="202"/>
      <c r="V436" s="202"/>
      <c r="AF436" s="202"/>
      <c r="AG436" s="202"/>
      <c r="AH436" s="202"/>
      <c r="AI436" s="202"/>
      <c r="AJ436" s="202"/>
      <c r="AK436" s="202"/>
      <c r="AL436" s="202"/>
      <c r="AM436" s="202"/>
      <c r="AN436" s="202"/>
      <c r="AR436" s="202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</row>
    <row r="437" customFormat="false" ht="12.75" hidden="false" customHeight="false" outlineLevel="0" collapsed="false">
      <c r="I437" s="204"/>
      <c r="P437" s="202"/>
      <c r="V437" s="202"/>
      <c r="AF437" s="202"/>
      <c r="AG437" s="202"/>
      <c r="AH437" s="202"/>
      <c r="AI437" s="202"/>
      <c r="AJ437" s="202"/>
      <c r="AK437" s="202"/>
      <c r="AL437" s="202"/>
      <c r="AM437" s="202"/>
      <c r="AN437" s="202"/>
      <c r="AR437" s="202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</row>
    <row r="438" customFormat="false" ht="12.75" hidden="false" customHeight="false" outlineLevel="0" collapsed="false">
      <c r="I438" s="204"/>
      <c r="P438" s="202"/>
      <c r="V438" s="202"/>
      <c r="AF438" s="202"/>
      <c r="AG438" s="202"/>
      <c r="AH438" s="202"/>
      <c r="AI438" s="202"/>
      <c r="AJ438" s="202"/>
      <c r="AK438" s="202"/>
      <c r="AL438" s="202"/>
      <c r="AM438" s="202"/>
      <c r="AN438" s="202"/>
      <c r="AR438" s="202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</row>
    <row r="439" customFormat="false" ht="12.75" hidden="false" customHeight="false" outlineLevel="0" collapsed="false">
      <c r="I439" s="204"/>
      <c r="P439" s="202"/>
      <c r="V439" s="202"/>
      <c r="AF439" s="202"/>
      <c r="AG439" s="202"/>
      <c r="AH439" s="202"/>
      <c r="AI439" s="202"/>
      <c r="AJ439" s="202"/>
      <c r="AK439" s="202"/>
      <c r="AL439" s="202"/>
      <c r="AM439" s="202"/>
      <c r="AN439" s="202"/>
      <c r="AR439" s="202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</row>
    <row r="440" customFormat="false" ht="12.75" hidden="false" customHeight="false" outlineLevel="0" collapsed="false">
      <c r="I440" s="204"/>
      <c r="P440" s="202"/>
      <c r="V440" s="202"/>
      <c r="AF440" s="202"/>
      <c r="AG440" s="202"/>
      <c r="AH440" s="202"/>
      <c r="AI440" s="202"/>
      <c r="AJ440" s="202"/>
      <c r="AK440" s="202"/>
      <c r="AL440" s="202"/>
      <c r="AM440" s="202"/>
      <c r="AN440" s="202"/>
      <c r="AR440" s="202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</row>
    <row r="441" customFormat="false" ht="12.75" hidden="false" customHeight="false" outlineLevel="0" collapsed="false">
      <c r="I441" s="204"/>
      <c r="P441" s="202"/>
      <c r="V441" s="202"/>
      <c r="AF441" s="202"/>
      <c r="AG441" s="202"/>
      <c r="AH441" s="202"/>
      <c r="AI441" s="202"/>
      <c r="AJ441" s="202"/>
      <c r="AK441" s="202"/>
      <c r="AL441" s="202"/>
      <c r="AM441" s="202"/>
      <c r="AN441" s="202"/>
      <c r="AR441" s="202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</row>
    <row r="442" customFormat="false" ht="12.75" hidden="false" customHeight="false" outlineLevel="0" collapsed="false">
      <c r="I442" s="204"/>
      <c r="P442" s="202"/>
      <c r="V442" s="202"/>
      <c r="AF442" s="202"/>
      <c r="AG442" s="202"/>
      <c r="AH442" s="202"/>
      <c r="AI442" s="202"/>
      <c r="AJ442" s="202"/>
      <c r="AK442" s="202"/>
      <c r="AL442" s="202"/>
      <c r="AM442" s="202"/>
      <c r="AN442" s="202"/>
      <c r="AR442" s="202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</row>
    <row r="443" customFormat="false" ht="12.75" hidden="false" customHeight="false" outlineLevel="0" collapsed="false">
      <c r="I443" s="204"/>
      <c r="P443" s="202"/>
      <c r="V443" s="202"/>
      <c r="AF443" s="202"/>
      <c r="AG443" s="202"/>
      <c r="AH443" s="202"/>
      <c r="AI443" s="202"/>
      <c r="AJ443" s="202"/>
      <c r="AK443" s="202"/>
      <c r="AL443" s="202"/>
      <c r="AM443" s="202"/>
      <c r="AN443" s="202"/>
      <c r="AR443" s="202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</row>
    <row r="444" customFormat="false" ht="12.75" hidden="false" customHeight="false" outlineLevel="0" collapsed="false">
      <c r="I444" s="204"/>
      <c r="P444" s="202"/>
      <c r="V444" s="202"/>
      <c r="AF444" s="202"/>
      <c r="AG444" s="202"/>
      <c r="AH444" s="202"/>
      <c r="AI444" s="202"/>
      <c r="AJ444" s="202"/>
      <c r="AK444" s="202"/>
      <c r="AL444" s="202"/>
      <c r="AM444" s="202"/>
      <c r="AN444" s="202"/>
      <c r="AR444" s="202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</row>
    <row r="445" customFormat="false" ht="12.75" hidden="false" customHeight="false" outlineLevel="0" collapsed="false">
      <c r="I445" s="204"/>
      <c r="P445" s="202"/>
      <c r="V445" s="202"/>
      <c r="AF445" s="202"/>
      <c r="AG445" s="202"/>
      <c r="AH445" s="202"/>
      <c r="AI445" s="202"/>
      <c r="AJ445" s="202"/>
      <c r="AK445" s="202"/>
      <c r="AL445" s="202"/>
      <c r="AM445" s="202"/>
      <c r="AN445" s="202"/>
      <c r="AR445" s="202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</row>
    <row r="446" customFormat="false" ht="12.75" hidden="false" customHeight="false" outlineLevel="0" collapsed="false">
      <c r="I446" s="204"/>
      <c r="P446" s="202"/>
      <c r="V446" s="202"/>
      <c r="AF446" s="202"/>
      <c r="AG446" s="202"/>
      <c r="AH446" s="202"/>
      <c r="AI446" s="202"/>
      <c r="AJ446" s="202"/>
      <c r="AK446" s="202"/>
      <c r="AL446" s="202"/>
      <c r="AM446" s="202"/>
      <c r="AN446" s="202"/>
      <c r="AR446" s="202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</row>
    <row r="447" customFormat="false" ht="12.75" hidden="false" customHeight="false" outlineLevel="0" collapsed="false">
      <c r="I447" s="204"/>
      <c r="P447" s="202"/>
      <c r="V447" s="202"/>
      <c r="AF447" s="202"/>
      <c r="AG447" s="202"/>
      <c r="AH447" s="202"/>
      <c r="AI447" s="202"/>
      <c r="AJ447" s="202"/>
      <c r="AK447" s="202"/>
      <c r="AL447" s="202"/>
      <c r="AM447" s="202"/>
      <c r="AN447" s="202"/>
      <c r="AR447" s="202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</row>
    <row r="448" customFormat="false" ht="12.75" hidden="false" customHeight="false" outlineLevel="0" collapsed="false">
      <c r="I448" s="204"/>
      <c r="P448" s="202"/>
      <c r="V448" s="202"/>
      <c r="AF448" s="202"/>
      <c r="AG448" s="202"/>
      <c r="AH448" s="202"/>
      <c r="AI448" s="202"/>
      <c r="AJ448" s="202"/>
      <c r="AK448" s="202"/>
      <c r="AL448" s="202"/>
      <c r="AM448" s="202"/>
      <c r="AN448" s="202"/>
      <c r="AR448" s="202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</row>
    <row r="449" customFormat="false" ht="12.75" hidden="false" customHeight="false" outlineLevel="0" collapsed="false">
      <c r="I449" s="204"/>
      <c r="P449" s="202"/>
      <c r="V449" s="202"/>
      <c r="AF449" s="202"/>
      <c r="AG449" s="202"/>
      <c r="AH449" s="202"/>
      <c r="AI449" s="202"/>
      <c r="AJ449" s="202"/>
      <c r="AK449" s="202"/>
      <c r="AL449" s="202"/>
      <c r="AM449" s="202"/>
      <c r="AN449" s="202"/>
      <c r="AR449" s="202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</row>
    <row r="450" customFormat="false" ht="12.75" hidden="false" customHeight="false" outlineLevel="0" collapsed="false">
      <c r="I450" s="204"/>
      <c r="P450" s="202"/>
      <c r="V450" s="202"/>
      <c r="AF450" s="202"/>
      <c r="AG450" s="202"/>
      <c r="AH450" s="202"/>
      <c r="AI450" s="202"/>
      <c r="AJ450" s="202"/>
      <c r="AK450" s="202"/>
      <c r="AL450" s="202"/>
      <c r="AM450" s="202"/>
      <c r="AN450" s="202"/>
      <c r="AR450" s="202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</row>
    <row r="451" customFormat="false" ht="12.75" hidden="false" customHeight="false" outlineLevel="0" collapsed="false">
      <c r="I451" s="204"/>
      <c r="P451" s="202"/>
      <c r="V451" s="202"/>
      <c r="AF451" s="202"/>
      <c r="AG451" s="202"/>
      <c r="AH451" s="202"/>
      <c r="AI451" s="202"/>
      <c r="AJ451" s="202"/>
      <c r="AK451" s="202"/>
      <c r="AL451" s="202"/>
      <c r="AM451" s="202"/>
      <c r="AN451" s="202"/>
      <c r="AR451" s="202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</row>
    <row r="452" customFormat="false" ht="12.75" hidden="false" customHeight="false" outlineLevel="0" collapsed="false">
      <c r="I452" s="204"/>
      <c r="P452" s="202"/>
      <c r="V452" s="202"/>
      <c r="AF452" s="202"/>
      <c r="AG452" s="202"/>
      <c r="AH452" s="202"/>
      <c r="AI452" s="202"/>
      <c r="AJ452" s="202"/>
      <c r="AK452" s="202"/>
      <c r="AL452" s="202"/>
      <c r="AM452" s="202"/>
      <c r="AN452" s="202"/>
      <c r="AR452" s="202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</row>
    <row r="453" customFormat="false" ht="12.75" hidden="false" customHeight="false" outlineLevel="0" collapsed="false">
      <c r="I453" s="204"/>
      <c r="P453" s="202"/>
      <c r="V453" s="202"/>
      <c r="AF453" s="202"/>
      <c r="AG453" s="202"/>
      <c r="AH453" s="202"/>
      <c r="AI453" s="202"/>
      <c r="AJ453" s="202"/>
      <c r="AK453" s="202"/>
      <c r="AL453" s="202"/>
      <c r="AM453" s="202"/>
      <c r="AN453" s="202"/>
      <c r="AR453" s="202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</row>
    <row r="454" customFormat="false" ht="12.75" hidden="false" customHeight="false" outlineLevel="0" collapsed="false">
      <c r="I454" s="204"/>
      <c r="P454" s="202"/>
      <c r="V454" s="202"/>
      <c r="AF454" s="202"/>
      <c r="AG454" s="202"/>
      <c r="AH454" s="202"/>
      <c r="AI454" s="202"/>
      <c r="AJ454" s="202"/>
      <c r="AK454" s="202"/>
      <c r="AL454" s="202"/>
      <c r="AM454" s="202"/>
      <c r="AN454" s="202"/>
      <c r="AR454" s="202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</row>
    <row r="455" customFormat="false" ht="12.75" hidden="false" customHeight="false" outlineLevel="0" collapsed="false">
      <c r="I455" s="204"/>
      <c r="P455" s="202"/>
      <c r="V455" s="202"/>
      <c r="AF455" s="202"/>
      <c r="AG455" s="202"/>
      <c r="AH455" s="202"/>
      <c r="AI455" s="202"/>
      <c r="AJ455" s="202"/>
      <c r="AK455" s="202"/>
      <c r="AL455" s="202"/>
      <c r="AM455" s="202"/>
      <c r="AN455" s="202"/>
      <c r="AR455" s="202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</row>
    <row r="456" customFormat="false" ht="12.75" hidden="false" customHeight="false" outlineLevel="0" collapsed="false">
      <c r="I456" s="204"/>
      <c r="P456" s="202"/>
      <c r="V456" s="202"/>
      <c r="AF456" s="202"/>
      <c r="AG456" s="202"/>
      <c r="AH456" s="202"/>
      <c r="AI456" s="202"/>
      <c r="AJ456" s="202"/>
      <c r="AK456" s="202"/>
      <c r="AL456" s="202"/>
      <c r="AM456" s="202"/>
      <c r="AN456" s="202"/>
      <c r="AR456" s="202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</row>
    <row r="457" customFormat="false" ht="12.75" hidden="false" customHeight="false" outlineLevel="0" collapsed="false">
      <c r="I457" s="204"/>
      <c r="P457" s="202"/>
      <c r="V457" s="202"/>
      <c r="AF457" s="202"/>
      <c r="AG457" s="202"/>
      <c r="AH457" s="202"/>
      <c r="AI457" s="202"/>
      <c r="AJ457" s="202"/>
      <c r="AK457" s="202"/>
      <c r="AL457" s="202"/>
      <c r="AM457" s="202"/>
      <c r="AN457" s="202"/>
      <c r="AR457" s="202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</row>
    <row r="458" customFormat="false" ht="12.75" hidden="false" customHeight="false" outlineLevel="0" collapsed="false">
      <c r="I458" s="204"/>
      <c r="P458" s="202"/>
      <c r="V458" s="202"/>
      <c r="AF458" s="202"/>
      <c r="AG458" s="202"/>
      <c r="AH458" s="202"/>
      <c r="AI458" s="202"/>
      <c r="AJ458" s="202"/>
      <c r="AK458" s="202"/>
      <c r="AL458" s="202"/>
      <c r="AM458" s="202"/>
      <c r="AN458" s="202"/>
      <c r="AR458" s="202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</row>
    <row r="459" customFormat="false" ht="12.75" hidden="false" customHeight="false" outlineLevel="0" collapsed="false">
      <c r="I459" s="204"/>
      <c r="P459" s="202"/>
      <c r="V459" s="202"/>
      <c r="AF459" s="202"/>
      <c r="AG459" s="202"/>
      <c r="AH459" s="202"/>
      <c r="AI459" s="202"/>
      <c r="AJ459" s="202"/>
      <c r="AK459" s="202"/>
      <c r="AL459" s="202"/>
      <c r="AM459" s="202"/>
      <c r="AN459" s="202"/>
      <c r="AR459" s="202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</row>
    <row r="460" customFormat="false" ht="12.75" hidden="false" customHeight="false" outlineLevel="0" collapsed="false">
      <c r="I460" s="204"/>
      <c r="P460" s="202"/>
      <c r="V460" s="202"/>
      <c r="AF460" s="202"/>
      <c r="AG460" s="202"/>
      <c r="AH460" s="202"/>
      <c r="AI460" s="202"/>
      <c r="AJ460" s="202"/>
      <c r="AK460" s="202"/>
      <c r="AL460" s="202"/>
      <c r="AM460" s="202"/>
      <c r="AN460" s="202"/>
      <c r="AR460" s="202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</row>
    <row r="461" customFormat="false" ht="12.75" hidden="false" customHeight="false" outlineLevel="0" collapsed="false">
      <c r="I461" s="204"/>
      <c r="P461" s="202"/>
      <c r="V461" s="202"/>
      <c r="AF461" s="202"/>
      <c r="AG461" s="202"/>
      <c r="AH461" s="202"/>
      <c r="AI461" s="202"/>
      <c r="AJ461" s="202"/>
      <c r="AK461" s="202"/>
      <c r="AL461" s="202"/>
      <c r="AM461" s="202"/>
      <c r="AN461" s="202"/>
      <c r="AR461" s="202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</row>
    <row r="462" customFormat="false" ht="12.75" hidden="false" customHeight="false" outlineLevel="0" collapsed="false">
      <c r="I462" s="204"/>
      <c r="P462" s="202"/>
      <c r="V462" s="202"/>
      <c r="AF462" s="202"/>
      <c r="AG462" s="202"/>
      <c r="AH462" s="202"/>
      <c r="AI462" s="202"/>
      <c r="AJ462" s="202"/>
      <c r="AK462" s="202"/>
      <c r="AL462" s="202"/>
      <c r="AM462" s="202"/>
      <c r="AN462" s="202"/>
      <c r="AR462" s="202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</row>
    <row r="463" customFormat="false" ht="12.75" hidden="false" customHeight="false" outlineLevel="0" collapsed="false">
      <c r="I463" s="204"/>
      <c r="P463" s="202"/>
      <c r="V463" s="202"/>
      <c r="AF463" s="202"/>
      <c r="AG463" s="202"/>
      <c r="AH463" s="202"/>
      <c r="AI463" s="202"/>
      <c r="AJ463" s="202"/>
      <c r="AK463" s="202"/>
      <c r="AL463" s="202"/>
      <c r="AM463" s="202"/>
      <c r="AN463" s="202"/>
      <c r="AR463" s="202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</row>
    <row r="464" customFormat="false" ht="12.75" hidden="false" customHeight="false" outlineLevel="0" collapsed="false">
      <c r="I464" s="204"/>
      <c r="P464" s="202"/>
      <c r="V464" s="202"/>
      <c r="AF464" s="202"/>
      <c r="AG464" s="202"/>
      <c r="AH464" s="202"/>
      <c r="AI464" s="202"/>
      <c r="AJ464" s="202"/>
      <c r="AK464" s="202"/>
      <c r="AL464" s="202"/>
      <c r="AM464" s="202"/>
      <c r="AN464" s="202"/>
      <c r="AR464" s="202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</row>
    <row r="465" customFormat="false" ht="12.75" hidden="false" customHeight="false" outlineLevel="0" collapsed="false">
      <c r="I465" s="204"/>
      <c r="P465" s="202"/>
      <c r="V465" s="202"/>
      <c r="AF465" s="202"/>
      <c r="AG465" s="202"/>
      <c r="AH465" s="202"/>
      <c r="AI465" s="202"/>
      <c r="AJ465" s="202"/>
      <c r="AK465" s="202"/>
      <c r="AL465" s="202"/>
      <c r="AM465" s="202"/>
      <c r="AN465" s="202"/>
      <c r="AR465" s="202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</row>
    <row r="466" customFormat="false" ht="12.75" hidden="false" customHeight="false" outlineLevel="0" collapsed="false">
      <c r="I466" s="204"/>
      <c r="P466" s="202"/>
      <c r="V466" s="202"/>
      <c r="AF466" s="202"/>
      <c r="AG466" s="202"/>
      <c r="AH466" s="202"/>
      <c r="AI466" s="202"/>
      <c r="AJ466" s="202"/>
      <c r="AK466" s="202"/>
      <c r="AL466" s="202"/>
      <c r="AM466" s="202"/>
      <c r="AN466" s="202"/>
      <c r="AR466" s="202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</row>
    <row r="467" customFormat="false" ht="12.75" hidden="false" customHeight="false" outlineLevel="0" collapsed="false">
      <c r="I467" s="204"/>
      <c r="P467" s="202"/>
      <c r="V467" s="202"/>
      <c r="AF467" s="202"/>
      <c r="AG467" s="202"/>
      <c r="AH467" s="202"/>
      <c r="AI467" s="202"/>
      <c r="AJ467" s="202"/>
      <c r="AK467" s="202"/>
      <c r="AL467" s="202"/>
      <c r="AM467" s="202"/>
      <c r="AN467" s="202"/>
      <c r="AR467" s="202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</row>
    <row r="468" customFormat="false" ht="12.75" hidden="false" customHeight="false" outlineLevel="0" collapsed="false">
      <c r="I468" s="204"/>
      <c r="P468" s="202"/>
      <c r="V468" s="202"/>
      <c r="AF468" s="202"/>
      <c r="AG468" s="202"/>
      <c r="AH468" s="202"/>
      <c r="AI468" s="202"/>
      <c r="AJ468" s="202"/>
      <c r="AK468" s="202"/>
      <c r="AL468" s="202"/>
      <c r="AM468" s="202"/>
      <c r="AN468" s="202"/>
      <c r="AR468" s="202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</row>
    <row r="469" customFormat="false" ht="12.75" hidden="false" customHeight="false" outlineLevel="0" collapsed="false">
      <c r="I469" s="204"/>
      <c r="P469" s="202"/>
      <c r="V469" s="202"/>
      <c r="AF469" s="202"/>
      <c r="AG469" s="202"/>
      <c r="AH469" s="202"/>
      <c r="AI469" s="202"/>
      <c r="AJ469" s="202"/>
      <c r="AK469" s="202"/>
      <c r="AL469" s="202"/>
      <c r="AM469" s="202"/>
      <c r="AN469" s="202"/>
      <c r="AR469" s="202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</row>
    <row r="470" customFormat="false" ht="12.75" hidden="false" customHeight="false" outlineLevel="0" collapsed="false">
      <c r="I470" s="204"/>
      <c r="P470" s="202"/>
      <c r="V470" s="202"/>
      <c r="AF470" s="202"/>
      <c r="AG470" s="202"/>
      <c r="AH470" s="202"/>
      <c r="AI470" s="202"/>
      <c r="AJ470" s="202"/>
      <c r="AK470" s="202"/>
      <c r="AL470" s="202"/>
      <c r="AM470" s="202"/>
      <c r="AN470" s="202"/>
      <c r="AR470" s="202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</row>
    <row r="471" customFormat="false" ht="12.75" hidden="false" customHeight="false" outlineLevel="0" collapsed="false">
      <c r="I471" s="204"/>
      <c r="P471" s="202"/>
      <c r="V471" s="202"/>
      <c r="AF471" s="202"/>
      <c r="AG471" s="202"/>
      <c r="AH471" s="202"/>
      <c r="AI471" s="202"/>
      <c r="AJ471" s="202"/>
      <c r="AK471" s="202"/>
      <c r="AL471" s="202"/>
      <c r="AM471" s="202"/>
      <c r="AN471" s="202"/>
      <c r="AR471" s="202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</row>
    <row r="472" customFormat="false" ht="12.75" hidden="false" customHeight="false" outlineLevel="0" collapsed="false">
      <c r="I472" s="204"/>
      <c r="P472" s="202"/>
      <c r="V472" s="202"/>
      <c r="AF472" s="202"/>
      <c r="AG472" s="202"/>
      <c r="AH472" s="202"/>
      <c r="AI472" s="202"/>
      <c r="AJ472" s="202"/>
      <c r="AK472" s="202"/>
      <c r="AL472" s="202"/>
      <c r="AM472" s="202"/>
      <c r="AN472" s="202"/>
      <c r="AR472" s="202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</row>
    <row r="473" customFormat="false" ht="12.75" hidden="false" customHeight="false" outlineLevel="0" collapsed="false">
      <c r="I473" s="204"/>
      <c r="P473" s="202"/>
      <c r="V473" s="202"/>
      <c r="AF473" s="202"/>
      <c r="AG473" s="202"/>
      <c r="AH473" s="202"/>
      <c r="AI473" s="202"/>
      <c r="AJ473" s="202"/>
      <c r="AK473" s="202"/>
      <c r="AL473" s="202"/>
      <c r="AM473" s="202"/>
      <c r="AN473" s="202"/>
      <c r="AR473" s="202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</row>
    <row r="474" customFormat="false" ht="12.75" hidden="false" customHeight="false" outlineLevel="0" collapsed="false">
      <c r="I474" s="204"/>
      <c r="P474" s="202"/>
      <c r="V474" s="202"/>
      <c r="AF474" s="202"/>
      <c r="AG474" s="202"/>
      <c r="AH474" s="202"/>
      <c r="AI474" s="202"/>
      <c r="AJ474" s="202"/>
      <c r="AK474" s="202"/>
      <c r="AL474" s="202"/>
      <c r="AM474" s="202"/>
      <c r="AN474" s="202"/>
      <c r="AR474" s="202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</row>
    <row r="475" customFormat="false" ht="12.75" hidden="false" customHeight="false" outlineLevel="0" collapsed="false">
      <c r="I475" s="204"/>
      <c r="P475" s="202"/>
      <c r="V475" s="202"/>
      <c r="AF475" s="202"/>
      <c r="AG475" s="202"/>
      <c r="AH475" s="202"/>
      <c r="AI475" s="202"/>
      <c r="AJ475" s="202"/>
      <c r="AK475" s="202"/>
      <c r="AL475" s="202"/>
      <c r="AM475" s="202"/>
      <c r="AN475" s="202"/>
      <c r="AR475" s="202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</row>
    <row r="476" customFormat="false" ht="12.75" hidden="false" customHeight="false" outlineLevel="0" collapsed="false">
      <c r="I476" s="204"/>
      <c r="P476" s="202"/>
      <c r="V476" s="202"/>
      <c r="AF476" s="202"/>
      <c r="AG476" s="202"/>
      <c r="AH476" s="202"/>
      <c r="AI476" s="202"/>
      <c r="AJ476" s="202"/>
      <c r="AK476" s="202"/>
      <c r="AL476" s="202"/>
      <c r="AM476" s="202"/>
      <c r="AN476" s="202"/>
      <c r="AR476" s="202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</row>
    <row r="477" customFormat="false" ht="12.75" hidden="false" customHeight="false" outlineLevel="0" collapsed="false">
      <c r="I477" s="204"/>
      <c r="P477" s="202"/>
      <c r="V477" s="202"/>
      <c r="AF477" s="202"/>
      <c r="AG477" s="202"/>
      <c r="AH477" s="202"/>
      <c r="AI477" s="202"/>
      <c r="AJ477" s="202"/>
      <c r="AK477" s="202"/>
      <c r="AL477" s="202"/>
      <c r="AM477" s="202"/>
      <c r="AN477" s="202"/>
      <c r="AR477" s="202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</row>
    <row r="478" customFormat="false" ht="12.75" hidden="false" customHeight="false" outlineLevel="0" collapsed="false">
      <c r="I478" s="204"/>
      <c r="P478" s="202"/>
      <c r="V478" s="202"/>
      <c r="AF478" s="202"/>
      <c r="AG478" s="202"/>
      <c r="AH478" s="202"/>
      <c r="AI478" s="202"/>
      <c r="AJ478" s="202"/>
      <c r="AK478" s="202"/>
      <c r="AL478" s="202"/>
      <c r="AM478" s="202"/>
      <c r="AN478" s="202"/>
      <c r="AR478" s="202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</row>
    <row r="479" customFormat="false" ht="12.75" hidden="false" customHeight="false" outlineLevel="0" collapsed="false">
      <c r="I479" s="204"/>
      <c r="P479" s="202"/>
      <c r="V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R479" s="202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</row>
    <row r="480" customFormat="false" ht="12.75" hidden="false" customHeight="false" outlineLevel="0" collapsed="false">
      <c r="I480" s="204"/>
      <c r="P480" s="202"/>
      <c r="V480" s="202"/>
      <c r="AF480" s="202"/>
      <c r="AG480" s="202"/>
      <c r="AH480" s="202"/>
      <c r="AI480" s="202"/>
      <c r="AJ480" s="202"/>
      <c r="AK480" s="202"/>
      <c r="AL480" s="202"/>
      <c r="AM480" s="202"/>
      <c r="AN480" s="202"/>
      <c r="AR480" s="202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</row>
    <row r="481" customFormat="false" ht="12.75" hidden="false" customHeight="false" outlineLevel="0" collapsed="false">
      <c r="I481" s="204"/>
      <c r="P481" s="202"/>
      <c r="V481" s="202"/>
      <c r="AF481" s="202"/>
      <c r="AG481" s="202"/>
      <c r="AH481" s="202"/>
      <c r="AI481" s="202"/>
      <c r="AJ481" s="202"/>
      <c r="AK481" s="202"/>
      <c r="AL481" s="202"/>
      <c r="AM481" s="202"/>
      <c r="AN481" s="202"/>
      <c r="AR481" s="202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</row>
    <row r="482" customFormat="false" ht="12.75" hidden="false" customHeight="false" outlineLevel="0" collapsed="false">
      <c r="I482" s="204"/>
      <c r="P482" s="202"/>
      <c r="V482" s="202"/>
      <c r="AF482" s="202"/>
      <c r="AG482" s="202"/>
      <c r="AH482" s="202"/>
      <c r="AI482" s="202"/>
      <c r="AJ482" s="202"/>
      <c r="AK482" s="202"/>
      <c r="AL482" s="202"/>
      <c r="AM482" s="202"/>
      <c r="AN482" s="202"/>
      <c r="AR482" s="202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</row>
    <row r="483" customFormat="false" ht="12.75" hidden="false" customHeight="false" outlineLevel="0" collapsed="false">
      <c r="I483" s="204"/>
      <c r="P483" s="202"/>
      <c r="V483" s="202"/>
      <c r="AF483" s="202"/>
      <c r="AG483" s="202"/>
      <c r="AH483" s="202"/>
      <c r="AI483" s="202"/>
      <c r="AJ483" s="202"/>
      <c r="AK483" s="202"/>
      <c r="AL483" s="202"/>
      <c r="AM483" s="202"/>
      <c r="AN483" s="202"/>
      <c r="AR483" s="202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</row>
    <row r="484" customFormat="false" ht="12.75" hidden="false" customHeight="false" outlineLevel="0" collapsed="false">
      <c r="I484" s="204"/>
      <c r="P484" s="202"/>
      <c r="V484" s="202"/>
      <c r="AF484" s="202"/>
      <c r="AG484" s="202"/>
      <c r="AH484" s="202"/>
      <c r="AI484" s="202"/>
      <c r="AJ484" s="202"/>
      <c r="AK484" s="202"/>
      <c r="AL484" s="202"/>
      <c r="AM484" s="202"/>
      <c r="AN484" s="202"/>
      <c r="AR484" s="202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</row>
    <row r="485" customFormat="false" ht="12.75" hidden="false" customHeight="false" outlineLevel="0" collapsed="false">
      <c r="I485" s="204"/>
      <c r="P485" s="202"/>
      <c r="V485" s="202"/>
      <c r="AF485" s="202"/>
      <c r="AG485" s="202"/>
      <c r="AH485" s="202"/>
      <c r="AI485" s="202"/>
      <c r="AJ485" s="202"/>
      <c r="AK485" s="202"/>
      <c r="AL485" s="202"/>
      <c r="AM485" s="202"/>
      <c r="AN485" s="202"/>
      <c r="AR485" s="202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</row>
    <row r="486" customFormat="false" ht="12.75" hidden="false" customHeight="false" outlineLevel="0" collapsed="false">
      <c r="I486" s="204"/>
      <c r="P486" s="202"/>
      <c r="V486" s="202"/>
      <c r="AF486" s="202"/>
      <c r="AG486" s="202"/>
      <c r="AH486" s="202"/>
      <c r="AI486" s="202"/>
      <c r="AJ486" s="202"/>
      <c r="AK486" s="202"/>
      <c r="AL486" s="202"/>
      <c r="AM486" s="202"/>
      <c r="AN486" s="202"/>
      <c r="AR486" s="202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</row>
    <row r="487" customFormat="false" ht="12.75" hidden="false" customHeight="false" outlineLevel="0" collapsed="false">
      <c r="I487" s="204"/>
      <c r="P487" s="202"/>
      <c r="V487" s="202"/>
      <c r="AF487" s="202"/>
      <c r="AG487" s="202"/>
      <c r="AH487" s="202"/>
      <c r="AI487" s="202"/>
      <c r="AJ487" s="202"/>
      <c r="AK487" s="202"/>
      <c r="AL487" s="202"/>
      <c r="AM487" s="202"/>
      <c r="AN487" s="202"/>
      <c r="AR487" s="202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</row>
    <row r="488" customFormat="false" ht="12.75" hidden="false" customHeight="false" outlineLevel="0" collapsed="false">
      <c r="I488" s="204"/>
      <c r="P488" s="202"/>
      <c r="V488" s="202"/>
      <c r="AF488" s="202"/>
      <c r="AG488" s="202"/>
      <c r="AH488" s="202"/>
      <c r="AI488" s="202"/>
      <c r="AJ488" s="202"/>
      <c r="AK488" s="202"/>
      <c r="AL488" s="202"/>
      <c r="AM488" s="202"/>
      <c r="AN488" s="202"/>
      <c r="AR488" s="202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</row>
    <row r="489" customFormat="false" ht="12.75" hidden="false" customHeight="false" outlineLevel="0" collapsed="false">
      <c r="I489" s="204"/>
      <c r="P489" s="202"/>
      <c r="V489" s="202"/>
      <c r="AF489" s="202"/>
      <c r="AG489" s="202"/>
      <c r="AH489" s="202"/>
      <c r="AI489" s="202"/>
      <c r="AJ489" s="202"/>
      <c r="AK489" s="202"/>
      <c r="AL489" s="202"/>
      <c r="AM489" s="202"/>
      <c r="AN489" s="202"/>
      <c r="AR489" s="202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</row>
    <row r="490" customFormat="false" ht="12.75" hidden="false" customHeight="false" outlineLevel="0" collapsed="false">
      <c r="I490" s="204"/>
      <c r="P490" s="202"/>
      <c r="V490" s="202"/>
      <c r="AF490" s="202"/>
      <c r="AG490" s="202"/>
      <c r="AH490" s="202"/>
      <c r="AI490" s="202"/>
      <c r="AJ490" s="202"/>
      <c r="AK490" s="202"/>
      <c r="AL490" s="202"/>
      <c r="AM490" s="202"/>
      <c r="AN490" s="202"/>
      <c r="AR490" s="202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</row>
    <row r="491" customFormat="false" ht="12.75" hidden="false" customHeight="false" outlineLevel="0" collapsed="false">
      <c r="I491" s="204"/>
      <c r="P491" s="202"/>
      <c r="V491" s="202"/>
      <c r="AF491" s="202"/>
      <c r="AG491" s="202"/>
      <c r="AH491" s="202"/>
      <c r="AI491" s="202"/>
      <c r="AJ491" s="202"/>
      <c r="AK491" s="202"/>
      <c r="AL491" s="202"/>
      <c r="AM491" s="202"/>
      <c r="AN491" s="202"/>
      <c r="AR491" s="202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</row>
    <row r="492" customFormat="false" ht="12.75" hidden="false" customHeight="false" outlineLevel="0" collapsed="false">
      <c r="I492" s="204"/>
      <c r="P492" s="202"/>
      <c r="V492" s="202"/>
      <c r="AF492" s="202"/>
      <c r="AG492" s="202"/>
      <c r="AH492" s="202"/>
      <c r="AI492" s="202"/>
      <c r="AJ492" s="202"/>
      <c r="AK492" s="202"/>
      <c r="AL492" s="202"/>
      <c r="AM492" s="202"/>
      <c r="AN492" s="202"/>
      <c r="AR492" s="202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</row>
    <row r="493" customFormat="false" ht="12.75" hidden="false" customHeight="false" outlineLevel="0" collapsed="false">
      <c r="I493" s="204"/>
      <c r="P493" s="202"/>
      <c r="V493" s="202"/>
      <c r="AF493" s="202"/>
      <c r="AG493" s="202"/>
      <c r="AH493" s="202"/>
      <c r="AI493" s="202"/>
      <c r="AJ493" s="202"/>
      <c r="AK493" s="202"/>
      <c r="AL493" s="202"/>
      <c r="AM493" s="202"/>
      <c r="AN493" s="202"/>
      <c r="AR493" s="202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</row>
    <row r="494" customFormat="false" ht="12.75" hidden="false" customHeight="false" outlineLevel="0" collapsed="false">
      <c r="I494" s="204"/>
      <c r="P494" s="202"/>
      <c r="V494" s="202"/>
      <c r="AF494" s="202"/>
      <c r="AG494" s="202"/>
      <c r="AH494" s="202"/>
      <c r="AI494" s="202"/>
      <c r="AJ494" s="202"/>
      <c r="AK494" s="202"/>
      <c r="AL494" s="202"/>
      <c r="AM494" s="202"/>
      <c r="AN494" s="202"/>
      <c r="AR494" s="202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</row>
    <row r="495" customFormat="false" ht="12.75" hidden="false" customHeight="false" outlineLevel="0" collapsed="false">
      <c r="I495" s="204"/>
      <c r="P495" s="202"/>
      <c r="V495" s="202"/>
      <c r="AF495" s="202"/>
      <c r="AG495" s="202"/>
      <c r="AH495" s="202"/>
      <c r="AI495" s="202"/>
      <c r="AJ495" s="202"/>
      <c r="AK495" s="202"/>
      <c r="AL495" s="202"/>
      <c r="AM495" s="202"/>
      <c r="AN495" s="202"/>
      <c r="AR495" s="202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</row>
    <row r="496" customFormat="false" ht="12.75" hidden="false" customHeight="false" outlineLevel="0" collapsed="false">
      <c r="I496" s="204"/>
      <c r="P496" s="202"/>
      <c r="V496" s="202"/>
      <c r="AF496" s="202"/>
      <c r="AG496" s="202"/>
      <c r="AH496" s="202"/>
      <c r="AI496" s="202"/>
      <c r="AJ496" s="202"/>
      <c r="AK496" s="202"/>
      <c r="AL496" s="202"/>
      <c r="AM496" s="202"/>
      <c r="AN496" s="202"/>
      <c r="AR496" s="202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</row>
    <row r="497" customFormat="false" ht="12.75" hidden="false" customHeight="false" outlineLevel="0" collapsed="false">
      <c r="I497" s="204"/>
      <c r="P497" s="202"/>
      <c r="V497" s="202"/>
      <c r="AF497" s="202"/>
      <c r="AG497" s="202"/>
      <c r="AH497" s="202"/>
      <c r="AI497" s="202"/>
      <c r="AJ497" s="202"/>
      <c r="AK497" s="202"/>
      <c r="AL497" s="202"/>
      <c r="AM497" s="202"/>
      <c r="AN497" s="202"/>
      <c r="AR497" s="202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</row>
    <row r="498" customFormat="false" ht="12.75" hidden="false" customHeight="false" outlineLevel="0" collapsed="false">
      <c r="I498" s="204"/>
      <c r="P498" s="202"/>
      <c r="V498" s="202"/>
      <c r="AF498" s="202"/>
      <c r="AG498" s="202"/>
      <c r="AH498" s="202"/>
      <c r="AI498" s="202"/>
      <c r="AJ498" s="202"/>
      <c r="AK498" s="202"/>
      <c r="AL498" s="202"/>
      <c r="AM498" s="202"/>
      <c r="AN498" s="202"/>
      <c r="AR498" s="202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</row>
    <row r="499" customFormat="false" ht="12.75" hidden="false" customHeight="false" outlineLevel="0" collapsed="false">
      <c r="I499" s="204"/>
      <c r="P499" s="202"/>
      <c r="V499" s="202"/>
      <c r="AF499" s="202"/>
      <c r="AG499" s="202"/>
      <c r="AH499" s="202"/>
      <c r="AI499" s="202"/>
      <c r="AJ499" s="202"/>
      <c r="AK499" s="202"/>
      <c r="AL499" s="202"/>
      <c r="AM499" s="202"/>
      <c r="AN499" s="202"/>
      <c r="AR499" s="202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</row>
    <row r="500" customFormat="false" ht="12.75" hidden="false" customHeight="false" outlineLevel="0" collapsed="false">
      <c r="I500" s="204"/>
      <c r="P500" s="202"/>
      <c r="V500" s="202"/>
      <c r="AF500" s="202"/>
      <c r="AG500" s="202"/>
      <c r="AH500" s="202"/>
      <c r="AI500" s="202"/>
      <c r="AJ500" s="202"/>
      <c r="AK500" s="202"/>
      <c r="AL500" s="202"/>
      <c r="AM500" s="202"/>
      <c r="AN500" s="202"/>
      <c r="AR500" s="202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</row>
    <row r="501" customFormat="false" ht="12.75" hidden="false" customHeight="false" outlineLevel="0" collapsed="false">
      <c r="I501" s="204"/>
      <c r="P501" s="202"/>
      <c r="V501" s="202"/>
      <c r="AF501" s="202"/>
      <c r="AG501" s="202"/>
      <c r="AH501" s="202"/>
      <c r="AI501" s="202"/>
      <c r="AJ501" s="202"/>
      <c r="AK501" s="202"/>
      <c r="AL501" s="202"/>
      <c r="AM501" s="202"/>
      <c r="AN501" s="202"/>
      <c r="AR501" s="202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</row>
    <row r="502" customFormat="false" ht="12.75" hidden="false" customHeight="false" outlineLevel="0" collapsed="false">
      <c r="I502" s="204"/>
      <c r="P502" s="202"/>
      <c r="V502" s="202"/>
      <c r="AF502" s="202"/>
      <c r="AG502" s="202"/>
      <c r="AH502" s="202"/>
      <c r="AI502" s="202"/>
      <c r="AJ502" s="202"/>
      <c r="AK502" s="202"/>
      <c r="AL502" s="202"/>
      <c r="AM502" s="202"/>
      <c r="AN502" s="202"/>
      <c r="AR502" s="202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</row>
    <row r="503" customFormat="false" ht="12.75" hidden="false" customHeight="false" outlineLevel="0" collapsed="false">
      <c r="I503" s="204"/>
      <c r="P503" s="202"/>
      <c r="V503" s="202"/>
      <c r="AF503" s="202"/>
      <c r="AG503" s="202"/>
      <c r="AH503" s="202"/>
      <c r="AI503" s="202"/>
      <c r="AJ503" s="202"/>
      <c r="AK503" s="202"/>
      <c r="AL503" s="202"/>
      <c r="AM503" s="202"/>
      <c r="AN503" s="202"/>
      <c r="AR503" s="202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</row>
    <row r="504" customFormat="false" ht="12.75" hidden="false" customHeight="false" outlineLevel="0" collapsed="false">
      <c r="I504" s="204"/>
      <c r="P504" s="202"/>
      <c r="V504" s="202"/>
      <c r="AF504" s="202"/>
      <c r="AG504" s="202"/>
      <c r="AH504" s="202"/>
      <c r="AI504" s="202"/>
      <c r="AJ504" s="202"/>
      <c r="AK504" s="202"/>
      <c r="AL504" s="202"/>
      <c r="AM504" s="202"/>
      <c r="AN504" s="202"/>
      <c r="AR504" s="202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</row>
    <row r="505" customFormat="false" ht="12.75" hidden="false" customHeight="false" outlineLevel="0" collapsed="false">
      <c r="I505" s="204"/>
      <c r="P505" s="202"/>
      <c r="V505" s="202"/>
      <c r="AF505" s="202"/>
      <c r="AG505" s="202"/>
      <c r="AH505" s="202"/>
      <c r="AI505" s="202"/>
      <c r="AJ505" s="202"/>
      <c r="AK505" s="202"/>
      <c r="AL505" s="202"/>
      <c r="AM505" s="202"/>
      <c r="AN505" s="202"/>
      <c r="AR505" s="202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</row>
    <row r="506" customFormat="false" ht="12.75" hidden="false" customHeight="false" outlineLevel="0" collapsed="false">
      <c r="I506" s="204"/>
      <c r="P506" s="202"/>
      <c r="V506" s="202"/>
      <c r="AF506" s="202"/>
      <c r="AG506" s="202"/>
      <c r="AH506" s="202"/>
      <c r="AI506" s="202"/>
      <c r="AJ506" s="202"/>
      <c r="AK506" s="202"/>
      <c r="AL506" s="202"/>
      <c r="AM506" s="202"/>
      <c r="AN506" s="202"/>
      <c r="AR506" s="202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</row>
    <row r="507" customFormat="false" ht="12.75" hidden="false" customHeight="false" outlineLevel="0" collapsed="false">
      <c r="I507" s="204"/>
      <c r="P507" s="202"/>
      <c r="V507" s="202"/>
      <c r="AF507" s="202"/>
      <c r="AG507" s="202"/>
      <c r="AH507" s="202"/>
      <c r="AI507" s="202"/>
      <c r="AJ507" s="202"/>
      <c r="AK507" s="202"/>
      <c r="AL507" s="202"/>
      <c r="AM507" s="202"/>
      <c r="AN507" s="202"/>
      <c r="AR507" s="202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</row>
    <row r="508" customFormat="false" ht="12.75" hidden="false" customHeight="false" outlineLevel="0" collapsed="false">
      <c r="I508" s="204"/>
      <c r="P508" s="202"/>
      <c r="V508" s="202"/>
      <c r="AF508" s="202"/>
      <c r="AG508" s="202"/>
      <c r="AH508" s="202"/>
      <c r="AI508" s="202"/>
      <c r="AJ508" s="202"/>
      <c r="AK508" s="202"/>
      <c r="AL508" s="202"/>
      <c r="AM508" s="202"/>
      <c r="AN508" s="202"/>
      <c r="AR508" s="202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</row>
    <row r="509" customFormat="false" ht="12.75" hidden="false" customHeight="false" outlineLevel="0" collapsed="false">
      <c r="I509" s="204"/>
      <c r="P509" s="202"/>
      <c r="V509" s="202"/>
      <c r="AF509" s="202"/>
      <c r="AG509" s="202"/>
      <c r="AH509" s="202"/>
      <c r="AI509" s="202"/>
      <c r="AJ509" s="202"/>
      <c r="AK509" s="202"/>
      <c r="AL509" s="202"/>
      <c r="AM509" s="202"/>
      <c r="AN509" s="202"/>
      <c r="AR509" s="202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</row>
    <row r="510" customFormat="false" ht="12.75" hidden="false" customHeight="false" outlineLevel="0" collapsed="false">
      <c r="I510" s="204"/>
      <c r="P510" s="202"/>
      <c r="V510" s="202"/>
      <c r="AF510" s="202"/>
      <c r="AG510" s="202"/>
      <c r="AH510" s="202"/>
      <c r="AI510" s="202"/>
      <c r="AJ510" s="202"/>
      <c r="AK510" s="202"/>
      <c r="AL510" s="202"/>
      <c r="AM510" s="202"/>
      <c r="AN510" s="202"/>
      <c r="AR510" s="202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</row>
    <row r="511" customFormat="false" ht="12.75" hidden="false" customHeight="false" outlineLevel="0" collapsed="false">
      <c r="I511" s="204"/>
      <c r="P511" s="202"/>
      <c r="V511" s="202"/>
      <c r="AF511" s="202"/>
      <c r="AG511" s="202"/>
      <c r="AH511" s="202"/>
      <c r="AI511" s="202"/>
      <c r="AJ511" s="202"/>
      <c r="AK511" s="202"/>
      <c r="AL511" s="202"/>
      <c r="AM511" s="202"/>
      <c r="AN511" s="202"/>
      <c r="AR511" s="202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</row>
    <row r="512" customFormat="false" ht="12.75" hidden="false" customHeight="false" outlineLevel="0" collapsed="false">
      <c r="I512" s="204"/>
      <c r="P512" s="202"/>
      <c r="V512" s="202"/>
      <c r="AF512" s="202"/>
      <c r="AG512" s="202"/>
      <c r="AH512" s="202"/>
      <c r="AI512" s="202"/>
      <c r="AJ512" s="202"/>
      <c r="AK512" s="202"/>
      <c r="AL512" s="202"/>
      <c r="AM512" s="202"/>
      <c r="AN512" s="202"/>
      <c r="AR512" s="202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</row>
    <row r="513" customFormat="false" ht="12.75" hidden="false" customHeight="false" outlineLevel="0" collapsed="false">
      <c r="I513" s="204"/>
      <c r="P513" s="202"/>
      <c r="V513" s="202"/>
      <c r="AF513" s="202"/>
      <c r="AG513" s="202"/>
      <c r="AH513" s="202"/>
      <c r="AI513" s="202"/>
      <c r="AJ513" s="202"/>
      <c r="AK513" s="202"/>
      <c r="AL513" s="202"/>
      <c r="AM513" s="202"/>
      <c r="AN513" s="202"/>
      <c r="AR513" s="202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</row>
    <row r="514" customFormat="false" ht="12.75" hidden="false" customHeight="false" outlineLevel="0" collapsed="false">
      <c r="I514" s="204"/>
      <c r="P514" s="202"/>
      <c r="V514" s="202"/>
      <c r="AF514" s="202"/>
      <c r="AG514" s="202"/>
      <c r="AH514" s="202"/>
      <c r="AI514" s="202"/>
      <c r="AJ514" s="202"/>
      <c r="AK514" s="202"/>
      <c r="AL514" s="202"/>
      <c r="AM514" s="202"/>
      <c r="AN514" s="202"/>
      <c r="AR514" s="202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</row>
    <row r="515" customFormat="false" ht="12.75" hidden="false" customHeight="false" outlineLevel="0" collapsed="false">
      <c r="I515" s="204"/>
      <c r="P515" s="202"/>
      <c r="V515" s="202"/>
      <c r="AF515" s="202"/>
      <c r="AG515" s="202"/>
      <c r="AH515" s="202"/>
      <c r="AI515" s="202"/>
      <c r="AJ515" s="202"/>
      <c r="AK515" s="202"/>
      <c r="AL515" s="202"/>
      <c r="AM515" s="202"/>
      <c r="AN515" s="202"/>
      <c r="AR515" s="202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</row>
    <row r="516" customFormat="false" ht="12.75" hidden="false" customHeight="false" outlineLevel="0" collapsed="false">
      <c r="I516" s="204"/>
      <c r="P516" s="202"/>
      <c r="V516" s="202"/>
      <c r="AF516" s="202"/>
      <c r="AG516" s="202"/>
      <c r="AH516" s="202"/>
      <c r="AI516" s="202"/>
      <c r="AJ516" s="202"/>
      <c r="AK516" s="202"/>
      <c r="AL516" s="202"/>
      <c r="AM516" s="202"/>
      <c r="AN516" s="202"/>
      <c r="AR516" s="202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</row>
    <row r="517" customFormat="false" ht="12.75" hidden="false" customHeight="false" outlineLevel="0" collapsed="false">
      <c r="I517" s="204"/>
      <c r="P517" s="202"/>
      <c r="V517" s="202"/>
      <c r="AF517" s="202"/>
      <c r="AG517" s="202"/>
      <c r="AH517" s="202"/>
      <c r="AI517" s="202"/>
      <c r="AJ517" s="202"/>
      <c r="AK517" s="202"/>
      <c r="AL517" s="202"/>
      <c r="AM517" s="202"/>
      <c r="AN517" s="202"/>
      <c r="AR517" s="202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</row>
    <row r="518" customFormat="false" ht="12.75" hidden="false" customHeight="false" outlineLevel="0" collapsed="false">
      <c r="I518" s="204"/>
      <c r="P518" s="202"/>
      <c r="V518" s="202"/>
      <c r="AF518" s="202"/>
      <c r="AG518" s="202"/>
      <c r="AH518" s="202"/>
      <c r="AI518" s="202"/>
      <c r="AJ518" s="202"/>
      <c r="AK518" s="202"/>
      <c r="AL518" s="202"/>
      <c r="AM518" s="202"/>
      <c r="AN518" s="202"/>
      <c r="AR518" s="202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</row>
    <row r="519" customFormat="false" ht="12.75" hidden="false" customHeight="false" outlineLevel="0" collapsed="false">
      <c r="I519" s="204"/>
      <c r="P519" s="202"/>
      <c r="V519" s="202"/>
      <c r="AF519" s="202"/>
      <c r="AG519" s="202"/>
      <c r="AH519" s="202"/>
      <c r="AI519" s="202"/>
      <c r="AJ519" s="202"/>
      <c r="AK519" s="202"/>
      <c r="AL519" s="202"/>
      <c r="AM519" s="202"/>
      <c r="AN519" s="202"/>
      <c r="AR519" s="202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</row>
    <row r="520" customFormat="false" ht="12.75" hidden="false" customHeight="false" outlineLevel="0" collapsed="false">
      <c r="I520" s="204"/>
      <c r="P520" s="202"/>
      <c r="V520" s="202"/>
      <c r="AF520" s="202"/>
      <c r="AG520" s="202"/>
      <c r="AH520" s="202"/>
      <c r="AI520" s="202"/>
      <c r="AJ520" s="202"/>
      <c r="AK520" s="202"/>
      <c r="AL520" s="202"/>
      <c r="AM520" s="202"/>
      <c r="AN520" s="202"/>
      <c r="AR520" s="202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</row>
    <row r="521" customFormat="false" ht="12.75" hidden="false" customHeight="false" outlineLevel="0" collapsed="false">
      <c r="I521" s="204"/>
      <c r="P521" s="202"/>
      <c r="V521" s="202"/>
      <c r="AF521" s="202"/>
      <c r="AG521" s="202"/>
      <c r="AH521" s="202"/>
      <c r="AI521" s="202"/>
      <c r="AJ521" s="202"/>
      <c r="AK521" s="202"/>
      <c r="AL521" s="202"/>
      <c r="AM521" s="202"/>
      <c r="AN521" s="202"/>
      <c r="AR521" s="202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</row>
    <row r="522" customFormat="false" ht="12.75" hidden="false" customHeight="false" outlineLevel="0" collapsed="false">
      <c r="I522" s="204"/>
      <c r="P522" s="202"/>
      <c r="V522" s="202"/>
      <c r="AF522" s="202"/>
      <c r="AG522" s="202"/>
      <c r="AH522" s="202"/>
      <c r="AI522" s="202"/>
      <c r="AJ522" s="202"/>
      <c r="AK522" s="202"/>
      <c r="AL522" s="202"/>
      <c r="AM522" s="202"/>
      <c r="AN522" s="202"/>
      <c r="AR522" s="202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</row>
    <row r="523" customFormat="false" ht="12.75" hidden="false" customHeight="false" outlineLevel="0" collapsed="false">
      <c r="I523" s="204"/>
      <c r="P523" s="202"/>
      <c r="V523" s="202"/>
      <c r="AF523" s="202"/>
      <c r="AG523" s="202"/>
      <c r="AH523" s="202"/>
      <c r="AI523" s="202"/>
      <c r="AJ523" s="202"/>
      <c r="AK523" s="202"/>
      <c r="AL523" s="202"/>
      <c r="AM523" s="202"/>
      <c r="AN523" s="202"/>
      <c r="AR523" s="202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</row>
    <row r="524" customFormat="false" ht="12.75" hidden="false" customHeight="false" outlineLevel="0" collapsed="false">
      <c r="I524" s="204"/>
      <c r="P524" s="202"/>
      <c r="V524" s="202"/>
      <c r="AF524" s="202"/>
      <c r="AG524" s="202"/>
      <c r="AH524" s="202"/>
      <c r="AI524" s="202"/>
      <c r="AJ524" s="202"/>
      <c r="AK524" s="202"/>
      <c r="AL524" s="202"/>
      <c r="AM524" s="202"/>
      <c r="AN524" s="202"/>
      <c r="AR524" s="202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</row>
    <row r="525" customFormat="false" ht="12.75" hidden="false" customHeight="false" outlineLevel="0" collapsed="false">
      <c r="I525" s="204"/>
      <c r="P525" s="202"/>
      <c r="V525" s="202"/>
      <c r="AF525" s="202"/>
      <c r="AG525" s="202"/>
      <c r="AH525" s="202"/>
      <c r="AI525" s="202"/>
      <c r="AJ525" s="202"/>
      <c r="AK525" s="202"/>
      <c r="AL525" s="202"/>
      <c r="AM525" s="202"/>
      <c r="AN525" s="202"/>
      <c r="AR525" s="202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</row>
    <row r="526" customFormat="false" ht="12.75" hidden="false" customHeight="false" outlineLevel="0" collapsed="false">
      <c r="I526" s="204"/>
      <c r="P526" s="202"/>
      <c r="V526" s="202"/>
      <c r="AF526" s="202"/>
      <c r="AG526" s="202"/>
      <c r="AH526" s="202"/>
      <c r="AI526" s="202"/>
      <c r="AJ526" s="202"/>
      <c r="AK526" s="202"/>
      <c r="AL526" s="202"/>
      <c r="AM526" s="202"/>
      <c r="AN526" s="202"/>
      <c r="AR526" s="202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</row>
    <row r="527" customFormat="false" ht="12.75" hidden="false" customHeight="false" outlineLevel="0" collapsed="false">
      <c r="I527" s="204"/>
      <c r="P527" s="202"/>
      <c r="V527" s="202"/>
      <c r="AF527" s="202"/>
      <c r="AG527" s="202"/>
      <c r="AH527" s="202"/>
      <c r="AI527" s="202"/>
      <c r="AJ527" s="202"/>
      <c r="AK527" s="202"/>
      <c r="AL527" s="202"/>
      <c r="AM527" s="202"/>
      <c r="AN527" s="202"/>
      <c r="AR527" s="202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</row>
    <row r="528" customFormat="false" ht="12.75" hidden="false" customHeight="false" outlineLevel="0" collapsed="false">
      <c r="I528" s="204"/>
      <c r="P528" s="202"/>
      <c r="V528" s="202"/>
      <c r="AF528" s="202"/>
      <c r="AG528" s="202"/>
      <c r="AH528" s="202"/>
      <c r="AI528" s="202"/>
      <c r="AJ528" s="202"/>
      <c r="AK528" s="202"/>
      <c r="AL528" s="202"/>
      <c r="AM528" s="202"/>
      <c r="AN528" s="202"/>
      <c r="AR528" s="202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</row>
    <row r="529" customFormat="false" ht="12.75" hidden="false" customHeight="false" outlineLevel="0" collapsed="false">
      <c r="I529" s="204"/>
      <c r="P529" s="202"/>
      <c r="V529" s="202"/>
      <c r="AF529" s="202"/>
      <c r="AG529" s="202"/>
      <c r="AH529" s="202"/>
      <c r="AI529" s="202"/>
      <c r="AJ529" s="202"/>
      <c r="AK529" s="202"/>
      <c r="AL529" s="202"/>
      <c r="AM529" s="202"/>
      <c r="AN529" s="202"/>
      <c r="AR529" s="202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</row>
    <row r="530" customFormat="false" ht="12.75" hidden="false" customHeight="false" outlineLevel="0" collapsed="false">
      <c r="I530" s="204"/>
      <c r="P530" s="202"/>
      <c r="V530" s="202"/>
      <c r="AF530" s="202"/>
      <c r="AG530" s="202"/>
      <c r="AH530" s="202"/>
      <c r="AI530" s="202"/>
      <c r="AJ530" s="202"/>
      <c r="AK530" s="202"/>
      <c r="AL530" s="202"/>
      <c r="AM530" s="202"/>
      <c r="AN530" s="202"/>
      <c r="AR530" s="202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</row>
    <row r="531" customFormat="false" ht="12.75" hidden="false" customHeight="false" outlineLevel="0" collapsed="false">
      <c r="I531" s="204"/>
      <c r="P531" s="202"/>
      <c r="V531" s="202"/>
      <c r="AF531" s="202"/>
      <c r="AG531" s="202"/>
      <c r="AH531" s="202"/>
      <c r="AI531" s="202"/>
      <c r="AJ531" s="202"/>
      <c r="AK531" s="202"/>
      <c r="AL531" s="202"/>
      <c r="AM531" s="202"/>
      <c r="AN531" s="202"/>
      <c r="AR531" s="202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</row>
    <row r="532" customFormat="false" ht="12.75" hidden="false" customHeight="false" outlineLevel="0" collapsed="false">
      <c r="I532" s="204"/>
      <c r="P532" s="202"/>
      <c r="V532" s="202"/>
      <c r="AF532" s="202"/>
      <c r="AG532" s="202"/>
      <c r="AH532" s="202"/>
      <c r="AI532" s="202"/>
      <c r="AJ532" s="202"/>
      <c r="AK532" s="202"/>
      <c r="AL532" s="202"/>
      <c r="AM532" s="202"/>
      <c r="AN532" s="202"/>
      <c r="AR532" s="202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</row>
    <row r="533" customFormat="false" ht="12.75" hidden="false" customHeight="false" outlineLevel="0" collapsed="false">
      <c r="I533" s="204"/>
      <c r="P533" s="202"/>
      <c r="V533" s="202"/>
      <c r="AF533" s="202"/>
      <c r="AG533" s="202"/>
      <c r="AH533" s="202"/>
      <c r="AI533" s="202"/>
      <c r="AJ533" s="202"/>
      <c r="AK533" s="202"/>
      <c r="AL533" s="202"/>
      <c r="AM533" s="202"/>
      <c r="AN533" s="202"/>
      <c r="AR533" s="202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</row>
    <row r="534" customFormat="false" ht="12.75" hidden="false" customHeight="false" outlineLevel="0" collapsed="false">
      <c r="I534" s="204"/>
      <c r="P534" s="202"/>
      <c r="V534" s="202"/>
      <c r="AF534" s="202"/>
      <c r="AG534" s="202"/>
      <c r="AH534" s="202"/>
      <c r="AI534" s="202"/>
      <c r="AJ534" s="202"/>
      <c r="AK534" s="202"/>
      <c r="AL534" s="202"/>
      <c r="AM534" s="202"/>
      <c r="AN534" s="202"/>
      <c r="AR534" s="202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</row>
    <row r="535" customFormat="false" ht="12.75" hidden="false" customHeight="false" outlineLevel="0" collapsed="false">
      <c r="I535" s="204"/>
      <c r="P535" s="202"/>
      <c r="V535" s="202"/>
      <c r="AF535" s="202"/>
      <c r="AG535" s="202"/>
      <c r="AH535" s="202"/>
      <c r="AI535" s="202"/>
      <c r="AJ535" s="202"/>
      <c r="AK535" s="202"/>
      <c r="AL535" s="202"/>
      <c r="AM535" s="202"/>
      <c r="AN535" s="202"/>
      <c r="AR535" s="202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</row>
    <row r="536" customFormat="false" ht="12.75" hidden="false" customHeight="false" outlineLevel="0" collapsed="false">
      <c r="I536" s="204"/>
      <c r="P536" s="202"/>
      <c r="V536" s="202"/>
      <c r="AF536" s="202"/>
      <c r="AG536" s="202"/>
      <c r="AH536" s="202"/>
      <c r="AI536" s="202"/>
      <c r="AJ536" s="202"/>
      <c r="AK536" s="202"/>
      <c r="AL536" s="202"/>
      <c r="AM536" s="202"/>
      <c r="AN536" s="202"/>
      <c r="AR536" s="202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</row>
    <row r="537" customFormat="false" ht="12.75" hidden="false" customHeight="false" outlineLevel="0" collapsed="false">
      <c r="I537" s="204"/>
      <c r="P537" s="202"/>
      <c r="V537" s="202"/>
      <c r="AF537" s="202"/>
      <c r="AG537" s="202"/>
      <c r="AH537" s="202"/>
      <c r="AI537" s="202"/>
      <c r="AJ537" s="202"/>
      <c r="AK537" s="202"/>
      <c r="AL537" s="202"/>
      <c r="AM537" s="202"/>
      <c r="AN537" s="202"/>
      <c r="AR537" s="202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</row>
    <row r="538" customFormat="false" ht="12.75" hidden="false" customHeight="false" outlineLevel="0" collapsed="false">
      <c r="I538" s="204"/>
      <c r="P538" s="202"/>
      <c r="V538" s="202"/>
      <c r="AF538" s="202"/>
      <c r="AG538" s="202"/>
      <c r="AH538" s="202"/>
      <c r="AI538" s="202"/>
      <c r="AJ538" s="202"/>
      <c r="AK538" s="202"/>
      <c r="AL538" s="202"/>
      <c r="AM538" s="202"/>
      <c r="AN538" s="202"/>
      <c r="AR538" s="202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</row>
    <row r="539" customFormat="false" ht="12.75" hidden="false" customHeight="false" outlineLevel="0" collapsed="false">
      <c r="I539" s="204"/>
      <c r="P539" s="202"/>
      <c r="V539" s="202"/>
      <c r="AF539" s="202"/>
      <c r="AG539" s="202"/>
      <c r="AH539" s="202"/>
      <c r="AI539" s="202"/>
      <c r="AJ539" s="202"/>
      <c r="AK539" s="202"/>
      <c r="AL539" s="202"/>
      <c r="AM539" s="202"/>
      <c r="AN539" s="202"/>
      <c r="AR539" s="202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</row>
    <row r="540" customFormat="false" ht="12.75" hidden="false" customHeight="false" outlineLevel="0" collapsed="false">
      <c r="I540" s="204"/>
      <c r="P540" s="202"/>
      <c r="V540" s="202"/>
      <c r="AF540" s="202"/>
      <c r="AG540" s="202"/>
      <c r="AH540" s="202"/>
      <c r="AI540" s="202"/>
      <c r="AJ540" s="202"/>
      <c r="AK540" s="202"/>
      <c r="AL540" s="202"/>
      <c r="AM540" s="202"/>
      <c r="AN540" s="202"/>
      <c r="AR540" s="202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</row>
    <row r="541" customFormat="false" ht="12.75" hidden="false" customHeight="false" outlineLevel="0" collapsed="false">
      <c r="I541" s="204"/>
      <c r="P541" s="202"/>
      <c r="V541" s="202"/>
      <c r="AF541" s="202"/>
      <c r="AG541" s="202"/>
      <c r="AH541" s="202"/>
      <c r="AI541" s="202"/>
      <c r="AJ541" s="202"/>
      <c r="AK541" s="202"/>
      <c r="AL541" s="202"/>
      <c r="AM541" s="202"/>
      <c r="AN541" s="202"/>
      <c r="AR541" s="202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</row>
    <row r="542" customFormat="false" ht="12.75" hidden="false" customHeight="false" outlineLevel="0" collapsed="false">
      <c r="I542" s="204"/>
      <c r="P542" s="202"/>
      <c r="V542" s="202"/>
      <c r="AF542" s="202"/>
      <c r="AG542" s="202"/>
      <c r="AH542" s="202"/>
      <c r="AI542" s="202"/>
      <c r="AJ542" s="202"/>
      <c r="AK542" s="202"/>
      <c r="AL542" s="202"/>
      <c r="AM542" s="202"/>
      <c r="AN542" s="202"/>
      <c r="AR542" s="202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</row>
    <row r="543" customFormat="false" ht="12.75" hidden="false" customHeight="false" outlineLevel="0" collapsed="false">
      <c r="I543" s="204"/>
      <c r="P543" s="202"/>
      <c r="V543" s="202"/>
      <c r="AF543" s="202"/>
      <c r="AG543" s="202"/>
      <c r="AH543" s="202"/>
      <c r="AI543" s="202"/>
      <c r="AJ543" s="202"/>
      <c r="AK543" s="202"/>
      <c r="AL543" s="202"/>
      <c r="AM543" s="202"/>
      <c r="AN543" s="202"/>
      <c r="AR543" s="202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</row>
    <row r="544" customFormat="false" ht="12.75" hidden="false" customHeight="false" outlineLevel="0" collapsed="false">
      <c r="I544" s="204"/>
      <c r="P544" s="202"/>
      <c r="V544" s="202"/>
      <c r="AF544" s="202"/>
      <c r="AG544" s="202"/>
      <c r="AH544" s="202"/>
      <c r="AI544" s="202"/>
      <c r="AJ544" s="202"/>
      <c r="AK544" s="202"/>
      <c r="AL544" s="202"/>
      <c r="AM544" s="202"/>
      <c r="AN544" s="202"/>
      <c r="AR544" s="202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</row>
    <row r="545" customFormat="false" ht="12.75" hidden="false" customHeight="false" outlineLevel="0" collapsed="false">
      <c r="I545" s="204"/>
      <c r="P545" s="202"/>
      <c r="V545" s="202"/>
      <c r="AF545" s="202"/>
      <c r="AG545" s="202"/>
      <c r="AH545" s="202"/>
      <c r="AI545" s="202"/>
      <c r="AJ545" s="202"/>
      <c r="AK545" s="202"/>
      <c r="AL545" s="202"/>
      <c r="AM545" s="202"/>
      <c r="AN545" s="202"/>
      <c r="AR545" s="202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</row>
    <row r="546" customFormat="false" ht="12.75" hidden="false" customHeight="false" outlineLevel="0" collapsed="false">
      <c r="I546" s="204"/>
      <c r="P546" s="202"/>
      <c r="V546" s="202"/>
      <c r="AF546" s="202"/>
      <c r="AG546" s="202"/>
      <c r="AH546" s="202"/>
      <c r="AI546" s="202"/>
      <c r="AJ546" s="202"/>
      <c r="AK546" s="202"/>
      <c r="AL546" s="202"/>
      <c r="AM546" s="202"/>
      <c r="AN546" s="202"/>
      <c r="AR546" s="202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</row>
    <row r="547" customFormat="false" ht="12.75" hidden="false" customHeight="false" outlineLevel="0" collapsed="false">
      <c r="I547" s="204"/>
      <c r="P547" s="202"/>
      <c r="V547" s="202"/>
      <c r="AF547" s="202"/>
      <c r="AG547" s="202"/>
      <c r="AH547" s="202"/>
      <c r="AI547" s="202"/>
      <c r="AJ547" s="202"/>
      <c r="AK547" s="202"/>
      <c r="AL547" s="202"/>
      <c r="AM547" s="202"/>
      <c r="AN547" s="202"/>
      <c r="AR547" s="202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</row>
    <row r="548" customFormat="false" ht="12.75" hidden="false" customHeight="false" outlineLevel="0" collapsed="false">
      <c r="I548" s="204"/>
      <c r="P548" s="202"/>
      <c r="V548" s="202"/>
      <c r="AF548" s="202"/>
      <c r="AG548" s="202"/>
      <c r="AH548" s="202"/>
      <c r="AI548" s="202"/>
      <c r="AJ548" s="202"/>
      <c r="AK548" s="202"/>
      <c r="AL548" s="202"/>
      <c r="AM548" s="202"/>
      <c r="AN548" s="202"/>
      <c r="AR548" s="202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</row>
    <row r="549" customFormat="false" ht="12.75" hidden="false" customHeight="false" outlineLevel="0" collapsed="false">
      <c r="I549" s="204"/>
      <c r="P549" s="202"/>
      <c r="V549" s="202"/>
      <c r="AF549" s="202"/>
      <c r="AG549" s="202"/>
      <c r="AH549" s="202"/>
      <c r="AI549" s="202"/>
      <c r="AJ549" s="202"/>
      <c r="AK549" s="202"/>
      <c r="AL549" s="202"/>
      <c r="AM549" s="202"/>
      <c r="AN549" s="202"/>
      <c r="AR549" s="202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</row>
    <row r="550" customFormat="false" ht="12.75" hidden="false" customHeight="false" outlineLevel="0" collapsed="false">
      <c r="I550" s="204"/>
      <c r="P550" s="202"/>
      <c r="V550" s="202"/>
      <c r="AF550" s="202"/>
      <c r="AG550" s="202"/>
      <c r="AH550" s="202"/>
      <c r="AI550" s="202"/>
      <c r="AJ550" s="202"/>
      <c r="AK550" s="202"/>
      <c r="AL550" s="202"/>
      <c r="AM550" s="202"/>
      <c r="AN550" s="202"/>
      <c r="AR550" s="202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</row>
    <row r="551" customFormat="false" ht="12.75" hidden="false" customHeight="false" outlineLevel="0" collapsed="false">
      <c r="I551" s="204"/>
      <c r="P551" s="202"/>
      <c r="V551" s="202"/>
      <c r="AF551" s="202"/>
      <c r="AG551" s="202"/>
      <c r="AH551" s="202"/>
      <c r="AI551" s="202"/>
      <c r="AJ551" s="202"/>
      <c r="AK551" s="202"/>
      <c r="AL551" s="202"/>
      <c r="AM551" s="202"/>
      <c r="AN551" s="202"/>
      <c r="AR551" s="202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</row>
    <row r="552" customFormat="false" ht="12.75" hidden="false" customHeight="false" outlineLevel="0" collapsed="false">
      <c r="I552" s="204"/>
      <c r="P552" s="202"/>
      <c r="V552" s="202"/>
      <c r="AF552" s="202"/>
      <c r="AG552" s="202"/>
      <c r="AH552" s="202"/>
      <c r="AI552" s="202"/>
      <c r="AJ552" s="202"/>
      <c r="AK552" s="202"/>
      <c r="AL552" s="202"/>
      <c r="AM552" s="202"/>
      <c r="AN552" s="202"/>
      <c r="AR552" s="202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</row>
    <row r="553" customFormat="false" ht="12.75" hidden="false" customHeight="false" outlineLevel="0" collapsed="false">
      <c r="I553" s="204"/>
      <c r="P553" s="202"/>
      <c r="V553" s="202"/>
      <c r="AF553" s="202"/>
      <c r="AG553" s="202"/>
      <c r="AH553" s="202"/>
      <c r="AI553" s="202"/>
      <c r="AJ553" s="202"/>
      <c r="AK553" s="202"/>
      <c r="AL553" s="202"/>
      <c r="AM553" s="202"/>
      <c r="AN553" s="202"/>
      <c r="AR553" s="202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</row>
    <row r="554" customFormat="false" ht="12.75" hidden="false" customHeight="false" outlineLevel="0" collapsed="false">
      <c r="I554" s="204"/>
      <c r="P554" s="202"/>
      <c r="V554" s="202"/>
      <c r="AF554" s="202"/>
      <c r="AG554" s="202"/>
      <c r="AH554" s="202"/>
      <c r="AI554" s="202"/>
      <c r="AJ554" s="202"/>
      <c r="AK554" s="202"/>
      <c r="AL554" s="202"/>
      <c r="AM554" s="202"/>
      <c r="AN554" s="202"/>
      <c r="AR554" s="202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</row>
    <row r="555" customFormat="false" ht="12.75" hidden="false" customHeight="false" outlineLevel="0" collapsed="false">
      <c r="I555" s="204"/>
      <c r="P555" s="202"/>
      <c r="V555" s="202"/>
      <c r="AF555" s="202"/>
      <c r="AG555" s="202"/>
      <c r="AH555" s="202"/>
      <c r="AI555" s="202"/>
      <c r="AJ555" s="202"/>
      <c r="AK555" s="202"/>
      <c r="AL555" s="202"/>
      <c r="AM555" s="202"/>
      <c r="AN555" s="202"/>
      <c r="AR555" s="202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</row>
    <row r="556" customFormat="false" ht="12.75" hidden="false" customHeight="false" outlineLevel="0" collapsed="false">
      <c r="I556" s="204"/>
      <c r="P556" s="202"/>
      <c r="V556" s="202"/>
      <c r="AF556" s="202"/>
      <c r="AG556" s="202"/>
      <c r="AH556" s="202"/>
      <c r="AI556" s="202"/>
      <c r="AJ556" s="202"/>
      <c r="AK556" s="202"/>
      <c r="AL556" s="202"/>
      <c r="AM556" s="202"/>
      <c r="AN556" s="202"/>
      <c r="AR556" s="202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</row>
    <row r="557" customFormat="false" ht="12.75" hidden="false" customHeight="false" outlineLevel="0" collapsed="false">
      <c r="I557" s="204"/>
      <c r="P557" s="202"/>
      <c r="V557" s="202"/>
      <c r="AF557" s="202"/>
      <c r="AG557" s="202"/>
      <c r="AH557" s="202"/>
      <c r="AI557" s="202"/>
      <c r="AJ557" s="202"/>
      <c r="AK557" s="202"/>
      <c r="AL557" s="202"/>
      <c r="AM557" s="202"/>
      <c r="AN557" s="202"/>
      <c r="AR557" s="202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</row>
    <row r="558" customFormat="false" ht="12.75" hidden="false" customHeight="false" outlineLevel="0" collapsed="false">
      <c r="I558" s="204"/>
      <c r="P558" s="202"/>
      <c r="V558" s="202"/>
      <c r="AF558" s="202"/>
      <c r="AG558" s="202"/>
      <c r="AH558" s="202"/>
      <c r="AI558" s="202"/>
      <c r="AJ558" s="202"/>
      <c r="AK558" s="202"/>
      <c r="AL558" s="202"/>
      <c r="AM558" s="202"/>
      <c r="AN558" s="202"/>
      <c r="AR558" s="202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</row>
    <row r="559" customFormat="false" ht="12.75" hidden="false" customHeight="false" outlineLevel="0" collapsed="false">
      <c r="I559" s="204"/>
      <c r="P559" s="202"/>
      <c r="V559" s="202"/>
      <c r="AF559" s="202"/>
      <c r="AG559" s="202"/>
      <c r="AH559" s="202"/>
      <c r="AI559" s="202"/>
      <c r="AJ559" s="202"/>
      <c r="AK559" s="202"/>
      <c r="AL559" s="202"/>
      <c r="AM559" s="202"/>
      <c r="AN559" s="202"/>
      <c r="AR559" s="202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</row>
    <row r="560" customFormat="false" ht="12.75" hidden="false" customHeight="false" outlineLevel="0" collapsed="false">
      <c r="I560" s="204"/>
      <c r="P560" s="202"/>
      <c r="V560" s="202"/>
      <c r="AF560" s="202"/>
      <c r="AG560" s="202"/>
      <c r="AH560" s="202"/>
      <c r="AI560" s="202"/>
      <c r="AJ560" s="202"/>
      <c r="AK560" s="202"/>
      <c r="AL560" s="202"/>
      <c r="AM560" s="202"/>
      <c r="AN560" s="202"/>
      <c r="AR560" s="202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</row>
    <row r="561" customFormat="false" ht="12.75" hidden="false" customHeight="false" outlineLevel="0" collapsed="false">
      <c r="I561" s="204"/>
      <c r="P561" s="202"/>
      <c r="V561" s="202"/>
      <c r="AF561" s="202"/>
      <c r="AG561" s="202"/>
      <c r="AH561" s="202"/>
      <c r="AI561" s="202"/>
      <c r="AJ561" s="202"/>
      <c r="AK561" s="202"/>
      <c r="AL561" s="202"/>
      <c r="AM561" s="202"/>
      <c r="AN561" s="202"/>
      <c r="AR561" s="202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</row>
    <row r="562" customFormat="false" ht="12.75" hidden="false" customHeight="false" outlineLevel="0" collapsed="false">
      <c r="I562" s="204"/>
      <c r="P562" s="202"/>
      <c r="V562" s="202"/>
      <c r="AF562" s="202"/>
      <c r="AG562" s="202"/>
      <c r="AH562" s="202"/>
      <c r="AI562" s="202"/>
      <c r="AJ562" s="202"/>
      <c r="AK562" s="202"/>
      <c r="AL562" s="202"/>
      <c r="AM562" s="202"/>
      <c r="AN562" s="202"/>
      <c r="AR562" s="202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</row>
    <row r="563" customFormat="false" ht="12.75" hidden="false" customHeight="false" outlineLevel="0" collapsed="false">
      <c r="I563" s="204"/>
      <c r="P563" s="202"/>
      <c r="V563" s="202"/>
      <c r="AF563" s="202"/>
      <c r="AG563" s="202"/>
      <c r="AH563" s="202"/>
      <c r="AI563" s="202"/>
      <c r="AJ563" s="202"/>
      <c r="AK563" s="202"/>
      <c r="AL563" s="202"/>
      <c r="AM563" s="202"/>
      <c r="AN563" s="202"/>
      <c r="AR563" s="202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</row>
    <row r="564" customFormat="false" ht="12.75" hidden="false" customHeight="false" outlineLevel="0" collapsed="false">
      <c r="I564" s="204"/>
      <c r="P564" s="202"/>
      <c r="V564" s="202"/>
      <c r="AF564" s="202"/>
      <c r="AG564" s="202"/>
      <c r="AH564" s="202"/>
      <c r="AI564" s="202"/>
      <c r="AJ564" s="202"/>
      <c r="AK564" s="202"/>
      <c r="AL564" s="202"/>
      <c r="AM564" s="202"/>
      <c r="AN564" s="202"/>
      <c r="AR564" s="202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</row>
    <row r="565" customFormat="false" ht="12.75" hidden="false" customHeight="false" outlineLevel="0" collapsed="false">
      <c r="I565" s="204"/>
      <c r="P565" s="202"/>
      <c r="V565" s="202"/>
      <c r="AF565" s="202"/>
      <c r="AG565" s="202"/>
      <c r="AH565" s="202"/>
      <c r="AI565" s="202"/>
      <c r="AJ565" s="202"/>
      <c r="AK565" s="202"/>
      <c r="AL565" s="202"/>
      <c r="AM565" s="202"/>
      <c r="AN565" s="202"/>
      <c r="AR565" s="202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</row>
    <row r="566" customFormat="false" ht="12.75" hidden="false" customHeight="false" outlineLevel="0" collapsed="false">
      <c r="I566" s="204"/>
      <c r="P566" s="202"/>
      <c r="V566" s="202"/>
      <c r="AF566" s="202"/>
      <c r="AG566" s="202"/>
      <c r="AH566" s="202"/>
      <c r="AI566" s="202"/>
      <c r="AJ566" s="202"/>
      <c r="AK566" s="202"/>
      <c r="AL566" s="202"/>
      <c r="AM566" s="202"/>
      <c r="AN566" s="202"/>
      <c r="AR566" s="202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</row>
    <row r="567" customFormat="false" ht="12.75" hidden="false" customHeight="false" outlineLevel="0" collapsed="false">
      <c r="I567" s="204"/>
      <c r="P567" s="202"/>
      <c r="V567" s="202"/>
      <c r="AF567" s="202"/>
      <c r="AG567" s="202"/>
      <c r="AH567" s="202"/>
      <c r="AI567" s="202"/>
      <c r="AJ567" s="202"/>
      <c r="AK567" s="202"/>
      <c r="AL567" s="202"/>
      <c r="AM567" s="202"/>
      <c r="AN567" s="202"/>
      <c r="AR567" s="202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</row>
    <row r="568" customFormat="false" ht="12.75" hidden="false" customHeight="false" outlineLevel="0" collapsed="false">
      <c r="I568" s="204"/>
      <c r="P568" s="202"/>
      <c r="V568" s="202"/>
      <c r="AF568" s="202"/>
      <c r="AG568" s="202"/>
      <c r="AH568" s="202"/>
      <c r="AI568" s="202"/>
      <c r="AJ568" s="202"/>
      <c r="AK568" s="202"/>
      <c r="AL568" s="202"/>
      <c r="AM568" s="202"/>
      <c r="AN568" s="202"/>
      <c r="AR568" s="202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</row>
    <row r="569" customFormat="false" ht="12.75" hidden="false" customHeight="false" outlineLevel="0" collapsed="false">
      <c r="I569" s="204"/>
      <c r="P569" s="202"/>
      <c r="V569" s="202"/>
      <c r="AF569" s="202"/>
      <c r="AG569" s="202"/>
      <c r="AH569" s="202"/>
      <c r="AI569" s="202"/>
      <c r="AJ569" s="202"/>
      <c r="AK569" s="202"/>
      <c r="AL569" s="202"/>
      <c r="AM569" s="202"/>
      <c r="AN569" s="202"/>
      <c r="AR569" s="202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</row>
    <row r="570" customFormat="false" ht="12.75" hidden="false" customHeight="false" outlineLevel="0" collapsed="false">
      <c r="I570" s="204"/>
      <c r="P570" s="202"/>
      <c r="V570" s="202"/>
      <c r="AF570" s="202"/>
      <c r="AG570" s="202"/>
      <c r="AH570" s="202"/>
      <c r="AI570" s="202"/>
      <c r="AJ570" s="202"/>
      <c r="AK570" s="202"/>
      <c r="AL570" s="202"/>
      <c r="AM570" s="202"/>
      <c r="AN570" s="202"/>
      <c r="AR570" s="202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</row>
    <row r="571" customFormat="false" ht="12.75" hidden="false" customHeight="false" outlineLevel="0" collapsed="false">
      <c r="I571" s="204"/>
      <c r="P571" s="202"/>
      <c r="V571" s="202"/>
      <c r="AF571" s="202"/>
      <c r="AG571" s="202"/>
      <c r="AH571" s="202"/>
      <c r="AI571" s="202"/>
      <c r="AJ571" s="202"/>
      <c r="AK571" s="202"/>
      <c r="AL571" s="202"/>
      <c r="AM571" s="202"/>
      <c r="AN571" s="202"/>
      <c r="AR571" s="202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</row>
    <row r="572" customFormat="false" ht="12.75" hidden="false" customHeight="false" outlineLevel="0" collapsed="false">
      <c r="I572" s="204"/>
      <c r="P572" s="202"/>
      <c r="V572" s="202"/>
      <c r="AF572" s="202"/>
      <c r="AG572" s="202"/>
      <c r="AH572" s="202"/>
      <c r="AI572" s="202"/>
      <c r="AJ572" s="202"/>
      <c r="AK572" s="202"/>
      <c r="AL572" s="202"/>
      <c r="AM572" s="202"/>
      <c r="AN572" s="202"/>
      <c r="AR572" s="202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</row>
    <row r="573" customFormat="false" ht="12.75" hidden="false" customHeight="false" outlineLevel="0" collapsed="false">
      <c r="I573" s="204"/>
      <c r="P573" s="202"/>
      <c r="V573" s="202"/>
      <c r="AF573" s="202"/>
      <c r="AG573" s="202"/>
      <c r="AH573" s="202"/>
      <c r="AI573" s="202"/>
      <c r="AJ573" s="202"/>
      <c r="AK573" s="202"/>
      <c r="AL573" s="202"/>
      <c r="AM573" s="202"/>
      <c r="AN573" s="202"/>
      <c r="AR573" s="202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</row>
    <row r="574" customFormat="false" ht="12.75" hidden="false" customHeight="false" outlineLevel="0" collapsed="false">
      <c r="I574" s="204"/>
      <c r="P574" s="202"/>
      <c r="V574" s="202"/>
      <c r="AF574" s="202"/>
      <c r="AG574" s="202"/>
      <c r="AH574" s="202"/>
      <c r="AI574" s="202"/>
      <c r="AJ574" s="202"/>
      <c r="AK574" s="202"/>
      <c r="AL574" s="202"/>
      <c r="AM574" s="202"/>
      <c r="AN574" s="202"/>
      <c r="AR574" s="202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</row>
    <row r="575" customFormat="false" ht="12.75" hidden="false" customHeight="false" outlineLevel="0" collapsed="false">
      <c r="I575" s="204"/>
      <c r="P575" s="202"/>
      <c r="V575" s="202"/>
      <c r="AF575" s="202"/>
      <c r="AG575" s="202"/>
      <c r="AH575" s="202"/>
      <c r="AI575" s="202"/>
      <c r="AJ575" s="202"/>
      <c r="AK575" s="202"/>
      <c r="AL575" s="202"/>
      <c r="AM575" s="202"/>
      <c r="AN575" s="202"/>
      <c r="AR575" s="202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</row>
    <row r="576" customFormat="false" ht="12.75" hidden="false" customHeight="false" outlineLevel="0" collapsed="false">
      <c r="I576" s="204"/>
      <c r="P576" s="202"/>
      <c r="V576" s="202"/>
      <c r="AF576" s="202"/>
      <c r="AG576" s="202"/>
      <c r="AH576" s="202"/>
      <c r="AI576" s="202"/>
      <c r="AJ576" s="202"/>
      <c r="AK576" s="202"/>
      <c r="AL576" s="202"/>
      <c r="AM576" s="202"/>
      <c r="AN576" s="202"/>
      <c r="AR576" s="202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</row>
    <row r="577" customFormat="false" ht="12.75" hidden="false" customHeight="false" outlineLevel="0" collapsed="false">
      <c r="I577" s="204"/>
      <c r="P577" s="202"/>
      <c r="V577" s="202"/>
      <c r="AF577" s="202"/>
      <c r="AG577" s="202"/>
      <c r="AH577" s="202"/>
      <c r="AI577" s="202"/>
      <c r="AJ577" s="202"/>
      <c r="AK577" s="202"/>
      <c r="AL577" s="202"/>
      <c r="AM577" s="202"/>
      <c r="AN577" s="202"/>
      <c r="AR577" s="202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</row>
    <row r="578" customFormat="false" ht="12.75" hidden="false" customHeight="false" outlineLevel="0" collapsed="false">
      <c r="I578" s="204"/>
      <c r="P578" s="202"/>
      <c r="V578" s="202"/>
      <c r="AF578" s="202"/>
      <c r="AG578" s="202"/>
      <c r="AH578" s="202"/>
      <c r="AI578" s="202"/>
      <c r="AJ578" s="202"/>
      <c r="AK578" s="202"/>
      <c r="AL578" s="202"/>
      <c r="AM578" s="202"/>
      <c r="AN578" s="202"/>
      <c r="AR578" s="202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</row>
    <row r="579" customFormat="false" ht="12.75" hidden="false" customHeight="false" outlineLevel="0" collapsed="false">
      <c r="I579" s="204"/>
      <c r="P579" s="202"/>
      <c r="V579" s="202"/>
      <c r="AF579" s="202"/>
      <c r="AG579" s="202"/>
      <c r="AH579" s="202"/>
      <c r="AI579" s="202"/>
      <c r="AJ579" s="202"/>
      <c r="AK579" s="202"/>
      <c r="AL579" s="202"/>
      <c r="AM579" s="202"/>
      <c r="AN579" s="202"/>
      <c r="AR579" s="202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</row>
    <row r="580" customFormat="false" ht="12.75" hidden="false" customHeight="false" outlineLevel="0" collapsed="false">
      <c r="I580" s="204"/>
      <c r="P580" s="202"/>
      <c r="V580" s="202"/>
      <c r="AF580" s="202"/>
      <c r="AG580" s="202"/>
      <c r="AH580" s="202"/>
      <c r="AI580" s="202"/>
      <c r="AJ580" s="202"/>
      <c r="AK580" s="202"/>
      <c r="AL580" s="202"/>
      <c r="AM580" s="202"/>
      <c r="AN580" s="202"/>
      <c r="AR580" s="202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</row>
    <row r="581" customFormat="false" ht="12.75" hidden="false" customHeight="false" outlineLevel="0" collapsed="false">
      <c r="I581" s="204"/>
      <c r="P581" s="202"/>
      <c r="V581" s="202"/>
      <c r="AF581" s="202"/>
      <c r="AG581" s="202"/>
      <c r="AH581" s="202"/>
      <c r="AI581" s="202"/>
      <c r="AJ581" s="202"/>
      <c r="AK581" s="202"/>
      <c r="AL581" s="202"/>
      <c r="AM581" s="202"/>
      <c r="AN581" s="202"/>
      <c r="AR581" s="202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</row>
    <row r="582" customFormat="false" ht="12.75" hidden="false" customHeight="false" outlineLevel="0" collapsed="false">
      <c r="I582" s="204"/>
      <c r="P582" s="202"/>
      <c r="V582" s="202"/>
      <c r="AF582" s="202"/>
      <c r="AG582" s="202"/>
      <c r="AH582" s="202"/>
      <c r="AI582" s="202"/>
      <c r="AJ582" s="202"/>
      <c r="AK582" s="202"/>
      <c r="AL582" s="202"/>
      <c r="AM582" s="202"/>
      <c r="AN582" s="202"/>
      <c r="AR582" s="202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</row>
    <row r="583" customFormat="false" ht="12.75" hidden="false" customHeight="false" outlineLevel="0" collapsed="false">
      <c r="I583" s="204"/>
      <c r="P583" s="202"/>
      <c r="V583" s="202"/>
      <c r="AF583" s="202"/>
      <c r="AG583" s="202"/>
      <c r="AH583" s="202"/>
      <c r="AI583" s="202"/>
      <c r="AJ583" s="202"/>
      <c r="AK583" s="202"/>
      <c r="AL583" s="202"/>
      <c r="AM583" s="202"/>
      <c r="AN583" s="202"/>
      <c r="AR583" s="202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</row>
    <row r="584" customFormat="false" ht="12.75" hidden="false" customHeight="false" outlineLevel="0" collapsed="false">
      <c r="I584" s="204"/>
      <c r="P584" s="202"/>
      <c r="V584" s="202"/>
      <c r="AF584" s="202"/>
      <c r="AG584" s="202"/>
      <c r="AH584" s="202"/>
      <c r="AI584" s="202"/>
      <c r="AJ584" s="202"/>
      <c r="AK584" s="202"/>
      <c r="AL584" s="202"/>
      <c r="AM584" s="202"/>
      <c r="AN584" s="202"/>
      <c r="AR584" s="202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</row>
    <row r="585" customFormat="false" ht="12.75" hidden="false" customHeight="false" outlineLevel="0" collapsed="false">
      <c r="I585" s="204"/>
      <c r="P585" s="202"/>
      <c r="V585" s="202"/>
      <c r="AF585" s="202"/>
      <c r="AG585" s="202"/>
      <c r="AH585" s="202"/>
      <c r="AI585" s="202"/>
      <c r="AJ585" s="202"/>
      <c r="AK585" s="202"/>
      <c r="AL585" s="202"/>
      <c r="AM585" s="202"/>
      <c r="AN585" s="202"/>
      <c r="AR585" s="202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</row>
    <row r="586" customFormat="false" ht="12.75" hidden="false" customHeight="false" outlineLevel="0" collapsed="false">
      <c r="I586" s="204"/>
      <c r="P586" s="202"/>
      <c r="V586" s="202"/>
      <c r="AF586" s="202"/>
      <c r="AG586" s="202"/>
      <c r="AH586" s="202"/>
      <c r="AI586" s="202"/>
      <c r="AJ586" s="202"/>
      <c r="AK586" s="202"/>
      <c r="AL586" s="202"/>
      <c r="AM586" s="202"/>
      <c r="AN586" s="202"/>
      <c r="AR586" s="202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</row>
    <row r="587" customFormat="false" ht="12.75" hidden="false" customHeight="false" outlineLevel="0" collapsed="false">
      <c r="I587" s="204"/>
      <c r="P587" s="202"/>
      <c r="V587" s="202"/>
      <c r="AF587" s="202"/>
      <c r="AG587" s="202"/>
      <c r="AH587" s="202"/>
      <c r="AI587" s="202"/>
      <c r="AJ587" s="202"/>
      <c r="AK587" s="202"/>
      <c r="AL587" s="202"/>
      <c r="AM587" s="202"/>
      <c r="AN587" s="202"/>
      <c r="AR587" s="202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</row>
    <row r="588" customFormat="false" ht="12.75" hidden="false" customHeight="false" outlineLevel="0" collapsed="false">
      <c r="I588" s="204"/>
      <c r="P588" s="202"/>
      <c r="V588" s="202"/>
      <c r="AF588" s="202"/>
      <c r="AG588" s="202"/>
      <c r="AH588" s="202"/>
      <c r="AI588" s="202"/>
      <c r="AJ588" s="202"/>
      <c r="AK588" s="202"/>
      <c r="AL588" s="202"/>
      <c r="AM588" s="202"/>
      <c r="AN588" s="202"/>
      <c r="AR588" s="202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</row>
    <row r="589" customFormat="false" ht="12.75" hidden="false" customHeight="false" outlineLevel="0" collapsed="false">
      <c r="I589" s="204"/>
      <c r="P589" s="202"/>
      <c r="V589" s="202"/>
      <c r="AF589" s="202"/>
      <c r="AG589" s="202"/>
      <c r="AH589" s="202"/>
      <c r="AI589" s="202"/>
      <c r="AJ589" s="202"/>
      <c r="AK589" s="202"/>
      <c r="AL589" s="202"/>
      <c r="AM589" s="202"/>
      <c r="AN589" s="202"/>
      <c r="AR589" s="202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</row>
    <row r="590" customFormat="false" ht="12.75" hidden="false" customHeight="false" outlineLevel="0" collapsed="false">
      <c r="I590" s="204"/>
      <c r="P590" s="202"/>
      <c r="V590" s="202"/>
      <c r="AF590" s="202"/>
      <c r="AG590" s="202"/>
      <c r="AH590" s="202"/>
      <c r="AI590" s="202"/>
      <c r="AJ590" s="202"/>
      <c r="AK590" s="202"/>
      <c r="AL590" s="202"/>
      <c r="AM590" s="202"/>
      <c r="AN590" s="202"/>
      <c r="AR590" s="202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</row>
    <row r="591" customFormat="false" ht="12.75" hidden="false" customHeight="false" outlineLevel="0" collapsed="false">
      <c r="I591" s="204"/>
      <c r="P591" s="202"/>
      <c r="V591" s="202"/>
      <c r="AF591" s="202"/>
      <c r="AG591" s="202"/>
      <c r="AH591" s="202"/>
      <c r="AI591" s="202"/>
      <c r="AJ591" s="202"/>
      <c r="AK591" s="202"/>
      <c r="AL591" s="202"/>
      <c r="AM591" s="202"/>
      <c r="AN591" s="202"/>
      <c r="AR591" s="202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</row>
    <row r="592" customFormat="false" ht="12.75" hidden="false" customHeight="false" outlineLevel="0" collapsed="false">
      <c r="I592" s="204"/>
      <c r="P592" s="202"/>
      <c r="V592" s="202"/>
      <c r="AF592" s="202"/>
      <c r="AG592" s="202"/>
      <c r="AH592" s="202"/>
      <c r="AI592" s="202"/>
      <c r="AJ592" s="202"/>
      <c r="AK592" s="202"/>
      <c r="AL592" s="202"/>
      <c r="AM592" s="202"/>
      <c r="AN592" s="202"/>
      <c r="AR592" s="202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</row>
    <row r="593" customFormat="false" ht="12.75" hidden="false" customHeight="false" outlineLevel="0" collapsed="false">
      <c r="I593" s="204"/>
      <c r="P593" s="202"/>
      <c r="V593" s="202"/>
      <c r="AF593" s="202"/>
      <c r="AG593" s="202"/>
      <c r="AH593" s="202"/>
      <c r="AI593" s="202"/>
      <c r="AJ593" s="202"/>
      <c r="AK593" s="202"/>
      <c r="AL593" s="202"/>
      <c r="AM593" s="202"/>
      <c r="AN593" s="202"/>
      <c r="AR593" s="202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</row>
    <row r="594" customFormat="false" ht="12.75" hidden="false" customHeight="false" outlineLevel="0" collapsed="false">
      <c r="I594" s="204"/>
      <c r="P594" s="202"/>
      <c r="V594" s="202"/>
      <c r="AF594" s="202"/>
      <c r="AG594" s="202"/>
      <c r="AH594" s="202"/>
      <c r="AI594" s="202"/>
      <c r="AJ594" s="202"/>
      <c r="AK594" s="202"/>
      <c r="AL594" s="202"/>
      <c r="AM594" s="202"/>
      <c r="AN594" s="202"/>
      <c r="AR594" s="202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</row>
    <row r="595" customFormat="false" ht="12.75" hidden="false" customHeight="false" outlineLevel="0" collapsed="false">
      <c r="I595" s="204"/>
      <c r="P595" s="202"/>
      <c r="V595" s="202"/>
      <c r="AF595" s="202"/>
      <c r="AG595" s="202"/>
      <c r="AH595" s="202"/>
      <c r="AI595" s="202"/>
      <c r="AJ595" s="202"/>
      <c r="AK595" s="202"/>
      <c r="AL595" s="202"/>
      <c r="AM595" s="202"/>
      <c r="AN595" s="202"/>
      <c r="AR595" s="202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</row>
    <row r="596" customFormat="false" ht="12.75" hidden="false" customHeight="false" outlineLevel="0" collapsed="false">
      <c r="I596" s="204"/>
      <c r="P596" s="202"/>
      <c r="V596" s="202"/>
      <c r="AF596" s="202"/>
      <c r="AG596" s="202"/>
      <c r="AH596" s="202"/>
      <c r="AI596" s="202"/>
      <c r="AJ596" s="202"/>
      <c r="AK596" s="202"/>
      <c r="AL596" s="202"/>
      <c r="AM596" s="202"/>
      <c r="AN596" s="202"/>
      <c r="AR596" s="202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</row>
    <row r="597" customFormat="false" ht="12.75" hidden="false" customHeight="false" outlineLevel="0" collapsed="false">
      <c r="I597" s="204"/>
      <c r="P597" s="202"/>
      <c r="V597" s="202"/>
      <c r="AF597" s="202"/>
      <c r="AG597" s="202"/>
      <c r="AH597" s="202"/>
      <c r="AI597" s="202"/>
      <c r="AJ597" s="202"/>
      <c r="AK597" s="202"/>
      <c r="AL597" s="202"/>
      <c r="AM597" s="202"/>
      <c r="AN597" s="202"/>
      <c r="AR597" s="202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</row>
    <row r="598" customFormat="false" ht="12.75" hidden="false" customHeight="false" outlineLevel="0" collapsed="false">
      <c r="I598" s="204"/>
      <c r="P598" s="202"/>
      <c r="V598" s="202"/>
      <c r="AF598" s="202"/>
      <c r="AG598" s="202"/>
      <c r="AH598" s="202"/>
      <c r="AI598" s="202"/>
      <c r="AJ598" s="202"/>
      <c r="AK598" s="202"/>
      <c r="AL598" s="202"/>
      <c r="AM598" s="202"/>
      <c r="AN598" s="202"/>
      <c r="AR598" s="202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</row>
    <row r="599" customFormat="false" ht="12.75" hidden="false" customHeight="false" outlineLevel="0" collapsed="false">
      <c r="I599" s="204"/>
      <c r="P599" s="202"/>
      <c r="V599" s="202"/>
      <c r="AF599" s="202"/>
      <c r="AG599" s="202"/>
      <c r="AH599" s="202"/>
      <c r="AI599" s="202"/>
      <c r="AJ599" s="202"/>
      <c r="AK599" s="202"/>
      <c r="AL599" s="202"/>
      <c r="AM599" s="202"/>
      <c r="AN599" s="202"/>
      <c r="AR599" s="202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</row>
    <row r="600" customFormat="false" ht="12.75" hidden="false" customHeight="false" outlineLevel="0" collapsed="false">
      <c r="I600" s="204"/>
      <c r="P600" s="202"/>
      <c r="V600" s="202"/>
      <c r="AF600" s="202"/>
      <c r="AG600" s="202"/>
      <c r="AH600" s="202"/>
      <c r="AI600" s="202"/>
      <c r="AJ600" s="202"/>
      <c r="AK600" s="202"/>
      <c r="AL600" s="202"/>
      <c r="AM600" s="202"/>
      <c r="AN600" s="202"/>
      <c r="AR600" s="202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</row>
    <row r="601" customFormat="false" ht="12.75" hidden="false" customHeight="false" outlineLevel="0" collapsed="false">
      <c r="I601" s="204"/>
      <c r="P601" s="202"/>
      <c r="V601" s="202"/>
      <c r="AF601" s="202"/>
      <c r="AG601" s="202"/>
      <c r="AH601" s="202"/>
      <c r="AI601" s="202"/>
      <c r="AJ601" s="202"/>
      <c r="AK601" s="202"/>
      <c r="AL601" s="202"/>
      <c r="AM601" s="202"/>
      <c r="AN601" s="202"/>
      <c r="AR601" s="202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</row>
    <row r="602" customFormat="false" ht="12.75" hidden="false" customHeight="false" outlineLevel="0" collapsed="false">
      <c r="I602" s="204"/>
      <c r="P602" s="202"/>
      <c r="V602" s="202"/>
      <c r="AF602" s="202"/>
      <c r="AG602" s="202"/>
      <c r="AH602" s="202"/>
      <c r="AI602" s="202"/>
      <c r="AJ602" s="202"/>
      <c r="AK602" s="202"/>
      <c r="AL602" s="202"/>
      <c r="AM602" s="202"/>
      <c r="AN602" s="202"/>
      <c r="AR602" s="202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</row>
    <row r="603" customFormat="false" ht="12.75" hidden="false" customHeight="false" outlineLevel="0" collapsed="false">
      <c r="I603" s="204"/>
      <c r="P603" s="202"/>
      <c r="V603" s="202"/>
      <c r="AF603" s="202"/>
      <c r="AG603" s="202"/>
      <c r="AH603" s="202"/>
      <c r="AI603" s="202"/>
      <c r="AJ603" s="202"/>
      <c r="AK603" s="202"/>
      <c r="AL603" s="202"/>
      <c r="AM603" s="202"/>
      <c r="AN603" s="202"/>
      <c r="AR603" s="202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</row>
    <row r="604" customFormat="false" ht="12.75" hidden="false" customHeight="false" outlineLevel="0" collapsed="false">
      <c r="I604" s="204"/>
      <c r="P604" s="202"/>
      <c r="V604" s="202"/>
      <c r="AF604" s="202"/>
      <c r="AG604" s="202"/>
      <c r="AH604" s="202"/>
      <c r="AI604" s="202"/>
      <c r="AJ604" s="202"/>
      <c r="AK604" s="202"/>
      <c r="AL604" s="202"/>
      <c r="AM604" s="202"/>
      <c r="AN604" s="202"/>
      <c r="AR604" s="202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</row>
    <row r="605" customFormat="false" ht="12.75" hidden="false" customHeight="false" outlineLevel="0" collapsed="false">
      <c r="I605" s="204"/>
      <c r="P605" s="202"/>
      <c r="V605" s="202"/>
      <c r="AF605" s="202"/>
      <c r="AG605" s="202"/>
      <c r="AH605" s="202"/>
      <c r="AI605" s="202"/>
      <c r="AJ605" s="202"/>
      <c r="AK605" s="202"/>
      <c r="AL605" s="202"/>
      <c r="AM605" s="202"/>
      <c r="AN605" s="202"/>
      <c r="AR605" s="202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</row>
    <row r="606" customFormat="false" ht="12.75" hidden="false" customHeight="false" outlineLevel="0" collapsed="false">
      <c r="I606" s="204"/>
      <c r="P606" s="202"/>
      <c r="V606" s="202"/>
      <c r="AF606" s="202"/>
      <c r="AG606" s="202"/>
      <c r="AH606" s="202"/>
      <c r="AI606" s="202"/>
      <c r="AJ606" s="202"/>
      <c r="AK606" s="202"/>
      <c r="AL606" s="202"/>
      <c r="AM606" s="202"/>
      <c r="AN606" s="202"/>
      <c r="AR606" s="202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</row>
    <row r="607" customFormat="false" ht="12.75" hidden="false" customHeight="false" outlineLevel="0" collapsed="false">
      <c r="I607" s="204"/>
      <c r="P607" s="202"/>
      <c r="V607" s="202"/>
      <c r="AF607" s="202"/>
      <c r="AG607" s="202"/>
      <c r="AH607" s="202"/>
      <c r="AI607" s="202"/>
      <c r="AJ607" s="202"/>
      <c r="AK607" s="202"/>
      <c r="AL607" s="202"/>
      <c r="AM607" s="202"/>
      <c r="AN607" s="202"/>
      <c r="AR607" s="202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</row>
    <row r="608" customFormat="false" ht="12.75" hidden="false" customHeight="false" outlineLevel="0" collapsed="false">
      <c r="I608" s="204"/>
      <c r="P608" s="202"/>
      <c r="V608" s="202"/>
      <c r="AF608" s="202"/>
      <c r="AG608" s="202"/>
      <c r="AH608" s="202"/>
      <c r="AI608" s="202"/>
      <c r="AJ608" s="202"/>
      <c r="AK608" s="202"/>
      <c r="AL608" s="202"/>
      <c r="AM608" s="202"/>
      <c r="AN608" s="202"/>
      <c r="AR608" s="202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</row>
    <row r="609" customFormat="false" ht="12.75" hidden="false" customHeight="false" outlineLevel="0" collapsed="false">
      <c r="I609" s="204"/>
      <c r="P609" s="202"/>
      <c r="V609" s="202"/>
      <c r="AF609" s="202"/>
      <c r="AG609" s="202"/>
      <c r="AH609" s="202"/>
      <c r="AI609" s="202"/>
      <c r="AJ609" s="202"/>
      <c r="AK609" s="202"/>
      <c r="AL609" s="202"/>
      <c r="AM609" s="202"/>
      <c r="AN609" s="202"/>
      <c r="AR609" s="202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</row>
    <row r="610" customFormat="false" ht="12.75" hidden="false" customHeight="false" outlineLevel="0" collapsed="false">
      <c r="I610" s="204"/>
      <c r="P610" s="202"/>
      <c r="V610" s="202"/>
      <c r="AF610" s="202"/>
      <c r="AG610" s="202"/>
      <c r="AH610" s="202"/>
      <c r="AI610" s="202"/>
      <c r="AJ610" s="202"/>
      <c r="AK610" s="202"/>
      <c r="AL610" s="202"/>
      <c r="AM610" s="202"/>
      <c r="AN610" s="202"/>
      <c r="AR610" s="202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</row>
    <row r="611" customFormat="false" ht="12.75" hidden="false" customHeight="false" outlineLevel="0" collapsed="false">
      <c r="P611" s="202"/>
      <c r="V611" s="202"/>
      <c r="AE611" s="202"/>
      <c r="AF611" s="202"/>
      <c r="AG611" s="202"/>
      <c r="AH611" s="202"/>
      <c r="AI611" s="202"/>
      <c r="AJ611" s="202"/>
      <c r="AK611" s="202"/>
      <c r="AL611" s="202"/>
      <c r="AN611" s="202"/>
      <c r="AR611" s="202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</row>
    <row r="612" customFormat="false" ht="12.75" hidden="false" customHeight="false" outlineLevel="0" collapsed="false">
      <c r="P612" s="202"/>
      <c r="V612" s="202"/>
      <c r="AE612" s="202"/>
      <c r="AF612" s="202"/>
      <c r="AG612" s="202"/>
      <c r="AH612" s="202"/>
      <c r="AI612" s="202"/>
      <c r="AJ612" s="202"/>
      <c r="AK612" s="202"/>
      <c r="AL612" s="202"/>
      <c r="AN612" s="202"/>
      <c r="AR612" s="202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</row>
    <row r="613" customFormat="false" ht="12.75" hidden="false" customHeight="false" outlineLevel="0" collapsed="false">
      <c r="P613" s="202"/>
      <c r="V613" s="202"/>
      <c r="AE613" s="202"/>
      <c r="AF613" s="202"/>
      <c r="AG613" s="202"/>
      <c r="AH613" s="202"/>
      <c r="AI613" s="202"/>
      <c r="AJ613" s="202"/>
      <c r="AK613" s="202"/>
      <c r="AL613" s="202"/>
      <c r="AN613" s="202"/>
      <c r="AR613" s="202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</row>
    <row r="614" customFormat="false" ht="12.75" hidden="false" customHeight="false" outlineLevel="0" collapsed="false">
      <c r="P614" s="202"/>
      <c r="V614" s="202"/>
      <c r="AE614" s="202"/>
      <c r="AF614" s="202"/>
      <c r="AG614" s="202"/>
      <c r="AH614" s="202"/>
      <c r="AI614" s="202"/>
      <c r="AJ614" s="202"/>
      <c r="AK614" s="202"/>
      <c r="AL614" s="202"/>
      <c r="AN614" s="202"/>
      <c r="AR614" s="202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</row>
    <row r="615" customFormat="false" ht="12.75" hidden="false" customHeight="false" outlineLevel="0" collapsed="false">
      <c r="P615" s="202"/>
      <c r="V615" s="202"/>
      <c r="AE615" s="202"/>
      <c r="AF615" s="202"/>
      <c r="AG615" s="202"/>
      <c r="AH615" s="202"/>
      <c r="AI615" s="202"/>
      <c r="AJ615" s="202"/>
      <c r="AK615" s="202"/>
      <c r="AL615" s="202"/>
      <c r="AN615" s="202"/>
      <c r="AR615" s="202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</row>
    <row r="616" customFormat="false" ht="12.75" hidden="false" customHeight="false" outlineLevel="0" collapsed="false">
      <c r="P616" s="202"/>
      <c r="V616" s="202"/>
      <c r="AE616" s="202"/>
      <c r="AF616" s="202"/>
      <c r="AG616" s="202"/>
      <c r="AH616" s="202"/>
      <c r="AI616" s="202"/>
      <c r="AJ616" s="202"/>
      <c r="AK616" s="202"/>
      <c r="AL616" s="202"/>
      <c r="AN616" s="202"/>
      <c r="AR616" s="202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</row>
    <row r="617" customFormat="false" ht="12.75" hidden="false" customHeight="false" outlineLevel="0" collapsed="false">
      <c r="P617" s="202"/>
      <c r="V617" s="202"/>
      <c r="AE617" s="202"/>
      <c r="AF617" s="202"/>
      <c r="AG617" s="202"/>
      <c r="AH617" s="202"/>
      <c r="AI617" s="202"/>
      <c r="AJ617" s="202"/>
      <c r="AK617" s="202"/>
      <c r="AL617" s="202"/>
      <c r="AN617" s="202"/>
      <c r="AR617" s="202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</row>
    <row r="618" customFormat="false" ht="12.75" hidden="false" customHeight="false" outlineLevel="0" collapsed="false">
      <c r="P618" s="202"/>
      <c r="V618" s="202"/>
      <c r="AE618" s="202"/>
      <c r="AF618" s="202"/>
      <c r="AG618" s="202"/>
      <c r="AH618" s="202"/>
      <c r="AI618" s="202"/>
      <c r="AJ618" s="202"/>
      <c r="AK618" s="202"/>
      <c r="AL618" s="202"/>
      <c r="AN618" s="202"/>
      <c r="AR618" s="202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</row>
    <row r="619" customFormat="false" ht="12.75" hidden="false" customHeight="false" outlineLevel="0" collapsed="false">
      <c r="P619" s="202"/>
      <c r="V619" s="202"/>
      <c r="AE619" s="202"/>
      <c r="AF619" s="202"/>
      <c r="AG619" s="202"/>
      <c r="AH619" s="202"/>
      <c r="AI619" s="202"/>
      <c r="AJ619" s="202"/>
      <c r="AK619" s="202"/>
      <c r="AL619" s="202"/>
      <c r="AN619" s="202"/>
      <c r="AR619" s="202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</row>
    <row r="620" customFormat="false" ht="12.75" hidden="false" customHeight="false" outlineLevel="0" collapsed="false">
      <c r="P620" s="202"/>
      <c r="V620" s="202"/>
      <c r="AE620" s="202"/>
      <c r="AF620" s="202"/>
      <c r="AG620" s="202"/>
      <c r="AH620" s="202"/>
      <c r="AI620" s="202"/>
      <c r="AJ620" s="202"/>
      <c r="AK620" s="202"/>
      <c r="AL620" s="202"/>
      <c r="AN620" s="202"/>
      <c r="AR620" s="202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</row>
    <row r="621" customFormat="false" ht="12.75" hidden="false" customHeight="false" outlineLevel="0" collapsed="false">
      <c r="P621" s="202"/>
      <c r="V621" s="202"/>
      <c r="AE621" s="202"/>
      <c r="AF621" s="202"/>
      <c r="AG621" s="202"/>
      <c r="AH621" s="202"/>
      <c r="AI621" s="202"/>
      <c r="AJ621" s="202"/>
      <c r="AK621" s="202"/>
      <c r="AL621" s="202"/>
      <c r="AN621" s="202"/>
      <c r="AR621" s="202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</row>
    <row r="622" customFormat="false" ht="12.75" hidden="false" customHeight="false" outlineLevel="0" collapsed="false">
      <c r="P622" s="202"/>
      <c r="V622" s="202"/>
      <c r="AE622" s="202"/>
      <c r="AF622" s="202"/>
      <c r="AG622" s="202"/>
      <c r="AH622" s="202"/>
      <c r="AI622" s="202"/>
      <c r="AJ622" s="202"/>
      <c r="AK622" s="202"/>
      <c r="AL622" s="202"/>
      <c r="AM622" s="202"/>
      <c r="AN622" s="202"/>
      <c r="AO622" s="202"/>
      <c r="AR622" s="202"/>
      <c r="AS622" s="1"/>
      <c r="BN622" s="0"/>
    </row>
    <row r="623" customFormat="false" ht="12.75" hidden="false" customHeight="false" outlineLevel="0" collapsed="false">
      <c r="P623" s="202"/>
      <c r="V623" s="202"/>
      <c r="AE623" s="202"/>
      <c r="AF623" s="202"/>
      <c r="AG623" s="202"/>
      <c r="AH623" s="202"/>
      <c r="AI623" s="202"/>
      <c r="AJ623" s="202"/>
      <c r="AK623" s="202"/>
      <c r="AL623" s="202"/>
      <c r="AM623" s="202"/>
      <c r="AN623" s="202"/>
      <c r="AO623" s="202"/>
      <c r="AR623" s="202"/>
      <c r="AS623" s="1"/>
      <c r="BN623" s="0"/>
    </row>
    <row r="624" customFormat="false" ht="12.75" hidden="false" customHeight="false" outlineLevel="0" collapsed="false">
      <c r="P624" s="202"/>
      <c r="V624" s="202"/>
      <c r="AE624" s="202"/>
      <c r="AF624" s="202"/>
      <c r="AG624" s="202"/>
      <c r="AH624" s="202"/>
      <c r="AI624" s="202"/>
      <c r="AJ624" s="202"/>
      <c r="AK624" s="202"/>
      <c r="AL624" s="202"/>
      <c r="AM624" s="202"/>
      <c r="AN624" s="202"/>
      <c r="AO624" s="202"/>
      <c r="AR624" s="202"/>
      <c r="AS624" s="1"/>
      <c r="BN624" s="0"/>
    </row>
    <row r="625" customFormat="false" ht="12.75" hidden="false" customHeight="false" outlineLevel="0" collapsed="false">
      <c r="P625" s="202"/>
      <c r="V625" s="202"/>
      <c r="AE625" s="202"/>
      <c r="AF625" s="202"/>
      <c r="AG625" s="202"/>
      <c r="AH625" s="202"/>
      <c r="AI625" s="202"/>
      <c r="AJ625" s="202"/>
      <c r="AK625" s="202"/>
      <c r="AL625" s="202"/>
      <c r="AM625" s="202"/>
      <c r="AN625" s="202"/>
      <c r="AO625" s="202"/>
      <c r="AR625" s="202"/>
      <c r="AS625" s="1"/>
      <c r="BN625" s="0"/>
    </row>
    <row r="626" customFormat="false" ht="12.75" hidden="false" customHeight="false" outlineLevel="0" collapsed="false">
      <c r="P626" s="202"/>
      <c r="V626" s="202"/>
      <c r="AE626" s="202"/>
      <c r="AF626" s="202"/>
      <c r="AG626" s="202"/>
      <c r="AH626" s="202"/>
      <c r="AI626" s="202"/>
      <c r="AJ626" s="202"/>
      <c r="AK626" s="202"/>
      <c r="AL626" s="202"/>
      <c r="AM626" s="202"/>
      <c r="AN626" s="202"/>
      <c r="AO626" s="202"/>
      <c r="AR626" s="202"/>
      <c r="AS626" s="1"/>
      <c r="BN626" s="0"/>
    </row>
    <row r="627" customFormat="false" ht="12.75" hidden="false" customHeight="false" outlineLevel="0" collapsed="false">
      <c r="P627" s="202"/>
      <c r="V627" s="202"/>
      <c r="AE627" s="202"/>
      <c r="AF627" s="202"/>
      <c r="AG627" s="202"/>
      <c r="AH627" s="202"/>
      <c r="AI627" s="202"/>
      <c r="AJ627" s="202"/>
      <c r="AK627" s="202"/>
      <c r="AL627" s="202"/>
      <c r="AM627" s="202"/>
      <c r="AN627" s="202"/>
      <c r="AO627" s="202"/>
      <c r="AR627" s="202"/>
      <c r="AS627" s="1"/>
      <c r="BN627" s="0"/>
    </row>
    <row r="628" customFormat="false" ht="12.75" hidden="false" customHeight="false" outlineLevel="0" collapsed="false">
      <c r="P628" s="202"/>
      <c r="V628" s="202"/>
      <c r="AE628" s="202"/>
      <c r="AF628" s="202"/>
      <c r="AG628" s="202"/>
      <c r="AH628" s="202"/>
      <c r="AI628" s="202"/>
      <c r="AJ628" s="202"/>
      <c r="AK628" s="202"/>
      <c r="AL628" s="202"/>
      <c r="AM628" s="202"/>
      <c r="AN628" s="202"/>
      <c r="AO628" s="202"/>
      <c r="AR628" s="202"/>
      <c r="AS628" s="1"/>
      <c r="BN628" s="0"/>
    </row>
    <row r="629" customFormat="false" ht="12.75" hidden="false" customHeight="false" outlineLevel="0" collapsed="false">
      <c r="P629" s="202"/>
      <c r="V629" s="202"/>
      <c r="AE629" s="202"/>
      <c r="AF629" s="202"/>
      <c r="AG629" s="202"/>
      <c r="AH629" s="202"/>
      <c r="AI629" s="202"/>
      <c r="AJ629" s="202"/>
      <c r="AK629" s="202"/>
      <c r="AL629" s="202"/>
      <c r="AM629" s="202"/>
      <c r="AN629" s="202"/>
      <c r="AO629" s="202"/>
      <c r="AR629" s="202"/>
      <c r="AS629" s="1"/>
      <c r="BN629" s="0"/>
    </row>
    <row r="630" customFormat="false" ht="12.75" hidden="false" customHeight="false" outlineLevel="0" collapsed="false">
      <c r="P630" s="202"/>
      <c r="V630" s="202"/>
      <c r="AE630" s="202"/>
      <c r="AF630" s="202"/>
      <c r="AG630" s="202"/>
      <c r="AH630" s="202"/>
      <c r="AI630" s="202"/>
      <c r="AJ630" s="202"/>
      <c r="AK630" s="202"/>
      <c r="AL630" s="202"/>
      <c r="AM630" s="202"/>
      <c r="AN630" s="202"/>
      <c r="AO630" s="202"/>
      <c r="AR630" s="202"/>
      <c r="AS630" s="1"/>
      <c r="BN630" s="0"/>
    </row>
    <row r="631" customFormat="false" ht="12.75" hidden="false" customHeight="false" outlineLevel="0" collapsed="false">
      <c r="P631" s="202"/>
      <c r="V631" s="202"/>
      <c r="AE631" s="202"/>
      <c r="AF631" s="202"/>
      <c r="AG631" s="202"/>
      <c r="AH631" s="202"/>
      <c r="AI631" s="202"/>
      <c r="AJ631" s="202"/>
      <c r="AK631" s="202"/>
      <c r="AL631" s="202"/>
      <c r="AM631" s="202"/>
      <c r="AN631" s="202"/>
      <c r="AO631" s="202"/>
      <c r="AR631" s="202"/>
      <c r="AS631" s="1"/>
      <c r="BN631" s="0"/>
    </row>
    <row r="632" customFormat="false" ht="12.75" hidden="false" customHeight="false" outlineLevel="0" collapsed="false">
      <c r="P632" s="202"/>
      <c r="V632" s="202"/>
      <c r="AE632" s="202"/>
      <c r="AF632" s="202"/>
      <c r="AG632" s="202"/>
      <c r="AH632" s="202"/>
      <c r="AI632" s="202"/>
      <c r="AJ632" s="202"/>
      <c r="AK632" s="202"/>
      <c r="AL632" s="202"/>
      <c r="AM632" s="202"/>
      <c r="AN632" s="202"/>
      <c r="AO632" s="202"/>
      <c r="AR632" s="202"/>
      <c r="AS632" s="1"/>
      <c r="BN632" s="0"/>
    </row>
    <row r="633" customFormat="false" ht="12.75" hidden="false" customHeight="false" outlineLevel="0" collapsed="false">
      <c r="P633" s="202"/>
      <c r="V633" s="202"/>
      <c r="AE633" s="202"/>
      <c r="AF633" s="202"/>
      <c r="AG633" s="202"/>
      <c r="AH633" s="202"/>
      <c r="AI633" s="202"/>
      <c r="AJ633" s="202"/>
      <c r="AK633" s="202"/>
      <c r="AL633" s="202"/>
      <c r="AM633" s="202"/>
      <c r="AN633" s="202"/>
      <c r="AO633" s="202"/>
      <c r="AR633" s="202"/>
      <c r="AS633" s="1"/>
      <c r="BN633" s="0"/>
    </row>
    <row r="634" customFormat="false" ht="12.75" hidden="false" customHeight="false" outlineLevel="0" collapsed="false">
      <c r="P634" s="202"/>
      <c r="V634" s="202"/>
      <c r="AE634" s="202"/>
      <c r="AF634" s="202"/>
      <c r="AG634" s="202"/>
      <c r="AH634" s="202"/>
      <c r="AI634" s="202"/>
      <c r="AJ634" s="202"/>
      <c r="AK634" s="202"/>
      <c r="AL634" s="202"/>
      <c r="AM634" s="202"/>
      <c r="AN634" s="202"/>
      <c r="AO634" s="202"/>
      <c r="AR634" s="202"/>
      <c r="AS634" s="1"/>
      <c r="BN634" s="0"/>
    </row>
    <row r="635" customFormat="false" ht="12.75" hidden="false" customHeight="false" outlineLevel="0" collapsed="false">
      <c r="P635" s="202"/>
      <c r="V635" s="202"/>
      <c r="AE635" s="202"/>
      <c r="AF635" s="202"/>
      <c r="AG635" s="202"/>
      <c r="AH635" s="202"/>
      <c r="AI635" s="202"/>
      <c r="AJ635" s="202"/>
      <c r="AK635" s="202"/>
      <c r="AL635" s="202"/>
      <c r="AM635" s="202"/>
      <c r="AN635" s="202"/>
      <c r="AO635" s="202"/>
      <c r="AR635" s="202"/>
      <c r="AS635" s="1"/>
      <c r="BN635" s="0"/>
    </row>
    <row r="636" customFormat="false" ht="12.75" hidden="false" customHeight="false" outlineLevel="0" collapsed="false">
      <c r="P636" s="202"/>
      <c r="V636" s="202"/>
      <c r="AE636" s="202"/>
      <c r="AF636" s="202"/>
      <c r="AG636" s="202"/>
      <c r="AH636" s="202"/>
      <c r="AI636" s="202"/>
      <c r="AJ636" s="202"/>
      <c r="AK636" s="202"/>
      <c r="AL636" s="202"/>
      <c r="AM636" s="202"/>
      <c r="AN636" s="202"/>
      <c r="AO636" s="202"/>
      <c r="AR636" s="202"/>
      <c r="AS636" s="1"/>
      <c r="BN636" s="0"/>
    </row>
    <row r="637" customFormat="false" ht="12.75" hidden="false" customHeight="false" outlineLevel="0" collapsed="false">
      <c r="P637" s="202"/>
      <c r="V637" s="202"/>
      <c r="AE637" s="202"/>
      <c r="AF637" s="202"/>
      <c r="AG637" s="202"/>
      <c r="AH637" s="202"/>
      <c r="AI637" s="202"/>
      <c r="AJ637" s="202"/>
      <c r="AK637" s="202"/>
      <c r="AL637" s="202"/>
      <c r="AM637" s="202"/>
      <c r="AN637" s="202"/>
      <c r="AO637" s="202"/>
      <c r="AR637" s="202"/>
      <c r="AS637" s="1"/>
      <c r="BN637" s="0"/>
    </row>
    <row r="638" customFormat="false" ht="12.75" hidden="false" customHeight="false" outlineLevel="0" collapsed="false">
      <c r="P638" s="202"/>
      <c r="V638" s="202"/>
      <c r="AE638" s="202"/>
      <c r="AF638" s="202"/>
      <c r="AG638" s="202"/>
      <c r="AH638" s="202"/>
      <c r="AI638" s="202"/>
      <c r="AJ638" s="202"/>
      <c r="AK638" s="202"/>
      <c r="AL638" s="202"/>
      <c r="AM638" s="202"/>
      <c r="AN638" s="202"/>
      <c r="AO638" s="202"/>
      <c r="AR638" s="202"/>
      <c r="AS638" s="1"/>
      <c r="BN638" s="0"/>
    </row>
    <row r="639" customFormat="false" ht="12.75" hidden="false" customHeight="false" outlineLevel="0" collapsed="false">
      <c r="AS639" s="1"/>
      <c r="BN639" s="0"/>
    </row>
    <row r="640" customFormat="false" ht="12.75" hidden="false" customHeight="false" outlineLevel="0" collapsed="false">
      <c r="AS640" s="1"/>
      <c r="BN640" s="0"/>
    </row>
    <row r="641" customFormat="false" ht="12.75" hidden="false" customHeight="false" outlineLevel="0" collapsed="false">
      <c r="AS641" s="1"/>
      <c r="BN641" s="0"/>
    </row>
    <row r="642" customFormat="false" ht="12.75" hidden="false" customHeight="false" outlineLevel="0" collapsed="false">
      <c r="AS642" s="1"/>
      <c r="BN642" s="0"/>
    </row>
    <row r="643" customFormat="false" ht="12.75" hidden="false" customHeight="false" outlineLevel="0" collapsed="false">
      <c r="AS643" s="1"/>
      <c r="BN643" s="0"/>
    </row>
    <row r="644" customFormat="false" ht="12.75" hidden="false" customHeight="false" outlineLevel="0" collapsed="false">
      <c r="AS644" s="1"/>
      <c r="BN644" s="0"/>
    </row>
    <row r="645" customFormat="false" ht="12.75" hidden="false" customHeight="false" outlineLevel="0" collapsed="false">
      <c r="AS645" s="1"/>
      <c r="BN645" s="0"/>
    </row>
    <row r="646" customFormat="false" ht="12.75" hidden="false" customHeight="false" outlineLevel="0" collapsed="false">
      <c r="AS646" s="1"/>
      <c r="BN646" s="0"/>
    </row>
    <row r="647" customFormat="false" ht="12.75" hidden="false" customHeight="false" outlineLevel="0" collapsed="false">
      <c r="AS647" s="1"/>
      <c r="BN647" s="0"/>
    </row>
    <row r="648" customFormat="false" ht="12.75" hidden="false" customHeight="false" outlineLevel="0" collapsed="false">
      <c r="AS648" s="1"/>
      <c r="BN648" s="0"/>
    </row>
    <row r="649" customFormat="false" ht="12.75" hidden="false" customHeight="false" outlineLevel="0" collapsed="false">
      <c r="AS649" s="1"/>
      <c r="BN649" s="0"/>
    </row>
    <row r="650" customFormat="false" ht="12.75" hidden="false" customHeight="false" outlineLevel="0" collapsed="false">
      <c r="AS650" s="1"/>
      <c r="BN650" s="0"/>
    </row>
    <row r="651" customFormat="false" ht="12.75" hidden="false" customHeight="false" outlineLevel="0" collapsed="false">
      <c r="AS651" s="1"/>
      <c r="BN651" s="0"/>
    </row>
    <row r="652" customFormat="false" ht="12.75" hidden="false" customHeight="false" outlineLevel="0" collapsed="false">
      <c r="AS652" s="1"/>
      <c r="BN652" s="0"/>
    </row>
    <row r="653" customFormat="false" ht="12.75" hidden="false" customHeight="false" outlineLevel="0" collapsed="false">
      <c r="AS653" s="1"/>
      <c r="BN653" s="0"/>
    </row>
    <row r="654" customFormat="false" ht="12.75" hidden="false" customHeight="false" outlineLevel="0" collapsed="false">
      <c r="AS654" s="1"/>
      <c r="BN654" s="0"/>
    </row>
    <row r="655" customFormat="false" ht="12.75" hidden="false" customHeight="false" outlineLevel="0" collapsed="false">
      <c r="AS655" s="1"/>
      <c r="BN655" s="0"/>
    </row>
    <row r="656" customFormat="false" ht="12.75" hidden="false" customHeight="false" outlineLevel="0" collapsed="false">
      <c r="AS656" s="1"/>
      <c r="BN656" s="0"/>
    </row>
    <row r="657" customFormat="false" ht="12.75" hidden="false" customHeight="false" outlineLevel="0" collapsed="false">
      <c r="AS657" s="1"/>
      <c r="BN657" s="0"/>
    </row>
  </sheetData>
  <printOptions headings="false" gridLines="false" gridLinesSet="true" horizontalCentered="false" verticalCentered="false"/>
  <pageMargins left="0.5" right="0.5" top="0.5" bottom="0.5" header="0.511811023622047" footer="0.5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&amp;A&amp;R&amp;D &amp;D</oddFooter>
  </headerFooter>
  <colBreaks count="2" manualBreakCount="2">
    <brk id="22" man="true" max="65535" min="0"/>
    <brk id="50" man="true" max="65535" min="0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2000-05-31T19:44:14Z</dcterms:created>
  <dc:creator>ENRON</dc:creator>
  <dc:description/>
  <dc:language>en-US</dc:language>
  <cp:lastModifiedBy>ENRON</cp:lastModifiedBy>
  <cp:lastPrinted>2000-06-01T02:15:28Z</cp:lastPrinted>
  <cp:revision>0</cp:revision>
  <dc:subject/>
  <dc:title/>
</cp:coreProperties>
</file>